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artemhruzd/Development/Pivotal/axis/axis/customer_hirl/sources/tests/"/>
    </mc:Choice>
  </mc:AlternateContent>
  <xr:revisionPtr revIDLastSave="0" documentId="13_ncr:1_{B1A0B2FD-A36C-2F40-9EF0-4383FF8D07AD}" xr6:coauthVersionLast="45" xr6:coauthVersionMax="47" xr10:uidLastSave="{00000000-0000-0000-0000-000000000000}"/>
  <bookViews>
    <workbookView xWindow="15480" yWindow="2380" windowWidth="29040" windowHeight="15840" tabRatio="923" activeTab="8" xr2:uid="{00000000-000D-0000-FFFF-FFFF00000000}"/>
  </bookViews>
  <sheets>
    <sheet name="Start Here!" sheetId="9" r:id="rId1"/>
    <sheet name="11.5" sheetId="1" r:id="rId2"/>
    <sheet name="11.6" sheetId="10" r:id="rId3"/>
    <sheet name="11.7" sheetId="11" r:id="rId4"/>
    <sheet name="11.8" sheetId="12" r:id="rId5"/>
    <sheet name="11.9" sheetId="13" r:id="rId6"/>
    <sheet name="11.10" sheetId="14" r:id="rId7"/>
    <sheet name="Designer's Report" sheetId="15" r:id="rId8"/>
    <sheet name="Verification Rpt" sheetId="21" r:id="rId9"/>
    <sheet name="Formulas" sheetId="8" state="hidden" r:id="rId10"/>
    <sheet name="Rough Signature" sheetId="22" r:id="rId11"/>
    <sheet name="Final Signature" sheetId="23" r:id="rId12"/>
    <sheet name="Ch. 7, 8, 9  Appendices" sheetId="17" r:id="rId13"/>
    <sheet name="Figures" sheetId="18" r:id="rId14"/>
    <sheet name="Appendix A, B, D" sheetId="19" r:id="rId15"/>
    <sheet name="Errata" sheetId="20" r:id="rId16"/>
    <sheet name="Sheet1" sheetId="24" r:id="rId17"/>
  </sheets>
  <definedNames>
    <definedName name="_xlnm._FilterDatabase" localSheetId="2" hidden="1">'11.6'!$B$6:$B$211</definedName>
    <definedName name="_xlnm._FilterDatabase" localSheetId="3" hidden="1">'11.7'!$B$7:$B$56</definedName>
    <definedName name="_xlnm._FilterDatabase" localSheetId="7" hidden="1">'Designer''s Report'!$C$10:$G$511</definedName>
    <definedName name="_xlnm._FilterDatabase" localSheetId="8" hidden="1">'Verification Rpt'!$C$11:$D$669</definedName>
    <definedName name="additionalPoints">Formulas!$A$158</definedName>
    <definedName name="af1001.1">'Verification Rpt'!$I$611</definedName>
    <definedName name="af1001.1_1">'Verification Rpt'!$I$612</definedName>
    <definedName name="af1001.1_10">'Verification Rpt'!$I$621</definedName>
    <definedName name="af1001.1_11">'Verification Rpt'!$I$622</definedName>
    <definedName name="af1001.1_12">'Verification Rpt'!$I$623</definedName>
    <definedName name="af1001.1_13">'Verification Rpt'!$I$624</definedName>
    <definedName name="af1001.1_14">'Verification Rpt'!$I$625</definedName>
    <definedName name="af1001.1_15">'Verification Rpt'!$I$626</definedName>
    <definedName name="af1001.1_16">'Verification Rpt'!$I$627</definedName>
    <definedName name="af1001.1_17">'Verification Rpt'!$I$628</definedName>
    <definedName name="af1001.1_18">'Verification Rpt'!$I$629</definedName>
    <definedName name="af1001.1_19">'Verification Rpt'!$I$630</definedName>
    <definedName name="af1001.1_2">'Verification Rpt'!$I$613</definedName>
    <definedName name="af1001.1_20">'Verification Rpt'!$I$631</definedName>
    <definedName name="af1001.1_21">'Verification Rpt'!$I$632</definedName>
    <definedName name="af1001.1_3">'Verification Rpt'!$I$614</definedName>
    <definedName name="af1001.1_4">'Verification Rpt'!$I$615</definedName>
    <definedName name="af1001.1_5">'Verification Rpt'!$I$616</definedName>
    <definedName name="af1001.1_6">'Verification Rpt'!$I$617</definedName>
    <definedName name="af1001.1_7">'Verification Rpt'!$I$618</definedName>
    <definedName name="af1001.1_8">'Verification Rpt'!$I$619</definedName>
    <definedName name="af1001.1_9">'Verification Rpt'!$I$620</definedName>
    <definedName name="af1002.1">'Verification Rpt'!$I$634</definedName>
    <definedName name="af1003.1">'Verification Rpt'!$I$637</definedName>
    <definedName name="af1003.1_1">'Verification Rpt'!$I$638</definedName>
    <definedName name="af1003.1_2">'Verification Rpt'!$I$639</definedName>
    <definedName name="af1003.1_3">'Verification Rpt'!$I$640</definedName>
    <definedName name="af1003.1_4">'Verification Rpt'!$I$641</definedName>
    <definedName name="af1003.1_5">'Verification Rpt'!$I$642</definedName>
    <definedName name="af1003.1_6">'Verification Rpt'!$I$643</definedName>
    <definedName name="af1003.1_7">'Verification Rpt'!$I$644</definedName>
    <definedName name="af1003.1_8">'Verification Rpt'!$I$645</definedName>
    <definedName name="af1003.2">'Verification Rpt'!$I$646</definedName>
    <definedName name="af1003.2_1">'Verification Rpt'!$I$647</definedName>
    <definedName name="af1003.2_10">'Verification Rpt'!$I$656</definedName>
    <definedName name="af1003.2_2">'Verification Rpt'!$I$648</definedName>
    <definedName name="af1003.2_3">'Verification Rpt'!$I$649</definedName>
    <definedName name="af1003.2_4">'Verification Rpt'!$I$650</definedName>
    <definedName name="af1003.2_5">'Verification Rpt'!$I$651</definedName>
    <definedName name="af1003.2_6">'Verification Rpt'!$I$652</definedName>
    <definedName name="af1003.2_7">'Verification Rpt'!$I$653</definedName>
    <definedName name="af1003.2_8">'Verification Rpt'!$I$654</definedName>
    <definedName name="af1003.2_9">'Verification Rpt'!$I$655</definedName>
    <definedName name="af1003.3">'Verification Rpt'!$I$657</definedName>
    <definedName name="af1003.3_1">'Verification Rpt'!$I$658</definedName>
    <definedName name="af1003.3_2">'Verification Rpt'!$I$659</definedName>
    <definedName name="af1003.3_3">'Verification Rpt'!$I$660</definedName>
    <definedName name="af1003.3_4">'Verification Rpt'!$I$661</definedName>
    <definedName name="af1003.3_5">'Verification Rpt'!$I$662</definedName>
    <definedName name="af1003.3_6">'Verification Rpt'!$I$663</definedName>
    <definedName name="af1003.3_7">'Verification Rpt'!$I$664</definedName>
    <definedName name="af1003.3_8">'Verification Rpt'!$I$665</definedName>
    <definedName name="af1003.3_9">'Verification Rpt'!$I$666</definedName>
    <definedName name="af501.1_1">'Verification Rpt'!#REF!</definedName>
    <definedName name="af501.1_2">'Verification Rpt'!#REF!</definedName>
    <definedName name="af501.1_3">'Verification Rpt'!#REF!</definedName>
    <definedName name="af501.1_4">'Verification Rpt'!#REF!</definedName>
    <definedName name="af501.1_5">'Verification Rpt'!#REF!</definedName>
    <definedName name="af501.2_1">'Verification Rpt'!$I$15</definedName>
    <definedName name="af501.2_2">'Verification Rpt'!#REF!</definedName>
    <definedName name="af501.2_3">'Verification Rpt'!$I$16</definedName>
    <definedName name="af501.2_4">'Verification Rpt'!$I$17</definedName>
    <definedName name="af502.1">'Verification Rpt'!$I$19</definedName>
    <definedName name="af503.1_1">'Verification Rpt'!$I$23</definedName>
    <definedName name="af503.1_2">'Verification Rpt'!$I$25</definedName>
    <definedName name="af503.1_3">'Verification Rpt'!$I$26</definedName>
    <definedName name="af503.1_4">'Verification Rpt'!$I$27</definedName>
    <definedName name="af503.1_5">'Verification Rpt'!$I$28</definedName>
    <definedName name="af503.1_6">'Verification Rpt'!$I$29</definedName>
    <definedName name="af503.1_7">'Verification Rpt'!$I$30</definedName>
    <definedName name="af503.2_1">'Verification Rpt'!$I$32</definedName>
    <definedName name="af503.2_2">'Verification Rpt'!$I$33</definedName>
    <definedName name="af503.2_3">'Verification Rpt'!$I$35</definedName>
    <definedName name="af503.2_4">'Verification Rpt'!$I$38</definedName>
    <definedName name="af503.2_5">'Verification Rpt'!$I$39</definedName>
    <definedName name="af503.3_1">'Verification Rpt'!$I$41</definedName>
    <definedName name="af503.3_2">'Verification Rpt'!$I$42</definedName>
    <definedName name="af503.3_3">'Verification Rpt'!$I$43</definedName>
    <definedName name="af503.4_1">'Verification Rpt'!$I$45</definedName>
    <definedName name="af503.4_2">'Verification Rpt'!$I$46</definedName>
    <definedName name="af503.4_3">'Verification Rpt'!$I$48</definedName>
    <definedName name="af503.4_4">'Verification Rpt'!$I$51</definedName>
    <definedName name="af503.4_5">'Verification Rpt'!$I$52</definedName>
    <definedName name="af503.4_6">'Verification Rpt'!#REF!</definedName>
    <definedName name="af503.5_1">'Verification Rpt'!$I$54</definedName>
    <definedName name="af503.5_2">'Verification Rpt'!$I$56</definedName>
    <definedName name="af503.5_3">'Verification Rpt'!$I$59</definedName>
    <definedName name="af503.5_4">'Verification Rpt'!$I$64</definedName>
    <definedName name="af503.5_5">'Verification Rpt'!$I$66</definedName>
    <definedName name="af503.5_6">'Verification Rpt'!$I$68</definedName>
    <definedName name="af503.5_7">'Verification Rpt'!$I$69</definedName>
    <definedName name="af503.5_8">'Verification Rpt'!$I$70</definedName>
    <definedName name="af503.6_1">'Verification Rpt'!$I$72</definedName>
    <definedName name="af503.6_2">'Verification Rpt'!$I$74</definedName>
    <definedName name="af503.6_3">'Verification Rpt'!$I$76</definedName>
    <definedName name="af503.6_4">'Verification Rpt'!$I$78</definedName>
    <definedName name="af503.7_1">'Verification Rpt'!$I$81</definedName>
    <definedName name="af503.7_2">'Verification Rpt'!$I$82</definedName>
    <definedName name="af504.1">'Verification Rpt'!$I$84</definedName>
    <definedName name="af504.2_1">'Verification Rpt'!$I$87</definedName>
    <definedName name="af504.2_2">'Verification Rpt'!$I$89</definedName>
    <definedName name="af504.2_3">'Verification Rpt'!$I$91</definedName>
    <definedName name="af504.3_1">'Verification Rpt'!$I$93</definedName>
    <definedName name="af504.3_2">'Verification Rpt'!$I$94</definedName>
    <definedName name="af504.3_3">'Verification Rpt'!$I$96</definedName>
    <definedName name="af504.3_4">'Verification Rpt'!$I$98</definedName>
    <definedName name="af504.3_5">'Verification Rpt'!$I$100</definedName>
    <definedName name="af504.3_6">'Verification Rpt'!$I$102</definedName>
    <definedName name="af504.3_7">'Verification Rpt'!$I$104</definedName>
    <definedName name="af504.3_8">'Verification Rpt'!$I$105</definedName>
    <definedName name="af504.3_9">'Verification Rpt'!$I$106</definedName>
    <definedName name="af505.1_1">'Verification Rpt'!$I$109</definedName>
    <definedName name="af505.1_2">'Verification Rpt'!$I$110</definedName>
    <definedName name="af505.1_3">'Verification Rpt'!$I$112</definedName>
    <definedName name="af505.2_1">'Verification Rpt'!$I$116</definedName>
    <definedName name="af505.2_2">'Verification Rpt'!$I$118</definedName>
    <definedName name="af505.3">'Verification Rpt'!$I$121</definedName>
    <definedName name="af505.4">'Verification Rpt'!$I$124</definedName>
    <definedName name="af505.5">'Verification Rpt'!$I$125</definedName>
    <definedName name="af601.1">'Verification Rpt'!$H$129</definedName>
    <definedName name="af601.2_1">'Verification Rpt'!$I$135</definedName>
    <definedName name="af601.2_2">'Verification Rpt'!$I$137</definedName>
    <definedName name="af601.2_3">'Verification Rpt'!$I$139</definedName>
    <definedName name="af601.3_1">'Verification Rpt'!$I$142</definedName>
    <definedName name="af601.3_2">'Verification Rpt'!$I$143</definedName>
    <definedName name="af601.3_3">'Verification Rpt'!$I$144</definedName>
    <definedName name="af601.3_4">'Verification Rpt'!$I$145</definedName>
    <definedName name="af601.3_5">'Verification Rpt'!$I$146</definedName>
    <definedName name="af601.4">'Verification Rpt'!$I$147</definedName>
    <definedName name="af601.5_1">'Verification Rpt'!$I$149</definedName>
    <definedName name="af601.5_2">'Verification Rpt'!$I$150</definedName>
    <definedName name="af601.5_3">'Verification Rpt'!$I$151</definedName>
    <definedName name="af601.5_4">'Verification Rpt'!$I$152</definedName>
    <definedName name="af601.5_5">'Verification Rpt'!$I$153</definedName>
    <definedName name="af601.6">'Verification Rpt'!$I$155</definedName>
    <definedName name="af601.7">'Verification Rpt'!$I$158</definedName>
    <definedName name="af601.8">'Verification Rpt'!$I$162</definedName>
    <definedName name="af601.9">'Verification Rpt'!$I$163</definedName>
    <definedName name="af602.1.1.1">'Verification Rpt'!$I$167</definedName>
    <definedName name="af602.1.1.2">'Verification Rpt'!$I$168</definedName>
    <definedName name="af602.1.10">'Verification Rpt'!$I$212</definedName>
    <definedName name="af602.1.11">'Verification Rpt'!$I$215</definedName>
    <definedName name="af602.1.12">'Verification Rpt'!$I$216</definedName>
    <definedName name="af602.1.13">'Verification Rpt'!$I$217</definedName>
    <definedName name="af602.1.14_1">'Verification Rpt'!$I$220</definedName>
    <definedName name="af602.1.14_2">'Verification Rpt'!$I$221</definedName>
    <definedName name="af602.1.14_3">'Verification Rpt'!$I$222</definedName>
    <definedName name="af602.1.2">'Verification Rpt'!$I$169</definedName>
    <definedName name="af602.1.3.1">'Verification Rpt'!$I$172</definedName>
    <definedName name="af602.1.3.2">'Verification Rpt'!$I$173</definedName>
    <definedName name="af602.1.4.1_1">'Verification Rpt'!$I$176</definedName>
    <definedName name="af602.1.4.1_2">'Verification Rpt'!$I$177</definedName>
    <definedName name="af602.1.4.2_1">'Verification Rpt'!$I$180</definedName>
    <definedName name="af602.1.4.2_2">'Verification Rpt'!$H$181</definedName>
    <definedName name="af602.1.5">'Verification Rpt'!$I$182</definedName>
    <definedName name="af602.1.6">'Verification Rpt'!$I$184</definedName>
    <definedName name="af602.1.7.1_1">'Verification Rpt'!$I$188</definedName>
    <definedName name="af602.1.7.1_2">'Verification Rpt'!$I$190</definedName>
    <definedName name="af602.1.7.1_3">'Verification Rpt'!$I$192</definedName>
    <definedName name="af602.1.7.2">'Verification Rpt'!$I$194</definedName>
    <definedName name="af602.1.8">'Verification Rpt'!$I$195</definedName>
    <definedName name="af602.1.9_1">'Verification Rpt'!$I$198</definedName>
    <definedName name="af602.1.9_2">'Verification Rpt'!$I$199</definedName>
    <definedName name="af602.1.9_3">'Verification Rpt'!$I$201</definedName>
    <definedName name="af602.1.9_4">'Verification Rpt'!$I$203</definedName>
    <definedName name="af602.1.9_5">'Verification Rpt'!$I$205</definedName>
    <definedName name="af602.1.9_6">'Verification Rpt'!$I$207</definedName>
    <definedName name="af602.1.9_7">'Verification Rpt'!$I$209</definedName>
    <definedName name="af602.2">'Verification Rpt'!$I$225</definedName>
    <definedName name="af602.3">'Verification Rpt'!$I$228</definedName>
    <definedName name="af602.4.1">'Verification Rpt'!$I$229</definedName>
    <definedName name="af602.4.2">'Verification Rpt'!$I$230</definedName>
    <definedName name="af602.4.3">'Verification Rpt'!$I$231</definedName>
    <definedName name="af603.1">'Verification Rpt'!$I$233</definedName>
    <definedName name="af603.2">'Verification Rpt'!$I$235</definedName>
    <definedName name="af603.3">'Verification Rpt'!$I$237</definedName>
    <definedName name="af604.1.1">'Verification Rpt'!$I$240</definedName>
    <definedName name="af604.1.2">'Verification Rpt'!$I$244</definedName>
    <definedName name="af605.1">'Verification Rpt'!$I$248</definedName>
    <definedName name="af605.2">'Verification Rpt'!$I$249</definedName>
    <definedName name="af605.3">'Verification Rpt'!$I$250</definedName>
    <definedName name="af605.4">'Verification Rpt'!$I$252</definedName>
    <definedName name="af606.1">'Verification Rpt'!$I$257</definedName>
    <definedName name="af606.2_1">'Verification Rpt'!$I$262</definedName>
    <definedName name="af606.2_2">'Verification Rpt'!$I$264</definedName>
    <definedName name="af606.3">'Verification Rpt'!$I$267</definedName>
    <definedName name="af607.1_1">'Verification Rpt'!$I$271</definedName>
    <definedName name="af607.1_2">'Verification Rpt'!$I$272</definedName>
    <definedName name="af607.2">'Verification Rpt'!$I$273</definedName>
    <definedName name="af608.1">'Verification Rpt'!$I$275</definedName>
    <definedName name="af609.1">'Verification Rpt'!$I$279</definedName>
    <definedName name="af610.1">'Verification Rpt'!$H$282</definedName>
    <definedName name="af610.1.1">'Verification Rpt'!$I$284</definedName>
    <definedName name="af610.1.2">'Verification Rpt'!$H$286</definedName>
    <definedName name="af610.1.2.1">'Verification Rpt'!$H$287</definedName>
    <definedName name="af610.1.2.1With4ImpactMeasures">'Verification Rpt'!$I$289</definedName>
    <definedName name="af610.1.2.1With5ImpactMeasures">'Verification Rpt'!$I$290</definedName>
    <definedName name="af610.1.2.2.walls">'Verification Rpt'!$I$292</definedName>
    <definedName name="af610.1.2.2floors">'Verification Rpt'!$I$295</definedName>
    <definedName name="af610.1.2.2intwalls">'Verification Rpt'!$I$294</definedName>
    <definedName name="af610.1.2.2roof">'Verification Rpt'!$I$293</definedName>
    <definedName name="af610.1.2.2walls">'Verification Rpt'!$I$292</definedName>
    <definedName name="af6101.2.2">'Verification Rpt'!$H$291</definedName>
    <definedName name="af611.1">'Verification Rpt'!$I$297</definedName>
    <definedName name="af611.2">'Verification Rpt'!$I$301</definedName>
    <definedName name="af611.2_1">'Verification Rpt'!$I$303</definedName>
    <definedName name="af611.2_2">'Verification Rpt'!$I$304</definedName>
    <definedName name="af611.2_3">'Verification Rpt'!$I$305</definedName>
    <definedName name="af611.2_4">'Verification Rpt'!$I$306</definedName>
    <definedName name="af611.2_5">'Verification Rpt'!$I$307</definedName>
    <definedName name="af611.2_6">'Verification Rpt'!$I$308</definedName>
    <definedName name="af611.2_7">'Verification Rpt'!$I$309</definedName>
    <definedName name="af611.3">'Verification Rpt'!$I$310</definedName>
    <definedName name="af611.3_1">'Verification Rpt'!$I$311</definedName>
    <definedName name="af611.3_2">'Verification Rpt'!$I$312</definedName>
    <definedName name="af611.3_3">'Verification Rpt'!$I$313</definedName>
    <definedName name="af611.3_4">'Verification Rpt'!$I$314</definedName>
    <definedName name="af701.1">'Verification Rpt'!#REF!</definedName>
    <definedName name="af701.1.3">'Verification Rpt'!#REF!</definedName>
    <definedName name="af701.3">'Verification Rpt'!#REF!</definedName>
    <definedName name="af701.4.1.1">'Verification Rpt'!$I$320</definedName>
    <definedName name="af701.4.1.2">'Verification Rpt'!$I$321</definedName>
    <definedName name="af701.4.2.1">'Verification Rpt'!$I$323</definedName>
    <definedName name="af701.4.2.2">'Verification Rpt'!$I$324</definedName>
    <definedName name="af701.4.2.3">'Verification Rpt'!$I$325</definedName>
    <definedName name="af701.4.3.1">'Verification Rpt'!$I$327</definedName>
    <definedName name="af701.4.3.2">'Verification Rpt'!$H$329</definedName>
    <definedName name="af701.4.3.2_1">'Verification Rpt'!$I$330</definedName>
    <definedName name="af701.4.3.2_2">'Verification Rpt'!$I$333</definedName>
    <definedName name="af701.4.3.2_3">'Verification Rpt'!$I$334</definedName>
    <definedName name="af701.4.3.2_4">'Verification Rpt'!$I$335</definedName>
    <definedName name="af701.4.4">'Verification Rpt'!$I$336</definedName>
    <definedName name="af701.4.5">'Verification Rpt'!$I$337</definedName>
    <definedName name="af702.2.1">'Verification Rpt'!#REF!</definedName>
    <definedName name="af702.2.2">'Verification Rpt'!#REF!</definedName>
    <definedName name="af703.1.3">'Verification Rpt'!#REF!</definedName>
    <definedName name="af703.1.4">'Verification Rpt'!#REF!</definedName>
    <definedName name="af703.1.5">'Verification Rpt'!#REF!</definedName>
    <definedName name="af703.1.6.1">'Verification Rpt'!#REF!</definedName>
    <definedName name="af703.1.6.2">'Verification Rpt'!#REF!</definedName>
    <definedName name="af703.2.1">'Verification Rpt'!#REF!</definedName>
    <definedName name="af703.2.2">'Verification Rpt'!#REF!</definedName>
    <definedName name="af703.2.3">'Verification Rpt'!#REF!</definedName>
    <definedName name="af703.2.4">'Verification Rpt'!#REF!</definedName>
    <definedName name="af703.2.5">'Verification Rpt'!#REF!</definedName>
    <definedName name="af703.2.6">'Verification Rpt'!#REF!</definedName>
    <definedName name="af703.2.7">'Verification Rpt'!#REF!</definedName>
    <definedName name="af703.2.8">'Verification Rpt'!#REF!</definedName>
    <definedName name="af703.2.9">'Verification Rpt'!#REF!</definedName>
    <definedName name="af703.3.1">'Verification Rpt'!#REF!</definedName>
    <definedName name="af703.3.2">'Verification Rpt'!#REF!</definedName>
    <definedName name="af703.3.4">'Verification Rpt'!#REF!</definedName>
    <definedName name="af703.4.2">'Verification Rpt'!#REF!</definedName>
    <definedName name="af703.4.3">'Verification Rpt'!#REF!</definedName>
    <definedName name="af703.4.4">'Verification Rpt'!#REF!</definedName>
    <definedName name="af703.4.5">'Verification Rpt'!#REF!</definedName>
    <definedName name="af703.5.1">'Verification Rpt'!#REF!</definedName>
    <definedName name="af703.5.2">'Verification Rpt'!#REF!</definedName>
    <definedName name="af703.5.3Dishwasher">'Verification Rpt'!#REF!</definedName>
    <definedName name="af703.5.3Refrigerator">'Verification Rpt'!#REF!</definedName>
    <definedName name="af703.5.3WashingMachine">'Verification Rpt'!#REF!</definedName>
    <definedName name="af703.5.4">'Verification Rpt'!#REF!</definedName>
    <definedName name="af703.6.1">'Verification Rpt'!#REF!</definedName>
    <definedName name="af703.6.2">'Verification Rpt'!#REF!</definedName>
    <definedName name="af703.6.3_1">'Verification Rpt'!#REF!</definedName>
    <definedName name="af703.6.3_2">'Verification Rpt'!#REF!</definedName>
    <definedName name="af703.6.3_3">'Verification Rpt'!#REF!</definedName>
    <definedName name="af703.6.3_4">'Verification Rpt'!#REF!</definedName>
    <definedName name="af703.6.3_5">'Verification Rpt'!#REF!</definedName>
    <definedName name="af703.6.3_6">'Verification Rpt'!#REF!</definedName>
    <definedName name="af703.6.4">'Verification Rpt'!#REF!</definedName>
    <definedName name="af704.2.1">'Verification Rpt'!#REF!</definedName>
    <definedName name="af704.2.2">'Verification Rpt'!#REF!</definedName>
    <definedName name="af704.2.3">'Verification Rpt'!#REF!</definedName>
    <definedName name="af704.3">'Verification Rpt'!#REF!</definedName>
    <definedName name="af704.4.1">'Verification Rpt'!#REF!</definedName>
    <definedName name="af704.4.2">'Verification Rpt'!#REF!</definedName>
    <definedName name="af704.4.3">'Verification Rpt'!#REF!</definedName>
    <definedName name="af704.5.1">'Verification Rpt'!#REF!</definedName>
    <definedName name="af704.5.2.1_1">'Verification Rpt'!#REF!</definedName>
    <definedName name="af704.5.2.1_2">'Verification Rpt'!#REF!</definedName>
    <definedName name="af704.5.2.2">'Verification Rpt'!#REF!</definedName>
    <definedName name="af704.5.3">'Verification Rpt'!#REF!</definedName>
    <definedName name="af705.1">'Verification Rpt'!#REF!</definedName>
    <definedName name="af705.2_2">'Verification Rpt'!#REF!</definedName>
    <definedName name="af705.2._1">'Verification Rpt'!#REF!</definedName>
    <definedName name="af705.3">'Verification Rpt'!#REF!</definedName>
    <definedName name="af705.3ClothesDryer">'Verification Rpt'!#REF!</definedName>
    <definedName name="af705.3ClothesWasher">'Verification Rpt'!#REF!</definedName>
    <definedName name="af705.3Dishwasher">'Verification Rpt'!#REF!</definedName>
    <definedName name="af705.3Freezer">'Verification Rpt'!#REF!</definedName>
    <definedName name="af705.3HotWaterHeating">'Verification Rpt'!#REF!</definedName>
    <definedName name="af705.3HVAC">'Verification Rpt'!#REF!</definedName>
    <definedName name="af705.3Refrigerator">'Verification Rpt'!#REF!</definedName>
    <definedName name="af705.3RoomAirConditioner">'Verification Rpt'!#REF!</definedName>
    <definedName name="af705.4.1_1">'Verification Rpt'!#REF!</definedName>
    <definedName name="af705.4.1_2">'Verification Rpt'!#REF!</definedName>
    <definedName name="af705.4.2">'Verification Rpt'!#REF!</definedName>
    <definedName name="af705.5">'Verification Rpt'!#REF!</definedName>
    <definedName name="af705.6">'Verification Rpt'!#REF!</definedName>
    <definedName name="af801.1.1_1thru4a">'Verification Rpt'!#REF!</definedName>
    <definedName name="af801.1.1_5">'Verification Rpt'!#REF!</definedName>
    <definedName name="af801.1.1_6">'Verification Rpt'!#REF!</definedName>
    <definedName name="af801.2_1">'Verification Rpt'!#REF!</definedName>
    <definedName name="af801.2_2">'Verification Rpt'!#REF!</definedName>
    <definedName name="af801.3_1">'Verification Rpt'!#REF!</definedName>
    <definedName name="af801.3_2">'Verification Rpt'!#REF!</definedName>
    <definedName name="af801.3_3">'Verification Rpt'!#REF!</definedName>
    <definedName name="af801.4.1_1">'Verification Rpt'!#REF!</definedName>
    <definedName name="af801.4.1_2">'Verification Rpt'!#REF!</definedName>
    <definedName name="af801.4.2">'Verification Rpt'!#REF!</definedName>
    <definedName name="af801.5_1">'Verification Rpt'!#REF!</definedName>
    <definedName name="af801.5_2">'Verification Rpt'!#REF!</definedName>
    <definedName name="af801.5_3">'Verification Rpt'!#REF!</definedName>
    <definedName name="af801.5_3a">'Verification Rpt'!#REF!</definedName>
    <definedName name="af801.5_3b">'Verification Rpt'!#REF!</definedName>
    <definedName name="af801.5_3c">'Verification Rpt'!#REF!</definedName>
    <definedName name="af801.6.1">'Verification Rpt'!#REF!</definedName>
    <definedName name="af801.6.2_1">'Verification Rpt'!#REF!</definedName>
    <definedName name="af801.6.2_2">'Verification Rpt'!#REF!</definedName>
    <definedName name="af801.6.3">'Verification Rpt'!#REF!</definedName>
    <definedName name="af801.6.4">'Verification Rpt'!#REF!</definedName>
    <definedName name="af801.6.5_1and2">'Verification Rpt'!#REF!</definedName>
    <definedName name="af801.6.5_3">'Verification Rpt'!#REF!</definedName>
    <definedName name="af801.7.1">'Verification Rpt'!#REF!</definedName>
    <definedName name="af801.7.2">'Verification Rpt'!#REF!</definedName>
    <definedName name="af801.8">'Verification Rpt'!#REF!</definedName>
    <definedName name="af802.1">'Verification Rpt'!#REF!</definedName>
    <definedName name="af802.2ExcessiveShutoff">'Verification Rpt'!#REF!</definedName>
    <definedName name="af802.2LeakDetection">'Verification Rpt'!#REF!</definedName>
    <definedName name="af802.3">'Verification Rpt'!#REF!</definedName>
    <definedName name="af802.4">'Verification Rpt'!#REF!</definedName>
    <definedName name="af802.5">'Verification Rpt'!#REF!</definedName>
    <definedName name="af901.1.1">'Verification Rpt'!$H$472</definedName>
    <definedName name="af901.1.2">'Verification Rpt'!$I$474</definedName>
    <definedName name="af901.1.3_1">'Verification Rpt'!$I$476</definedName>
    <definedName name="af901.1.3_2">'Verification Rpt'!$I$478</definedName>
    <definedName name="af901.1.4">'Verification Rpt'!$I$480</definedName>
    <definedName name="af901.1.5">'Verification Rpt'!$I$481</definedName>
    <definedName name="af901.1.6">'Verification Rpt'!$I$484</definedName>
    <definedName name="af901.10">'Verification Rpt'!$I$548</definedName>
    <definedName name="af901.11">'Verification Rpt'!$H$551</definedName>
    <definedName name="af901.12">'Verification Rpt'!$I$552</definedName>
    <definedName name="af901.13">'Verification Rpt'!$I$554</definedName>
    <definedName name="af901.14_1">'Verification Rpt'!$I$557</definedName>
    <definedName name="af901.14_2">'Verification Rpt'!$I$558</definedName>
    <definedName name="af901.2.1_1Step1">'Verification Rpt'!$I$488</definedName>
    <definedName name="af901.2.1_1Step2">'Verification Rpt'!$I$489</definedName>
    <definedName name="af901.2.1_2Step1">'Verification Rpt'!$I$490</definedName>
    <definedName name="af901.2.1_2Step2">'Verification Rpt'!$I$491</definedName>
    <definedName name="af901.2.1_3Step1">'Verification Rpt'!$I$492</definedName>
    <definedName name="af901.2.1_3Step2">'Verification Rpt'!$I$493</definedName>
    <definedName name="af901.2.1_4Step1">'Verification Rpt'!$I$494</definedName>
    <definedName name="af901.2.1_4Step2">'Verification Rpt'!$I$495</definedName>
    <definedName name="af901.2.1_5Step1">'Verification Rpt'!$I$496</definedName>
    <definedName name="af901.2.1_5Step2">'Verification Rpt'!$I$497</definedName>
    <definedName name="af901.2.2">'Verification Rpt'!$I$498</definedName>
    <definedName name="af901.3_1aStep1">'Verification Rpt'!$I$500</definedName>
    <definedName name="af901.3_1aStep2">'Verification Rpt'!$I$501</definedName>
    <definedName name="af901.3_1bStep1">'Verification Rpt'!$I$502</definedName>
    <definedName name="af901.3_1bStep2">'Verification Rpt'!$I$503</definedName>
    <definedName name="af901.3_1c">'Verification Rpt'!$I$504</definedName>
    <definedName name="af901.3_2">'Verification Rpt'!$I$505</definedName>
    <definedName name="af901.4_2CompositeTrim">'Verification Rpt'!$I$510</definedName>
    <definedName name="af901.4_2Countertops">'Verification Rpt'!$I$509</definedName>
    <definedName name="af901.4_2CustomWoodwork">'Verification Rpt'!$I$511</definedName>
    <definedName name="af901.4_2Shelving">'Verification Rpt'!$I$512</definedName>
    <definedName name="af901.4_2thru6">'Verification Rpt'!$I$507</definedName>
    <definedName name="af901.4_3CompositeTrim">'Verification Rpt'!$I$515</definedName>
    <definedName name="af901.4_3Countertops">'Verification Rpt'!$I$514</definedName>
    <definedName name="af901.4_3CustomWoodwork">'Verification Rpt'!$I$516</definedName>
    <definedName name="af901.4_3Shelving">'Verification Rpt'!$I$517</definedName>
    <definedName name="af901.4_4CompositeTrim">'Verification Rpt'!$I$520</definedName>
    <definedName name="af901.4_4Countertops">'Verification Rpt'!$I$519</definedName>
    <definedName name="af901.4_4CustomWoodwork">'Verification Rpt'!$I$521</definedName>
    <definedName name="af901.4_4Shelving">'Verification Rpt'!$I$522</definedName>
    <definedName name="af901.4_5CompositeTrim">'Verification Rpt'!$I$525</definedName>
    <definedName name="af901.4_5Countertops">'Verification Rpt'!$I$524</definedName>
    <definedName name="af901.4_5CustomWoodwork">'Verification Rpt'!$I$526</definedName>
    <definedName name="af901.4_5Shelving">'Verification Rpt'!$I$527</definedName>
    <definedName name="af901.5">'Verification Rpt'!$I$533</definedName>
    <definedName name="af901.5_1and2">'Verification Rpt'!$I$534</definedName>
    <definedName name="af901.6_1">'Verification Rpt'!$I$537</definedName>
    <definedName name="af901.6_2a">'Verification Rpt'!$I$538</definedName>
    <definedName name="af901.6_2b">'Verification Rpt'!$I$539</definedName>
    <definedName name="af901.7">'Verification Rpt'!$I$540</definedName>
    <definedName name="af901.8">'Verification Rpt'!$I$541</definedName>
    <definedName name="af901.9.1">'Verification Rpt'!$I$543</definedName>
    <definedName name="af901.9.2">'Verification Rpt'!$I$544</definedName>
    <definedName name="af901.9.3">'Verification Rpt'!$I$545</definedName>
    <definedName name="af901.9.4">'Verification Rpt'!$I$546</definedName>
    <definedName name="af902.1.1_1Step1">'Verification Rpt'!$I$564</definedName>
    <definedName name="af902.1.1_1Step2">'Verification Rpt'!$I$565</definedName>
    <definedName name="af902.1.1_2">'Verification Rpt'!$I$566</definedName>
    <definedName name="af902.1.1_3">'Verification Rpt'!$I$567</definedName>
    <definedName name="af902.1.2">'Verification Rpt'!$I$569</definedName>
    <definedName name="af902.1.3">'Verification Rpt'!$I$573</definedName>
    <definedName name="af902.1.4">'Verification Rpt'!$I$574</definedName>
    <definedName name="af902.1.4_1">'Verification Rpt'!$I$575</definedName>
    <definedName name="af902.1.4_2">'Verification Rpt'!$I$576</definedName>
    <definedName name="af902.2.1">'Verification Rpt'!$I$578</definedName>
    <definedName name="af902.2.1_1thru4">'Verification Rpt'!$I$579</definedName>
    <definedName name="af902.2.2">'Verification Rpt'!$I$583</definedName>
    <definedName name="af902.2.3">'Verification Rpt'!$I$584</definedName>
    <definedName name="af902.3_1">'Verification Rpt'!$I$586</definedName>
    <definedName name="af902.3_1a">'Verification Rpt'!$I$587</definedName>
    <definedName name="af902.3_1b">'Verification Rpt'!$I$588</definedName>
    <definedName name="af902.3_2a">'Verification Rpt'!$I$590</definedName>
    <definedName name="af902.4_2">'Verification Rpt'!$I$593</definedName>
    <definedName name="af902.5">'Verification Rpt'!$I$594</definedName>
    <definedName name="af903.1.1">'Verification Rpt'!$I$598</definedName>
    <definedName name="af903.1.2">'Verification Rpt'!$I$599</definedName>
    <definedName name="af903.2">'Verification Rpt'!$I$601</definedName>
    <definedName name="af903.3">'Verification Rpt'!$I$604</definedName>
    <definedName name="af904.1">'Verification Rpt'!$I$607</definedName>
    <definedName name="af904.2">'Verification Rpt'!$I$608</definedName>
    <definedName name="AfterApp">'11.7'!$P$77</definedName>
    <definedName name="AfterCool">'11.7'!$P$74</definedName>
    <definedName name="AfterDishFlow">'11.8'!$M$17</definedName>
    <definedName name="AfterDishGPU">'11.8'!$N$17</definedName>
    <definedName name="AfterDishGPW">'11.8'!$O$17</definedName>
    <definedName name="AfterDishUses">'11.8'!$L$17</definedName>
    <definedName name="AfterFT2">'11.7'!$P$70</definedName>
    <definedName name="AfterHeat">'11.7'!$P$73</definedName>
    <definedName name="AfterLight">'11.7'!$P$76</definedName>
    <definedName name="AfterMisc">'11.7'!$P$78</definedName>
    <definedName name="AfterPerFT2">'11.7'!$S$79</definedName>
    <definedName name="AfterShower1Flow">'11.8'!$M$20</definedName>
    <definedName name="AfterShower1GPU">'11.8'!$N$20</definedName>
    <definedName name="AfterShower1GPW">'11.8'!$O$20</definedName>
    <definedName name="AfterShower1Uses">'11.8'!$L$20</definedName>
    <definedName name="AfterSink11Flow">'11.8'!$M$21</definedName>
    <definedName name="AfterSink11GPU">'11.8'!$N$21</definedName>
    <definedName name="AfterSink11GPW">'11.8'!$O$21</definedName>
    <definedName name="AfterSink11Uses">'11.8'!$L$21</definedName>
    <definedName name="AfterSink12Flow">'11.8'!$M$22</definedName>
    <definedName name="AfterSink12GPU">'11.8'!$N$22</definedName>
    <definedName name="AfterSink12GPW">'11.8'!$O$22</definedName>
    <definedName name="AfterSink12Uses">'11.8'!$L$22</definedName>
    <definedName name="AfterSinkFlow">'11.8'!$M$16</definedName>
    <definedName name="AfterSinkGPU">'11.8'!$N$16</definedName>
    <definedName name="AfterSinkGPW">'11.8'!$O$16</definedName>
    <definedName name="AfterSinkUses">'11.8'!$L$16</definedName>
    <definedName name="AfterTotal">'11.7'!$P$79</definedName>
    <definedName name="AfterWC1GPF">'11.8'!$M$19</definedName>
    <definedName name="AfterWC1GPU">'11.8'!$N$19</definedName>
    <definedName name="AfterWC1GPW">'11.8'!$O$19</definedName>
    <definedName name="AfterWC1Uses">'11.8'!$L$19</definedName>
    <definedName name="AfterWH">'11.7'!$P$75</definedName>
    <definedName name="app703_1_2">'Ch. 7, 8, 9  Appendices'!$A$3</definedName>
    <definedName name="app703.6.4">'Ch. 7, 8, 9  Appendices'!$A$59</definedName>
    <definedName name="app704_3_1_1">'Ch. 7, 8, 9  Appendices'!$A$33</definedName>
    <definedName name="app801.1">'Ch. 7, 8, 9  Appendices'!$A$72</definedName>
    <definedName name="app901.10_3">'Ch. 7, 8, 9  Appendices'!$A$162</definedName>
    <definedName name="app901.9.1">'Ch. 7, 8, 9  Appendices'!$A$103</definedName>
    <definedName name="appendixA">'Appendix A, B, D'!$A$3</definedName>
    <definedName name="appendixB">'Appendix A, B, D'!$A$27</definedName>
    <definedName name="appendixD">'Appendix A, B, D'!$A$107</definedName>
    <definedName name="applCount">Formulas!$AW$83</definedName>
    <definedName name="ar501.1_1">'Verification Rpt'!#REF!</definedName>
    <definedName name="ar501.1_2">'Verification Rpt'!#REF!</definedName>
    <definedName name="ar501.1_3">'Verification Rpt'!#REF!</definedName>
    <definedName name="ar501.1_4">'Verification Rpt'!#REF!</definedName>
    <definedName name="ar501.1_5">'Verification Rpt'!#REF!</definedName>
    <definedName name="ar501.2_1">'Verification Rpt'!$H$15</definedName>
    <definedName name="ar501.2_2">'Verification Rpt'!#REF!</definedName>
    <definedName name="ar501.2_3">'Verification Rpt'!$H$16</definedName>
    <definedName name="ar501.2_4">'Verification Rpt'!$H$17</definedName>
    <definedName name="ar502.1">'Verification Rpt'!$H$19</definedName>
    <definedName name="ar503.1_1">'Verification Rpt'!$H$23</definedName>
    <definedName name="ar503.1_2">'Verification Rpt'!$H$25</definedName>
    <definedName name="ar503.1_3">'Verification Rpt'!$H$26</definedName>
    <definedName name="ar503.1_4">'Verification Rpt'!$H$27</definedName>
    <definedName name="ar503.1_5">'Verification Rpt'!$H$28</definedName>
    <definedName name="ar503.1_6">'Verification Rpt'!$H$29</definedName>
    <definedName name="ar503.1_7">'Verification Rpt'!$H$30</definedName>
    <definedName name="ar503.2_1">'Verification Rpt'!$H$32</definedName>
    <definedName name="ar503.2_2">'Verification Rpt'!$H$33</definedName>
    <definedName name="ar503.2_3">'Verification Rpt'!$H$35</definedName>
    <definedName name="ar503.2_3a">'Verification Rpt'!$H$35</definedName>
    <definedName name="ar503.2_4">'Verification Rpt'!$H$38</definedName>
    <definedName name="ar503.2_5">'Verification Rpt'!$H$39</definedName>
    <definedName name="ar503.3_1">'Verification Rpt'!$H$41</definedName>
    <definedName name="ar503.3_2">'Verification Rpt'!$H$42</definedName>
    <definedName name="ar503.3_3">'Verification Rpt'!$H$43</definedName>
    <definedName name="ar503.4">'Verification Rpt'!$H$45</definedName>
    <definedName name="ar503.4_1">'Verification Rpt'!$H$45</definedName>
    <definedName name="ar503.4_2">'Verification Rpt'!$H$46</definedName>
    <definedName name="ar503.4_3">'Verification Rpt'!$H$48</definedName>
    <definedName name="ar503.4_4">'Verification Rpt'!$H$51</definedName>
    <definedName name="ar503.4_5">'Verification Rpt'!$H$52</definedName>
    <definedName name="ar503.4_6">'Verification Rpt'!#REF!</definedName>
    <definedName name="ar503.5">'Verification Rpt'!$H$53</definedName>
    <definedName name="ar503.5_1">'Verification Rpt'!$H$54</definedName>
    <definedName name="ar503.5_2">'Verification Rpt'!$H$56</definedName>
    <definedName name="ar503.5_3">'Verification Rpt'!$H$59</definedName>
    <definedName name="ar503.5_4">'Verification Rpt'!$H$64</definedName>
    <definedName name="ar503.5_5">'Verification Rpt'!$H$66</definedName>
    <definedName name="ar503.5_6">'Verification Rpt'!$H$68</definedName>
    <definedName name="ar503.5_7">'Verification Rpt'!$H$69</definedName>
    <definedName name="ar503.5_8">'Verification Rpt'!$H$70</definedName>
    <definedName name="ar503.6_1">'Verification Rpt'!$H$72</definedName>
    <definedName name="ar503.6_2">'Verification Rpt'!$H$74</definedName>
    <definedName name="ar503.6_3">'Verification Rpt'!$H$76</definedName>
    <definedName name="ar503.6_4">'Verification Rpt'!$H$78</definedName>
    <definedName name="ar503.7_1">'Verification Rpt'!$H$81</definedName>
    <definedName name="ar503.7_2">'Verification Rpt'!$H$82</definedName>
    <definedName name="ar504.1">'Verification Rpt'!$H$84</definedName>
    <definedName name="ar504.2_1">'Verification Rpt'!$H$87</definedName>
    <definedName name="ar504.2_2">'Verification Rpt'!$H$89</definedName>
    <definedName name="ar504.2_3">'Verification Rpt'!$H$91</definedName>
    <definedName name="ar504.3_1">'Verification Rpt'!$H$93</definedName>
    <definedName name="ar504.3_2">'Verification Rpt'!$H$94</definedName>
    <definedName name="ar504.3_3">'Verification Rpt'!$H$96</definedName>
    <definedName name="ar504.3_4">'Verification Rpt'!$H$98</definedName>
    <definedName name="ar504.3_5">'Verification Rpt'!$H$100</definedName>
    <definedName name="ar504.3_6">'Verification Rpt'!$H$102</definedName>
    <definedName name="ar504.3_7">'Verification Rpt'!$H$104</definedName>
    <definedName name="ar504.3_8">'Verification Rpt'!$H$105</definedName>
    <definedName name="ar504.3_9">'Verification Rpt'!$H$106</definedName>
    <definedName name="ar505.1_1">'Verification Rpt'!$H$109</definedName>
    <definedName name="ar505.1_2">'Verification Rpt'!$H$110</definedName>
    <definedName name="ar505.1_3">'Verification Rpt'!$H$112</definedName>
    <definedName name="ar505.2_1">'Verification Rpt'!$H$116</definedName>
    <definedName name="ar505.2_2">'Verification Rpt'!$H$118</definedName>
    <definedName name="ar505.3">'Verification Rpt'!$H$121</definedName>
    <definedName name="ar505.4">'Verification Rpt'!$H$124</definedName>
    <definedName name="ar505.5">'Verification Rpt'!$H$125</definedName>
    <definedName name="ar601.1">'Verification Rpt'!$H$129</definedName>
    <definedName name="ar601.2_1">'Verification Rpt'!$H$135</definedName>
    <definedName name="ar601.2_2">'Verification Rpt'!$H$137</definedName>
    <definedName name="ar601.2_3">'Verification Rpt'!$H$139</definedName>
    <definedName name="ar601.3_1">'Verification Rpt'!$H$142</definedName>
    <definedName name="ar601.3_2">'Verification Rpt'!$H$143</definedName>
    <definedName name="ar601.3_3">'Verification Rpt'!$H$144</definedName>
    <definedName name="ar601.3_4">'Verification Rpt'!$H$145</definedName>
    <definedName name="ar601.3_5">'Verification Rpt'!$H$146</definedName>
    <definedName name="ar601.4">'Verification Rpt'!$H$147</definedName>
    <definedName name="ar601.5_1">'Verification Rpt'!$H$149</definedName>
    <definedName name="ar601.5_2">'Verification Rpt'!$H$150</definedName>
    <definedName name="ar601.5_3">'Verification Rpt'!$H$151</definedName>
    <definedName name="ar601.5_4">'Verification Rpt'!$H$152</definedName>
    <definedName name="ar601.5_5">'Verification Rpt'!$H$153</definedName>
    <definedName name="ar601.6">'Verification Rpt'!$H$155</definedName>
    <definedName name="ar601.7">'Verification Rpt'!$H$158</definedName>
    <definedName name="ar601.8">'Verification Rpt'!$H$162</definedName>
    <definedName name="ar601.9">'Verification Rpt'!$H$163</definedName>
    <definedName name="ar602.1.1.1">'Verification Rpt'!$H$167</definedName>
    <definedName name="ar602.1.1.2">'Verification Rpt'!$H$168</definedName>
    <definedName name="ar602.1.10">'Verification Rpt'!$H$212</definedName>
    <definedName name="ar602.1.11">'Verification Rpt'!$H$215</definedName>
    <definedName name="ar602.1.12">'Verification Rpt'!$H$216</definedName>
    <definedName name="ar602.1.13">'Verification Rpt'!$H$217</definedName>
    <definedName name="ar602.1.14_1">'Verification Rpt'!$H$220</definedName>
    <definedName name="ar602.1.14_2">'Verification Rpt'!$H$221</definedName>
    <definedName name="ar602.1.14_3">'Verification Rpt'!$H$222</definedName>
    <definedName name="ar602.1.2">'Verification Rpt'!$H$169</definedName>
    <definedName name="ar602.1.3.1">'Verification Rpt'!$H$172</definedName>
    <definedName name="ar602.1.3.2">'Verification Rpt'!$H$173</definedName>
    <definedName name="ar602.1.4.1_1">'Verification Rpt'!$H$176</definedName>
    <definedName name="ar602.1.4.1_2">'Verification Rpt'!$H$177</definedName>
    <definedName name="ar602.1.4.2_1">'Verification Rpt'!$H$180</definedName>
    <definedName name="ar602.1.4.2_2">'Verification Rpt'!$H$181</definedName>
    <definedName name="ar602.1.5">'Verification Rpt'!$H$182</definedName>
    <definedName name="ar602.1.6">'Verification Rpt'!$H$184</definedName>
    <definedName name="ar602.1.7.1_1">'Verification Rpt'!$H$188</definedName>
    <definedName name="ar602.1.7.1_2">'Verification Rpt'!$H$190</definedName>
    <definedName name="ar602.1.7.1_3">'Verification Rpt'!$H$192</definedName>
    <definedName name="ar602.1.7.2">'Verification Rpt'!$H$194</definedName>
    <definedName name="ar602.1.8">'Verification Rpt'!$H$195</definedName>
    <definedName name="ar602.1.9_1">'Verification Rpt'!$H$198</definedName>
    <definedName name="ar602.1.9_2">'Verification Rpt'!$H$199</definedName>
    <definedName name="ar602.1.9_3">'Verification Rpt'!$H$201</definedName>
    <definedName name="ar602.1.9_4">'Verification Rpt'!$H$203</definedName>
    <definedName name="ar602.1.9_5">'Verification Rpt'!$H$205</definedName>
    <definedName name="ar602.1.9_6">'Verification Rpt'!$H$207</definedName>
    <definedName name="ar602.1.9_7">'Verification Rpt'!$H$209</definedName>
    <definedName name="ar602.2">'Verification Rpt'!$H$225</definedName>
    <definedName name="ar602.3">'Verification Rpt'!$H$228</definedName>
    <definedName name="ar602.4.1">'Verification Rpt'!$H$229</definedName>
    <definedName name="ar602.4.2">'Verification Rpt'!$H$230</definedName>
    <definedName name="ar602.4.3">'Verification Rpt'!$H$231</definedName>
    <definedName name="ar603.1">'Verification Rpt'!$H$233</definedName>
    <definedName name="ar603.2">'Verification Rpt'!$H$235</definedName>
    <definedName name="ar603.3">'Verification Rpt'!$H$237</definedName>
    <definedName name="ar604.1.1">'Verification Rpt'!$H$240</definedName>
    <definedName name="ar604.1.2">'Verification Rpt'!$H$244</definedName>
    <definedName name="ar605.1">'Verification Rpt'!$H$248</definedName>
    <definedName name="ar605.2">'Verification Rpt'!$H$249</definedName>
    <definedName name="ar605.3">'Verification Rpt'!$H$250</definedName>
    <definedName name="ar605.4">'Verification Rpt'!$H$252</definedName>
    <definedName name="ar606.1">'Verification Rpt'!$H$257</definedName>
    <definedName name="ar606.2_1">'Verification Rpt'!$H$262</definedName>
    <definedName name="ar606.2_2">'Verification Rpt'!$H$264</definedName>
    <definedName name="ar606.3">'Verification Rpt'!$H$267</definedName>
    <definedName name="ar607.1_1">'Verification Rpt'!$H$271</definedName>
    <definedName name="ar607.1_2">'Verification Rpt'!$H$272</definedName>
    <definedName name="ar607.2">'Verification Rpt'!$H$273</definedName>
    <definedName name="ar608.1">'Verification Rpt'!$H$275</definedName>
    <definedName name="ar609.1">'Verification Rpt'!$H$279</definedName>
    <definedName name="ar610.1">'Verification Rpt'!$H$282</definedName>
    <definedName name="ar610.1.1">'Verification Rpt'!$H$284</definedName>
    <definedName name="ar610.1.2">'Verification Rpt'!$H$286</definedName>
    <definedName name="ar610.1.2.1">'Verification Rpt'!$H$287</definedName>
    <definedName name="ar610.1.2.1With4ImpactMeasures">'Verification Rpt'!$H$289</definedName>
    <definedName name="ar610.1.2.1With5ImpactMeasures">'Verification Rpt'!$H$290</definedName>
    <definedName name="ar610.1.2.2">Formulas!$AF$62</definedName>
    <definedName name="ar610.1.2.2floors">'Verification Rpt'!$H$295</definedName>
    <definedName name="ar610.1.2.2intwalls">'Verification Rpt'!$H$294</definedName>
    <definedName name="ar610.1.2.2roof">'Verification Rpt'!$H$293</definedName>
    <definedName name="ar610.1.2.2walls">'Verification Rpt'!$H$292</definedName>
    <definedName name="ar6101.2.2">'Verification Rpt'!$H$291</definedName>
    <definedName name="ar611.1">'Verification Rpt'!$H$297</definedName>
    <definedName name="ar611.2">'Verification Rpt'!$H$301</definedName>
    <definedName name="ar611.2_1">'Verification Rpt'!$H$303</definedName>
    <definedName name="ar611.2_2">'Verification Rpt'!$H$304</definedName>
    <definedName name="ar611.2_3">'Verification Rpt'!$H$305</definedName>
    <definedName name="ar611.2_4">'Verification Rpt'!$H$306</definedName>
    <definedName name="ar611.2_5">'Verification Rpt'!$H$307</definedName>
    <definedName name="ar611.2_6">'Verification Rpt'!$H$308</definedName>
    <definedName name="ar611.2_7">'Verification Rpt'!$H$309</definedName>
    <definedName name="ar611.3">'Verification Rpt'!$H$310</definedName>
    <definedName name="ar611.3_1">'Verification Rpt'!$H$311</definedName>
    <definedName name="ar611.3_2">'Verification Rpt'!$H$312</definedName>
    <definedName name="ar611.3_3">'Verification Rpt'!$H$313</definedName>
    <definedName name="ar611.3_4">'Verification Rpt'!$H$314</definedName>
    <definedName name="ar701.1">'Verification Rpt'!#REF!</definedName>
    <definedName name="ar701.1.3">'Verification Rpt'!#REF!</definedName>
    <definedName name="ar701.3">'Verification Rpt'!#REF!</definedName>
    <definedName name="ar701.4.1.1">'Verification Rpt'!$H$320</definedName>
    <definedName name="ar701.4.1.2">'Verification Rpt'!$H$321</definedName>
    <definedName name="ar701.4.2.1">'Verification Rpt'!$H$323</definedName>
    <definedName name="ar701.4.2.2">'Verification Rpt'!$H$324</definedName>
    <definedName name="ar701.4.2.3">'Verification Rpt'!$H$325</definedName>
    <definedName name="ar701.4.3.1">'Verification Rpt'!$H$327</definedName>
    <definedName name="ar701.4.3.2">'Verification Rpt'!$H$329</definedName>
    <definedName name="ar701.4.3.2_1and2">'Verification Rpt'!$H$330</definedName>
    <definedName name="ar701.4.3.2_3">'Verification Rpt'!$H$334</definedName>
    <definedName name="ar701.4.3.2_4">'Verification Rpt'!$H$335</definedName>
    <definedName name="ar701.4.3.2Grade3">'Verification Rpt'!$H$328</definedName>
    <definedName name="ar701.4.4">'Verification Rpt'!$H$336</definedName>
    <definedName name="ar701.4.5">'Verification Rpt'!$H$337</definedName>
    <definedName name="ar702.2.1">'Verification Rpt'!#REF!</definedName>
    <definedName name="ar702.2.2">'Verification Rpt'!#REF!</definedName>
    <definedName name="ar703.1.1">'Verification Rpt'!#REF!</definedName>
    <definedName name="ar703.1.2">'Verification Rpt'!#REF!</definedName>
    <definedName name="ar703.1.3">'Verification Rpt'!#REF!</definedName>
    <definedName name="ar703.1.4">'Verification Rpt'!#REF!</definedName>
    <definedName name="ar703.1.5">'Verification Rpt'!#REF!</definedName>
    <definedName name="ar703.1.6.1">'Verification Rpt'!#REF!</definedName>
    <definedName name="ar703.1.6.2">'Verification Rpt'!#REF!</definedName>
    <definedName name="ar703.2.1">'Verification Rpt'!#REF!</definedName>
    <definedName name="ar703.3.1">'Verification Rpt'!#REF!</definedName>
    <definedName name="ar703.3.2">'Verification Rpt'!#REF!</definedName>
    <definedName name="ar703.3.3">'Verification Rpt'!#REF!</definedName>
    <definedName name="ar703.3.4">'Verification Rpt'!#REF!</definedName>
    <definedName name="ar703.4.1">'Verification Rpt'!#REF!</definedName>
    <definedName name="ar703.4.2">'Verification Rpt'!#REF!</definedName>
    <definedName name="ar703.4.3">'Verification Rpt'!#REF!</definedName>
    <definedName name="ar703.4.4">'Verification Rpt'!#REF!</definedName>
    <definedName name="ar703.6.1">'Verification Rpt'!#REF!</definedName>
    <definedName name="ar703.6.3_1">'Verification Rpt'!#REF!</definedName>
    <definedName name="ar703.6.3_2">'Verification Rpt'!#REF!</definedName>
    <definedName name="ar703.6.3_3">'Verification Rpt'!#REF!</definedName>
    <definedName name="ar703.6.3_4">'Verification Rpt'!#REF!</definedName>
    <definedName name="ar703.6.3_5">'Verification Rpt'!#REF!</definedName>
    <definedName name="ar703.6.3_6">'Verification Rpt'!#REF!</definedName>
    <definedName name="ar703.6.4">'Verification Rpt'!#REF!</definedName>
    <definedName name="ar704.2.2">'Verification Rpt'!#REF!</definedName>
    <definedName name="ar704.3">'Verification Rpt'!#REF!</definedName>
    <definedName name="ar704.4.1">'Verification Rpt'!#REF!</definedName>
    <definedName name="ar704.4.2">'Verification Rpt'!#REF!</definedName>
    <definedName name="ar704.4.3">'Verification Rpt'!#REF!</definedName>
    <definedName name="ar704.5.1">'Verification Rpt'!#REF!</definedName>
    <definedName name="ar704.5.3">'Verification Rpt'!#REF!</definedName>
    <definedName name="ar705.2._1">'Verification Rpt'!#REF!</definedName>
    <definedName name="ar705.3ClothesDryer">'Verification Rpt'!#REF!</definedName>
    <definedName name="ar705.3ClothesWasher">'Verification Rpt'!#REF!</definedName>
    <definedName name="ar705.3Dishwasher">'Verification Rpt'!#REF!</definedName>
    <definedName name="ar705.3Freezer">'Verification Rpt'!#REF!</definedName>
    <definedName name="ar705.3HotWaterHeating">'Verification Rpt'!#REF!</definedName>
    <definedName name="ar705.3HVAC">'Verification Rpt'!#REF!</definedName>
    <definedName name="ar705.3Refrigerator">'Verification Rpt'!#REF!</definedName>
    <definedName name="ar705.3RoomAirConditioner">'Verification Rpt'!#REF!</definedName>
    <definedName name="ar705.4.2">'Verification Rpt'!#REF!</definedName>
    <definedName name="ar801.1.1_1thru4a">'Verification Rpt'!#REF!</definedName>
    <definedName name="ar801.1.1_5">'Verification Rpt'!#REF!</definedName>
    <definedName name="ar801.1.1_6">'Verification Rpt'!#REF!</definedName>
    <definedName name="ar901.1.1">'Verification Rpt'!$H$472</definedName>
    <definedName name="ar901.1.2">'Verification Rpt'!$H$474</definedName>
    <definedName name="ar901.1.3_1">'Verification Rpt'!$H$476</definedName>
    <definedName name="ar901.1.3_2">'Verification Rpt'!$H$478</definedName>
    <definedName name="ar901.1.4">'Verification Rpt'!$H$480</definedName>
    <definedName name="ar901.1.5">'Verification Rpt'!$H$481</definedName>
    <definedName name="ar901.1.6">'Verification Rpt'!$H$484</definedName>
    <definedName name="ar901.11">'Verification Rpt'!$H$551</definedName>
    <definedName name="ar901.15">'Verification Rpt'!$H$559</definedName>
    <definedName name="ar901.2.1_1">'Verification Rpt'!$H$488</definedName>
    <definedName name="ar901.2.1_2">'Verification Rpt'!$H$490</definedName>
    <definedName name="ar901.2.1_3">'Verification Rpt'!$H$492</definedName>
    <definedName name="ar901.2.1_4">'Verification Rpt'!$H$494</definedName>
    <definedName name="ar901.2.1_5">'Verification Rpt'!$H$496</definedName>
    <definedName name="ar901.2.2">'Verification Rpt'!$H$498</definedName>
    <definedName name="ar901.4_1">'Verification Rpt'!$H$506</definedName>
    <definedName name="ar901.4_2thru6">'Verification Rpt'!$H$507</definedName>
    <definedName name="ar901.4_6CompositeTrim">'Verification Rpt'!$I$530</definedName>
    <definedName name="ar901.4_6Countertops">'Verification Rpt'!$I$529</definedName>
    <definedName name="ar901.4_6CustomWoodwork">'Verification Rpt'!$I$531</definedName>
    <definedName name="ar901.4_6Shelving">'Verification Rpt'!$I$532</definedName>
    <definedName name="ar901.5">'Verification Rpt'!$H$533</definedName>
    <definedName name="ar902.2.1">'Verification Rpt'!$H$578</definedName>
    <definedName name="ar902.3_1">'Verification Rpt'!$H$586</definedName>
    <definedName name="ar902.3_1a">'Verification Rpt'!$H$587</definedName>
    <definedName name="ar902.3_1b">'Verification Rpt'!$H$588</definedName>
    <definedName name="ar902.3_2a">'Verification Rpt'!$H$590</definedName>
    <definedName name="ar902.4_1">'Verification Rpt'!$H$592</definedName>
    <definedName name="ar902.5">'Verification Rpt'!$H$594</definedName>
    <definedName name="ar902.6">'Verification Rpt'!$H$595</definedName>
    <definedName name="ar903.1.1">'Verification Rpt'!$H$598</definedName>
    <definedName name="ar903.1.2">'Verification Rpt'!$H$599</definedName>
    <definedName name="ar903.2">'Verification Rpt'!$H$601</definedName>
    <definedName name="BeforeApp">'11.7'!$P$65</definedName>
    <definedName name="BeforeCoolCost">'11.7'!$P$62</definedName>
    <definedName name="BeforeDishFlow">'11.8'!$H$17</definedName>
    <definedName name="BeforeDishGPU">'11.8'!$I$17</definedName>
    <definedName name="BeforeDishGPW">'11.8'!$J$17</definedName>
    <definedName name="BeforeDishUses">'11.8'!$G$17</definedName>
    <definedName name="BeforeFT2">'11.7'!$P$58</definedName>
    <definedName name="BeforeHeat">'11.7'!$P$61</definedName>
    <definedName name="BeforeLight">'11.7'!$P$64</definedName>
    <definedName name="BeforeMisc">'11.7'!$P$66</definedName>
    <definedName name="BeforePerFT2">'11.7'!$S$67</definedName>
    <definedName name="BeforeShower1Flow">'11.8'!$H$20</definedName>
    <definedName name="BeforeShower1GPU">'11.8'!$I$20</definedName>
    <definedName name="BeforeShower1GPW">'11.8'!$J$20</definedName>
    <definedName name="BeforeShower1Uses">'11.8'!$G$20</definedName>
    <definedName name="BeforeSink11GPW">'11.8'!$J$21</definedName>
    <definedName name="BeforeSInk11GU">'11.8'!$I$21</definedName>
    <definedName name="BeforeSink11Uses">'11.8'!$G$21</definedName>
    <definedName name="BeforeSInk12GPU">'11.8'!$I$22</definedName>
    <definedName name="BeforeSink12GPW">'11.8'!$J$22</definedName>
    <definedName name="BeforeSink12Uses">'11.8'!$G$22</definedName>
    <definedName name="BeforeSinkFlow">'11.8'!$H$16</definedName>
    <definedName name="BeforeSinkGPU">'11.8'!$I$16</definedName>
    <definedName name="BeforeSinkGPW">'11.8'!$J$16</definedName>
    <definedName name="BeforeSinkuses">'11.8'!$G$16</definedName>
    <definedName name="BeforeSinnk11Flow">'11.8'!$H$21</definedName>
    <definedName name="BeforeSinnk12Flow">'11.8'!$H$22</definedName>
    <definedName name="BeforeTotal">'11.7'!$P$67</definedName>
    <definedName name="BeforeWC1GPF">'11.8'!$H$19</definedName>
    <definedName name="BeforeWC1GPU">'11.8'!$I$19</definedName>
    <definedName name="BeforeWC1GPW">'11.8'!$J$19</definedName>
    <definedName name="BeforeWC1Uses">'11.8'!$G$19</definedName>
    <definedName name="BeforeWH">'11.7'!$P$63</definedName>
    <definedName name="BldgType">'Verification Rpt'!$K$3</definedName>
    <definedName name="bronzeMinimum">Formulas!$B$136</definedName>
    <definedName name="buildercomments">'Final Signature'!$A$24</definedName>
    <definedName name="ch10BronzeMin">'11.10'!$P$3</definedName>
    <definedName name="ch10EmeraldMin">'11.10'!$S$3</definedName>
    <definedName name="ch10GoldMin">'11.10'!$R$3</definedName>
    <definedName name="ch10Level">Formulas!$D$210</definedName>
    <definedName name="ch10SilverMin">'11.10'!$Q$3</definedName>
    <definedName name="ch10TotalScore">'11.10'!$N$3</definedName>
    <definedName name="ch5BronzeMin">'11.5'!$P$3</definedName>
    <definedName name="ch5EmeraldMin">'11.5'!$S$3</definedName>
    <definedName name="ch5GoldMin">'11.5'!$R$3</definedName>
    <definedName name="ch5Level">Formulas!$D$215</definedName>
    <definedName name="ch5SilverMin">'11.5'!$Q$3</definedName>
    <definedName name="ch5Total">'11.5'!$N$3</definedName>
    <definedName name="ch5TotalScore">'11.5'!$N$3</definedName>
    <definedName name="ch6BronzeMin">'11.6'!$Q$3</definedName>
    <definedName name="ch6EmeraldMin">'11.6'!$T$3</definedName>
    <definedName name="ch6GoldMin">'11.6'!$S$3</definedName>
    <definedName name="ch6Level">Formulas!$D$214</definedName>
    <definedName name="ch6Mandatory">Formulas!$A$115:$A$127</definedName>
    <definedName name="ch6MandatoryCount">Formulas!$A$115:$A$118</definedName>
    <definedName name="ch6SilverMin">'11.6'!$R$3</definedName>
    <definedName name="ch6Total">'11.6'!$O$3</definedName>
    <definedName name="ch6TotalScore">'11.6'!$O$3</definedName>
    <definedName name="ch7ACH50">'11.7'!$P$33</definedName>
    <definedName name="ch7blowerdoor">'11.7'!#REF!</definedName>
    <definedName name="ch7BronzeMin">'11.7'!$Q$3</definedName>
    <definedName name="ch7EmeraldMin">'11.7'!$T$3</definedName>
    <definedName name="ch7GoldMin">'11.7'!$S$3</definedName>
    <definedName name="ch7Level">Formulas!$D$213</definedName>
    <definedName name="ch7Mandatory">Formulas!$B$115:$B$129</definedName>
    <definedName name="ch7SilverMin">'11.7'!$R$3</definedName>
    <definedName name="ch7TotalScore">'11.7'!$O$3</definedName>
    <definedName name="ch801.1">'Ch. 7, 8, 9  Appendices'!$I$73</definedName>
    <definedName name="ch8BronzeMin">'11.8'!$P$3</definedName>
    <definedName name="ch8EmeraldMin">'11.8'!$S$3</definedName>
    <definedName name="ch8GoldMin">'11.8'!$R$3</definedName>
    <definedName name="ch8Level">Formulas!$D$212</definedName>
    <definedName name="ch8SilverMin">'11.8'!$Q$3</definedName>
    <definedName name="ch8TotalScore">'11.8'!$N$3</definedName>
    <definedName name="ch9BronzeMin">'11.9'!$P$3</definedName>
    <definedName name="ch9EmeraldMin">'11.9'!$S$3</definedName>
    <definedName name="ch9GoldMin">'11.9'!$R$3</definedName>
    <definedName name="ch9Level">Formulas!$D$211</definedName>
    <definedName name="ch9MandatoryCount">Formulas!$D$115:$D$133</definedName>
    <definedName name="ch9SilverMin">'11.9'!$Q$3</definedName>
    <definedName name="ch9TotalScore">'11.9'!$N$3</definedName>
    <definedName name="choice1001.1_1">'11.10'!$O$12</definedName>
    <definedName name="choice1001.1_10">'11.10'!$O$21</definedName>
    <definedName name="choice1001.1_11">'11.10'!$O$22</definedName>
    <definedName name="choice1001.1_12">'11.10'!$O$23</definedName>
    <definedName name="choice1001.1_13">'11.10'!$O$24</definedName>
    <definedName name="choice1001.1_14">'11.10'!$O$25</definedName>
    <definedName name="choice1001.1_15">'11.10'!$O$26</definedName>
    <definedName name="choice1001.1_16">'11.10'!$O$27</definedName>
    <definedName name="choice1001.1_17">'11.10'!$O$28</definedName>
    <definedName name="choice1001.1_18">'11.10'!$O$29</definedName>
    <definedName name="choice1001.1_19">'11.10'!$O$30</definedName>
    <definedName name="choice1001.1_2">'11.10'!$O$13</definedName>
    <definedName name="choice1001.1_20">'11.10'!$O$31</definedName>
    <definedName name="choice1001.1_21">'11.10'!$O$32</definedName>
    <definedName name="choice1001.1_3">'11.10'!$O$14</definedName>
    <definedName name="choice1001.1_4">'11.10'!$O$15</definedName>
    <definedName name="choice1001.1_5">'11.10'!$O$16</definedName>
    <definedName name="choice1001.1_6">'11.10'!$O$17</definedName>
    <definedName name="choice1001.1_7">'11.10'!$O$18</definedName>
    <definedName name="choice1001.1_8">'11.10'!$O$19</definedName>
    <definedName name="choice1001.1_9">'11.10'!$O$20</definedName>
    <definedName name="choice1003.1_1">'11.10'!$O$41</definedName>
    <definedName name="choice1003.1_2">'11.10'!$O$42</definedName>
    <definedName name="choice1003.1_3">'11.10'!$O$43</definedName>
    <definedName name="choice1003.1_4">'11.10'!$O$44</definedName>
    <definedName name="choice1003.1_5">'11.10'!$O$45</definedName>
    <definedName name="choice1003.1_6">'11.10'!$O$46</definedName>
    <definedName name="choice1003.1_7">'11.10'!$O$47</definedName>
    <definedName name="choice1003.1_8">'11.10'!$O$48</definedName>
    <definedName name="choice1003.2_1">'11.10'!$O$52</definedName>
    <definedName name="choice1003.2_10">'11.10'!$O$61</definedName>
    <definedName name="choice1003.2_2">'11.10'!$O$53</definedName>
    <definedName name="choice1003.2_3">'11.10'!$O$54</definedName>
    <definedName name="choice1003.2_4">'11.10'!$O$55</definedName>
    <definedName name="choice1003.2_5">'11.10'!$O$56</definedName>
    <definedName name="choice1003.2_6">'11.10'!$O$57</definedName>
    <definedName name="choice1003.2_7">'11.10'!$O$58</definedName>
    <definedName name="choice1003.2_8">'11.10'!$O$59</definedName>
    <definedName name="choice1003.2_9">'11.10'!$O$60</definedName>
    <definedName name="choice1003.3_1">'11.10'!$O$65</definedName>
    <definedName name="choice1003.3_2">'11.10'!$O$66</definedName>
    <definedName name="choice1003.3_3">'11.10'!$O$67</definedName>
    <definedName name="choice1003.3_4">'11.10'!$O$68</definedName>
    <definedName name="choice1003.3_5">'11.10'!$O$69</definedName>
    <definedName name="choice1003.3_6">'11.10'!$O$70</definedName>
    <definedName name="choice1003.3_7">'11.10'!$O$71</definedName>
    <definedName name="choice1003.3_8">'11.10'!$O$72</definedName>
    <definedName name="choice1003.3_9">'11.10'!$O$73</definedName>
    <definedName name="choice503.2_3">'11.5'!$O$31</definedName>
    <definedName name="choice503.4_3">'11.5'!$O$45</definedName>
    <definedName name="choice503.5_3">'11.5'!$O$54</definedName>
    <definedName name="choice503.5_type">'11.5'!$O$49</definedName>
    <definedName name="choice505.1_3">'11.5'!$O$102</definedName>
    <definedName name="choice505.3">'11.5'!$O$109</definedName>
    <definedName name="choice601.6">'11.6'!$P$33</definedName>
    <definedName name="choice601.7_1">'11.6'!$P$38</definedName>
    <definedName name="choice601.7_2">'11.6'!$P$39</definedName>
    <definedName name="choice601.7_3">'11.6'!$P$40</definedName>
    <definedName name="choice602.1.10">'11.6'!$P$95</definedName>
    <definedName name="choice602.1.14_3">'11.6'!$P$113</definedName>
    <definedName name="choice602.1.2">'11.6'!$P$52</definedName>
    <definedName name="choice602.1.6">'11.6'!$P$71</definedName>
    <definedName name="choice602.1.7.1_2">'11.6'!$P$78</definedName>
    <definedName name="choice602.1.9_5">'11.6'!$P$89</definedName>
    <definedName name="choice602.2">'11.6'!$P$115</definedName>
    <definedName name="choice603.1">'11.6'!$P$124</definedName>
    <definedName name="choice603.2">'11.6'!$P$132</definedName>
    <definedName name="choice604.1.1">'11.6'!$P$137</definedName>
    <definedName name="choice604.1.2">'11.6'!$P$139</definedName>
    <definedName name="choice605.4">'11.6'!$P$146</definedName>
    <definedName name="choice606.3">'11.6'!$P$159</definedName>
    <definedName name="choice608.1">'11.6'!$P$167</definedName>
    <definedName name="choice609.1">'11.6'!$P$170</definedName>
    <definedName name="choice610.1.2_2">'11.6'!$P$182</definedName>
    <definedName name="choice611.1">'11.6'!$P$197</definedName>
    <definedName name="choice701.1">'11.7'!#REF!</definedName>
    <definedName name="choice701.4.3.2">'11.7'!$P$32</definedName>
    <definedName name="choice702.2.2">'11.7'!#REF!</definedName>
    <definedName name="choice703.1.1">'11.7'!#REF!</definedName>
    <definedName name="choice703.1.2">'11.7'!#REF!</definedName>
    <definedName name="choice703.1.3">'11.7'!#REF!</definedName>
    <definedName name="choice703.1.5">'11.7'!#REF!</definedName>
    <definedName name="choice703.1.6.2">'11.7'!#REF!</definedName>
    <definedName name="choice703.2.2step1">'11.7'!#REF!</definedName>
    <definedName name="choice703.2.2step2">'11.7'!#REF!</definedName>
    <definedName name="choice703.2.3">'11.7'!#REF!</definedName>
    <definedName name="choice703.2.4">'11.7'!#REF!</definedName>
    <definedName name="choice703.2.6">'11.7'!#REF!</definedName>
    <definedName name="choice703.3.4">'11.7'!#REF!</definedName>
    <definedName name="choice703.4.1step1">'11.7'!#REF!</definedName>
    <definedName name="choice703.4.1step2">'11.7'!#REF!</definedName>
    <definedName name="choice703.4.5">'11.7'!#REF!</definedName>
    <definedName name="choice703.5.1">'11.7'!#REF!</definedName>
    <definedName name="choice704.2.1">'11.7'!#REF!</definedName>
    <definedName name="choice705.2_2">'11.7'!#REF!</definedName>
    <definedName name="choice705.3_1">'11.7'!#REF!</definedName>
    <definedName name="choice705.3_2">'11.7'!#REF!</definedName>
    <definedName name="choice705.3_3">'11.7'!#REF!</definedName>
    <definedName name="choice705.3_4">'11.7'!#REF!</definedName>
    <definedName name="choice705.3_5">'11.7'!#REF!</definedName>
    <definedName name="choice705.3_6">'11.7'!#REF!</definedName>
    <definedName name="choice705.3_7">'11.7'!#REF!</definedName>
    <definedName name="choice705.3_8">'11.7'!#REF!</definedName>
    <definedName name="choice801.1.1_1thru4a">'11.8'!#REF!</definedName>
    <definedName name="choice801.2_2">'11.8'!#REF!</definedName>
    <definedName name="choice801.3_1">'11.8'!#REF!</definedName>
    <definedName name="choice801.3_2">'11.8'!#REF!</definedName>
    <definedName name="choice801.3_3">'11.8'!#REF!</definedName>
    <definedName name="choice801.4.1_1">'11.8'!#REF!</definedName>
    <definedName name="choice801.4.2">'11.8'!#REF!</definedName>
    <definedName name="choice801.5_2">'11.8'!#REF!</definedName>
    <definedName name="choice801.5_3a">'11.8'!#REF!</definedName>
    <definedName name="choice801.7.1">'11.8'!#REF!</definedName>
    <definedName name="choice801.7.2">'11.8'!#REF!</definedName>
    <definedName name="choice802.1">'11.8'!#REF!</definedName>
    <definedName name="choice802.2">'11.8'!#REF!</definedName>
    <definedName name="choice901.1.1">'11.9'!$O$10</definedName>
    <definedName name="choice901.1.3_1">'11.9'!$O$14</definedName>
    <definedName name="choice901.1.3_2">'11.9'!$O$16</definedName>
    <definedName name="choice901.1.6">'11.9'!$O$20</definedName>
    <definedName name="choice901.10">'11.9'!$O$98</definedName>
    <definedName name="choice901.13">'11.9'!$O$105</definedName>
    <definedName name="choice901.2.1_1">'11.9'!$O$24</definedName>
    <definedName name="choice901.2.1_2">'11.9'!$O$26</definedName>
    <definedName name="choice901.2.1_3">'11.9'!$O$28</definedName>
    <definedName name="choice901.2.1_4">'11.9'!$O$30</definedName>
    <definedName name="choice901.2.1_5">'11.9'!$O$32</definedName>
    <definedName name="choice901.3_1_a">'11.9'!$O$38</definedName>
    <definedName name="choice901.3_1_b">'11.9'!$O$40</definedName>
    <definedName name="choice901.5">'11.9'!$O$69</definedName>
    <definedName name="choice902.1.1_1">'11.9'!$O$117</definedName>
    <definedName name="choice902.1.2">'11.9'!$O$121</definedName>
    <definedName name="choice902.1.4_1">'11.9'!$O$125</definedName>
    <definedName name="choice902.1.4_2">'11.9'!$O$126</definedName>
    <definedName name="choice902.2.1">'11.9'!$O$130</definedName>
    <definedName name="choice902.4">'11.9'!$O$147</definedName>
    <definedName name="choice903.1">'11.9'!$O$154</definedName>
    <definedName name="choice903.2">'11.9'!$O$157</definedName>
    <definedName name="choice903.3">'11.9'!$O$160</definedName>
    <definedName name="claim1001.1">'11.10'!$O$9</definedName>
    <definedName name="claim1001.1_man">'11.10'!$O$12:$O$33</definedName>
    <definedName name="claim1002.1">'11.10'!$O$35</definedName>
    <definedName name="claim1003.1">'11.10'!$O$38</definedName>
    <definedName name="claim1003.1_man">'11.10'!$O$41:$O$48</definedName>
    <definedName name="claim1003.2">'11.10'!$O$49</definedName>
    <definedName name="claim1003.2_man">'11.10'!$O$52:$O$61</definedName>
    <definedName name="claim1003.3">'11.10'!$O$62</definedName>
    <definedName name="claim1003.3_man">'11.10'!$O$65:$O$73</definedName>
    <definedName name="claim501.1_1">'11.5'!#REF!</definedName>
    <definedName name="claim501.1_2">'11.5'!#REF!</definedName>
    <definedName name="claim501.1_3">'11.5'!#REF!</definedName>
    <definedName name="claim501.1_4">'11.5'!#REF!</definedName>
    <definedName name="claim501.1_5">'11.5'!#REF!</definedName>
    <definedName name="claim501.2_1">'11.5'!$O$11</definedName>
    <definedName name="claim501.2_2">'11.5'!$O$12</definedName>
    <definedName name="claim501.2_3">'11.5'!$O$14</definedName>
    <definedName name="claim502.1">'11.5'!$O$16</definedName>
    <definedName name="claim503.1_1">'11.5'!$O$21</definedName>
    <definedName name="claim503.1_2">'11.5'!$O$22</definedName>
    <definedName name="claim503.1_3">'11.5'!$O$23</definedName>
    <definedName name="claim503.1_4">'11.5'!$O$24</definedName>
    <definedName name="claim503.1_5">'11.5'!$O$25</definedName>
    <definedName name="claim503.1_6">'11.5'!$O$26</definedName>
    <definedName name="claim503.1_7">'11.5'!$O$27</definedName>
    <definedName name="claim503.2_1">'11.5'!$O$29</definedName>
    <definedName name="claim503.2_2">'11.5'!$O$30</definedName>
    <definedName name="claim503.2_3">'11.5'!$O$32:$O$32</definedName>
    <definedName name="claim503.2_4">'11.5'!$O$33</definedName>
    <definedName name="claim503.2_5">'11.5'!$O$34</definedName>
    <definedName name="claim503.3_1">'11.5'!$O$37</definedName>
    <definedName name="claim503.3_2">'11.5'!$O$38</definedName>
    <definedName name="claim503.3_3">'11.5'!$O$40</definedName>
    <definedName name="claim503.4_1">'11.5'!$O$43</definedName>
    <definedName name="claim503.4_2">'11.5'!$O$44</definedName>
    <definedName name="claim503.4_3">'11.5'!$O$46:$O$46</definedName>
    <definedName name="claim503.4_4">'11.5'!$O$47</definedName>
    <definedName name="claim503.4_5">'11.5'!$O$48</definedName>
    <definedName name="claim503.4_6">'11.5'!#REF!</definedName>
    <definedName name="claim503.5_1">'11.5'!$O$50</definedName>
    <definedName name="claim503.5_2">'11.5'!$O$52</definedName>
    <definedName name="claim503.5_3">'11.5'!$O$55</definedName>
    <definedName name="claim503.5_4">'11.5'!$O$60</definedName>
    <definedName name="claim503.5_5">'11.5'!$O$62</definedName>
    <definedName name="claim503.5_6">'11.5'!$O$64</definedName>
    <definedName name="claim503.5_7">'11.5'!$O$66</definedName>
    <definedName name="claim503.5_8">'11.5'!$O$67</definedName>
    <definedName name="claim503.6_1">'11.5'!$O$70</definedName>
    <definedName name="claim503.6_2">'11.5'!$O$71</definedName>
    <definedName name="claim503.6_3">'11.5'!$O$72</definedName>
    <definedName name="claim503.6_4">'11.5'!$O$73</definedName>
    <definedName name="claim503.7_1">'11.5'!$O$75</definedName>
    <definedName name="claim503.7_2">'11.5'!$O$76</definedName>
    <definedName name="claim504.1">'11.5'!$O$79</definedName>
    <definedName name="claim504.2_1">'11.5'!$O$82</definedName>
    <definedName name="claim504.2_2">'11.5'!$O$83</definedName>
    <definedName name="claim504.2_3">'11.5'!$O$84</definedName>
    <definedName name="claim504.3_1">'11.5'!$O$86</definedName>
    <definedName name="claim504.3_2">'11.5'!$O$87</definedName>
    <definedName name="claim504.3_3">'11.5'!$O$88</definedName>
    <definedName name="claim504.3_4">'11.5'!$O$89</definedName>
    <definedName name="claim504.3_5">'11.5'!$O$90</definedName>
    <definedName name="claim504.3_6">'11.5'!$O$91</definedName>
    <definedName name="claim504.3_7">'11.5'!$O$92</definedName>
    <definedName name="claim504.3_8">'11.5'!$O$93</definedName>
    <definedName name="claim504.3_9">'11.5'!$O$95</definedName>
    <definedName name="claim505.1_1">'11.5'!$O$99</definedName>
    <definedName name="claim505.1_2">'11.5'!$O$100</definedName>
    <definedName name="claim505.1_3">'11.5'!$O$103:$O$103</definedName>
    <definedName name="claim505.2_1">'11.5'!$O$105</definedName>
    <definedName name="claim505.2_2">'11.5'!$O$107</definedName>
    <definedName name="claim505.3">'11.5'!$O$111</definedName>
    <definedName name="claim505.4">'11.5'!$O$114</definedName>
    <definedName name="claim505.5">'11.5'!$O$115</definedName>
    <definedName name="claim601.1">'11.6'!$P$9</definedName>
    <definedName name="claim601.2_1">'11.6'!$P$16</definedName>
    <definedName name="claim601.2_2">'11.6'!$P$17</definedName>
    <definedName name="claim601.2_3">'11.6'!$P$18</definedName>
    <definedName name="claim601.3_1">'11.6'!$P$20</definedName>
    <definedName name="claim601.3_2">'11.6'!$P$21</definedName>
    <definedName name="claim601.3_3">'11.6'!$P$22</definedName>
    <definedName name="claim601.3_4">'11.6'!$P$23</definedName>
    <definedName name="claim601.3_5">'11.6'!$P$24</definedName>
    <definedName name="claim601.4">'11.6'!$P$25</definedName>
    <definedName name="claim601.5_1">'11.6'!$P$28</definedName>
    <definedName name="claim601.5_2">'11.6'!$P$29</definedName>
    <definedName name="claim601.5_3">'11.6'!$P$30</definedName>
    <definedName name="claim601.5_4">'11.6'!$P$31</definedName>
    <definedName name="claim601.5_5">'11.6'!$P$32</definedName>
    <definedName name="claim601.6">'11.6'!$P$34</definedName>
    <definedName name="claim601.7">'11.6'!$P$41</definedName>
    <definedName name="claim601.8">'11.6'!$P$42</definedName>
    <definedName name="claim601.9">'11.6'!$P$44</definedName>
    <definedName name="claim602.1.1.1">'11.6'!$P$50</definedName>
    <definedName name="claim602.1.1.2">'11.6'!$P$51</definedName>
    <definedName name="claim602.1.10">'11.6'!$P$97</definedName>
    <definedName name="claim602.1.11">'11.6'!$P$99</definedName>
    <definedName name="claim602.1.12">'11.6'!$P$100</definedName>
    <definedName name="claim602.1.13">'11.6'!$P$109</definedName>
    <definedName name="claim602.1.14_1">'11.6'!$P$111</definedName>
    <definedName name="claim602.1.14_2">'11.6'!$P$112</definedName>
    <definedName name="claim602.1.14_3">'11.6'!$P$114</definedName>
    <definedName name="claim602.1.2">'11.6'!$P$53</definedName>
    <definedName name="claim602.1.3.1">'11.6'!$P$55</definedName>
    <definedName name="claim602.1.3.2">'11.6'!$P$56</definedName>
    <definedName name="claim602.1.4.1">'11.6'!$P$59</definedName>
    <definedName name="claim602.1.4.1_2">'11.6'!$P$60</definedName>
    <definedName name="claim602.1.4.2_1">'11.6'!$P$63</definedName>
    <definedName name="claim602.1.4.2_2">'11.6'!$P$64</definedName>
    <definedName name="claim602.1.5">'11.6'!$P$66</definedName>
    <definedName name="claim602.1.6">'11.6'!$P$73</definedName>
    <definedName name="claim602.1.7.1_1">'11.6'!$P$77</definedName>
    <definedName name="claim602.1.7.1_2">'11.6'!$P$79</definedName>
    <definedName name="claim602.1.7.1_3">'11.6'!$P$80</definedName>
    <definedName name="claim602.1.7.2">'11.6'!$P$81</definedName>
    <definedName name="claim602.1.8">'11.6'!$P$82</definedName>
    <definedName name="claim602.1.9_1">'11.6'!$P$85</definedName>
    <definedName name="claim602.1.9_2">'11.6'!$P$86</definedName>
    <definedName name="claim602.1.9_3">'11.6'!$P$87</definedName>
    <definedName name="claim602.1.9_4">'11.6'!$P$88</definedName>
    <definedName name="claim602.1.9_5">'11.6'!$P$91</definedName>
    <definedName name="claim602.1.9_6">'11.6'!$P$92</definedName>
    <definedName name="claim602.1.9_7">'11.6'!$P$93</definedName>
    <definedName name="claim602.2">'11.6'!$P$116</definedName>
    <definedName name="claim602.3">'11.6'!$P$117</definedName>
    <definedName name="claim602.4.1">'11.6'!$P$119</definedName>
    <definedName name="claim602.4.2">'11.6'!$P$120</definedName>
    <definedName name="claim602.4.3">'11.6'!$P$121</definedName>
    <definedName name="claim603.1">'11.6'!$P$125</definedName>
    <definedName name="claim603.2">'11.6'!$P$133</definedName>
    <definedName name="claim603.3">'11.6'!$P$134</definedName>
    <definedName name="claim604.1.1">'11.6'!$P$138</definedName>
    <definedName name="claim604.1.2">'11.6'!$P$140</definedName>
    <definedName name="claim605.1">'11.6'!$P$143</definedName>
    <definedName name="claim605.2">'11.6'!$P$144</definedName>
    <definedName name="claim605.3">'11.6'!$P$145</definedName>
    <definedName name="claim606.1">'11.6'!$P$150</definedName>
    <definedName name="claim606.1_1">'11.6'!$P$151</definedName>
    <definedName name="claim606.1_2">'11.6'!$P$152</definedName>
    <definedName name="claim606.1_3">'11.6'!$P$153</definedName>
    <definedName name="claim606.2_1">'11.6'!$P$157</definedName>
    <definedName name="claim606.2_2">'11.6'!$P$158</definedName>
    <definedName name="claim606.3">'11.6'!$P$160</definedName>
    <definedName name="claim607.1_1">'11.6'!$P$163</definedName>
    <definedName name="claim607.1_2">'11.6'!$P$164</definedName>
    <definedName name="claim607.2">'11.6'!$P$165</definedName>
    <definedName name="claim608.1">'11.6'!$P$168</definedName>
    <definedName name="claim609.1">'11.6'!$P$171</definedName>
    <definedName name="claim610.1">'11.6'!$P$173</definedName>
    <definedName name="claim610.1.1">'11.6'!$P$174</definedName>
    <definedName name="claim610.1.2">'11.6'!$P$175</definedName>
    <definedName name="claim610.1.2_1">'11.6'!$P$176</definedName>
    <definedName name="claim611.1">'11.6'!$P$198</definedName>
    <definedName name="claim611.2">'11.6'!$P$199</definedName>
    <definedName name="claim611.2_1">'11.6'!$P$200</definedName>
    <definedName name="claim611.2_2">'11.6'!$P$201</definedName>
    <definedName name="claim611.2_3">'11.6'!$P$202</definedName>
    <definedName name="claim611.2_4">'11.6'!$P$203</definedName>
    <definedName name="claim611.2_5">'11.6'!$P$204</definedName>
    <definedName name="claim611.2_6">'11.6'!$P$205</definedName>
    <definedName name="claim611.2_7">'11.6'!$P$206</definedName>
    <definedName name="claim611.3_1">'11.6'!$P$208</definedName>
    <definedName name="claim611.3_2">'11.6'!$P$209</definedName>
    <definedName name="claim611.3_3">'11.6'!$P$210</definedName>
    <definedName name="claim611.3_4">'11.6'!$P$211</definedName>
    <definedName name="claim701.1">'11.7'!#REF!</definedName>
    <definedName name="claim701.3">'11.7'!#REF!</definedName>
    <definedName name="claim701.4.1.1">'11.7'!$P$11</definedName>
    <definedName name="claim701.4.1.2">'11.7'!$P$12</definedName>
    <definedName name="claim701.4.2.1">'11.7'!$P$14</definedName>
    <definedName name="claim701.4.2.2">'11.7'!$P$15</definedName>
    <definedName name="claim701.4.2.3">'11.7'!$P$16</definedName>
    <definedName name="claim701.4.3.1">'11.7'!$P$18</definedName>
    <definedName name="claim701.4.3.2">'11.7'!$P$31</definedName>
    <definedName name="claim701.4.3.3">'11.7'!$P$52</definedName>
    <definedName name="claim701.4.3.4">'11.7'!$P$53</definedName>
    <definedName name="claim701.4.4">'11.7'!$P$54</definedName>
    <definedName name="claim701.4.5">'11.7'!$P$55</definedName>
    <definedName name="claim702.2.1">'11.7'!#REF!</definedName>
    <definedName name="claim702.2.2">'11.7'!#REF!</definedName>
    <definedName name="claim703.1.1">'11.7'!#REF!</definedName>
    <definedName name="claim703.1.2">'11.7'!#REF!</definedName>
    <definedName name="claim703.1.3">'11.7'!#REF!</definedName>
    <definedName name="claim703.1.4">'11.7'!#REF!</definedName>
    <definedName name="claim703.1.5">'11.7'!#REF!</definedName>
    <definedName name="claim703.1.6.1">'11.7'!#REF!</definedName>
    <definedName name="claim703.1.6.2">'11.7'!#REF!</definedName>
    <definedName name="claim703.2.1">'11.7'!#REF!</definedName>
    <definedName name="claim703.2.2">'11.7'!#REF!</definedName>
    <definedName name="claim703.2.3">'11.7'!#REF!</definedName>
    <definedName name="claim703.2.4">'11.7'!#REF!</definedName>
    <definedName name="claim703.2.5">'11.7'!#REF!</definedName>
    <definedName name="claim703.2.6">'11.7'!#REF!</definedName>
    <definedName name="claim703.2.7">'11.7'!#REF!</definedName>
    <definedName name="claim703.2.8">'11.7'!#REF!</definedName>
    <definedName name="claim703.2.9">'11.7'!#REF!</definedName>
    <definedName name="claim703.3.1">'11.7'!#REF!</definedName>
    <definedName name="claim703.3.2">'11.7'!#REF!</definedName>
    <definedName name="claim703.3.3">'11.7'!#REF!</definedName>
    <definedName name="claim703.3.4">'11.7'!#REF!</definedName>
    <definedName name="claim703.4.1">'11.7'!#REF!</definedName>
    <definedName name="claim703.4.2">'11.7'!#REF!</definedName>
    <definedName name="claim703.4.3">'11.7'!#REF!</definedName>
    <definedName name="claim703.4.4">'11.7'!#REF!</definedName>
    <definedName name="claim703.4.5">'11.7'!#REF!</definedName>
    <definedName name="claim703.5.1">'11.7'!#REF!</definedName>
    <definedName name="claim703.5.1_2">'11.7'!#REF!</definedName>
    <definedName name="claim703.5.2">'11.7'!#REF!</definedName>
    <definedName name="claim703.5.3_1">'11.7'!#REF!</definedName>
    <definedName name="claim703.5.3_2">'11.7'!#REF!</definedName>
    <definedName name="claim703.5.3_3">'11.7'!#REF!</definedName>
    <definedName name="claim703.5.4">'11.7'!#REF!</definedName>
    <definedName name="claim703.6.1">'11.7'!#REF!</definedName>
    <definedName name="claim703.6.2">'11.7'!#REF!</definedName>
    <definedName name="claim703.6.3_1">'11.7'!#REF!</definedName>
    <definedName name="claim703.6.3_2">'11.7'!#REF!</definedName>
    <definedName name="claim703.6.3_3">'11.7'!#REF!</definedName>
    <definedName name="claim703.6.3_4">'11.7'!#REF!</definedName>
    <definedName name="claim703.6.3_5">'11.7'!#REF!</definedName>
    <definedName name="claim703.6.3_6">'11.7'!#REF!</definedName>
    <definedName name="claim703.6.4">'11.7'!#REF!</definedName>
    <definedName name="claim704.2.1">'11.7'!#REF!</definedName>
    <definedName name="claim704.2.2">'11.7'!#REF!</definedName>
    <definedName name="claim704.2.3">'11.7'!#REF!</definedName>
    <definedName name="claim704.3">'11.7'!#REF!</definedName>
    <definedName name="claim704.4.1">'11.7'!#REF!</definedName>
    <definedName name="claim704.4.2">'11.7'!#REF!</definedName>
    <definedName name="claim704.4.3">'11.7'!#REF!</definedName>
    <definedName name="claim704.5.1">'11.7'!#REF!</definedName>
    <definedName name="claim704.5.2.1_1">'11.7'!#REF!</definedName>
    <definedName name="claim704.5.2.1_2">'11.7'!#REF!</definedName>
    <definedName name="claim704.5.2.2">'11.7'!#REF!</definedName>
    <definedName name="claim704.5.3">'11.7'!#REF!</definedName>
    <definedName name="claim705.1">'11.7'!#REF!</definedName>
    <definedName name="claim705.1_1">'11.7'!#REF!</definedName>
    <definedName name="claim705.1_2">'11.7'!#REF!</definedName>
    <definedName name="claim705.1_3">'11.7'!#REF!</definedName>
    <definedName name="claim705.2_1">'11.7'!#REF!</definedName>
    <definedName name="claim705.2_2">'11.7'!#REF!</definedName>
    <definedName name="claim705.3">'11.7'!#REF!</definedName>
    <definedName name="claim705.4.1_1">'11.7'!#REF!</definedName>
    <definedName name="claim705.4.1_2">'11.7'!#REF!</definedName>
    <definedName name="claim705.4.2">'11.7'!#REF!</definedName>
    <definedName name="claim705.5">'11.7'!#REF!</definedName>
    <definedName name="claim705.6">'11.7'!#REF!</definedName>
    <definedName name="claim801.1.1_1thru4a">'11.8'!#REF!</definedName>
    <definedName name="claim801.1.1_5">'11.8'!#REF!</definedName>
    <definedName name="claim801.1.1_6">'11.8'!#REF!</definedName>
    <definedName name="claim801.2_1">'11.8'!#REF!</definedName>
    <definedName name="claim801.2_2">'11.8'!#REF!</definedName>
    <definedName name="claim801.3_1">'11.8'!#REF!</definedName>
    <definedName name="claim801.3_2">'11.8'!#REF!</definedName>
    <definedName name="claim801.3_3">'11.8'!#REF!</definedName>
    <definedName name="claim801.4.1_1">'11.8'!#REF!</definedName>
    <definedName name="claim801.4.1_2">'11.8'!#REF!</definedName>
    <definedName name="claim801.4.2">'11.8'!#REF!</definedName>
    <definedName name="claim801.5_1">'11.8'!#REF!</definedName>
    <definedName name="claim801.5_2">'11.8'!#REF!</definedName>
    <definedName name="claim801.5_3">'11.8'!#REF!</definedName>
    <definedName name="claim801.5_3a">'11.8'!#REF!</definedName>
    <definedName name="claim801.5_3b">'11.8'!#REF!</definedName>
    <definedName name="claim801.5_3c">'11.8'!#REF!</definedName>
    <definedName name="claim801.6.1">'11.8'!#REF!</definedName>
    <definedName name="claim801.6.2_1">'11.8'!#REF!</definedName>
    <definedName name="claim801.6.2_2">'11.8'!#REF!</definedName>
    <definedName name="claim801.6.3">'11.8'!#REF!</definedName>
    <definedName name="claim801.6.4">'11.8'!#REF!</definedName>
    <definedName name="claim801.6.5_1">'11.8'!#REF!</definedName>
    <definedName name="claim801.6.5_2">'11.8'!#REF!</definedName>
    <definedName name="claim801.6.5_3">'11.8'!#REF!</definedName>
    <definedName name="claim801.7.1">'11.8'!#REF!</definedName>
    <definedName name="claim801.7.2">'11.8'!#REF!</definedName>
    <definedName name="claim801.8">'11.8'!#REF!</definedName>
    <definedName name="claim802.1">'11.8'!#REF!</definedName>
    <definedName name="claim802.2">'11.8'!#REF!</definedName>
    <definedName name="claim802.3">'11.8'!#REF!</definedName>
    <definedName name="claim802.4">'11.8'!#REF!</definedName>
    <definedName name="claim802.5">'11.8'!#REF!</definedName>
    <definedName name="claim901.1.1">'11.9'!$O$11</definedName>
    <definedName name="claim901.1.2">'11.9'!$O$12</definedName>
    <definedName name="claim901.1.3_1">'11.9'!$O$15</definedName>
    <definedName name="claim901.1.3_2">'11.9'!$O$17</definedName>
    <definedName name="claim901.1.4">'11.9'!$O$18</definedName>
    <definedName name="claim901.1.5">'11.9'!$O$19</definedName>
    <definedName name="claim901.1.6">'11.9'!$O$21</definedName>
    <definedName name="claim901.10">'11.9'!$O$101</definedName>
    <definedName name="claim901.11">'11.9'!$O$102</definedName>
    <definedName name="claim901.12">'11.9'!$O$104</definedName>
    <definedName name="claim901.13">'11.9'!$O$106</definedName>
    <definedName name="claim901.14">'11.9'!$O$108</definedName>
    <definedName name="claim901.14_1">'11.9'!$O$109</definedName>
    <definedName name="claim901.14_2">'11.9'!$O$110</definedName>
    <definedName name="claim901.15">'11.9'!$O$112</definedName>
    <definedName name="claim901.2.1_1">'11.9'!$O$25</definedName>
    <definedName name="claim901.2.1_2">'11.9'!$O$27</definedName>
    <definedName name="claim901.2.1_3">'11.9'!$O$29</definedName>
    <definedName name="claim901.2.1_4">'11.9'!$O$31</definedName>
    <definedName name="claim901.2.1_5">'11.9'!$O$33</definedName>
    <definedName name="claim901.2.2">'11.9'!$O$34</definedName>
    <definedName name="claim901.3_1_a">'11.9'!$O$39</definedName>
    <definedName name="claim901.3_1_b">'11.9'!$O$41</definedName>
    <definedName name="claim901.3_1_c">'11.9'!$O$42</definedName>
    <definedName name="claim901.3_2">'11.9'!$O$45</definedName>
    <definedName name="claim901.4_1">'11.9'!$O$47</definedName>
    <definedName name="claim901.4_2a">'11.9'!$O$49</definedName>
    <definedName name="claim901.4_2b">'11.9'!$O$50</definedName>
    <definedName name="claim901.4_2c">'11.9'!$O$51</definedName>
    <definedName name="claim901.4_2d">'11.9'!$O$52</definedName>
    <definedName name="claim901.4_2thru6">'11.9'!$O$48</definedName>
    <definedName name="claim901.4_3a">'11.9'!$O$53</definedName>
    <definedName name="claim901.4_3b">'11.9'!$O$54</definedName>
    <definedName name="claim901.4_3c">'11.9'!$O$55</definedName>
    <definedName name="claim901.4_3d">'11.9'!$O$56</definedName>
    <definedName name="claim901.4_4a">'11.9'!$O$57</definedName>
    <definedName name="claim901.4_4b">'11.9'!$O$58</definedName>
    <definedName name="claim901.4_4c">'11.9'!$O$59</definedName>
    <definedName name="claim901.4_4d">'11.9'!$O$60</definedName>
    <definedName name="claim901.4_5a">'11.9'!$O$61</definedName>
    <definedName name="claim901.4_5b">'11.9'!$O$62</definedName>
    <definedName name="claim901.4_5c">'11.9'!$O$63</definedName>
    <definedName name="claim901.4_5d">'11.9'!$O$64</definedName>
    <definedName name="claim901.4_6a">'11.9'!$O$65</definedName>
    <definedName name="claim901.4_6b">'11.9'!$O$66</definedName>
    <definedName name="claim901.4_6c">'11.9'!$O$67</definedName>
    <definedName name="claim901.4_6d">'11.9'!$O$68</definedName>
    <definedName name="claim901.5">'11.9'!$O$71</definedName>
    <definedName name="claim901.6_1">'11.9'!$O$74</definedName>
    <definedName name="claim901.6_2_a">'11.9'!$O$77</definedName>
    <definedName name="claim901.6_2_b">'11.9'!$O$78</definedName>
    <definedName name="claim901.7">'11.9'!$O$79</definedName>
    <definedName name="claim901.8">'11.9'!$O$81</definedName>
    <definedName name="claim901.9.1">'11.9'!$O$84</definedName>
    <definedName name="claim901.9.2">'11.9'!$O$87</definedName>
    <definedName name="claim901.9.3">'11.9'!$O$93</definedName>
    <definedName name="claim901.9.4">'11.9'!$O$96</definedName>
    <definedName name="claim902.1.1_1">'11.9'!$O$118</definedName>
    <definedName name="claim902.1.1_2">'11.9'!$O$119</definedName>
    <definedName name="claim902.1.1_3">'11.9'!$O$120</definedName>
    <definedName name="claim902.1.2">'11.9'!$O$122</definedName>
    <definedName name="claim902.1.3">'11.9'!$O$123</definedName>
    <definedName name="claim902.1.4">'11.9'!$O$124</definedName>
    <definedName name="claim902.2.1">'11.9'!$O$128</definedName>
    <definedName name="claim902.2.2">'11.9'!$O$135</definedName>
    <definedName name="claim902.2.3">'11.9'!$O$137</definedName>
    <definedName name="claim902.3">'11.9'!$O$140</definedName>
    <definedName name="claim902.3_1">'11.9'!$O$141</definedName>
    <definedName name="claim902.3_2">'11.9'!$O$144</definedName>
    <definedName name="claim902.4">'11.9'!$O$148</definedName>
    <definedName name="claim902.5">'11.9'!$O$150</definedName>
    <definedName name="claim902.6">'11.9'!$O$151</definedName>
    <definedName name="claim903.1">'11.9'!$O$155</definedName>
    <definedName name="claim903.2">'11.9'!$O$158</definedName>
    <definedName name="claim903.3">'11.9'!$O$162</definedName>
    <definedName name="claim904.1">'11.9'!$O$167</definedName>
    <definedName name="claim904.2">'11.9'!$O$168</definedName>
    <definedName name="copyright">'Start Here!'!$A$4</definedName>
    <definedName name="CZword">Formulas!$Q$9</definedName>
    <definedName name="dd1001.1_1">Formulas!$A$98:$A$99</definedName>
    <definedName name="dd1001.1_2">Formulas!$B$98:$B$99</definedName>
    <definedName name="dd1001.1_3">Formulas!$C$98:$C$99</definedName>
    <definedName name="dd503.2_3">Formulas!$A$19:$A$21</definedName>
    <definedName name="dd503.4_3">Formulas!$B$19:$B$21</definedName>
    <definedName name="dd503.5_3">Formulas!$C$19:$C$22</definedName>
    <definedName name="dd503.5_3_opt1">Formulas!$C$19</definedName>
    <definedName name="dd503.5_3_opt2">Formulas!$C$20</definedName>
    <definedName name="dd503.5_3_opt3">Formulas!$C$21</definedName>
    <definedName name="dd503.5_3_opt4">Formulas!$C$22</definedName>
    <definedName name="dd505.1_3">Formulas!$D$19:$D$21</definedName>
    <definedName name="dd505.3">Formulas!$E$19:$E$21</definedName>
    <definedName name="dd601.1">Formulas!$A$40:$A$43</definedName>
    <definedName name="dd601.6">Formulas!$C$40:$C$42</definedName>
    <definedName name="dd602.1.1.1">Formulas!$D$40:$D$44</definedName>
    <definedName name="dd602.1.10">Formulas!$M$40:$M$42</definedName>
    <definedName name="dd602.1.11">Formulas!$N$40:$N$43</definedName>
    <definedName name="dd602.1.14">Formulas!$O$40:$O$42</definedName>
    <definedName name="dd602.1.15_3">Formulas!$P$40:$P$42</definedName>
    <definedName name="dd602.1.2">Formulas!$R$40:$R$41</definedName>
    <definedName name="dd602.1.3.1">Formulas!$E$40:$E$43</definedName>
    <definedName name="dd602.1.4.1_2">Formulas!$F$40:$F$44</definedName>
    <definedName name="dd602.1.4.2_2">Formulas!$G$40:$G$43</definedName>
    <definedName name="dd602.1.6">Formulas!$H$40:$H$42</definedName>
    <definedName name="dd602.1.7.1_2">Formulas!$I$40:$I$42</definedName>
    <definedName name="dd602.1.8">Formulas!$J$40:$J$44</definedName>
    <definedName name="dd602.1.9_1">Formulas!$K$40:$K$41</definedName>
    <definedName name="dd602.1.9_5">Formulas!$L$40:$L$41</definedName>
    <definedName name="dd602.2">Formulas!$Q$40:$Q$42</definedName>
    <definedName name="dd602.4.1">Formulas!$S$40:$S$41</definedName>
    <definedName name="dd603.1">Formulas!$T$40:$T$51</definedName>
    <definedName name="dd603.2">Formulas!$U$40:$U$48</definedName>
    <definedName name="dd604.1.1">Formulas!$V$40:$V$42</definedName>
    <definedName name="dd604.1.2">Formulas!$W$40:$W$42</definedName>
    <definedName name="dd605.3">Formulas!$X$40:$X$43</definedName>
    <definedName name="dd606.1_3">Formulas!$Y$40:$Y$41</definedName>
    <definedName name="dd606.3">Formulas!$Z$40:$Z$42</definedName>
    <definedName name="dd608.1">Formulas!$AA$40:$AA$42</definedName>
    <definedName name="dd609.1">Formulas!$AB$40:$AB$44</definedName>
    <definedName name="dd610.1.2_2">Formulas!$AF$40:$AF$41</definedName>
    <definedName name="dd611.1">Formulas!$AH$40:$AH$49</definedName>
    <definedName name="dd701.1">Formulas!$A$60:$A$62</definedName>
    <definedName name="dd701.3">Formulas!$B$60:$B$61</definedName>
    <definedName name="dd701.4.1.1">Formulas!$C$60:$C$62</definedName>
    <definedName name="dd701.4.1.2">Formulas!$D$60:$D$64</definedName>
    <definedName name="dd701.4.2.1">Formulas!$E$60:$E$63</definedName>
    <definedName name="dd701.4.2.2">Formulas!$F$60:$F$63</definedName>
    <definedName name="dd701.4.2.3">Formulas!$G$60:$G$63</definedName>
    <definedName name="dd701.4.3.1">Formulas!$H$60:$H$62</definedName>
    <definedName name="dd701.4.3.2">Formulas!$I$60:$I$61</definedName>
    <definedName name="dd701.4.3.3">Formulas!$K$60:$K$62</definedName>
    <definedName name="dd701.4.3.4">Formulas!$L$60:$L$63</definedName>
    <definedName name="dd701.4.4">Formulas!$M$60:$M$62</definedName>
    <definedName name="dd701.4.5">Formulas!$N$60:$N$63</definedName>
    <definedName name="dd702.2.1">Formulas!$O$60:$O$61</definedName>
    <definedName name="dd702.2.2">Formulas!$P$60:$P$63</definedName>
    <definedName name="dd703.1.1">Formulas!$A$71:$A$74</definedName>
    <definedName name="dd703.1.2">Formulas!$R$60:$R$61</definedName>
    <definedName name="dd703.1.3">Formulas!$B$71:$B$72</definedName>
    <definedName name="dd703.1.5">Formulas!$C$71:$C$75</definedName>
    <definedName name="dd703.1.6.1">Formulas!$S$60:$S$61</definedName>
    <definedName name="dd703.1.6.2">Formulas!$D$71:$D$73</definedName>
    <definedName name="dd703.2.2">Formulas!$F$71:$I$71</definedName>
    <definedName name="dd703.2.3">Formulas!$J$71:$J$74</definedName>
    <definedName name="dd703.2.4">Formulas!$K$71:$K$75</definedName>
    <definedName name="dd703.2.6">Formulas!$L$71:$L$75</definedName>
    <definedName name="dd703.3.4">Formulas!$M$71:$M$73</definedName>
    <definedName name="dd703.4.1">Formulas!$O$71:$S$71</definedName>
    <definedName name="dd703.4.5">Formulas!$T$71:$T$75</definedName>
    <definedName name="dd703.5.1">Formulas!$U$71:$U$72</definedName>
    <definedName name="dd704.2.1">Formulas!$T$60:$T$61</definedName>
    <definedName name="dd705.2_2">Formulas!$U$60:$U$61</definedName>
    <definedName name="dd705.3">Formulas!$V$60</definedName>
    <definedName name="dd801.1.1">Formulas!$A$87:$A$91</definedName>
    <definedName name="dd801.1.1_opt1">Formulas!$A$87</definedName>
    <definedName name="dd801.1.1_opt2">Formulas!$A$88</definedName>
    <definedName name="dd801.1.1_opt3">Formulas!$A$89</definedName>
    <definedName name="dd801.1.1_opt4">Formulas!$A$90</definedName>
    <definedName name="dd801.1.1_opt5">Formulas!$A$91</definedName>
    <definedName name="dd801.2_2">Formulas!$B$87:$B$88</definedName>
    <definedName name="dd801.3_1">Formulas!$C$87:$C$90</definedName>
    <definedName name="dd801.3_2">Formulas!$D$87:$D$88</definedName>
    <definedName name="dd801.3_3">Formulas!$E$87:$E$89</definedName>
    <definedName name="dd801.4.1_1">Formulas!$F$87:$F$89</definedName>
    <definedName name="dd801.4.2">Formulas!$G$87:$G$89</definedName>
    <definedName name="dd801.5_1">Formulas!$H$87:$H$88</definedName>
    <definedName name="dd801.5_2">Formulas!$I$87:$I$89</definedName>
    <definedName name="dd801.5_3a">Formulas!$J$87:$J$89</definedName>
    <definedName name="dd801.7.1">Formulas!$K$87:$K$91</definedName>
    <definedName name="dd801.7.2">Formulas!$L$87:$L$90</definedName>
    <definedName name="dd802.1">Formulas!$M$87:$M$91</definedName>
    <definedName name="dd802.2">Formulas!$N$87:$N$88</definedName>
    <definedName name="dd901.1.1">Formulas!$A$103:$A$104</definedName>
    <definedName name="dd901.1.3_1">Formulas!$B$103:$B$104</definedName>
    <definedName name="dd901.1.3_2">Formulas!$C$103:$C$104</definedName>
    <definedName name="dd901.1.4">Formulas!$D$103:$D$105</definedName>
    <definedName name="dd901.1.6">Formulas!$E$103:$E$104</definedName>
    <definedName name="dd901.10">Formulas!$V$103:$V$105</definedName>
    <definedName name="dd901.13">Formulas!$W$103:$W$104</definedName>
    <definedName name="dd901.2.1_1">Formulas!$F$103:$F$105</definedName>
    <definedName name="dd901.2.1_2">Formulas!$G$103:$G$105</definedName>
    <definedName name="dd901.2.1_3">Formulas!$H$103:$H$105</definedName>
    <definedName name="dd901.2.1_4">Formulas!$I$103:$I$105</definedName>
    <definedName name="dd901.2.1_5">Formulas!$J$103:$J$105</definedName>
    <definedName name="dd901.3_1_a">Formulas!$K$103:$K$105</definedName>
    <definedName name="dd901.3_1_b">Formulas!$L$103:$L$105</definedName>
    <definedName name="dd901.4_1">Formulas!$N$103:$N$106</definedName>
    <definedName name="dd901.4_2">Formulas!$O$103:$O$107</definedName>
    <definedName name="dd901.4_3">Formulas!$P$103:$P$107</definedName>
    <definedName name="dd901.4_4">Formulas!$Q$103:$Q$106</definedName>
    <definedName name="dd901.4_5">Formulas!$R$103:$R$105</definedName>
    <definedName name="dd901.4_6">Formulas!$S$103:$S$105</definedName>
    <definedName name="dd901.5">Formulas!$T$103:$T$105</definedName>
    <definedName name="dd901.6_1">Formulas!$U$103:$U$104</definedName>
    <definedName name="dd902.1.1_1">Formulas!$X$103:$X$105</definedName>
    <definedName name="dd902.1.1_2">Formulas!$Y$103:$Y$105</definedName>
    <definedName name="dd902.1.2">Formulas!$Z$103:$Z$106</definedName>
    <definedName name="dd902.1.4_1">Formulas!$AB$103:$AB$108</definedName>
    <definedName name="dd902.1.4_2">Formulas!$AC$103:$AC$106</definedName>
    <definedName name="dd902.2.1">Formulas!$AD$103:$AD$108</definedName>
    <definedName name="dd902.3">Formulas!$AF$103:$AF$106</definedName>
    <definedName name="dd902.3_1">Formulas!$AE$103:$AE$104</definedName>
    <definedName name="dd902.4">Formulas!$AG$103:$AG$104</definedName>
    <definedName name="dd902.6">Formulas!$AH$103:$AH$105</definedName>
    <definedName name="dd903.1">Formulas!$AI$103:$AI$104</definedName>
    <definedName name="dd903.2">Formulas!$AJ$103:$AJ$104</definedName>
    <definedName name="dd903.3">Formulas!$AK$103:$AK$104</definedName>
    <definedName name="ddAttachedGarage">Formulas!$J$5:$J$6</definedName>
    <definedName name="ddAtticType">Formulas!$H$5:$H$8</definedName>
    <definedName name="ddClimateZone">Formulas!$Q$3:$X$3</definedName>
    <definedName name="ddCompostingToilet">Formulas!$O$5:$O$6</definedName>
    <definedName name="ddFoundationTypes">Formulas!$C$5:$C$12</definedName>
    <definedName name="ddHeatingFuel">Formulas!$E$5:$E$10</definedName>
    <definedName name="ddHVACSystems">Formulas!$D$5:$D$10</definedName>
    <definedName name="ddLandscapeTypes">Formulas!$A$33:$A$35</definedName>
    <definedName name="ddMassWalls">Formulas!$M$5:$M$6</definedName>
    <definedName name="ddMetNotMet">Formulas!$D$98:$D$99</definedName>
    <definedName name="ddPassiveSolar">Formulas!$L$5:$L$6</definedName>
    <definedName name="ddRecessedLighting">Formulas!$K$5:$K$6</definedName>
    <definedName name="ddRenewableEnergy">Formulas!$F$5:$F$10</definedName>
    <definedName name="ddSFBurningAppliance">Formulas!$I$5:$I$9</definedName>
    <definedName name="ddSingleorMulti">Formulas!$A$5:$A$6</definedName>
    <definedName name="ddTanklessWH">Formulas!$N$5:$N$6</definedName>
    <definedName name="ddTEInsulation">Formulas!$G$5:$G$13</definedName>
    <definedName name="dr1001.1">'Designer''s Report'!$E$456</definedName>
    <definedName name="dr1001.1_1">'Designer''s Report'!$E$457</definedName>
    <definedName name="dr1001.1_10">'Designer''s Report'!$E$466</definedName>
    <definedName name="dr1001.1_11">'Designer''s Report'!$E$467</definedName>
    <definedName name="dr1001.1_12">'Designer''s Report'!$E$468</definedName>
    <definedName name="dr1001.1_13">'Designer''s Report'!$E$469</definedName>
    <definedName name="dr1001.1_14">'Designer''s Report'!$E$470</definedName>
    <definedName name="dr1001.1_15">'Designer''s Report'!$E$471</definedName>
    <definedName name="dr1001.1_16">'Designer''s Report'!$E$472</definedName>
    <definedName name="dr1001.1_17">'Designer''s Report'!$E$473</definedName>
    <definedName name="dr1001.1_18">'Designer''s Report'!$E$474</definedName>
    <definedName name="dr1001.1_19">'Designer''s Report'!$E$475</definedName>
    <definedName name="dr1001.1_2">'Designer''s Report'!$E$458</definedName>
    <definedName name="dr1001.1_20">'Designer''s Report'!$E$476</definedName>
    <definedName name="dr1001.1_21">'Designer''s Report'!$E$477</definedName>
    <definedName name="dr1001.1_3">'Designer''s Report'!$E$459</definedName>
    <definedName name="dr1001.1_4">'Designer''s Report'!$E$460</definedName>
    <definedName name="dr1001.1_5">'Designer''s Report'!$E$461</definedName>
    <definedName name="dr1001.1_6">'Designer''s Report'!$E$462</definedName>
    <definedName name="dr1001.1_7">'Designer''s Report'!$E$463</definedName>
    <definedName name="dr1001.1_8">'Designer''s Report'!$E$464</definedName>
    <definedName name="dr1001.1_9">'Designer''s Report'!$E$465</definedName>
    <definedName name="dr1002.1">'Designer''s Report'!$E$479</definedName>
    <definedName name="dr1003.1">'Designer''s Report'!$E$482</definedName>
    <definedName name="dr1003.1_1">'Designer''s Report'!$E$483</definedName>
    <definedName name="dr1003.1_2">'Designer''s Report'!$E$484</definedName>
    <definedName name="dr1003.1_3">'Designer''s Report'!$E$485</definedName>
    <definedName name="dr1003.1_4">'Designer''s Report'!$E$486</definedName>
    <definedName name="dr1003.1_5">'Designer''s Report'!$E$487</definedName>
    <definedName name="dr1003.1_6">'Designer''s Report'!$E$488</definedName>
    <definedName name="dr1003.1_7">'Designer''s Report'!$E$489</definedName>
    <definedName name="dr1003.1_8">'Designer''s Report'!$E$490</definedName>
    <definedName name="dr1003.2">'Designer''s Report'!$E$491</definedName>
    <definedName name="dr1003.2_1">'Designer''s Report'!$E$492</definedName>
    <definedName name="dr1003.2_10">'Designer''s Report'!$E$501</definedName>
    <definedName name="dr1003.2_2">'Designer''s Report'!$E$493</definedName>
    <definedName name="dr1003.2_3">'Designer''s Report'!$E$494</definedName>
    <definedName name="dr1003.2_4">'Designer''s Report'!$E$495</definedName>
    <definedName name="dr1003.2_5">'Designer''s Report'!$E$496</definedName>
    <definedName name="dr1003.2_6">'Designer''s Report'!$E$497</definedName>
    <definedName name="dr1003.2_7">'Designer''s Report'!$E$498</definedName>
    <definedName name="dr1003.2_8">'Designer''s Report'!$E$499</definedName>
    <definedName name="dr1003.2_9">'Designer''s Report'!$E$500</definedName>
    <definedName name="dr1003.3">'Designer''s Report'!$E$502</definedName>
    <definedName name="dr1003.3_1">'Designer''s Report'!$E$503</definedName>
    <definedName name="dr1003.3_2">'Designer''s Report'!$E$504</definedName>
    <definedName name="dr1003.3_3">'Designer''s Report'!$E$505</definedName>
    <definedName name="dr1003.3_4">'Designer''s Report'!$E$506</definedName>
    <definedName name="dr1003.3_5">'Designer''s Report'!$E$507</definedName>
    <definedName name="dr1003.3_6">'Designer''s Report'!$E$508</definedName>
    <definedName name="dr1003.3_7">'Designer''s Report'!$E$509</definedName>
    <definedName name="dr1003.3_8">'Designer''s Report'!$E$510</definedName>
    <definedName name="dr1003.3_9">'Designer''s Report'!$E$511</definedName>
    <definedName name="dr501.1_1">'Designer''s Report'!#REF!</definedName>
    <definedName name="dr501.1_2">'Designer''s Report'!#REF!</definedName>
    <definedName name="dr501.1_3">'Designer''s Report'!#REF!</definedName>
    <definedName name="dr501.1_4">'Designer''s Report'!#REF!</definedName>
    <definedName name="dr501.1_5">'Designer''s Report'!#REF!</definedName>
    <definedName name="dr501.2_1">'Designer''s Report'!$E$14</definedName>
    <definedName name="dr501.2_2">'Designer''s Report'!$E$15</definedName>
    <definedName name="dr501.2_3">'Designer''s Report'!$E$16</definedName>
    <definedName name="dr501.2_4">'Designer''s Report'!$E$17</definedName>
    <definedName name="dr502.1">'Designer''s Report'!$E$19</definedName>
    <definedName name="dr503.1_1">'Designer''s Report'!$E$22</definedName>
    <definedName name="dr503.1_2">'Designer''s Report'!$E$23</definedName>
    <definedName name="dr503.1_3">'Designer''s Report'!$E$24</definedName>
    <definedName name="dr503.1_4">'Designer''s Report'!$E$25</definedName>
    <definedName name="dr503.1_5">'Designer''s Report'!$E$26</definedName>
    <definedName name="dr503.1_6">'Designer''s Report'!$E$27</definedName>
    <definedName name="dr503.1_7">'Designer''s Report'!$E$28</definedName>
    <definedName name="dr503.2_1">'Designer''s Report'!$E$30</definedName>
    <definedName name="dr503.2_2">'Designer''s Report'!$E$31</definedName>
    <definedName name="dr503.2_3a">'Designer''s Report'!$E$33</definedName>
    <definedName name="dr503.2_3b">'Designer''s Report'!$E$34</definedName>
    <definedName name="dr503.2_3c">'Designer''s Report'!$E$35</definedName>
    <definedName name="dr503.2_4">'Designer''s Report'!$E$36</definedName>
    <definedName name="dr503.2_5">'Designer''s Report'!$E$37</definedName>
    <definedName name="dr503.3_1">'Designer''s Report'!$E$39</definedName>
    <definedName name="dr503.3_2">'Designer''s Report'!$E$40</definedName>
    <definedName name="dr503.3_3">'Designer''s Report'!$E$41</definedName>
    <definedName name="dr503.4_1">'Designer''s Report'!$E$43</definedName>
    <definedName name="dr503.4_2">'Designer''s Report'!$E$44</definedName>
    <definedName name="dr503.4_3a">'Designer''s Report'!$E$46</definedName>
    <definedName name="dr503.4_3b">'Designer''s Report'!$E$47</definedName>
    <definedName name="dr503.4_3c">'Designer''s Report'!$E$48</definedName>
    <definedName name="dr503.4_4">'Designer''s Report'!$E$49</definedName>
    <definedName name="dr503.4_5">'Designer''s Report'!$E$50</definedName>
    <definedName name="dr503.4_6">'Designer''s Report'!#REF!</definedName>
    <definedName name="dr503.5_1">'Designer''s Report'!$E$52</definedName>
    <definedName name="dr503.5_2">'Designer''s Report'!$E$53</definedName>
    <definedName name="dr503.5_3a">'Designer''s Report'!$E$55</definedName>
    <definedName name="dr503.5_3b">'Designer''s Report'!$E$56</definedName>
    <definedName name="dr503.5_3c">'Designer''s Report'!$E$57</definedName>
    <definedName name="dr503.5_3d">'Designer''s Report'!$E$58</definedName>
    <definedName name="dr503.5_4">'Designer''s Report'!$E$59</definedName>
    <definedName name="dr503.5_5">'Designer''s Report'!$E$60</definedName>
    <definedName name="dr503.5_6">'Designer''s Report'!$E$61</definedName>
    <definedName name="dr503.5_7">'Designer''s Report'!$E$62</definedName>
    <definedName name="dr503.5_8">'Designer''s Report'!$E$63</definedName>
    <definedName name="dr503.5_type">'Designer''s Report'!$D$51</definedName>
    <definedName name="dr503.6_1">'Designer''s Report'!$E$65</definedName>
    <definedName name="dr503.6_2">'Designer''s Report'!$E$66</definedName>
    <definedName name="dr503.6_3">'Designer''s Report'!$E$67</definedName>
    <definedName name="dr503.6_4">'Designer''s Report'!$E$68</definedName>
    <definedName name="dr503.7_1">'Designer''s Report'!$E$70</definedName>
    <definedName name="dr503.7_2">'Designer''s Report'!$E$71</definedName>
    <definedName name="dr504.1">'Designer''s Report'!$E$73</definedName>
    <definedName name="dr504.2_1">'Designer''s Report'!$E$75</definedName>
    <definedName name="dr504.2_2">'Designer''s Report'!$E$76</definedName>
    <definedName name="dr504.2_3">'Designer''s Report'!$E$77</definedName>
    <definedName name="dr504.3_1">'Designer''s Report'!$E$79</definedName>
    <definedName name="dr504.3_2">'Designer''s Report'!$E$80</definedName>
    <definedName name="dr504.3_3">'Designer''s Report'!$E$81</definedName>
    <definedName name="dr504.3_4">'Designer''s Report'!$E$82</definedName>
    <definedName name="dr504.3_5">'Designer''s Report'!$E$83</definedName>
    <definedName name="dr504.3_6">'Designer''s Report'!$E$84</definedName>
    <definedName name="dr504.3_7">'Designer''s Report'!$E$85</definedName>
    <definedName name="dr504.3_8">'Designer''s Report'!$E$86</definedName>
    <definedName name="dr504.3_9">'Designer''s Report'!$E$87</definedName>
    <definedName name="dr505.1_1">'Designer''s Report'!$E$90</definedName>
    <definedName name="dr505.1_2">'Designer''s Report'!$E$91</definedName>
    <definedName name="dr505.1_3a">'Designer''s Report'!$E$93</definedName>
    <definedName name="dr505.1_3b">'Designer''s Report'!$E$94</definedName>
    <definedName name="dr505.1_3c">'Designer''s Report'!$E$95</definedName>
    <definedName name="dr505.2_1">'Designer''s Report'!$E$97</definedName>
    <definedName name="dr505.2_2">'Designer''s Report'!$E$98</definedName>
    <definedName name="dr505.3_1">'Designer''s Report'!$E$100</definedName>
    <definedName name="dr505.3_2">'Designer''s Report'!$E$101</definedName>
    <definedName name="dr505.3_3">'Designer''s Report'!$E$102</definedName>
    <definedName name="dr505.4">'Designer''s Report'!$E$103</definedName>
    <definedName name="dr505.5">'Designer''s Report'!$E$104</definedName>
    <definedName name="dr601.1_1">'Designer''s Report'!$E$109</definedName>
    <definedName name="dr601.1_2">'Designer''s Report'!$E$110</definedName>
    <definedName name="dr601.1_3">'Designer''s Report'!$E$111</definedName>
    <definedName name="dr601.1_4">'Designer''s Report'!$E$112</definedName>
    <definedName name="dr601.2_1">'Designer''s Report'!$E$115</definedName>
    <definedName name="dr601.2_2">'Designer''s Report'!$E$116</definedName>
    <definedName name="dr601.2_3">'Designer''s Report'!$E$117</definedName>
    <definedName name="dr601.3_1">'Designer''s Report'!$E$119</definedName>
    <definedName name="dr601.3_2">'Designer''s Report'!$E$120</definedName>
    <definedName name="dr601.3_3">'Designer''s Report'!$E$121</definedName>
    <definedName name="dr601.3_4">'Designer''s Report'!$E$122</definedName>
    <definedName name="dr601.3_5">'Designer''s Report'!$E$123</definedName>
    <definedName name="dr601.4">'Designer''s Report'!$E$124</definedName>
    <definedName name="dr601.5_1">'Designer''s Report'!$E$126</definedName>
    <definedName name="dr601.5_2">'Designer''s Report'!$E$127</definedName>
    <definedName name="dr601.5_3">'Designer''s Report'!$E$128</definedName>
    <definedName name="dr601.5_4">'Designer''s Report'!$E$129</definedName>
    <definedName name="dr601.5_5">'Designer''s Report'!$E$130</definedName>
    <definedName name="dr601.6_1">'Designer''s Report'!$E$132</definedName>
    <definedName name="dr601.6_2">'Designer''s Report'!$E$133</definedName>
    <definedName name="dr601.6_3">'Designer''s Report'!$E$134</definedName>
    <definedName name="dr601.7">'Designer''s Report'!$E$135</definedName>
    <definedName name="dr601.7_1">'Designer''s Report'!$E$136</definedName>
    <definedName name="dr601.7_2">'Designer''s Report'!$E$137</definedName>
    <definedName name="dr601.7_3">'Designer''s Report'!$E$138</definedName>
    <definedName name="dr601.8">'Designer''s Report'!$E$139</definedName>
    <definedName name="dr601.9">'Designer''s Report'!$E$140</definedName>
    <definedName name="dr602.1.1.1">'Designer''s Report'!$E$143</definedName>
    <definedName name="dr602.1.1.2">'Designer''s Report'!$E$144</definedName>
    <definedName name="dr602.1.10_1">'Designer''s Report'!$E$180</definedName>
    <definedName name="dr602.1.10_2">'Designer''s Report'!$E$181</definedName>
    <definedName name="dr602.1.10_3">'Designer''s Report'!$E$182</definedName>
    <definedName name="dr602.1.11">'Designer''s Report'!$E$183</definedName>
    <definedName name="dr602.1.12">'Designer''s Report'!$E$184</definedName>
    <definedName name="dr602.1.13">'Designer''s Report'!$E$185</definedName>
    <definedName name="dr602.1.14_1">'Designer''s Report'!$E$187</definedName>
    <definedName name="dr602.1.14_2">'Designer''s Report'!$E$188</definedName>
    <definedName name="dr602.1.14_3">'Designer''s Report'!$E$189</definedName>
    <definedName name="dr602.1.14_3_points">'Designer''s Report'!$E$190</definedName>
    <definedName name="dr602.1.2">'Designer''s Report'!$E$145</definedName>
    <definedName name="dr602.1.3.1">'Designer''s Report'!$E$147</definedName>
    <definedName name="dr602.1.3.2">'Designer''s Report'!$E$148</definedName>
    <definedName name="dr602.1.4.1_1">'Designer''s Report'!$E$151</definedName>
    <definedName name="dr602.1.4.1_2">'Designer''s Report'!$E$152</definedName>
    <definedName name="dr602.1.4.2_1">'Designer''s Report'!$E$154</definedName>
    <definedName name="dr602.1.4.2_2">'Designer''s Report'!$E$155</definedName>
    <definedName name="dr602.1.5">'Designer''s Report'!$E$156</definedName>
    <definedName name="dr602.1.6_1">'Designer''s Report'!$E$158</definedName>
    <definedName name="dr602.1.6_2">'Designer''s Report'!$E$159</definedName>
    <definedName name="dr602.1.6_3">'Designer''s Report'!$E$160</definedName>
    <definedName name="dr602.1.7.1_1">'Designer''s Report'!$E$163</definedName>
    <definedName name="dr602.1.7.1_2">'Designer''s Report'!$E$164</definedName>
    <definedName name="dr602.1.7.1_2_points">'Designer''s Report'!$E$165</definedName>
    <definedName name="dr602.1.7.1_3">'Designer''s Report'!$E$166</definedName>
    <definedName name="dr602.1.7.2">'Designer''s Report'!$E$167</definedName>
    <definedName name="dr602.1.8">'Designer''s Report'!$E$168</definedName>
    <definedName name="dr602.1.9_1">'Designer''s Report'!$E$170</definedName>
    <definedName name="dr602.1.9_2">'Designer''s Report'!$E$171</definedName>
    <definedName name="dr602.1.9_3">'Designer''s Report'!$E$172</definedName>
    <definedName name="dr602.1.9_4">'Designer''s Report'!$E$173</definedName>
    <definedName name="dr602.1.9_5a">'Designer''s Report'!$E$175</definedName>
    <definedName name="dr602.1.9_5b">'Designer''s Report'!$E$176</definedName>
    <definedName name="dr602.1.9_6">'Designer''s Report'!$E$177</definedName>
    <definedName name="dr602.1.9_7">'Designer''s Report'!$E$178</definedName>
    <definedName name="dr602.2_1">'Designer''s Report'!$E$192</definedName>
    <definedName name="dr602.2_2">'Designer''s Report'!$E$193</definedName>
    <definedName name="dr602.2_3">'Designer''s Report'!$E$194</definedName>
    <definedName name="dr602.3">'Designer''s Report'!$E$195</definedName>
    <definedName name="dr602.4.1">'Designer''s Report'!$E$196</definedName>
    <definedName name="dr602.4.2">'Designer''s Report'!$E$197</definedName>
    <definedName name="dr602.4.3">'Designer''s Report'!$E$198</definedName>
    <definedName name="dr603.1">'Designer''s Report'!$E$200</definedName>
    <definedName name="dr603.1_points">'Designer''s Report'!$E$201</definedName>
    <definedName name="dr603.2">'Designer''s Report'!$E$202</definedName>
    <definedName name="dr603.2_points">'Designer''s Report'!$E$203</definedName>
    <definedName name="dr603.3">'Designer''s Report'!$E$204</definedName>
    <definedName name="dr604.1.1_1">'Designer''s Report'!$E$207</definedName>
    <definedName name="dr604.1.1_2">'Designer''s Report'!$E$208</definedName>
    <definedName name="dr604.1.1_3">'Designer''s Report'!$E$209</definedName>
    <definedName name="dr604.1.2_1">'Designer''s Report'!$E$211</definedName>
    <definedName name="dr604.1.2_2">'Designer''s Report'!$E$212</definedName>
    <definedName name="dr604.1.2_3">'Designer''s Report'!$E$213</definedName>
    <definedName name="dr605.1">'Designer''s Report'!$E$215</definedName>
    <definedName name="dr605.2">'Designer''s Report'!$E$216</definedName>
    <definedName name="dr605.3_1">'Designer''s Report'!$E$218</definedName>
    <definedName name="dr605.3_2">'Designer''s Report'!$E$219</definedName>
    <definedName name="dr605.3_3">'Designer''s Report'!$E$220</definedName>
    <definedName name="dr605.3_4">'Designer''s Report'!$E$221</definedName>
    <definedName name="dr606.1">'Designer''s Report'!$E$223</definedName>
    <definedName name="dr606.1_1">'Designer''s Report'!$E$224</definedName>
    <definedName name="dr606.1_2">'Designer''s Report'!$E$225</definedName>
    <definedName name="dr606.1_3">'Designer''s Report'!$E$226</definedName>
    <definedName name="dr606.2_1">'Designer''s Report'!$E$228</definedName>
    <definedName name="dr606.2_2">'Designer''s Report'!$E$229</definedName>
    <definedName name="dr606.3_1">'Designer''s Report'!$E$231</definedName>
    <definedName name="dr606.3_2">'Designer''s Report'!$E$232</definedName>
    <definedName name="dr606.3_3">'Designer''s Report'!$E$233</definedName>
    <definedName name="dr607.1_1">'Designer''s Report'!$E$235</definedName>
    <definedName name="dr607.1_2">'Designer''s Report'!$E$236</definedName>
    <definedName name="dr607.2">'Designer''s Report'!$E$237</definedName>
    <definedName name="dr608.1">'Designer''s Report'!$F$240</definedName>
    <definedName name="dr608.1_1">'Designer''s Report'!$E$240</definedName>
    <definedName name="dr608.1_2">'Designer''s Report'!$E$241</definedName>
    <definedName name="dr608.1_3">'Designer''s Report'!$E$242</definedName>
    <definedName name="dr609.1_1">'Designer''s Report'!$E$245</definedName>
    <definedName name="dr609.1_2">'Designer''s Report'!$E$246</definedName>
    <definedName name="dr609.1_3">'Designer''s Report'!$E$247</definedName>
    <definedName name="dr609.1_4">'Designer''s Report'!$E$248</definedName>
    <definedName name="dr609.1_5">'Designer''s Report'!$E$249</definedName>
    <definedName name="dr610.1">'Designer''s Report'!$E$251</definedName>
    <definedName name="dr610.1.1">'Designer''s Report'!$E$252</definedName>
    <definedName name="dr610.1.2">'Designer''s Report'!$E$253</definedName>
    <definedName name="dr610.1.2_1">'Designer''s Report'!$E$254</definedName>
    <definedName name="dr610.1.2_1_a">'Designer''s Report'!$E$255</definedName>
    <definedName name="dr610.1.2_1_b">'Designer''s Report'!$E$256</definedName>
    <definedName name="dr610.1.2_2">'Designer''s Report'!$E$257</definedName>
    <definedName name="dr610.1.2_2_a">'Designer''s Report'!$E$258</definedName>
    <definedName name="dr610.1.2_2_b">'Designer''s Report'!$E$259</definedName>
    <definedName name="dr610.1.2_2_c">'Designer''s Report'!$E$260</definedName>
    <definedName name="dr610.1.2_2_d">'Designer''s Report'!$E$261</definedName>
    <definedName name="dr611.1_1">'Designer''s Report'!$E$264</definedName>
    <definedName name="dr611.1_10">'Designer''s Report'!$E$273</definedName>
    <definedName name="dr611.1_2">'Designer''s Report'!$E$265</definedName>
    <definedName name="dr611.1_3">'Designer''s Report'!$E$266</definedName>
    <definedName name="dr611.1_4">'Designer''s Report'!$E$267</definedName>
    <definedName name="dr611.1_5">'Designer''s Report'!$E$268</definedName>
    <definedName name="dr611.1_6">'Designer''s Report'!$E$269</definedName>
    <definedName name="dr611.1_7">'Designer''s Report'!$E$270</definedName>
    <definedName name="dr611.1_8">'Designer''s Report'!$E$271</definedName>
    <definedName name="dr611.1_9">'Designer''s Report'!$E$272</definedName>
    <definedName name="dr611.2">'Designer''s Report'!$E$274</definedName>
    <definedName name="dr611.2_1">'Designer''s Report'!$E$275</definedName>
    <definedName name="dr611.2_2">'Designer''s Report'!$E$276</definedName>
    <definedName name="dr611.2_3">'Designer''s Report'!$E$277</definedName>
    <definedName name="dr611.2_4">'Designer''s Report'!$E$278</definedName>
    <definedName name="dr611.2_5">'Designer''s Report'!$E$279</definedName>
    <definedName name="dr611.2_6">'Designer''s Report'!$E$280</definedName>
    <definedName name="dr611.2_7">'Designer''s Report'!$E$281</definedName>
    <definedName name="dr611.3">'Designer''s Report'!$E$282</definedName>
    <definedName name="dr611.3_1">'Designer''s Report'!$E$283</definedName>
    <definedName name="dr611.3_2">'Designer''s Report'!$E$284</definedName>
    <definedName name="dr611.3_3">'Designer''s Report'!$E$285</definedName>
    <definedName name="dr611.3_4">'Designer''s Report'!$E$286</definedName>
    <definedName name="dr701.1">'Designer''s Report'!#REF!</definedName>
    <definedName name="dr701.1.3">'Designer''s Report'!#REF!</definedName>
    <definedName name="dr701.3">'Designer''s Report'!#REF!</definedName>
    <definedName name="dr701.4.1.1">'Designer''s Report'!$E$293</definedName>
    <definedName name="dr701.4.1.2">'Designer''s Report'!$E$294</definedName>
    <definedName name="dr701.4.2.2">'Designer''s Report'!$E$297</definedName>
    <definedName name="dr701.4.2.3">'Designer''s Report'!$E$298</definedName>
    <definedName name="dr701.4.3.1">'Designer''s Report'!$E$300</definedName>
    <definedName name="dr701.4.3.2_1">'Designer''s Report'!$E$302</definedName>
    <definedName name="dr701.4.3.2_1_ach">'Designer''s Report'!$E$303</definedName>
    <definedName name="dr701.4.3.2_2">'Designer''s Report'!$E$304</definedName>
    <definedName name="dr701.4.3.3">'Designer''s Report'!$E$305</definedName>
    <definedName name="dr701.4.3.4">'Designer''s Report'!$E$306</definedName>
    <definedName name="dr701.4.4">'Designer''s Report'!$E$307</definedName>
    <definedName name="dr701.4.5">'Designer''s Report'!$E$308</definedName>
    <definedName name="dr702.2.1">'Designer''s Report'!#REF!</definedName>
    <definedName name="dr702.2.2_1">'Designer''s Report'!#REF!</definedName>
    <definedName name="dr702.2.2_2">'Designer''s Report'!#REF!</definedName>
    <definedName name="dr702.2.2_3">'Designer''s Report'!#REF!</definedName>
    <definedName name="dr702.2.2_4">'Designer''s Report'!#REF!</definedName>
    <definedName name="dr703.1.1_1">'Designer''s Report'!#REF!</definedName>
    <definedName name="dr703.1.1_2">'Designer''s Report'!#REF!</definedName>
    <definedName name="dr703.1.1_3">'Designer''s Report'!#REF!</definedName>
    <definedName name="dr703.1.1_4">'Designer''s Report'!#REF!</definedName>
    <definedName name="dr703.1.2_1">'Designer''s Report'!#REF!</definedName>
    <definedName name="dr703.1.2_2">'Designer''s Report'!#REF!</definedName>
    <definedName name="dr703.1.3_1">'Designer''s Report'!#REF!</definedName>
    <definedName name="dr703.1.3_2">'Designer''s Report'!#REF!</definedName>
    <definedName name="dr703.1.4">'Designer''s Report'!#REF!</definedName>
    <definedName name="dr703.1.5_1">'Designer''s Report'!#REF!</definedName>
    <definedName name="dr703.1.5_2">'Designer''s Report'!#REF!</definedName>
    <definedName name="dr703.1.5_3">'Designer''s Report'!#REF!</definedName>
    <definedName name="dr703.1.5_4">'Designer''s Report'!#REF!</definedName>
    <definedName name="dr703.1.5_5">'Designer''s Report'!#REF!</definedName>
    <definedName name="dr703.1.6.1">'Designer''s Report'!#REF!</definedName>
    <definedName name="dr703.1.6.2_a">'Designer''s Report'!#REF!</definedName>
    <definedName name="dr703.1.6.2_b">'Designer''s Report'!#REF!</definedName>
    <definedName name="dr703.1.6.2_c">'Designer''s Report'!#REF!</definedName>
    <definedName name="dr703.2.1">'Designer''s Report'!#REF!</definedName>
    <definedName name="dr703.2.2">'Designer''s Report'!#REF!</definedName>
    <definedName name="dr703.2.2_step1">'Designer''s Report'!#REF!</definedName>
    <definedName name="dr703.2.2_step2">'Designer''s Report'!#REF!</definedName>
    <definedName name="dr703.2.3_1">'Designer''s Report'!#REF!</definedName>
    <definedName name="dr703.2.3_2">'Designer''s Report'!#REF!</definedName>
    <definedName name="dr703.2.3_3">'Designer''s Report'!#REF!</definedName>
    <definedName name="dr703.2.3_4">'Designer''s Report'!#REF!</definedName>
    <definedName name="dr703.2.4_1">'Designer''s Report'!#REF!</definedName>
    <definedName name="dr703.2.4_2">'Designer''s Report'!#REF!</definedName>
    <definedName name="dr703.2.4_3">'Designer''s Report'!#REF!</definedName>
    <definedName name="dr703.2.4_4">'Designer''s Report'!#REF!</definedName>
    <definedName name="dr703.2.4_5">'Designer''s Report'!#REF!</definedName>
    <definedName name="dr703.2.5">'Designer''s Report'!#REF!</definedName>
    <definedName name="dr703.2.6_1">'Designer''s Report'!#REF!</definedName>
    <definedName name="dr703.2.6_2">'Designer''s Report'!#REF!</definedName>
    <definedName name="dr703.2.6_3">'Designer''s Report'!#REF!</definedName>
    <definedName name="dr703.2.6_4">'Designer''s Report'!#REF!</definedName>
    <definedName name="dr703.2.6_5">'Designer''s Report'!#REF!</definedName>
    <definedName name="dr703.2.7">'Designer''s Report'!#REF!</definedName>
    <definedName name="dr703.2.8">'Designer''s Report'!#REF!</definedName>
    <definedName name="dr703.2.9">'Designer''s Report'!#REF!</definedName>
    <definedName name="dr703.3.1">'Designer''s Report'!#REF!</definedName>
    <definedName name="dr703.3.2">'Designer''s Report'!#REF!</definedName>
    <definedName name="dr703.3.3">'Designer''s Report'!#REF!</definedName>
    <definedName name="dr703.3.4_1">'Designer''s Report'!#REF!</definedName>
    <definedName name="dr703.3.4_2">'Designer''s Report'!#REF!</definedName>
    <definedName name="dr703.3.4_3">'Designer''s Report'!#REF!</definedName>
    <definedName name="dr703.4.1">'Designer''s Report'!#REF!</definedName>
    <definedName name="dr703.4.1_step1">'Designer''s Report'!#REF!</definedName>
    <definedName name="dr703.4.1_step2">'Designer''s Report'!#REF!</definedName>
    <definedName name="dr703.4.3">'Designer''s Report'!#REF!</definedName>
    <definedName name="dr703.4.4">'Designer''s Report'!#REF!</definedName>
    <definedName name="dr703.4.5_1">'Designer''s Report'!#REF!</definedName>
    <definedName name="dr703.4.5_2">'Designer''s Report'!#REF!</definedName>
    <definedName name="dr703.4.5_3">'Designer''s Report'!#REF!</definedName>
    <definedName name="dr703.4.5_4">'Designer''s Report'!#REF!</definedName>
    <definedName name="dr703.4.5_5">'Designer''s Report'!#REF!</definedName>
    <definedName name="dr703.5.1_1a">'Designer''s Report'!#REF!</definedName>
    <definedName name="dr703.5.1_1b">'Designer''s Report'!#REF!</definedName>
    <definedName name="dr703.5.1_2">'Designer''s Report'!#REF!</definedName>
    <definedName name="dr703.5.2">'Designer''s Report'!#REF!</definedName>
    <definedName name="dr703.5.2_area">'Designer''s Report'!#REF!</definedName>
    <definedName name="dr703.5.2_lights">'Designer''s Report'!#REF!</definedName>
    <definedName name="dr703.5.3_1">'Designer''s Report'!#REF!</definedName>
    <definedName name="dr703.5.3_2">'Designer''s Report'!#REF!</definedName>
    <definedName name="dr703.5.3_3">'Designer''s Report'!#REF!</definedName>
    <definedName name="dr703.5.4">'Designer''s Report'!#REF!</definedName>
    <definedName name="dr703.6.1">'Designer''s Report'!#REF!</definedName>
    <definedName name="dr703.6.2">'Designer''s Report'!#REF!</definedName>
    <definedName name="dr703.6.3_1">'Designer''s Report'!#REF!</definedName>
    <definedName name="dr703.6.3_2">'Designer''s Report'!#REF!</definedName>
    <definedName name="dr703.6.3_3">'Designer''s Report'!#REF!</definedName>
    <definedName name="dr703.6.3_4">'Designer''s Report'!#REF!</definedName>
    <definedName name="dr703.6.3_5">'Designer''s Report'!#REF!</definedName>
    <definedName name="dr703.6.3_6">'Designer''s Report'!#REF!</definedName>
    <definedName name="dr703.6.4">'Designer''s Report'!#REF!</definedName>
    <definedName name="dr704.2.1_1">'Designer''s Report'!#REF!</definedName>
    <definedName name="dr704.2.1_2">'Designer''s Report'!#REF!</definedName>
    <definedName name="dr704.2.2">'Designer''s Report'!#REF!</definedName>
    <definedName name="dr704.2.3">'Designer''s Report'!#REF!</definedName>
    <definedName name="dr704.3">'Designer''s Report'!#REF!</definedName>
    <definedName name="dr704.4.1">'Designer''s Report'!#REF!</definedName>
    <definedName name="dr704.4.2">'Designer''s Report'!#REF!</definedName>
    <definedName name="dr704.4.3">'Designer''s Report'!#REF!</definedName>
    <definedName name="dr704.5.1">'Designer''s Report'!#REF!</definedName>
    <definedName name="dr704.5.2.1_1">'Designer''s Report'!#REF!</definedName>
    <definedName name="dr704.5.2.1_1_ach">'Designer''s Report'!#REF!</definedName>
    <definedName name="dr704.5.2.1_2">'Designer''s Report'!#REF!</definedName>
    <definedName name="dr704.5.2.2">'Designer''s Report'!#REF!</definedName>
    <definedName name="dr704.5.3">'Designer''s Report'!#REF!</definedName>
    <definedName name="dr705.1">'Designer''s Report'!#REF!</definedName>
    <definedName name="dr705.1_1">'Designer''s Report'!#REF!</definedName>
    <definedName name="dr705.1_2">'Designer''s Report'!#REF!</definedName>
    <definedName name="dr705.1_3">'Designer''s Report'!#REF!</definedName>
    <definedName name="dr705.2_1">'Designer''s Report'!#REF!</definedName>
    <definedName name="dr705.2_2a">'Designer''s Report'!#REF!</definedName>
    <definedName name="dr705.2_2b">'Designer''s Report'!#REF!</definedName>
    <definedName name="dr705.3">'Designer''s Report'!#REF!</definedName>
    <definedName name="dr705.3_1">'Designer''s Report'!#REF!</definedName>
    <definedName name="dr705.3_2">'Designer''s Report'!#REF!</definedName>
    <definedName name="dr705.3_3">'Designer''s Report'!#REF!</definedName>
    <definedName name="dr705.3_4">'Designer''s Report'!#REF!</definedName>
    <definedName name="dr705.3_5">'Designer''s Report'!#REF!</definedName>
    <definedName name="dr705.3_6">'Designer''s Report'!#REF!</definedName>
    <definedName name="dr705.3_7">'Designer''s Report'!#REF!</definedName>
    <definedName name="dr705.3_8">'Designer''s Report'!#REF!</definedName>
    <definedName name="dr705.4.1_1">'Designer''s Report'!#REF!</definedName>
    <definedName name="dr705.4.1_2">'Designer''s Report'!#REF!</definedName>
    <definedName name="dr705.4.2">'Designer''s Report'!#REF!</definedName>
    <definedName name="dr705.5">'Designer''s Report'!#REF!</definedName>
    <definedName name="dr705.5_area">'Designer''s Report'!$E$310</definedName>
    <definedName name="dr705.5_watts">'Designer''s Report'!#REF!</definedName>
    <definedName name="dr705.6">'Designer''s Report'!#REF!</definedName>
    <definedName name="dr801.1.1_1">'Designer''s Report'!#REF!</definedName>
    <definedName name="dr801.1.1_2">'Designer''s Report'!#REF!</definedName>
    <definedName name="dr801.1.1_3">'Designer''s Report'!#REF!</definedName>
    <definedName name="dr801.1.1_4">'Designer''s Report'!#REF!</definedName>
    <definedName name="dr801.1.1_4a">'Designer''s Report'!#REF!</definedName>
    <definedName name="dr801.1.1_5">'Designer''s Report'!#REF!</definedName>
    <definedName name="dr801.1.1_6">'Designer''s Report'!#REF!</definedName>
    <definedName name="dr801.2_1">'Designer''s Report'!#REF!</definedName>
    <definedName name="dr801.2_2a">'Designer''s Report'!#REF!</definedName>
    <definedName name="dr801.2_2b">'Designer''s Report'!#REF!</definedName>
    <definedName name="dr801.3_1a">'Designer''s Report'!#REF!</definedName>
    <definedName name="dr801.3_1b">'Designer''s Report'!#REF!</definedName>
    <definedName name="dr801.3_1c">'Designer''s Report'!#REF!</definedName>
    <definedName name="dr801.3_1d">'Designer''s Report'!#REF!</definedName>
    <definedName name="dr801.3_2a">'Designer''s Report'!#REF!</definedName>
    <definedName name="dr801.3_2b">'Designer''s Report'!#REF!</definedName>
    <definedName name="dr801.3_3a">'Designer''s Report'!#REF!</definedName>
    <definedName name="dr801.3_3b">'Designer''s Report'!#REF!</definedName>
    <definedName name="dr801.3_3c">'Designer''s Report'!#REF!</definedName>
    <definedName name="dr801.4.1_1a">'Designer''s Report'!#REF!</definedName>
    <definedName name="dr801.4.1_1b">'Designer''s Report'!#REF!</definedName>
    <definedName name="dr801.4.1_1c">'Designer''s Report'!#REF!</definedName>
    <definedName name="dr801.4.1_2">'Designer''s Report'!#REF!</definedName>
    <definedName name="dr801.4.2_1">'Designer''s Report'!#REF!</definedName>
    <definedName name="dr801.4.2_2">'Designer''s Report'!#REF!</definedName>
    <definedName name="dr801.4.2_3">'Designer''s Report'!#REF!</definedName>
    <definedName name="dr801.5_1">'Designer''s Report'!#REF!</definedName>
    <definedName name="dr801.5_2a">'Designer''s Report'!#REF!</definedName>
    <definedName name="dr801.5_2b">'Designer''s Report'!#REF!</definedName>
    <definedName name="dr801.5_2c">'Designer''s Report'!#REF!</definedName>
    <definedName name="dr801.5_3">'Designer''s Report'!#REF!</definedName>
    <definedName name="dr801.5_3a1">'Designer''s Report'!#REF!</definedName>
    <definedName name="dr801.5_3a2">'Designer''s Report'!#REF!</definedName>
    <definedName name="dr801.5_3a3">'Designer''s Report'!#REF!</definedName>
    <definedName name="dr801.5_3b">'Designer''s Report'!#REF!</definedName>
    <definedName name="dr801.5_3c">'Designer''s Report'!#REF!</definedName>
    <definedName name="dr801.6.1">'Designer''s Report'!#REF!</definedName>
    <definedName name="dr801.6.2_1">'Designer''s Report'!#REF!</definedName>
    <definedName name="dr801.6.2_2">'Designer''s Report'!#REF!</definedName>
    <definedName name="dr801.6.3">'Designer''s Report'!#REF!</definedName>
    <definedName name="dr801.6.4">'Designer''s Report'!#REF!</definedName>
    <definedName name="dr801.6.5_1">'Designer''s Report'!#REF!</definedName>
    <definedName name="dr801.6.5_2">'Designer''s Report'!#REF!</definedName>
    <definedName name="dr801.6.5_3">'Designer''s Report'!#REF!</definedName>
    <definedName name="dr801.7.1_1">'Designer''s Report'!#REF!</definedName>
    <definedName name="dr801.7.1_2a">'Designer''s Report'!#REF!</definedName>
    <definedName name="dr801.7.1_2b">'Designer''s Report'!#REF!</definedName>
    <definedName name="dr801.7.1_2c">'Designer''s Report'!#REF!</definedName>
    <definedName name="dr801.7.1_2d">'Designer''s Report'!#REF!</definedName>
    <definedName name="dr801.7.2_1">'Designer''s Report'!#REF!</definedName>
    <definedName name="dr801.7.2_2">'Designer''s Report'!#REF!</definedName>
    <definedName name="dr801.7.2_3">'Designer''s Report'!#REF!</definedName>
    <definedName name="dr801.7.2_4">'Designer''s Report'!#REF!</definedName>
    <definedName name="dr801.8">'Designer''s Report'!#REF!</definedName>
    <definedName name="dr802.1_1">'Designer''s Report'!#REF!</definedName>
    <definedName name="dr802.1_2">'Designer''s Report'!#REF!</definedName>
    <definedName name="dr802.1_3">'Designer''s Report'!#REF!</definedName>
    <definedName name="dr802.1_4">'Designer''s Report'!#REF!</definedName>
    <definedName name="dr802.1_5">'Designer''s Report'!#REF!</definedName>
    <definedName name="dr802.2">'Designer''s Report'!#REF!</definedName>
    <definedName name="dr802.2_1">'Designer''s Report'!#REF!</definedName>
    <definedName name="dr802.2_2">'Designer''s Report'!#REF!</definedName>
    <definedName name="dr802.3">'Designer''s Report'!#REF!</definedName>
    <definedName name="dr802.4">'Designer''s Report'!$E$314</definedName>
    <definedName name="dr802.5">'Designer''s Report'!#REF!</definedName>
    <definedName name="dr901.1.2">'Designer''s Report'!$E$321</definedName>
    <definedName name="dr901.1.3_1_a">'Designer''s Report'!$E$323</definedName>
    <definedName name="dr901.1.3_1_b">'Designer''s Report'!$E$324</definedName>
    <definedName name="dr901.1.3_2_a">'Designer''s Report'!$E$325</definedName>
    <definedName name="dr901.1.4">'Designer''s Report'!$E$327</definedName>
    <definedName name="dr901.1.5">'Designer''s Report'!$E$328</definedName>
    <definedName name="dr901.1.6_1">'Designer''s Report'!$E$330</definedName>
    <definedName name="dr901.1.6_2">'Designer''s Report'!$E$331</definedName>
    <definedName name="dr901.10_1">'Designer''s Report'!$E$393</definedName>
    <definedName name="dr901.10_2">'Designer''s Report'!$E$394</definedName>
    <definedName name="dr901.10_3">'Designer''s Report'!$E$395</definedName>
    <definedName name="dr901.11">'Designer''s Report'!$E$396</definedName>
    <definedName name="dr901.12">'Designer''s Report'!$E$397</definedName>
    <definedName name="dr901.13_1">'Designer''s Report'!$E$399</definedName>
    <definedName name="dr901.13_2">'Designer''s Report'!$E$400</definedName>
    <definedName name="dr901.14">'Designer''s Report'!$E$403</definedName>
    <definedName name="dr901.2.2">'Designer''s Report'!$E$344</definedName>
    <definedName name="dr901.3_1_c">'Designer''s Report'!$E$350</definedName>
    <definedName name="dr901.3_2">'Designer''s Report'!$E$351</definedName>
    <definedName name="dr901.4_1">'Designer''s Report'!$E$352</definedName>
    <definedName name="dr901.4_2a">'Designer''s Report'!$E$355</definedName>
    <definedName name="dr901.4_2b">'Designer''s Report'!$E$356</definedName>
    <definedName name="dr901.4_2c">'Designer''s Report'!$E$357</definedName>
    <definedName name="dr901.4_2d">'Designer''s Report'!$E$358</definedName>
    <definedName name="dr901.4_2thru6">'Designer''s Report'!$E$353</definedName>
    <definedName name="dr901.4_3a">'Designer''s Report'!$E$360</definedName>
    <definedName name="dr901.4_3b">'Designer''s Report'!$E$361</definedName>
    <definedName name="dr901.4_3c">'Designer''s Report'!$E$362</definedName>
    <definedName name="dr901.4_3d">'Designer''s Report'!$E$363</definedName>
    <definedName name="dr901.4_4a">'Designer''s Report'!$E$365</definedName>
    <definedName name="dr901.4_4b">'Designer''s Report'!$E$366</definedName>
    <definedName name="dr901.4_4c">'Designer''s Report'!$E$367</definedName>
    <definedName name="dr901.4_4d">'Designer''s Report'!$E$368</definedName>
    <definedName name="dr901.4_5a">'Designer''s Report'!$E$370</definedName>
    <definedName name="dr901.4_5b">'Designer''s Report'!$E$371</definedName>
    <definedName name="dr901.4_5c">'Designer''s Report'!$E$372</definedName>
    <definedName name="dr901.4_5d">'Designer''s Report'!$E$373</definedName>
    <definedName name="dr901.4_6a">'Designer''s Report'!$E$375</definedName>
    <definedName name="dr901.4_6b">'Designer''s Report'!$E$376</definedName>
    <definedName name="dr901.4_6c">'Designer''s Report'!$E$377</definedName>
    <definedName name="dr901.4_6d">'Designer''s Report'!$E$378</definedName>
    <definedName name="dr901.6_1">'Designer''s Report'!$E$383</definedName>
    <definedName name="dr901.6_2_a">'Designer''s Report'!$E$384</definedName>
    <definedName name="dr901.6_2_b">'Designer''s Report'!$E$385</definedName>
    <definedName name="dr901.7">'Designer''s Report'!$E$386</definedName>
    <definedName name="dr901.8">'Designer''s Report'!$E$387</definedName>
    <definedName name="dr901.9.1">'Designer''s Report'!$E$389</definedName>
    <definedName name="dr901.9.2">'Designer''s Report'!$E$390</definedName>
    <definedName name="dr901.9.3">'Designer''s Report'!$E$391</definedName>
    <definedName name="dr902.1.1_2">'Designer''s Report'!$E$410</definedName>
    <definedName name="dr902.1.1_3">'Designer''s Report'!$E$411</definedName>
    <definedName name="dr902.1.2_1">'Designer''s Report'!$E$413</definedName>
    <definedName name="dr902.1.2_2">'Designer''s Report'!$E$414</definedName>
    <definedName name="dr902.1.2_3">'Designer''s Report'!$E$415</definedName>
    <definedName name="dr902.1.2_4">'Designer''s Report'!$E$416</definedName>
    <definedName name="dr902.1.3">'Designer''s Report'!$E$417</definedName>
    <definedName name="dr902.1.4_1">'Designer''s Report'!$E$419</definedName>
    <definedName name="dr902.1.4_2">'Designer''s Report'!$E$420</definedName>
    <definedName name="dr902.2.1">'Designer''s Report'!$E$422</definedName>
    <definedName name="dr902.2.1_1">'Designer''s Report'!$E$423</definedName>
    <definedName name="dr902.2.1_2">'Designer''s Report'!$E$424</definedName>
    <definedName name="dr902.2.1_3">'Designer''s Report'!$E$425</definedName>
    <definedName name="dr902.2.1_4">'Designer''s Report'!$E$426</definedName>
    <definedName name="dr902.2.2">'Designer''s Report'!$E$427</definedName>
    <definedName name="dr902.2.3">'Designer''s Report'!$E$428</definedName>
    <definedName name="dr902.3_1">'Designer''s Report'!$E$430</definedName>
    <definedName name="dr902.3_1_a">'Designer''s Report'!$E$431</definedName>
    <definedName name="dr902.3_1_b">'Designer''s Report'!$E$432</definedName>
    <definedName name="dr902.3_2_a">'Designer''s Report'!$E$434</definedName>
    <definedName name="dr902.4_1">'Designer''s Report'!$E$436</definedName>
    <definedName name="dr902.4_2">'Designer''s Report'!$E$437</definedName>
    <definedName name="dr902.5">'Designer''s Report'!$E$438</definedName>
    <definedName name="dr902.6">'Designer''s Report'!$E$439</definedName>
    <definedName name="dr903.1.1">'Designer''s Report'!$E$442</definedName>
    <definedName name="dr903.1.2">'Designer''s Report'!$E$443</definedName>
    <definedName name="dr903.2_1">'Designer''s Report'!$E$445</definedName>
    <definedName name="dr903.2_2">'Designer''s Report'!$E$446</definedName>
    <definedName name="dr903.3_1">'Designer''s Report'!$E$448</definedName>
    <definedName name="dr903.3_2">'Designer''s Report'!$E$449</definedName>
    <definedName name="dr904.1">'Designer''s Report'!$E$451</definedName>
    <definedName name="dr904.2">'Designer''s Report'!$E$452</definedName>
    <definedName name="drchoice901.1.1">'Designer''s Report'!$E$320</definedName>
    <definedName name="drchoice901.2.1_1">'Designer''s Report'!$E$334</definedName>
    <definedName name="drchoice901.2.1_2">'Designer''s Report'!$E$336</definedName>
    <definedName name="drchoice901.2.1_3">'Designer''s Report'!$E$338</definedName>
    <definedName name="drchoice901.2.1_4">'Designer''s Report'!$E$340</definedName>
    <definedName name="drchoice901.2.1_5">'Designer''s Report'!$E$342</definedName>
    <definedName name="drchoice901.3_1_a">'Designer''s Report'!$E$346</definedName>
    <definedName name="drchoice901.3_1_b">'Designer''s Report'!$E$348</definedName>
    <definedName name="drchoice901.5">'Designer''s Report'!$E$379</definedName>
    <definedName name="drchoice902.1.1_1">'Designer''s Report'!$E$408</definedName>
    <definedName name="drclaim901.1.1">'Designer''s Report'!$E$319</definedName>
    <definedName name="drclaim901.2.1_1">'Designer''s Report'!$E$335</definedName>
    <definedName name="drclaim901.2.1_2">'Designer''s Report'!$E$337</definedName>
    <definedName name="drclaim901.2.1_3">'Designer''s Report'!$E$339</definedName>
    <definedName name="drclaim901.2.1_4">'Designer''s Report'!$E$341</definedName>
    <definedName name="drclaim901.2.1_5">'Designer''s Report'!$E$343</definedName>
    <definedName name="drclaim901.3_1_a">'Designer''s Report'!$E$347</definedName>
    <definedName name="drclaim901.3_1_b">'Designer''s Report'!$E$349</definedName>
    <definedName name="drclaim901.5_1">'Designer''s Report'!$E$380</definedName>
    <definedName name="drclaim901.5_2">'Designer''s Report'!$E$381</definedName>
    <definedName name="drclaim902.1.1_1">'Designer''s Report'!$E$409</definedName>
    <definedName name="drclaim902.1.4">'Designer''s Report'!$E$418</definedName>
    <definedName name="Eight">Formulas!$X$5</definedName>
    <definedName name="Electric">Formulas!$Q$72</definedName>
    <definedName name="emeraldMinimum">Formulas!$E$136</definedName>
    <definedName name="EnergyLevel">'11.7'!$P$82</definedName>
    <definedName name="energypath">Formulas!$A$162</definedName>
    <definedName name="enter610.1.2_1_4meas">'11.6'!$P$177</definedName>
    <definedName name="enter610.1.2_1_5meas">'11.6'!$P$178</definedName>
    <definedName name="enter610.1.2_2_floors">'11.6'!$P$193</definedName>
    <definedName name="enter610.1.2_2_interior">'11.6'!$P$190</definedName>
    <definedName name="enter610.1.2_2_roof">'11.6'!$P$187</definedName>
    <definedName name="enter610.1.2_2_walls">'11.6'!$P$184</definedName>
    <definedName name="enter705.5">'11.7'!#REF!</definedName>
    <definedName name="enter802_1_1">'11.8'!#REF!</definedName>
    <definedName name="enterRecessedLights">'11.7'!#REF!</definedName>
    <definedName name="ErrataWorkSheet">Errata!$A$1</definedName>
    <definedName name="figure6_1">Figures!$A$3</definedName>
    <definedName name="figure6_2">Figures!$A$46</definedName>
    <definedName name="figure6_3">Figures!$A$92</definedName>
    <definedName name="figure9_1">Figures!$A$130</definedName>
    <definedName name="finalLevelReached">Formulas!$A$141</definedName>
    <definedName name="Five">Formulas!$U$5:$U$6</definedName>
    <definedName name="foundation1">Formulas!$C$5</definedName>
    <definedName name="foundation2">Formulas!$C$6</definedName>
    <definedName name="foundation3">Formulas!$C$7</definedName>
    <definedName name="foundation4">Formulas!$C$8</definedName>
    <definedName name="foundation5">Formulas!$C$9</definedName>
    <definedName name="foundation6">Formulas!$C$10</definedName>
    <definedName name="foundation7">Formulas!$C$11</definedName>
    <definedName name="foundation8">Formulas!$C$12</definedName>
    <definedName name="foundation9">Formulas!$C$13</definedName>
    <definedName name="Four">Formulas!$T$5:$T$7</definedName>
    <definedName name="Furnace">Formulas!$D$5:$D$12</definedName>
    <definedName name="gap1001.1">'11.10'!$S$9</definedName>
    <definedName name="gap1002.1">'11.10'!$S$35</definedName>
    <definedName name="gap1003.1">'11.10'!$S$38</definedName>
    <definedName name="gap1003.2">'11.10'!$S$49</definedName>
    <definedName name="gap1003.3">'11.10'!$S$62</definedName>
    <definedName name="gap501.1_1">'11.5'!#REF!</definedName>
    <definedName name="gap501.1_2">'11.5'!#REF!</definedName>
    <definedName name="gap501.1_3">'11.5'!#REF!</definedName>
    <definedName name="gap501.1_4">'11.5'!#REF!</definedName>
    <definedName name="gap501.1_5">'11.5'!#REF!</definedName>
    <definedName name="gap501.2_2">'11.5'!#REF!</definedName>
    <definedName name="gap501.2_3">'11.5'!$S$12</definedName>
    <definedName name="gap501.2_4">'11.5'!$S$14</definedName>
    <definedName name="gap502.1">'11.5'!$S$16</definedName>
    <definedName name="gap503.1_1">'11.5'!$S$21</definedName>
    <definedName name="gap503.1_2">'11.5'!$S$22</definedName>
    <definedName name="gap503.1_3">'11.5'!$S$23</definedName>
    <definedName name="gap503.1_4">'11.5'!$S$24</definedName>
    <definedName name="gap503.1_5">'11.5'!$S$25</definedName>
    <definedName name="gap503.1_6">'11.5'!$S$26</definedName>
    <definedName name="gap503.1_7">'11.5'!$S$27</definedName>
    <definedName name="gap503.2_1">'11.5'!$S$29</definedName>
    <definedName name="gap503.2_2">'11.5'!$S$30</definedName>
    <definedName name="gap503.2_3">'11.5'!$S$31</definedName>
    <definedName name="gap503.2_4">'11.5'!$S$33</definedName>
    <definedName name="gap503.2_5">'11.5'!$S$34</definedName>
    <definedName name="gap503.3_1">'11.5'!$S$37</definedName>
    <definedName name="gap503.3_2">'11.5'!$S$38</definedName>
    <definedName name="gap503.3_3">'11.5'!$S$40</definedName>
    <definedName name="gap503.4_1">'11.5'!$S$43</definedName>
    <definedName name="gap503.4_3">'11.5'!$S$45</definedName>
    <definedName name="gap503.4_4">'11.5'!$S$47</definedName>
    <definedName name="gap503.4_5">'11.5'!$S$48</definedName>
    <definedName name="gap503.4_6">'11.5'!#REF!</definedName>
    <definedName name="gap503.5_1">'11.5'!$S$50</definedName>
    <definedName name="gap503.5_2">'11.5'!$S$52</definedName>
    <definedName name="gap503.5_3">'11.5'!$S$54</definedName>
    <definedName name="gap503.5_4">'11.5'!$S$60</definedName>
    <definedName name="gap503.5_5">'11.5'!$S$62</definedName>
    <definedName name="gap503.5_6">'11.5'!$S$64</definedName>
    <definedName name="gap503.5_7">'11.5'!$S$66</definedName>
    <definedName name="gap503.5_8">'11.5'!$S$67</definedName>
    <definedName name="gap503.6_1">'11.5'!$S$70</definedName>
    <definedName name="gap503.6_2">'11.5'!$S$71</definedName>
    <definedName name="gap503.6_3">'11.5'!$S$72</definedName>
    <definedName name="gap503.6_4">'11.5'!$S$73</definedName>
    <definedName name="gap503.7_1">'11.5'!$S$75</definedName>
    <definedName name="gap503.7_2">'11.5'!$S$76</definedName>
    <definedName name="gap504.1">'11.5'!$S$79</definedName>
    <definedName name="gap504.2_1">'11.5'!$S$82</definedName>
    <definedName name="gap504.2_2">'11.5'!$S$83</definedName>
    <definedName name="gap504.2_3">'11.5'!$S$84</definedName>
    <definedName name="gap504.3_1">'11.5'!$S$86</definedName>
    <definedName name="gap504.3_2">'11.5'!$S$87</definedName>
    <definedName name="gap504.3_3">'11.5'!$S$88</definedName>
    <definedName name="gap504.3_4">'11.5'!$S$89</definedName>
    <definedName name="gap504.3_5">'11.5'!$S$90</definedName>
    <definedName name="gap504.3_6">'11.5'!$S$91</definedName>
    <definedName name="gap504.3_7">'11.5'!$S$92</definedName>
    <definedName name="gap504.3_8">'11.5'!$S$93</definedName>
    <definedName name="gap504.3_9">'11.5'!$S$95</definedName>
    <definedName name="gap505.1_1">'11.5'!$S$99</definedName>
    <definedName name="gap505.1_2">'11.5'!$S$100</definedName>
    <definedName name="gap505.1_3">'11.5'!$S$102</definedName>
    <definedName name="gap505.2_1">'11.5'!$S$105</definedName>
    <definedName name="gap505.2_2">'11.5'!$S$107</definedName>
    <definedName name="gap505.3">'11.5'!$S$109</definedName>
    <definedName name="gap505.4">'11.5'!$S$114</definedName>
    <definedName name="gap505.5">'11.5'!$S$115</definedName>
    <definedName name="gap601.1">'11.6'!$T$9</definedName>
    <definedName name="gap601.2_1">'11.6'!$T$16</definedName>
    <definedName name="gap601.2_2">'11.6'!$T$17</definedName>
    <definedName name="gap601.2_3">'11.6'!$T$18</definedName>
    <definedName name="gap601.3_1">'11.6'!$T$20</definedName>
    <definedName name="gap601.3_2">'11.6'!$T$21</definedName>
    <definedName name="gap601.3_3">'11.6'!$T$22</definedName>
    <definedName name="gap601.3_4">'11.6'!$T$23</definedName>
    <definedName name="gap601.3_5">'11.6'!$T$24</definedName>
    <definedName name="gap601.4">'11.6'!$T$25</definedName>
    <definedName name="gap601.5_1thru3">'11.6'!$T$28</definedName>
    <definedName name="gap601.5_4">'11.6'!$T$31</definedName>
    <definedName name="gap601.5_5">'11.6'!$T$32</definedName>
    <definedName name="gap601.6">'11.6'!$T$33</definedName>
    <definedName name="gap601.7">'11.6'!$T$38</definedName>
    <definedName name="gap601.8">'11.6'!$T$42</definedName>
    <definedName name="gap601.9">'11.6'!$T$44</definedName>
    <definedName name="gap602.1.1.1">'11.6'!$T$50</definedName>
    <definedName name="gap602.1.1.2">'11.6'!$T$51</definedName>
    <definedName name="gap602.1.10">'11.6'!$T$95</definedName>
    <definedName name="gap602.1.11">'11.6'!$T$99</definedName>
    <definedName name="gap602.1.12">'11.6'!$T$100</definedName>
    <definedName name="gap602.1.14">'11.6'!$T$109</definedName>
    <definedName name="gap602.1.15_1">'11.6'!$T$111</definedName>
    <definedName name="gap602.1.15_2">'11.6'!$T$112</definedName>
    <definedName name="gap602.1.15_3">'11.6'!$T$113</definedName>
    <definedName name="gap602.1.2">'11.6'!$T$52</definedName>
    <definedName name="gap602.1.3.1">'11.6'!$T$55</definedName>
    <definedName name="gap602.1.3.2">'11.6'!$T$56</definedName>
    <definedName name="gap602.1.4.1_1">'11.6'!$T$59</definedName>
    <definedName name="gap602.1.4.1_2">'11.6'!$T$60</definedName>
    <definedName name="gap602.1.4.2">'11.6'!$T$63</definedName>
    <definedName name="gap602.1.5">'11.6'!$T$66</definedName>
    <definedName name="gap602.1.6">'11.6'!$T$71</definedName>
    <definedName name="gap602.1.7.1_2">'11.6'!$T$78</definedName>
    <definedName name="gap602.1.7.1_3">'11.6'!$T$80</definedName>
    <definedName name="gap602.1.7.2">'11.6'!$T$81</definedName>
    <definedName name="gap602.1.8">'11.6'!$T$82</definedName>
    <definedName name="gap602.1.9_1">'11.6'!$T$85</definedName>
    <definedName name="gap602.1.9_2">'11.6'!$T$86</definedName>
    <definedName name="gap602.1.9_3">'11.6'!$T$87</definedName>
    <definedName name="gap602.1.9_4">'11.6'!$T$88</definedName>
    <definedName name="gap602.1.9_5">'11.6'!$T$89</definedName>
    <definedName name="gap602.1.9_6">'11.6'!$T$92</definedName>
    <definedName name="gap602.1.9_7">'11.6'!$T$93</definedName>
    <definedName name="gap602.2">'11.6'!$T$115</definedName>
    <definedName name="gap602.3">'11.6'!$T$117</definedName>
    <definedName name="gap602.4.1">'11.6'!$T$119</definedName>
    <definedName name="gap602.4.2">'11.6'!$T$120</definedName>
    <definedName name="gap602.4.3">'11.6'!$T$121</definedName>
    <definedName name="gap603.1">'11.6'!$T$124</definedName>
    <definedName name="gap603.2">'11.6'!$T$132</definedName>
    <definedName name="gap603.3">'11.6'!$T$134</definedName>
    <definedName name="gap604.1.1">'11.6'!$T$137</definedName>
    <definedName name="gap604.1.2">'11.6'!$T$139</definedName>
    <definedName name="gap605.1">'11.6'!$T$144</definedName>
    <definedName name="gap605.2">'11.6'!$T$145</definedName>
    <definedName name="gap605.3">'11.6'!$T$146</definedName>
    <definedName name="gap606.1">'11.6'!$T$150</definedName>
    <definedName name="gap606.2_1">'11.6'!$T$157</definedName>
    <definedName name="gap606.2_2">'11.6'!$T$158</definedName>
    <definedName name="gap606.3">'11.6'!$T$159</definedName>
    <definedName name="gap607.1_1">'11.6'!$T$163</definedName>
    <definedName name="gap607.1_2">'11.6'!$T$164</definedName>
    <definedName name="gap607.2">'11.6'!$T$165</definedName>
    <definedName name="gap608.1">'11.6'!$T$167</definedName>
    <definedName name="gap609.1">'11.6'!$T$170</definedName>
    <definedName name="gap610.1.1">'11.6'!$T$174</definedName>
    <definedName name="gap610.1.2_1">'11.6'!$T$177</definedName>
    <definedName name="gap610.1.2_2">'11.6'!$T$182</definedName>
    <definedName name="gap611.1">'11.6'!$T$197</definedName>
    <definedName name="gap611.2_1">'11.6'!$T$200</definedName>
    <definedName name="gap611.2_2">'11.6'!$T$201</definedName>
    <definedName name="gap611.2_3">'11.6'!$T$202</definedName>
    <definedName name="gap611.2_4">'11.6'!$T$203</definedName>
    <definedName name="gap611.2_5">'11.6'!$T$204</definedName>
    <definedName name="gap611.2_6">'11.6'!$T$205</definedName>
    <definedName name="gap611.2_7">'11.6'!$T$206</definedName>
    <definedName name="gap611.3_1">'11.6'!$T$208</definedName>
    <definedName name="gap611.3_2">'11.6'!$T$209</definedName>
    <definedName name="gap611.3_3">'11.6'!$T$210</definedName>
    <definedName name="gap611.3_4">'11.6'!$T$211</definedName>
    <definedName name="gap701.1.3">'11.7'!#REF!</definedName>
    <definedName name="gap701.3">'11.7'!#REF!</definedName>
    <definedName name="gap701.4.1.1">'11.7'!$T$11</definedName>
    <definedName name="gap701.4.1.2">'11.7'!$T$12</definedName>
    <definedName name="gap701.4.2.1">'11.7'!$T$14</definedName>
    <definedName name="gap701.4.2.2">'11.7'!$T$15</definedName>
    <definedName name="gap701.4.2.3">'11.7'!$T$16</definedName>
    <definedName name="gap701.4.3.1">'11.7'!$T$18</definedName>
    <definedName name="gap701.4.3.2_1">'11.7'!$T$32</definedName>
    <definedName name="gap701.4.3.2_2">'11.7'!$T$34</definedName>
    <definedName name="gap701.4.3.3">'11.7'!$T$52</definedName>
    <definedName name="gap701.4.3.4">'11.7'!$T$53</definedName>
    <definedName name="gap701.4.4">'11.7'!$T$54</definedName>
    <definedName name="gap701.4.5">'11.7'!$T$55</definedName>
    <definedName name="gap702.2.1">'11.7'!#REF!</definedName>
    <definedName name="gap702.2.2">'11.7'!#REF!</definedName>
    <definedName name="gap703.1.1">'11.7'!#REF!</definedName>
    <definedName name="gap703.1.2">'11.7'!#REF!</definedName>
    <definedName name="gap703.1.3">'11.7'!#REF!</definedName>
    <definedName name="gap703.1.4">'11.7'!#REF!</definedName>
    <definedName name="gap703.1.5">'11.7'!#REF!</definedName>
    <definedName name="gap703.1.6.1">'11.7'!#REF!</definedName>
    <definedName name="gap703.1.6.2">'11.7'!#REF!</definedName>
    <definedName name="gap703.2.1">'11.7'!#REF!</definedName>
    <definedName name="gap703.2.2">'11.7'!#REF!</definedName>
    <definedName name="gap703.2.3">'11.7'!#REF!</definedName>
    <definedName name="gap703.2.4">'11.7'!#REF!</definedName>
    <definedName name="gap703.2.5">'11.7'!#REF!</definedName>
    <definedName name="gap703.2.6">'11.7'!#REF!</definedName>
    <definedName name="gap703.2.7">'11.7'!#REF!</definedName>
    <definedName name="gap703.2.8">'11.7'!#REF!</definedName>
    <definedName name="gap703.2.9">'11.7'!#REF!</definedName>
    <definedName name="gap703.3.1">'11.7'!#REF!</definedName>
    <definedName name="gap703.3.2">'11.7'!#REF!</definedName>
    <definedName name="gap703.3.3">'11.7'!#REF!</definedName>
    <definedName name="gap703.3.4">'11.7'!#REF!</definedName>
    <definedName name="gap703.4.1">'11.7'!#REF!</definedName>
    <definedName name="gap703.4.2">'11.7'!#REF!</definedName>
    <definedName name="gap703.4.3">'11.7'!#REF!</definedName>
    <definedName name="gap703.4.4">'11.7'!#REF!</definedName>
    <definedName name="gap703.4.5">'11.7'!#REF!</definedName>
    <definedName name="gap703.5.1">'11.7'!#REF!</definedName>
    <definedName name="gap703.5.2">'11.7'!#REF!</definedName>
    <definedName name="gap703.5.3_1">'11.7'!#REF!</definedName>
    <definedName name="gap703.5.3_2">'11.7'!#REF!</definedName>
    <definedName name="gap703.5.3_3">'11.7'!#REF!</definedName>
    <definedName name="gap703.5.4">'11.7'!#REF!</definedName>
    <definedName name="gap703.6.1">'11.7'!#REF!</definedName>
    <definedName name="gap703.6.2">'11.7'!#REF!</definedName>
    <definedName name="gap703.6.3">'11.7'!#REF!</definedName>
    <definedName name="gap703.6.4">'11.7'!#REF!</definedName>
    <definedName name="gap704.2.1">'11.7'!#REF!</definedName>
    <definedName name="gap704.2.2">'11.7'!#REF!</definedName>
    <definedName name="gap704.2.3">'11.7'!#REF!</definedName>
    <definedName name="gap704.3">'11.7'!#REF!</definedName>
    <definedName name="gap704.4.1">'11.7'!#REF!</definedName>
    <definedName name="gap704.4.2">'11.7'!#REF!</definedName>
    <definedName name="gap704.4.3">'11.7'!#REF!</definedName>
    <definedName name="gap704.5.1">'11.7'!#REF!</definedName>
    <definedName name="gap704.5.2.1">'11.7'!#REF!</definedName>
    <definedName name="gap704.5.2.2">'11.7'!#REF!</definedName>
    <definedName name="gap704.5.3">'11.7'!#REF!</definedName>
    <definedName name="gap705.1">'11.7'!#REF!</definedName>
    <definedName name="gap705.2">'11.7'!#REF!</definedName>
    <definedName name="gap705.3">'11.7'!#REF!</definedName>
    <definedName name="gap705.4.1">'11.7'!#REF!</definedName>
    <definedName name="gap705.4.2">'11.7'!#REF!</definedName>
    <definedName name="gap705.5">'11.7'!#REF!</definedName>
    <definedName name="gap705.6">'11.7'!#REF!</definedName>
    <definedName name="gap801.1.1">'11.8'!#REF!</definedName>
    <definedName name="gap801.1.1_1thru4a">'11.8'!#REF!</definedName>
    <definedName name="gap801.1.1_5">'11.8'!#REF!</definedName>
    <definedName name="gap801.1.1_6">'11.8'!#REF!</definedName>
    <definedName name="gap801.2_1">'11.8'!#REF!</definedName>
    <definedName name="gap801.2_2">'11.8'!#REF!</definedName>
    <definedName name="gap801.3_1">'11.8'!#REF!</definedName>
    <definedName name="gap801.3_2">'11.8'!#REF!</definedName>
    <definedName name="gap801.3_3">'11.8'!#REF!</definedName>
    <definedName name="gap801.4.1_1">'11.8'!#REF!</definedName>
    <definedName name="gap801.4.1_2">'11.8'!#REF!</definedName>
    <definedName name="gap801.4.2">'11.8'!#REF!</definedName>
    <definedName name="gap801.5_1">'11.8'!#REF!</definedName>
    <definedName name="gap801.5_2">'11.8'!#REF!</definedName>
    <definedName name="gap801.5_3">'11.8'!#REF!</definedName>
    <definedName name="gap801.5_3a">'11.8'!#REF!</definedName>
    <definedName name="gap801.5_3b">'11.8'!#REF!</definedName>
    <definedName name="gap801.5_3c">'11.8'!#REF!</definedName>
    <definedName name="gap801.6.1">'11.8'!#REF!</definedName>
    <definedName name="gap801.6.2">'11.8'!#REF!</definedName>
    <definedName name="gap801.6.3">'11.8'!#REF!</definedName>
    <definedName name="gap801.6.4">'11.8'!#REF!</definedName>
    <definedName name="gap801.6.5">'11.8'!#REF!</definedName>
    <definedName name="gap801.7.1">'11.8'!#REF!</definedName>
    <definedName name="gap801.7.2">'11.8'!#REF!</definedName>
    <definedName name="gap801.8">'11.8'!#REF!</definedName>
    <definedName name="gap802.1">'11.8'!#REF!</definedName>
    <definedName name="gap802.2">'11.8'!#REF!</definedName>
    <definedName name="gap802.3">'11.8'!#REF!</definedName>
    <definedName name="gap802.4">'11.8'!#REF!</definedName>
    <definedName name="gap802.5">'11.8'!#REF!</definedName>
    <definedName name="gap901.1.1">'11.9'!$S$10</definedName>
    <definedName name="gap901.1.2">'11.9'!$S$12</definedName>
    <definedName name="gap901.1.3_1">'11.9'!$S$14</definedName>
    <definedName name="gap901.1.3_2">'11.9'!$S$16</definedName>
    <definedName name="gap901.1.4">'11.9'!$S$18</definedName>
    <definedName name="gap901.1.5">'11.9'!$S$19</definedName>
    <definedName name="gap901.1.6">'11.9'!$S$20</definedName>
    <definedName name="gap901.10">'11.9'!$S$98</definedName>
    <definedName name="gap901.11">'11.9'!$S$102</definedName>
    <definedName name="gap901.12">'11.9'!$S$104</definedName>
    <definedName name="gap901.13">'11.9'!$S$105</definedName>
    <definedName name="gap901.14">'11.9'!$S$108</definedName>
    <definedName name="gap901.2.1_1">'11.9'!$S$24</definedName>
    <definedName name="gap901.2.1_2">'11.9'!$S$26</definedName>
    <definedName name="gap901.2.1_3">'11.9'!$S$28</definedName>
    <definedName name="gap901.2.1_4">'11.9'!$S$30</definedName>
    <definedName name="gap901.2.1_5">'11.9'!$S$32</definedName>
    <definedName name="gap901.2.2">'11.9'!$S$34</definedName>
    <definedName name="gap901.3_1_a">'11.9'!$S$38</definedName>
    <definedName name="gap901.3_1_b">'11.9'!$S$40</definedName>
    <definedName name="gap901.3_1_c">'11.9'!$S$42</definedName>
    <definedName name="gap901.3_2">'11.9'!$S$45</definedName>
    <definedName name="gap901.4_1">'11.9'!$S$47</definedName>
    <definedName name="gap901.4_2thru6">'11.9'!$S$49</definedName>
    <definedName name="gap901.5">'11.9'!$S$69</definedName>
    <definedName name="gap901.6_1">'11.9'!$S$74</definedName>
    <definedName name="gap901.6_2">'11.9'!$S$77</definedName>
    <definedName name="gap901.7">'11.9'!$S$79</definedName>
    <definedName name="gap901.8">'11.9'!$S$81</definedName>
    <definedName name="gap901.9">'11.9'!$S$84</definedName>
    <definedName name="gap902.1.1_1">'11.9'!$S$117</definedName>
    <definedName name="gap902.1.1_2">'11.9'!$S$119</definedName>
    <definedName name="gap902.1.1_3">'11.9'!$S$120</definedName>
    <definedName name="gap902.1.2">'11.9'!$S$121</definedName>
    <definedName name="gap902.1.3">'11.9'!$S$123</definedName>
    <definedName name="gap902.2.1">'11.9'!$S$130</definedName>
    <definedName name="gap902.2.2">'11.9'!$S$135</definedName>
    <definedName name="gap902.2.3">'11.9'!$S$137</definedName>
    <definedName name="gap902.3_2">'11.9'!$S$144</definedName>
    <definedName name="gap902.4">'11.9'!$S$148</definedName>
    <definedName name="gap902.5">'11.9'!$S$150</definedName>
    <definedName name="gap902.6">'11.9'!$S$151</definedName>
    <definedName name="gap903.1.1">'11.9'!$S$155</definedName>
    <definedName name="gap903.1.2">'11.9'!$S$156</definedName>
    <definedName name="gap903.2_1">'11.9'!$S$158</definedName>
    <definedName name="gap903.2_2">'11.9'!$S$159</definedName>
    <definedName name="gap903.3">'11.9'!$S$162</definedName>
    <definedName name="gap904.1">'11.9'!$S$167</definedName>
    <definedName name="gap904.2">'11.9'!$S$168</definedName>
    <definedName name="GasBoiler">Formulas!$H$72:$H$75</definedName>
    <definedName name="GasHeaters">Formulas!$F$72:$F$76</definedName>
    <definedName name="GasTableA">Formulas!$O$72:$O$73</definedName>
    <definedName name="GasTableB">Formulas!$P$72</definedName>
    <definedName name="goldMinimum">Formulas!$D$138</definedName>
    <definedName name="H21BeforeSinnk11Flow">'11.8'!$H$21</definedName>
    <definedName name="HeatPump">Formulas!$S$72:$S$74</definedName>
    <definedName name="HEToilets">Formulas!$F$148</definedName>
    <definedName name="HVAC">Formulas!$F$71:$I$71</definedName>
    <definedName name="levelStatement">Formulas!$A$138</definedName>
    <definedName name="link602.1.12">'11.6'!$F$101</definedName>
    <definedName name="link602.1.5">'11.6'!$F$67</definedName>
    <definedName name="link602.1.6">'11.6'!$F$70</definedName>
    <definedName name="link703.1.1">'11.7'!#REF!</definedName>
    <definedName name="link703.1.2">'11.7'!#REF!</definedName>
    <definedName name="link703.6.1">'11.7'!#REF!</definedName>
    <definedName name="link703.6.4">'11.7'!#REF!</definedName>
    <definedName name="link901.10">'11.9'!$E$99</definedName>
    <definedName name="link901.11">'11.9'!$E$103</definedName>
    <definedName name="link901.3">'11.9'!$E$43</definedName>
    <definedName name="link901.5">'11.9'!$E$72</definedName>
    <definedName name="link901.6">'11.9'!$E$76</definedName>
    <definedName name="link901.7">'11.9'!$E$80</definedName>
    <definedName name="link901.8">'11.9'!$E$82</definedName>
    <definedName name="link901.9.1">'11.9'!$E$85</definedName>
    <definedName name="link901.9.3">'11.9'!$E$94</definedName>
    <definedName name="link902.2.1">'11.9'!$E$129</definedName>
    <definedName name="link902.3">'11.9'!$E$139</definedName>
    <definedName name="link903.3">'11.9'!$E$161</definedName>
    <definedName name="mandatoryStatus">Formulas!$F$147</definedName>
    <definedName name="note1001.1_1">'11.10'!$P$12</definedName>
    <definedName name="note1001.1_10">'11.10'!$P$21</definedName>
    <definedName name="note1001.1_11">'11.10'!$P$22</definedName>
    <definedName name="note1001.1_12">'11.10'!$P$23</definedName>
    <definedName name="note1001.1_13">'11.10'!$P$24</definedName>
    <definedName name="note1001.1_14">'11.10'!$P$25</definedName>
    <definedName name="note1001.1_15">'11.10'!$P$26</definedName>
    <definedName name="note1001.1_16">'11.10'!$P$27</definedName>
    <definedName name="note1001.1_17">'11.10'!$P$28</definedName>
    <definedName name="note1001.1_18">'11.10'!$P$29</definedName>
    <definedName name="note1001.1_19">'11.10'!$P$30</definedName>
    <definedName name="note1001.1_2">'11.10'!$P$13</definedName>
    <definedName name="note1001.1_20">'11.10'!$P$31</definedName>
    <definedName name="note1001.1_21">'11.10'!$P$32</definedName>
    <definedName name="note1001.1_3">'11.10'!$P$14</definedName>
    <definedName name="note1001.1_4">'11.10'!$P$15</definedName>
    <definedName name="note1001.1_5">'11.10'!$P$16</definedName>
    <definedName name="note1001.1_6">'11.10'!$P$17</definedName>
    <definedName name="note1001.1_7">'11.10'!$P$18</definedName>
    <definedName name="note1001.1_8">'11.10'!$P$19</definedName>
    <definedName name="note1001.1_9">'11.10'!$P$20</definedName>
    <definedName name="note1002.1">'11.10'!$P$35</definedName>
    <definedName name="note1003.1_1">'11.10'!$P$41</definedName>
    <definedName name="note1003.1_2">'11.10'!$P$42</definedName>
    <definedName name="note1003.1_3">'11.10'!$P$43</definedName>
    <definedName name="note1003.1_4">'11.10'!$P$44</definedName>
    <definedName name="note1003.1_5">'11.10'!$P$45</definedName>
    <definedName name="note1003.1_6">'11.10'!$P$46</definedName>
    <definedName name="note1003.1_7">'11.10'!$P$47</definedName>
    <definedName name="note1003.1_8">'11.10'!$P$48</definedName>
    <definedName name="note1003.2_1">'11.10'!$P$52</definedName>
    <definedName name="note1003.2_10">'11.10'!$P$61</definedName>
    <definedName name="note1003.2_2">'11.10'!$P$53</definedName>
    <definedName name="note1003.2_3">'11.10'!$P$54</definedName>
    <definedName name="note1003.2_4">'11.10'!$P$55</definedName>
    <definedName name="note1003.2_5">'11.10'!$P$56</definedName>
    <definedName name="note1003.2_6">'11.10'!$P$57</definedName>
    <definedName name="note1003.2_7">'11.10'!$P$58</definedName>
    <definedName name="note1003.2_8">'11.10'!$P$59</definedName>
    <definedName name="note1003.2_9">'11.10'!$P$60</definedName>
    <definedName name="note1003.3_1">'11.10'!$P$65</definedName>
    <definedName name="note1003.3_2">'11.10'!$P$66</definedName>
    <definedName name="note1003.3_3">'11.10'!$P$67</definedName>
    <definedName name="note1003.3_4">'11.10'!$P$68</definedName>
    <definedName name="note1003.3_5">'11.10'!$P$69</definedName>
    <definedName name="note1003.3_6">'11.10'!$P$70</definedName>
    <definedName name="note1003.3_7">'11.10'!$P$71</definedName>
    <definedName name="note1003.3_8">'11.10'!$P$72</definedName>
    <definedName name="note1003.3_9">'11.10'!$P$73</definedName>
    <definedName name="note501.1_1">'11.5'!#REF!</definedName>
    <definedName name="note501.1_2">'11.5'!#REF!</definedName>
    <definedName name="note501.1_3">'11.5'!#REF!</definedName>
    <definedName name="note501.1_4">'11.5'!#REF!</definedName>
    <definedName name="note501.1_5">'11.5'!#REF!</definedName>
    <definedName name="note501.2_1">'11.5'!$P$11</definedName>
    <definedName name="note501.2_2">'11.5'!$P$12</definedName>
    <definedName name="note501.2_3">'11.5'!$P$12</definedName>
    <definedName name="note501.2_4">'11.5'!$P$14</definedName>
    <definedName name="note502.1">'11.5'!$P$16</definedName>
    <definedName name="note503.1_1">'11.5'!$P$21</definedName>
    <definedName name="note503.1_2">'11.5'!$P$22</definedName>
    <definedName name="note503.1_3">'11.5'!$P$23</definedName>
    <definedName name="note503.1_4">'11.5'!$P$24</definedName>
    <definedName name="note503.1_5">'11.5'!$P$25</definedName>
    <definedName name="note503.1_6">'11.5'!$P$26</definedName>
    <definedName name="note503.1_7">'11.5'!$P$27</definedName>
    <definedName name="note503.2_1">'11.5'!$P$29</definedName>
    <definedName name="note503.2_2">'11.5'!$P$30</definedName>
    <definedName name="note503.2_3">'11.5'!$P$31</definedName>
    <definedName name="note503.2_4">'11.5'!$P$33</definedName>
    <definedName name="note503.2_5">'11.5'!$P$34</definedName>
    <definedName name="note503.3_1">'11.5'!$P$37</definedName>
    <definedName name="note503.3_2">'11.5'!$P$38</definedName>
    <definedName name="note503.3_3">'11.5'!$P$40</definedName>
    <definedName name="note503.4_1">'11.5'!$P$43</definedName>
    <definedName name="note503.4_2">'11.5'!$P$44</definedName>
    <definedName name="note503.4_3">'11.5'!$P$45</definedName>
    <definedName name="note503.4_4">'11.5'!$P$47</definedName>
    <definedName name="note503.4_5">'11.5'!$P$48</definedName>
    <definedName name="note503.4_6">'11.5'!#REF!</definedName>
    <definedName name="note503.5_1">'11.5'!$P$50</definedName>
    <definedName name="note503.5_2">'11.5'!$P$52</definedName>
    <definedName name="note503.5_3">'11.5'!$P$54</definedName>
    <definedName name="note503.5_4">'11.5'!$P$60</definedName>
    <definedName name="note503.5_5">'11.5'!$P$62</definedName>
    <definedName name="note503.5_6">'11.5'!$P$64</definedName>
    <definedName name="note503.5_7">'11.5'!$P$66</definedName>
    <definedName name="note503.5_8">'11.5'!$P$67</definedName>
    <definedName name="note503.6_1">'11.5'!$P$70</definedName>
    <definedName name="note503.6_2">'11.5'!$P$71</definedName>
    <definedName name="note503.6_3">'11.5'!$P$72</definedName>
    <definedName name="note503.6_4">'11.5'!$P$73</definedName>
    <definedName name="note503.7_1">'11.5'!$P$75</definedName>
    <definedName name="note503.7_2">'11.5'!$P$76</definedName>
    <definedName name="note504.1">'11.5'!$P$79</definedName>
    <definedName name="note504.2_1">'11.5'!$P$82</definedName>
    <definedName name="note504.2_2">'11.5'!$P$83</definedName>
    <definedName name="note504.2_3">'11.5'!$P$84</definedName>
    <definedName name="note504.3_1">'11.5'!$P$86</definedName>
    <definedName name="note504.3_2">'11.5'!$P$87</definedName>
    <definedName name="note504.3_3">'11.5'!$P$88</definedName>
    <definedName name="note504.3_4">'11.5'!$P$89</definedName>
    <definedName name="note504.3_5">'11.5'!$P$90</definedName>
    <definedName name="note504.3_6">'11.5'!$P$91</definedName>
    <definedName name="note504.3_7">'11.5'!$P$92</definedName>
    <definedName name="note504.3_8">'11.5'!$P$93</definedName>
    <definedName name="note504.3_9">'11.5'!$P$95</definedName>
    <definedName name="note505.1_1">'11.5'!$P$99</definedName>
    <definedName name="note505.1_2">'11.5'!$P$100</definedName>
    <definedName name="note505.1_3">'11.5'!$P$102</definedName>
    <definedName name="note505.2_1">'11.5'!$P$105</definedName>
    <definedName name="note505.2_2">'11.5'!$P$107</definedName>
    <definedName name="note505.3">'11.5'!$P$109</definedName>
    <definedName name="note505.4">'11.5'!$P$114</definedName>
    <definedName name="note505.5">'11.5'!$P$115</definedName>
    <definedName name="note601.1">'11.6'!$Q$9</definedName>
    <definedName name="note601.2_1">'11.6'!$Q$16</definedName>
    <definedName name="note601.2_2">'11.6'!$Q$17</definedName>
    <definedName name="note601.2_3">'11.6'!$Q$18</definedName>
    <definedName name="note601.3_1">'11.6'!$Q$20</definedName>
    <definedName name="note601.3_2">'11.6'!$Q$21</definedName>
    <definedName name="note601.3_3">'11.6'!$Q$22</definedName>
    <definedName name="note601.3_4">'11.6'!$Q$23</definedName>
    <definedName name="note601.3_5">'11.6'!$Q$24</definedName>
    <definedName name="note601.4">'11.6'!$Q$25</definedName>
    <definedName name="note601.5_1">'11.6'!$Q$28</definedName>
    <definedName name="note601.5_2">'11.6'!$Q$29</definedName>
    <definedName name="note601.5_3">'11.6'!$Q$30</definedName>
    <definedName name="note601.5_4">'11.6'!$Q$31</definedName>
    <definedName name="note601.5_5">'11.6'!$Q$32</definedName>
    <definedName name="note601.6">'11.6'!$Q$33</definedName>
    <definedName name="note601.7">'11.6'!$Q$38</definedName>
    <definedName name="note601.8">'11.6'!$Q$42</definedName>
    <definedName name="note601.9">'11.6'!$Q$44</definedName>
    <definedName name="note602.1.1.1">'11.6'!$Q$50</definedName>
    <definedName name="note602.1.1.2">'11.6'!$Q$51</definedName>
    <definedName name="note602.1.10">'11.6'!$Q$95</definedName>
    <definedName name="note602.1.11">'11.6'!$Q$99</definedName>
    <definedName name="note602.1.12">'11.6'!$Q$100</definedName>
    <definedName name="note602.1.13">'11.6'!$Q$109</definedName>
    <definedName name="note602.1.14_1">'11.6'!$Q$111</definedName>
    <definedName name="note602.1.14_2">'11.6'!$Q$112</definedName>
    <definedName name="note602.1.14_3">'11.6'!$Q$113</definedName>
    <definedName name="note602.1.2">'11.6'!$Q$52</definedName>
    <definedName name="note602.1.3.1">'11.6'!$Q$55</definedName>
    <definedName name="note602.1.3.2">'11.6'!$Q$56</definedName>
    <definedName name="note602.1.4.1_1">'11.6'!$Q$59</definedName>
    <definedName name="note602.1.4.1_2">'11.6'!$Q$60</definedName>
    <definedName name="note602.1.4.2_1">'11.6'!$Q$63</definedName>
    <definedName name="note602.1.4.2_2">'11.6'!$Q$64</definedName>
    <definedName name="note602.1.5">'11.6'!$Q$66</definedName>
    <definedName name="note602.1.6">'11.6'!$Q$71</definedName>
    <definedName name="note602.1.7.1_1">'11.6'!$Q$77</definedName>
    <definedName name="note602.1.7.1_2">'11.6'!$Q$78</definedName>
    <definedName name="note602.1.7.1_3">'11.6'!$Q$80</definedName>
    <definedName name="note602.1.7.2">'11.6'!$Q$81</definedName>
    <definedName name="note602.1.8">'11.6'!$Q$82</definedName>
    <definedName name="note602.1.9_1">'11.6'!$Q$85</definedName>
    <definedName name="note602.1.9_2">'11.6'!$Q$86</definedName>
    <definedName name="note602.1.9_3">'11.6'!$Q$87</definedName>
    <definedName name="note602.1.9_4">'11.6'!$Q$88</definedName>
    <definedName name="note602.1.9_5">'11.6'!$Q$89</definedName>
    <definedName name="note602.1.9_6">'11.6'!$Q$92</definedName>
    <definedName name="note602.1.9_7">'11.6'!$Q$93</definedName>
    <definedName name="note602.2">'11.6'!$Q$115</definedName>
    <definedName name="note602.3">'11.6'!$Q$117</definedName>
    <definedName name="note602.4.1">'11.6'!$Q$119</definedName>
    <definedName name="note602.4.2">'11.6'!$Q$120</definedName>
    <definedName name="note602.4.3">'11.6'!$Q$121</definedName>
    <definedName name="note603.1">'11.6'!$Q$124</definedName>
    <definedName name="note603.2">'11.6'!$Q$132</definedName>
    <definedName name="note603.3">'11.6'!$Q$134</definedName>
    <definedName name="note604.1.1">'11.6'!$Q$137</definedName>
    <definedName name="note604.1.2">'11.6'!$Q$139</definedName>
    <definedName name="note605.1">'11.6'!$Q$143</definedName>
    <definedName name="note605.2">'11.6'!$Q$144</definedName>
    <definedName name="note605.3">'11.6'!$Q$145</definedName>
    <definedName name="note605.4">'11.6'!$Q$146</definedName>
    <definedName name="note606.1">'11.6'!$Q$150</definedName>
    <definedName name="note606.2">'11.6'!$Q$157</definedName>
    <definedName name="note606.3">'11.6'!$Q$159</definedName>
    <definedName name="note607.1_1">'11.6'!$Q$163</definedName>
    <definedName name="note607.1_2">'11.6'!$Q$164</definedName>
    <definedName name="note607.2">'11.6'!$Q$165</definedName>
    <definedName name="note608.1">'11.6'!$Q$167</definedName>
    <definedName name="note609.1">'11.6'!$Q$170</definedName>
    <definedName name="note610.1">'11.6'!$Q$173</definedName>
    <definedName name="note610.1.1">'11.6'!$Q$174</definedName>
    <definedName name="note610.1.2_1">'11.6'!$Q$175</definedName>
    <definedName name="note610.1.2_2">'11.6'!$Q$182</definedName>
    <definedName name="note611.1">'11.6'!$Q$197</definedName>
    <definedName name="note611.2_1">'11.6'!$Q$200</definedName>
    <definedName name="note611.2_2">'11.6'!$Q$201</definedName>
    <definedName name="note611.2_3">'11.6'!$Q$202</definedName>
    <definedName name="note611.2_4">'11.6'!$Q$203</definedName>
    <definedName name="note611.2_5">'11.6'!$Q$204</definedName>
    <definedName name="note611.2_6">'11.6'!$Q$205</definedName>
    <definedName name="note611.2_7">'11.6'!$Q$206</definedName>
    <definedName name="note611.3_1">'11.6'!$Q$208</definedName>
    <definedName name="note611.3_2">'11.6'!$Q$209</definedName>
    <definedName name="note611.3_3">'11.6'!$Q$210</definedName>
    <definedName name="note611.3_4">'11.6'!$Q$211</definedName>
    <definedName name="note701.1">'11.7'!#REF!</definedName>
    <definedName name="note701.1.1">'11.7'!#REF!</definedName>
    <definedName name="note701.1.2">'11.7'!#REF!</definedName>
    <definedName name="note701.1.3">'11.7'!#REF!</definedName>
    <definedName name="note701.2">'11.7'!#REF!</definedName>
    <definedName name="note701.3">'11.7'!#REF!</definedName>
    <definedName name="note701.4.1.1">'11.7'!$Q$11</definedName>
    <definedName name="note701.4.1.2">'11.7'!$Q$12</definedName>
    <definedName name="note701.4.2.1">'11.7'!$Q$14</definedName>
    <definedName name="note701.4.2.2">'11.7'!$Q$15</definedName>
    <definedName name="note701.4.2.3">'11.7'!$Q$16</definedName>
    <definedName name="note701.4.3.1">'11.7'!$Q$18</definedName>
    <definedName name="note701.4.3.2_1">'11.7'!$Q$32</definedName>
    <definedName name="note701.4.3.2_2">'11.7'!$Q$34</definedName>
    <definedName name="note701.4.3.3">'11.7'!$Q$52</definedName>
    <definedName name="note701.4.3.4">'11.7'!$Q$53</definedName>
    <definedName name="note701.4.4">'11.7'!$Q$54</definedName>
    <definedName name="note701.4.5">'11.7'!$Q$55</definedName>
    <definedName name="note702.2.1">'11.7'!#REF!</definedName>
    <definedName name="note702.2.2">'11.7'!#REF!</definedName>
    <definedName name="note703.1.1">'11.7'!#REF!</definedName>
    <definedName name="note703.1.2">'11.7'!#REF!</definedName>
    <definedName name="note703.1.3">'11.7'!#REF!</definedName>
    <definedName name="note703.1.4">'11.7'!#REF!</definedName>
    <definedName name="note703.1.5">'11.7'!#REF!</definedName>
    <definedName name="note703.1.6.1">'11.7'!#REF!</definedName>
    <definedName name="note703.1.6.2">'11.7'!#REF!</definedName>
    <definedName name="note703.2.1">'11.7'!#REF!</definedName>
    <definedName name="note703.2.2">'11.7'!#REF!</definedName>
    <definedName name="note703.2.3">'11.7'!#REF!</definedName>
    <definedName name="note703.2.4">'11.7'!#REF!</definedName>
    <definedName name="note703.2.5">'11.7'!#REF!</definedName>
    <definedName name="note703.2.6">'11.7'!#REF!</definedName>
    <definedName name="note703.2.7">'11.7'!#REF!</definedName>
    <definedName name="note703.2.8">'11.7'!#REF!</definedName>
    <definedName name="note703.2.9">'11.7'!#REF!</definedName>
    <definedName name="note703.3.1">'11.7'!#REF!</definedName>
    <definedName name="note703.3.2">'11.7'!#REF!</definedName>
    <definedName name="note703.3.3">'11.7'!#REF!</definedName>
    <definedName name="note703.3.4">'11.7'!#REF!</definedName>
    <definedName name="note703.4.1">'11.7'!#REF!</definedName>
    <definedName name="note703.4.2">'11.7'!#REF!</definedName>
    <definedName name="note703.4.3">'11.7'!#REF!</definedName>
    <definedName name="note703.4.4">'11.7'!#REF!</definedName>
    <definedName name="note703.4.5">'11.7'!#REF!</definedName>
    <definedName name="note703.5.1">'11.7'!#REF!</definedName>
    <definedName name="note703.5.1_2">'11.7'!#REF!</definedName>
    <definedName name="note703.5.2">'11.7'!#REF!</definedName>
    <definedName name="note703.5.3_1">'11.7'!#REF!</definedName>
    <definedName name="note703.5.3_2">'11.7'!#REF!</definedName>
    <definedName name="note703.5.3_3">'11.7'!#REF!</definedName>
    <definedName name="note703.5.4">'11.7'!#REF!</definedName>
    <definedName name="note703.6.1">'11.7'!#REF!</definedName>
    <definedName name="note703.6.2">'11.7'!#REF!</definedName>
    <definedName name="note703.6.3">'11.7'!#REF!</definedName>
    <definedName name="note703.6.4">'11.7'!#REF!</definedName>
    <definedName name="note704.2.1">'11.7'!#REF!</definedName>
    <definedName name="note704.2.2">'11.7'!#REF!</definedName>
    <definedName name="note704.2.3">'11.7'!#REF!</definedName>
    <definedName name="note704.3">'11.7'!#REF!</definedName>
    <definedName name="note704.4.1">'11.7'!#REF!</definedName>
    <definedName name="note704.4.2">'11.7'!#REF!</definedName>
    <definedName name="note704.4.3">'11.7'!#REF!</definedName>
    <definedName name="note704.5.1">'11.7'!#REF!</definedName>
    <definedName name="note704.5.2.1_1">'11.7'!#REF!</definedName>
    <definedName name="note704.5.2.1_2">'11.7'!#REF!</definedName>
    <definedName name="note704.5.2.2">'11.7'!#REF!</definedName>
    <definedName name="note704.5.3">'11.7'!#REF!</definedName>
    <definedName name="note705.1">'11.7'!#REF!</definedName>
    <definedName name="note705.2_1">'11.7'!#REF!</definedName>
    <definedName name="note705.2_2">'11.7'!#REF!</definedName>
    <definedName name="note705.3">'11.7'!#REF!</definedName>
    <definedName name="note705.4.1">'11.7'!#REF!</definedName>
    <definedName name="note705.4.2">'11.7'!#REF!</definedName>
    <definedName name="note705.5">'11.7'!#REF!</definedName>
    <definedName name="note705.6">'11.7'!#REF!</definedName>
    <definedName name="note801.1.1_1thru4a">'11.8'!#REF!</definedName>
    <definedName name="note801.1.1_5">'11.8'!#REF!</definedName>
    <definedName name="note801.1.1_6">'11.8'!#REF!</definedName>
    <definedName name="note801.2_1">'11.8'!#REF!</definedName>
    <definedName name="note801.2_2">'11.8'!#REF!</definedName>
    <definedName name="note801.3_1">'11.8'!#REF!</definedName>
    <definedName name="note801.3_2">'11.8'!#REF!</definedName>
    <definedName name="note801.3_3">'11.8'!#REF!</definedName>
    <definedName name="note801.4.1_1">'11.8'!#REF!</definedName>
    <definedName name="note801.4.1_2">'11.8'!#REF!</definedName>
    <definedName name="note801.4.2">'11.8'!#REF!</definedName>
    <definedName name="note801.5_1">'11.8'!#REF!</definedName>
    <definedName name="note801.5_2">'11.8'!#REF!</definedName>
    <definedName name="note801.5_3">'11.8'!#REF!</definedName>
    <definedName name="note801.5_3a">'11.8'!#REF!</definedName>
    <definedName name="note801.5_3b">'11.8'!#REF!</definedName>
    <definedName name="note801.5_3c">'11.8'!#REF!</definedName>
    <definedName name="note801.6.1">'11.8'!#REF!</definedName>
    <definedName name="note801.6.2">'11.8'!#REF!</definedName>
    <definedName name="note801.6.2_1">'11.8'!#REF!</definedName>
    <definedName name="note801.6.2_2">'11.8'!#REF!</definedName>
    <definedName name="note801.6.3">'11.8'!#REF!</definedName>
    <definedName name="note801.6.4">'11.8'!#REF!</definedName>
    <definedName name="note801.6.5_1">'11.8'!#REF!</definedName>
    <definedName name="note801.6.5_2">'11.8'!#REF!</definedName>
    <definedName name="note801.6.5_3">'11.8'!#REF!</definedName>
    <definedName name="note801.7.1">'11.8'!#REF!</definedName>
    <definedName name="note801.7.2">'11.8'!#REF!</definedName>
    <definedName name="note801.8">'11.8'!#REF!</definedName>
    <definedName name="note802.1">'11.8'!#REF!</definedName>
    <definedName name="note802.2">'11.8'!#REF!</definedName>
    <definedName name="note802.3">'11.8'!#REF!</definedName>
    <definedName name="note802.4">'11.8'!#REF!</definedName>
    <definedName name="note802.5">'11.8'!#REF!</definedName>
    <definedName name="note901.1.1">'11.9'!$P$10</definedName>
    <definedName name="note901.1.2">'11.9'!$P$12</definedName>
    <definedName name="note901.1.3_1">'11.9'!$P$14</definedName>
    <definedName name="note901.1.3_2">'11.9'!$P$16</definedName>
    <definedName name="note901.1.4">'11.9'!$P$18</definedName>
    <definedName name="note901.1.5">'11.9'!$P$19</definedName>
    <definedName name="note901.1.6">'11.9'!$P$20</definedName>
    <definedName name="note901.10">'11.9'!$P$98</definedName>
    <definedName name="note901.10_2">'11.9'!$S$70</definedName>
    <definedName name="note901.11">'11.9'!$P$102</definedName>
    <definedName name="note901.11_1">'11.9'!$S$103</definedName>
    <definedName name="note901.12">'11.9'!$P$104</definedName>
    <definedName name="note901.13">'11.9'!$P$105</definedName>
    <definedName name="note901.14">'11.9'!$P$108</definedName>
    <definedName name="note901.15">'11.9'!$P$112</definedName>
    <definedName name="note901.2.1_1">'11.9'!$P$24</definedName>
    <definedName name="note901.2.1_2">'11.9'!$P$26</definedName>
    <definedName name="note901.2.1_3">'11.9'!$P$28</definedName>
    <definedName name="note901.2.1_4">'11.9'!$P$30</definedName>
    <definedName name="note901.2.1_5">'11.9'!$P$32</definedName>
    <definedName name="note901.2.2">'11.9'!$P$34</definedName>
    <definedName name="note901.3_1_a">'11.9'!$P$38</definedName>
    <definedName name="note901.3_1_b">'11.9'!$P$40</definedName>
    <definedName name="note901.3_1_c">'11.9'!$P$42</definedName>
    <definedName name="note901.3_2">'11.9'!$P$45</definedName>
    <definedName name="note901.4_1">'11.9'!$P$47</definedName>
    <definedName name="note901.4_2">'11.9'!$P$49</definedName>
    <definedName name="note901.4_3">'11.9'!$P$53</definedName>
    <definedName name="note901.4_4">'11.9'!$P$57</definedName>
    <definedName name="note901.4_5">'11.9'!$P$61</definedName>
    <definedName name="note901.4_6">'11.9'!$P$65</definedName>
    <definedName name="note901.5">'11.9'!$P$69</definedName>
    <definedName name="note901.6_1">'11.9'!$P$74</definedName>
    <definedName name="note901.6_2">'11.9'!$P$77</definedName>
    <definedName name="note901.7">'11.9'!$P$79</definedName>
    <definedName name="note901.8">'11.9'!$P$81</definedName>
    <definedName name="note901.9.1">'11.9'!$P$84</definedName>
    <definedName name="note901.9.2">'11.9'!$P$87</definedName>
    <definedName name="note901.9.3">'11.9'!$P$93</definedName>
    <definedName name="note901.9.4">'11.9'!$P$96</definedName>
    <definedName name="note902.1.1_1">'11.9'!$P$117</definedName>
    <definedName name="note902.1.1_2">'11.9'!$P$119</definedName>
    <definedName name="note902.1.1_3">'11.9'!$P$120</definedName>
    <definedName name="note902.1.2">'11.9'!$P$121</definedName>
    <definedName name="note902.1.3">'11.9'!$P$123</definedName>
    <definedName name="note902.1.4">'11.9'!$P$124</definedName>
    <definedName name="note902.2.1">'11.9'!$P$130</definedName>
    <definedName name="note902.2.2">'11.9'!$P$135</definedName>
    <definedName name="note902.2.3">'11.9'!$P$137</definedName>
    <definedName name="note902.3_1">'11.9'!$P$140</definedName>
    <definedName name="note902.3_2">'11.9'!$P$144</definedName>
    <definedName name="note902.4_1">'11.9'!$P$148</definedName>
    <definedName name="note902.4_2">'11.9'!$P$149</definedName>
    <definedName name="note902.5">'11.9'!$P$150</definedName>
    <definedName name="note902.6">'11.9'!$P$151</definedName>
    <definedName name="note903.1.1">'11.9'!$P$155</definedName>
    <definedName name="note903.1.2">'11.9'!$P$156</definedName>
    <definedName name="note903.2_1">'11.9'!$P$158</definedName>
    <definedName name="note903.2_2">'11.9'!$P$159</definedName>
    <definedName name="note903.3_1">'11.9'!$P$162</definedName>
    <definedName name="note903.3_2">'11.9'!$P$163</definedName>
    <definedName name="note904.1">'11.9'!$P$167</definedName>
    <definedName name="note904.2">'11.9'!$P$168</definedName>
    <definedName name="nt1001.1_1">'Designer''s Report'!$F$457</definedName>
    <definedName name="nt1001.1_10">'Designer''s Report'!$F$466</definedName>
    <definedName name="nt1001.1_11">'Designer''s Report'!$F$467</definedName>
    <definedName name="nt1001.1_12">'Designer''s Report'!$F$468</definedName>
    <definedName name="nt1001.1_13">'Designer''s Report'!$F$469</definedName>
    <definedName name="nt1001.1_14">'Designer''s Report'!$F$470</definedName>
    <definedName name="nt1001.1_15">'Designer''s Report'!$F$471</definedName>
    <definedName name="nt1001.1_16">'Designer''s Report'!$F$472</definedName>
    <definedName name="nt1001.1_17">'Designer''s Report'!$F$473</definedName>
    <definedName name="nt1001.1_18">'Designer''s Report'!$F$474</definedName>
    <definedName name="nt1001.1_19">'Designer''s Report'!$F$475</definedName>
    <definedName name="nt1001.1_2">'Designer''s Report'!$F$458</definedName>
    <definedName name="nt1001.1_20">'Designer''s Report'!$F$476</definedName>
    <definedName name="nt1001.1_21">'Designer''s Report'!$F$477</definedName>
    <definedName name="nt1001.1_3">'Designer''s Report'!$F$459</definedName>
    <definedName name="nt1001.1_4">'Designer''s Report'!$F$460</definedName>
    <definedName name="nt1001.1_5">'Designer''s Report'!$F$461</definedName>
    <definedName name="nt1001.1_6">'Designer''s Report'!$F$462</definedName>
    <definedName name="nt1001.1_7">'Designer''s Report'!$F$463</definedName>
    <definedName name="nt1001.1_8">'Designer''s Report'!$F$464</definedName>
    <definedName name="nt1001.1_9">'Designer''s Report'!$F$465</definedName>
    <definedName name="nt1002.1">'Designer''s Report'!$F$479</definedName>
    <definedName name="nt1003.1_1">'Designer''s Report'!$F$483</definedName>
    <definedName name="nt1003.1_2">'Designer''s Report'!$F$484</definedName>
    <definedName name="nt1003.1_3">'Designer''s Report'!$F$485</definedName>
    <definedName name="nt1003.1_4">'Designer''s Report'!$F$486</definedName>
    <definedName name="nt1003.1_5">'Designer''s Report'!$F$487</definedName>
    <definedName name="nt1003.1_6">'Designer''s Report'!$F$488</definedName>
    <definedName name="nt1003.1_7">'Designer''s Report'!$F$489</definedName>
    <definedName name="nt1003.1_8">'Designer''s Report'!$F$490</definedName>
    <definedName name="nt1003.2_1">'Designer''s Report'!$F$492</definedName>
    <definedName name="nt1003.2_10">'Designer''s Report'!$F$501</definedName>
    <definedName name="nt1003.2_2">'Designer''s Report'!$F$493</definedName>
    <definedName name="nt1003.2_3">'Designer''s Report'!$F$494</definedName>
    <definedName name="nt1003.2_4">'Designer''s Report'!$F$495</definedName>
    <definedName name="nt1003.2_5">'Designer''s Report'!$F$496</definedName>
    <definedName name="nt1003.2_6">'Designer''s Report'!$F$497</definedName>
    <definedName name="nt1003.2_7">'Designer''s Report'!$F$498</definedName>
    <definedName name="nt1003.2_8">'Designer''s Report'!$F$499</definedName>
    <definedName name="nt1003.2_9">'Designer''s Report'!$F$500</definedName>
    <definedName name="nt1003.3_1">'Designer''s Report'!$F$503</definedName>
    <definedName name="nt1003.3_2">'Designer''s Report'!$F$504</definedName>
    <definedName name="nt1003.3_3">'Designer''s Report'!$F$505</definedName>
    <definedName name="nt1003.3_4">'Designer''s Report'!$F$506</definedName>
    <definedName name="nt1003.3_5">'Designer''s Report'!$F$507</definedName>
    <definedName name="nt1003.3_6">'Designer''s Report'!$F$508</definedName>
    <definedName name="nt1003.3_7">'Designer''s Report'!$F$509</definedName>
    <definedName name="nt1003.3_8">'Designer''s Report'!$F$510</definedName>
    <definedName name="nt1003.3_9">'Designer''s Report'!$F$511</definedName>
    <definedName name="nt501.1_1">'Designer''s Report'!#REF!</definedName>
    <definedName name="nt501.1_2">'Designer''s Report'!#REF!</definedName>
    <definedName name="nt501.1_3">'Designer''s Report'!#REF!</definedName>
    <definedName name="nt501.1_4">'Designer''s Report'!#REF!</definedName>
    <definedName name="nt501.1_5">'Designer''s Report'!#REF!</definedName>
    <definedName name="nt501.2_1">'Designer''s Report'!$F$14</definedName>
    <definedName name="nt501.2_2">'Designer''s Report'!$F$15</definedName>
    <definedName name="nt501.2_3">'Designer''s Report'!$F$16</definedName>
    <definedName name="nt501.2_4">'Designer''s Report'!$F$17</definedName>
    <definedName name="nt502.1">'Designer''s Report'!$F$19</definedName>
    <definedName name="nt503.1_1">'Designer''s Report'!$F$22</definedName>
    <definedName name="nt503.1_2">'Designer''s Report'!$F$23</definedName>
    <definedName name="nt503.1_3">'Designer''s Report'!$F$24</definedName>
    <definedName name="nt503.1_4">'Designer''s Report'!$F$25</definedName>
    <definedName name="nt503.1_5">'Designer''s Report'!$F$26</definedName>
    <definedName name="nt503.1_6">'Designer''s Report'!$F$27</definedName>
    <definedName name="nt503.1_7">'Designer''s Report'!$F$28</definedName>
    <definedName name="nt503.2_1">'Designer''s Report'!$F$30</definedName>
    <definedName name="nt503.2_2">'Designer''s Report'!$F$31</definedName>
    <definedName name="nt503.2_3">'Designer''s Report'!$F$33</definedName>
    <definedName name="nt503.2_4">'Designer''s Report'!$F$36</definedName>
    <definedName name="nt503.2_5">'Designer''s Report'!$F$37</definedName>
    <definedName name="nt503.3_1">'Designer''s Report'!$F$39</definedName>
    <definedName name="nt503.3_2">'Designer''s Report'!$F$40</definedName>
    <definedName name="nt503.3_3">'Designer''s Report'!$F$41</definedName>
    <definedName name="nt503.4_1">'Designer''s Report'!$F$43</definedName>
    <definedName name="nt503.4_2">'Designer''s Report'!$F$44</definedName>
    <definedName name="nt503.4_3">'Designer''s Report'!$F$46</definedName>
    <definedName name="nt503.4_4">'Designer''s Report'!$F$49</definedName>
    <definedName name="nt503.4_5">'Designer''s Report'!$F$50</definedName>
    <definedName name="nt503.4_6">'Designer''s Report'!#REF!</definedName>
    <definedName name="nt503.5_1">'Designer''s Report'!$F$52</definedName>
    <definedName name="nt503.5_2">'Designer''s Report'!$F$53</definedName>
    <definedName name="nt503.5_3">'Designer''s Report'!$F$55</definedName>
    <definedName name="nt503.5_4">'Designer''s Report'!$F$59</definedName>
    <definedName name="nt503.5_5">'Designer''s Report'!$F$60</definedName>
    <definedName name="nt503.5_6">'Designer''s Report'!$F$61</definedName>
    <definedName name="nt503.5_7">'Designer''s Report'!$F$62</definedName>
    <definedName name="nt503.5_8">'Designer''s Report'!$F$63</definedName>
    <definedName name="nt503.6_1">'Designer''s Report'!$F$65</definedName>
    <definedName name="nt503.6_2">'Designer''s Report'!$F$66</definedName>
    <definedName name="nt503.6_3">'Designer''s Report'!$F$67</definedName>
    <definedName name="nt503.6_4">'Designer''s Report'!$F$68</definedName>
    <definedName name="nt503.7_1">'Designer''s Report'!$F$70</definedName>
    <definedName name="nt503.7_2">'Designer''s Report'!$F$71</definedName>
    <definedName name="nt504.1">'Designer''s Report'!$F$73</definedName>
    <definedName name="nt504.2_1">'Designer''s Report'!$F$75</definedName>
    <definedName name="nt504.2_2">'Designer''s Report'!$F$76</definedName>
    <definedName name="nt504.2_3">'Designer''s Report'!$F$77</definedName>
    <definedName name="nt504.3_1">'Designer''s Report'!$F$79</definedName>
    <definedName name="nt504.3_2">'Designer''s Report'!$F$80</definedName>
    <definedName name="nt504.3_3">'Designer''s Report'!$F$81</definedName>
    <definedName name="nt504.3_4">'Designer''s Report'!$F$82</definedName>
    <definedName name="nt504.3_5">'Designer''s Report'!$F$83</definedName>
    <definedName name="nt504.3_6">'Designer''s Report'!$F$84</definedName>
    <definedName name="nt504.3_7">'Designer''s Report'!$F$85</definedName>
    <definedName name="nt504.3_8">'Designer''s Report'!$F$86</definedName>
    <definedName name="nt504.3_9">'Designer''s Report'!$F$87</definedName>
    <definedName name="nt505.1_1">'Designer''s Report'!$F$90</definedName>
    <definedName name="nt505.1_2">'Designer''s Report'!$F$91</definedName>
    <definedName name="nt505.1_3">'Designer''s Report'!$F$93</definedName>
    <definedName name="nt505.2_1">'Designer''s Report'!$F$97</definedName>
    <definedName name="nt505.2_2">'Designer''s Report'!$F$98</definedName>
    <definedName name="nt505.3">'Designer''s Report'!$F$100</definedName>
    <definedName name="nt505.4">'Designer''s Report'!$F$103</definedName>
    <definedName name="nt505.5">'Designer''s Report'!$F$104</definedName>
    <definedName name="nt601.1">'Designer''s Report'!$F$109</definedName>
    <definedName name="nt601.2_2">'Designer''s Report'!$F$116</definedName>
    <definedName name="nt601.2_3">'Designer''s Report'!$F$117</definedName>
    <definedName name="nt601.3_1">'Designer''s Report'!$F$119</definedName>
    <definedName name="nt601.3_2">'Designer''s Report'!$F$120</definedName>
    <definedName name="nt601.3_3">'Designer''s Report'!$F$121</definedName>
    <definedName name="nt601.3_4">'Designer''s Report'!$F$122</definedName>
    <definedName name="nt601.3_5">'Designer''s Report'!$F$123</definedName>
    <definedName name="nt601.4">'Designer''s Report'!$F$124</definedName>
    <definedName name="nt601.5_1">'Designer''s Report'!$F$126</definedName>
    <definedName name="nt601.5_2">'Designer''s Report'!$F$127</definedName>
    <definedName name="nt601.5_3">'Designer''s Report'!$F$128</definedName>
    <definedName name="nt601.5_4">'Designer''s Report'!$F$129</definedName>
    <definedName name="nt601.5_5">'Designer''s Report'!$F$130</definedName>
    <definedName name="nt601.6">'Designer''s Report'!$F$132</definedName>
    <definedName name="nt601.7">'Designer''s Report'!$F$136</definedName>
    <definedName name="nt601.8">'Designer''s Report'!$F$139</definedName>
    <definedName name="nt601.9">'Designer''s Report'!$F$140</definedName>
    <definedName name="nt602.1.1.1">'Designer''s Report'!$F$143</definedName>
    <definedName name="nt602.1.1.2">'Designer''s Report'!$F$144</definedName>
    <definedName name="nt602.1.10">'Designer''s Report'!$F$180</definedName>
    <definedName name="nt602.1.11">'Designer''s Report'!$F$183</definedName>
    <definedName name="nt602.1.12">'Designer''s Report'!$F$184</definedName>
    <definedName name="nt602.1.13">'Designer''s Report'!$F$185</definedName>
    <definedName name="nt602.1.14_1">'Designer''s Report'!$F$187</definedName>
    <definedName name="nt602.1.14_2">'Designer''s Report'!$F$188</definedName>
    <definedName name="nt602.1.14_3">'Designer''s Report'!$F$189</definedName>
    <definedName name="nt602.1.2">'Designer''s Report'!$F$145</definedName>
    <definedName name="nt602.1.3.1">'Designer''s Report'!$F$147</definedName>
    <definedName name="nt602.1.3.2">'Designer''s Report'!$F$148</definedName>
    <definedName name="nt602.1.4.1_1">'Designer''s Report'!$F$151</definedName>
    <definedName name="nt602.1.4.1_2">'Designer''s Report'!$F$152</definedName>
    <definedName name="nt602.1.4.2_1">'Designer''s Report'!$F$154</definedName>
    <definedName name="nt602.1.4.2_2">'Designer''s Report'!$F$155</definedName>
    <definedName name="nt602.1.5">'Designer''s Report'!$F$156</definedName>
    <definedName name="nt602.1.6">'Designer''s Report'!$F$158</definedName>
    <definedName name="nt602.1.7.1_1">'Designer''s Report'!$F$163</definedName>
    <definedName name="nt602.1.7.1_2">'Designer''s Report'!$F$164</definedName>
    <definedName name="nt602.1.7.1_3">'Designer''s Report'!$F$166</definedName>
    <definedName name="nt602.1.7.2">'Designer''s Report'!$F$167</definedName>
    <definedName name="nt602.1.8">'Designer''s Report'!$F$168</definedName>
    <definedName name="nt602.1.9_1">'Designer''s Report'!$F$170</definedName>
    <definedName name="nt602.1.9_2">'Designer''s Report'!$F$171</definedName>
    <definedName name="nt602.1.9_3">'Designer''s Report'!$F$172</definedName>
    <definedName name="nt602.1.9_4">'Designer''s Report'!$F$173</definedName>
    <definedName name="nt602.1.9_5">'Designer''s Report'!$F$175</definedName>
    <definedName name="nt602.1.9_6">'Designer''s Report'!$F$177</definedName>
    <definedName name="nt602.1.9_7">'Designer''s Report'!$F$178</definedName>
    <definedName name="nt602.2">'Designer''s Report'!$F$192</definedName>
    <definedName name="nt602.3">'Designer''s Report'!$F$195</definedName>
    <definedName name="nt602.4.1">'Designer''s Report'!$F$196</definedName>
    <definedName name="nt602.4.2">'Designer''s Report'!$F$197</definedName>
    <definedName name="nt602.4.3">'Designer''s Report'!$F$198</definedName>
    <definedName name="nt603.1">'Designer''s Report'!$F$200</definedName>
    <definedName name="nt603.2">'Designer''s Report'!$F$202</definedName>
    <definedName name="nt603.3">'Designer''s Report'!$F$204</definedName>
    <definedName name="nt604.1.1">'Designer''s Report'!$F$207</definedName>
    <definedName name="nt604.1.2">'Designer''s Report'!$F$211</definedName>
    <definedName name="nt605.1">'Designer''s Report'!$F$215</definedName>
    <definedName name="nt605.3">'Designer''s Report'!$F$218</definedName>
    <definedName name="nt606.1">'Designer''s Report'!$F$223</definedName>
    <definedName name="nt606.2">'Designer''s Report'!$F$228</definedName>
    <definedName name="nt606.3">'Designer''s Report'!$F$231</definedName>
    <definedName name="nt607.2">'Designer''s Report'!$F$237</definedName>
    <definedName name="nt609.1">'Designer''s Report'!$F$245</definedName>
    <definedName name="nt610.1">'Designer''s Report'!$F$251</definedName>
    <definedName name="nt610.1.1">'Designer''s Report'!$F$252</definedName>
    <definedName name="nt610.1.2_1">'Designer''s Report'!$F$254</definedName>
    <definedName name="nt610.1.2_2">'Designer''s Report'!$F$257</definedName>
    <definedName name="nt611.1">'Designer''s Report'!$F$264</definedName>
    <definedName name="nt611.2_1">'Designer''s Report'!$F$275</definedName>
    <definedName name="nt611.2_2">'Designer''s Report'!$F$276</definedName>
    <definedName name="nt611.2_3">'Designer''s Report'!$F$277</definedName>
    <definedName name="nt611.2_4">'Designer''s Report'!$F$278</definedName>
    <definedName name="nt611.2_5">'Designer''s Report'!$F$279</definedName>
    <definedName name="nt611.2_6">'Designer''s Report'!$F$280</definedName>
    <definedName name="nt611.2_7">'Designer''s Report'!$F$281</definedName>
    <definedName name="nt611.3_1">'Designer''s Report'!$F$283</definedName>
    <definedName name="nt611.3_2">'Designer''s Report'!$F$284</definedName>
    <definedName name="nt611.3_3">'Designer''s Report'!$F$285</definedName>
    <definedName name="nt611.3_4">'Designer''s Report'!$F$286</definedName>
    <definedName name="nt701.1">'Designer''s Report'!#REF!</definedName>
    <definedName name="nt701.1.3">'Designer''s Report'!#REF!</definedName>
    <definedName name="nt701.3">'Designer''s Report'!#REF!</definedName>
    <definedName name="nt701.4.1.1">'Designer''s Report'!$F$293</definedName>
    <definedName name="nt701.4.1.2">'Designer''s Report'!$F$294</definedName>
    <definedName name="nt701.4.2.1">'Designer''s Report'!$F$296</definedName>
    <definedName name="nt701.4.2.2">'Designer''s Report'!$F$297</definedName>
    <definedName name="nt701.4.2.3">'Designer''s Report'!$F$298</definedName>
    <definedName name="nt701.4.3.1">'Designer''s Report'!$F$300</definedName>
    <definedName name="nt701.4.3.2_1">'Designer''s Report'!$F$302</definedName>
    <definedName name="nt701.4.3.2_2">'Designer''s Report'!$F$304</definedName>
    <definedName name="nt701.4.3.3">'Designer''s Report'!$F$305</definedName>
    <definedName name="nt701.4.3.4">'Designer''s Report'!$F$306</definedName>
    <definedName name="nt701.4.4">'Designer''s Report'!$F$307</definedName>
    <definedName name="nt701.4.5">'Designer''s Report'!$F$308</definedName>
    <definedName name="nt702.2.1">'Designer''s Report'!#REF!</definedName>
    <definedName name="nt702.2.2">'Designer''s Report'!#REF!</definedName>
    <definedName name="nt703.1.1">'Designer''s Report'!#REF!</definedName>
    <definedName name="nt703.1.2">'Designer''s Report'!#REF!</definedName>
    <definedName name="nt703.1.3">'Designer''s Report'!#REF!</definedName>
    <definedName name="nt703.1.4">'Designer''s Report'!#REF!</definedName>
    <definedName name="nt703.1.5">'Designer''s Report'!#REF!</definedName>
    <definedName name="nt703.1.6.1">'Designer''s Report'!#REF!</definedName>
    <definedName name="nt703.1.6.2">'Designer''s Report'!#REF!</definedName>
    <definedName name="nt703.2.1">'Designer''s Report'!#REF!</definedName>
    <definedName name="nt703.2.2">'Designer''s Report'!#REF!</definedName>
    <definedName name="nt703.2.3">'Designer''s Report'!#REF!</definedName>
    <definedName name="nt703.2.4">'Designer''s Report'!#REF!</definedName>
    <definedName name="nt703.2.5">'Designer''s Report'!#REF!</definedName>
    <definedName name="nt703.2.6">'Designer''s Report'!#REF!</definedName>
    <definedName name="nt703.2.7">'Designer''s Report'!#REF!</definedName>
    <definedName name="nt703.2.8">'Designer''s Report'!#REF!</definedName>
    <definedName name="nt703.2.9">'Designer''s Report'!#REF!</definedName>
    <definedName name="nt703.3.1">'Designer''s Report'!#REF!</definedName>
    <definedName name="nt703.3.2">'Designer''s Report'!#REF!</definedName>
    <definedName name="nt703.3.3">'Designer''s Report'!#REF!</definedName>
    <definedName name="nt703.3.4">'Designer''s Report'!#REF!</definedName>
    <definedName name="nt703.4.1">'Designer''s Report'!#REF!</definedName>
    <definedName name="nt703.4.2">'Designer''s Report'!#REF!</definedName>
    <definedName name="nt703.4.3">'Designer''s Report'!#REF!</definedName>
    <definedName name="nt703.4.4">'Designer''s Report'!#REF!</definedName>
    <definedName name="nt703.4.5">'Designer''s Report'!#REF!</definedName>
    <definedName name="nt703.5.1_1">'Designer''s Report'!#REF!</definedName>
    <definedName name="nt703.5.1_2">'Designer''s Report'!#REF!</definedName>
    <definedName name="nt703.5.2">'Designer''s Report'!#REF!</definedName>
    <definedName name="nt703.5.3_1">'Designer''s Report'!#REF!</definedName>
    <definedName name="nt703.5.3_2">'Designer''s Report'!#REF!</definedName>
    <definedName name="nt703.5.3_3">'Designer''s Report'!#REF!</definedName>
    <definedName name="nt703.5.4">'Designer''s Report'!#REF!</definedName>
    <definedName name="nt703.6.1">'Designer''s Report'!#REF!</definedName>
    <definedName name="nt703.6.2">'Designer''s Report'!#REF!</definedName>
    <definedName name="nt703.6.3">'Designer''s Report'!#REF!</definedName>
    <definedName name="nt703.6.4">'Designer''s Report'!#REF!</definedName>
    <definedName name="nt704.2.1">'Designer''s Report'!#REF!</definedName>
    <definedName name="nt704.2.2">'Designer''s Report'!#REF!</definedName>
    <definedName name="nt704.2.3">'Designer''s Report'!#REF!</definedName>
    <definedName name="nt704.3">'Designer''s Report'!#REF!</definedName>
    <definedName name="nt704.4.1">'Designer''s Report'!#REF!</definedName>
    <definedName name="nt704.4.2">'Designer''s Report'!#REF!</definedName>
    <definedName name="nt704.4.3">'Designer''s Report'!#REF!</definedName>
    <definedName name="nt704.5.1">'Designer''s Report'!#REF!</definedName>
    <definedName name="nt704.5.2.1_1">'Designer''s Report'!#REF!</definedName>
    <definedName name="nt704.5.2.1_2">'Designer''s Report'!#REF!</definedName>
    <definedName name="nt704.5.2.2">'Designer''s Report'!#REF!</definedName>
    <definedName name="nt704.5.3">'Designer''s Report'!#REF!</definedName>
    <definedName name="nt705.1">'Designer''s Report'!#REF!</definedName>
    <definedName name="nt705.1_1">'Designer''s Report'!#REF!</definedName>
    <definedName name="nt705.2_2">'Designer''s Report'!#REF!</definedName>
    <definedName name="nt705.3">'Designer''s Report'!#REF!</definedName>
    <definedName name="nt705.4.1">'Designer''s Report'!#REF!</definedName>
    <definedName name="nt705.4.2">'Designer''s Report'!#REF!</definedName>
    <definedName name="nt705.5">'Designer''s Report'!#REF!</definedName>
    <definedName name="nt705.6">'Designer''s Report'!#REF!</definedName>
    <definedName name="nt801.1.1_1thru4a">'Designer''s Report'!#REF!</definedName>
    <definedName name="nt801.1.1_5">'Designer''s Report'!#REF!</definedName>
    <definedName name="nt801.1.1_6">'Designer''s Report'!#REF!</definedName>
    <definedName name="nt801.2_1">'Designer''s Report'!#REF!</definedName>
    <definedName name="nt801.2_2">'Designer''s Report'!#REF!</definedName>
    <definedName name="nt801.3_1">'Designer''s Report'!#REF!</definedName>
    <definedName name="nt801.3_2">'Designer''s Report'!#REF!</definedName>
    <definedName name="nt801.3_3">'Designer''s Report'!#REF!</definedName>
    <definedName name="nt801.4.1_1">'Designer''s Report'!#REF!</definedName>
    <definedName name="nt801.4.1_2">'Designer''s Report'!#REF!</definedName>
    <definedName name="nt801.4.2">'Designer''s Report'!#REF!</definedName>
    <definedName name="nt801.5_1">'Designer''s Report'!#REF!</definedName>
    <definedName name="nt801.5_2">'Designer''s Report'!#REF!</definedName>
    <definedName name="nt801.5_3">'Designer''s Report'!#REF!</definedName>
    <definedName name="nt801.5_3a">'Designer''s Report'!#REF!</definedName>
    <definedName name="nt801.5_3b">'Designer''s Report'!#REF!</definedName>
    <definedName name="nt801.5_3c">'Designer''s Report'!#REF!</definedName>
    <definedName name="nt801.6.1">'Designer''s Report'!#REF!</definedName>
    <definedName name="nt801.6.2_1">'Designer''s Report'!#REF!</definedName>
    <definedName name="nt801.6.2_2">'Designer''s Report'!#REF!</definedName>
    <definedName name="nt801.6.3">'Designer''s Report'!#REF!</definedName>
    <definedName name="nt801.6.4">'Designer''s Report'!#REF!</definedName>
    <definedName name="nt801.6.5_1">'Designer''s Report'!#REF!</definedName>
    <definedName name="nt801.6.5_3">'Designer''s Report'!#REF!</definedName>
    <definedName name="nt801.7.1">'Designer''s Report'!#REF!</definedName>
    <definedName name="nt801.7.2">'Designer''s Report'!#REF!</definedName>
    <definedName name="nt801.8">'Designer''s Report'!#REF!</definedName>
    <definedName name="nt802.1">'Designer''s Report'!#REF!</definedName>
    <definedName name="nt802.3">'Designer''s Report'!#REF!</definedName>
    <definedName name="nt802.4">'Designer''s Report'!$F$314</definedName>
    <definedName name="nt802.5">'Designer''s Report'!#REF!</definedName>
    <definedName name="nt901.1.1">'Designer''s Report'!$F$319</definedName>
    <definedName name="nt901.1.2">'Designer''s Report'!$F$321</definedName>
    <definedName name="nt901.1.3_1">'Designer''s Report'!$F$323</definedName>
    <definedName name="nt901.1.3_2">'Designer''s Report'!$F$325</definedName>
    <definedName name="nt901.1.4">'Designer''s Report'!$F$327</definedName>
    <definedName name="nt901.1.5">'Designer''s Report'!$F$328</definedName>
    <definedName name="nt901.1.6">'Designer''s Report'!$F$330</definedName>
    <definedName name="nt901.10">'Designer''s Report'!$F$393</definedName>
    <definedName name="nt901.11">'Designer''s Report'!$F$396</definedName>
    <definedName name="nt901.12">'Designer''s Report'!$F$397</definedName>
    <definedName name="nt901.13">'Designer''s Report'!$F$399</definedName>
    <definedName name="nt901.14">'Designer''s Report'!$F$403</definedName>
    <definedName name="nt901.2.1_1">'Designer''s Report'!$F$334</definedName>
    <definedName name="nt901.2.1_2">'Designer''s Report'!$F$336</definedName>
    <definedName name="nt901.2.1_3">'Designer''s Report'!$F$338</definedName>
    <definedName name="nt901.2.1_4">'Designer''s Report'!$F$340</definedName>
    <definedName name="nt901.2.1_5">'Designer''s Report'!$F$342</definedName>
    <definedName name="nt901.2.2">'Designer''s Report'!$F$344</definedName>
    <definedName name="nt901.3_1_a">'Designer''s Report'!$F$346</definedName>
    <definedName name="nt901.3_1_b">'Designer''s Report'!$F$348</definedName>
    <definedName name="nt901.3_1_c">'Designer''s Report'!$F$350</definedName>
    <definedName name="nt901.3_2">'Designer''s Report'!$F$351</definedName>
    <definedName name="nt901.4_1">'Designer''s Report'!$F$352</definedName>
    <definedName name="nt901.4_2">'Designer''s Report'!$F$355</definedName>
    <definedName name="nt901.4_3">'Designer''s Report'!$F$360</definedName>
    <definedName name="nt901.4_4">'Designer''s Report'!$F$365</definedName>
    <definedName name="nt901.4_5">'Designer''s Report'!$F$370</definedName>
    <definedName name="nt901.4_6">'Designer''s Report'!$F$375</definedName>
    <definedName name="nt901.5">'Designer''s Report'!$F$380</definedName>
    <definedName name="nt901.6_1">'Designer''s Report'!$F$383</definedName>
    <definedName name="nt901.6_2">'Designer''s Report'!$F$384</definedName>
    <definedName name="nt901.7">'Designer''s Report'!$F$386</definedName>
    <definedName name="nt901.8">'Designer''s Report'!$F$387</definedName>
    <definedName name="nt901.9.1">'Designer''s Report'!$F$389</definedName>
    <definedName name="nt901.9.2">'Designer''s Report'!$F$390</definedName>
    <definedName name="nt901.9.3">'Designer''s Report'!$F$391</definedName>
    <definedName name="nt902.1.1_1">'Designer''s Report'!$F$408</definedName>
    <definedName name="nt902.1.1_2">'Designer''s Report'!$F$410</definedName>
    <definedName name="nt902.1.1_3">'Designer''s Report'!$F$411</definedName>
    <definedName name="nt902.1.2">'Designer''s Report'!$F$413</definedName>
    <definedName name="nt902.1.3">'Designer''s Report'!$F$417</definedName>
    <definedName name="nt902.1.4">'Designer''s Report'!$F$418</definedName>
    <definedName name="nt902.2.1">'Designer''s Report'!$F$423</definedName>
    <definedName name="nt902.2.2">'Designer''s Report'!$F$427</definedName>
    <definedName name="nt902.2.3">'Designer''s Report'!$F$428</definedName>
    <definedName name="nt902.3_1">'Designer''s Report'!$F$430</definedName>
    <definedName name="nt902.3_2">'Designer''s Report'!$F$434</definedName>
    <definedName name="nt902.4_1">'Designer''s Report'!$F$436</definedName>
    <definedName name="nt902.4_2">'Designer''s Report'!$F$437</definedName>
    <definedName name="nt902.5">'Designer''s Report'!$F$438</definedName>
    <definedName name="nt902.6">'Designer''s Report'!$F$439</definedName>
    <definedName name="nt903.1.1">'Designer''s Report'!$F$442</definedName>
    <definedName name="nt903.1.2">'Designer''s Report'!$F$443</definedName>
    <definedName name="nt903.2_1">'Designer''s Report'!$F$445</definedName>
    <definedName name="nt903.2_2">'Designer''s Report'!$F$446</definedName>
    <definedName name="nt903.3_1">'Designer''s Report'!$F$448</definedName>
    <definedName name="nt903.3_2">'Designer''s Report'!$F$449</definedName>
    <definedName name="nt904.1">'Designer''s Report'!$F$451</definedName>
    <definedName name="nt904.2">'Designer''s Report'!$F$452</definedName>
    <definedName name="Oil">Formulas!$R$72:$R$73</definedName>
    <definedName name="OilBoiler">Formulas!$I$72:$I$73</definedName>
    <definedName name="OilFurnace">Formulas!$G$72:$G$73</definedName>
    <definedName name="One">Formulas!$Q$5</definedName>
    <definedName name="points503.5_1">'11.5'!$N$50</definedName>
    <definedName name="points503.5_2">'11.5'!$N$52</definedName>
    <definedName name="points503.5_3a">'11.5'!$L$56</definedName>
    <definedName name="points503.5_3b">'11.5'!$L$57</definedName>
    <definedName name="points503.5_3c">'11.5'!$L$58</definedName>
    <definedName name="points503.5_3d">'11.5'!$L$59</definedName>
    <definedName name="points503.5_4">'11.5'!$N$60</definedName>
    <definedName name="points503.5_5">'11.5'!$N$62</definedName>
    <definedName name="points503.5_6">'11.5'!$N$64</definedName>
    <definedName name="points703.1.3_1">'11.7'!#REF!</definedName>
    <definedName name="points703.1.3_2">'11.7'!#REF!</definedName>
    <definedName name="points703.1.4">'11.7'!#REF!</definedName>
    <definedName name="points703.1.5_1">'11.7'!#REF!</definedName>
    <definedName name="points703.1.5_2">'11.7'!#REF!</definedName>
    <definedName name="points703.1.5_3">'11.7'!#REF!</definedName>
    <definedName name="points703.1.5_4">'11.7'!#REF!</definedName>
    <definedName name="points703.1.5_5">'11.7'!#REF!</definedName>
    <definedName name="points703.1.6.2_a">'11.7'!#REF!</definedName>
    <definedName name="points703.1.6.2_b">'11.7'!#REF!</definedName>
    <definedName name="points703.1.6.2_c">'11.7'!#REF!</definedName>
    <definedName name="points703.2.3_1">'11.7'!#REF!</definedName>
    <definedName name="points703.2.3_2">'11.7'!#REF!</definedName>
    <definedName name="points703.2.3_3">'11.7'!#REF!</definedName>
    <definedName name="points703.2.3_4">'11.7'!#REF!</definedName>
    <definedName name="points703.2.4_1">'11.7'!#REF!</definedName>
    <definedName name="points703.2.4_2">'11.7'!#REF!</definedName>
    <definedName name="points703.2.4_3">'11.7'!#REF!</definedName>
    <definedName name="points703.2.4_4">'11.7'!#REF!</definedName>
    <definedName name="points703.2.4_5">'11.7'!#REF!</definedName>
    <definedName name="points703.2.5">'11.7'!#REF!</definedName>
    <definedName name="points703.2.6_1">'11.7'!#REF!</definedName>
    <definedName name="points703.2.6_2">'11.7'!#REF!</definedName>
    <definedName name="points703.2.6_3">'11.7'!#REF!</definedName>
    <definedName name="points703.2.6_4">'11.7'!#REF!</definedName>
    <definedName name="points703.2.6_5">'11.7'!#REF!</definedName>
    <definedName name="points703.2.8">'11.7'!#REF!</definedName>
    <definedName name="points703.3.1">'11.7'!#REF!</definedName>
    <definedName name="points703.3.2">'11.7'!#REF!</definedName>
    <definedName name="points703.3.3">'11.7'!#REF!</definedName>
    <definedName name="points703.3.4_1">'11.7'!#REF!</definedName>
    <definedName name="points703.3.4_2">'11.7'!#REF!</definedName>
    <definedName name="points703.3.4_3">'11.7'!#REF!</definedName>
    <definedName name="points703.4.2">'11.7'!#REF!</definedName>
    <definedName name="points703.4.5_1">'11.7'!#REF!</definedName>
    <definedName name="points703.4.5_2">'11.7'!#REF!</definedName>
    <definedName name="points703.4.5_3">'11.7'!#REF!</definedName>
    <definedName name="points703.4.5_4">'11.7'!#REF!</definedName>
    <definedName name="points703.4.5_5">'11.7'!#REF!</definedName>
    <definedName name="points703.5.1_1">'11.7'!#REF!</definedName>
    <definedName name="points703.5.1_2">'11.7'!#REF!</definedName>
    <definedName name="points703.5.3_1">'11.7'!#REF!</definedName>
    <definedName name="points703.6.1">'11.7'!#REF!</definedName>
    <definedName name="points703.6.4">'11.7'!#REF!</definedName>
    <definedName name="_xlnm.Print_Area" localSheetId="13">Figures!$A$1:$I$184</definedName>
    <definedName name="_xlnm.Print_Area" localSheetId="8">'Verification Rpt'!$E$1:$M$669</definedName>
    <definedName name="_xlnm.Print_Titles" localSheetId="13">Figures!$1:$1</definedName>
    <definedName name="projectLevel">Formulas!$D$216</definedName>
    <definedName name="projectMandatoryCount">Formulas!$E$115:$E$118</definedName>
    <definedName name="projectscope">'Final Signature'!$A$17</definedName>
    <definedName name="projectTotal">Formulas!$A$153</definedName>
    <definedName name="projectValue">Formulas!$E$214</definedName>
    <definedName name="pts703.1.3_1">Formulas!$F$281</definedName>
    <definedName name="pts703.1.3_2">Formulas!$F$282</definedName>
    <definedName name="pts703.2.8">Formulas!$AU$79</definedName>
    <definedName name="pts703.3.1">Formulas!$AU$83</definedName>
    <definedName name="pts703.3.2">Formulas!$AU$87</definedName>
    <definedName name="pts703.3.3">Formulas!$AU$91</definedName>
    <definedName name="pts703.3.4">Formulas!$AU$94</definedName>
    <definedName name="pts703.4.1">Formulas!$BF$36</definedName>
    <definedName name="pts703.4.2">Formulas!$BF$50</definedName>
    <definedName name="pts703.4.5">Formulas!$BF$54</definedName>
    <definedName name="pts703.5.1">Formulas!$BF$64</definedName>
    <definedName name="pts703.5.3">Formulas!$BF$71</definedName>
    <definedName name="ReductionEnergy">'11.7'!$P$81</definedName>
    <definedName name="reportage">Formulas!$B$1</definedName>
    <definedName name="ReportStatus">'Verification Rpt'!$K$8</definedName>
    <definedName name="ReportType">'Verification Rpt'!$I$8</definedName>
    <definedName name="score503.2_3">Formulas!$A$22</definedName>
    <definedName name="score503.4_3">Formulas!$B$22</definedName>
    <definedName name="score503.5_3">Formulas!$C$33</definedName>
    <definedName name="score505.1_3">Formulas!$D$22</definedName>
    <definedName name="score505.3">Formulas!$E$22</definedName>
    <definedName name="score601.1">Formulas!$A$56</definedName>
    <definedName name="score601.6">Formulas!$C$56</definedName>
    <definedName name="score602.1.10">Formulas!$M$56</definedName>
    <definedName name="score602.1.15_3">Formulas!$P$56</definedName>
    <definedName name="score602.1.2">Formulas!$R$56</definedName>
    <definedName name="score602.1.6">Formulas!$H$56</definedName>
    <definedName name="score602.1.7.1_2">Formulas!$I$56</definedName>
    <definedName name="score602.1.9_5">Formulas!$L$56</definedName>
    <definedName name="score602.2">Formulas!$Q$56</definedName>
    <definedName name="score603.1">Formulas!$T$56</definedName>
    <definedName name="score603.2">Formulas!$U$56</definedName>
    <definedName name="score604.1.1">Formulas!$V$56</definedName>
    <definedName name="score604.1.2">Formulas!$W$56</definedName>
    <definedName name="score605.4">Formulas!$X$56</definedName>
    <definedName name="score606.3">Formulas!$Z$56</definedName>
    <definedName name="score608.1">Formulas!$AA$56</definedName>
    <definedName name="score609.1">Formulas!$AB$56</definedName>
    <definedName name="score610.1">Formulas!$AC$56</definedName>
    <definedName name="score610.1.1">Formulas!$AD$56</definedName>
    <definedName name="score610.1.2">Formulas!$AG$56</definedName>
    <definedName name="score610.1.2_1">Formulas!$AE$56</definedName>
    <definedName name="score610.1.2_2">Formulas!$AF$56</definedName>
    <definedName name="score611.1">Formulas!$AH$56</definedName>
    <definedName name="score611.2">Formulas!$AI$56</definedName>
    <definedName name="score701.4.3.2">Formulas!$I$63</definedName>
    <definedName name="score702.2.2">Formulas!$P$67</definedName>
    <definedName name="score703.1.1Zone1">Formulas!$A$76</definedName>
    <definedName name="score703.1.1Zone2">Formulas!$A$77</definedName>
    <definedName name="score703.1.1Zone3">Formulas!$A$78</definedName>
    <definedName name="score703.1.1Zone4">Formulas!$A$79</definedName>
    <definedName name="score703.1.1Zone5">Formulas!$A$80</definedName>
    <definedName name="score703.1.1Zone6">Formulas!$A$81</definedName>
    <definedName name="score703.1.1Zone7">Formulas!$A$82</definedName>
    <definedName name="score703.1.1Zone8">Formulas!$A$83</definedName>
    <definedName name="score703.1.2">Formulas!$R$67</definedName>
    <definedName name="score703.1.3Zone1_4">Formulas!$B$76</definedName>
    <definedName name="score703.1.3Zone5">Formulas!$B$77</definedName>
    <definedName name="score703.1.3Zone6">Formulas!$B$78</definedName>
    <definedName name="score703.1.5Zone1">Formulas!$C$76</definedName>
    <definedName name="score703.1.5Zone2">Formulas!$C$77</definedName>
    <definedName name="score703.1.5Zone3">Formulas!$C$78</definedName>
    <definedName name="score703.1.5Zone4">Formulas!$C$79</definedName>
    <definedName name="score703.1.5Zone5">Formulas!$C$80</definedName>
    <definedName name="score703.1.5Zone6">Formulas!$C$81</definedName>
    <definedName name="score703.1.5Zone7">Formulas!$C$82</definedName>
    <definedName name="score703.1.5Zone8">Formulas!$C$83</definedName>
    <definedName name="score703.1.6.2">Formulas!$D$76</definedName>
    <definedName name="score703.2.2_1Zone1">Formulas!$F$77</definedName>
    <definedName name="score703.2.2_1Zone2">Formulas!$F$78</definedName>
    <definedName name="score703.2.2_1Zone3">Formulas!$F$79</definedName>
    <definedName name="score703.2.2_1Zone4">Formulas!$F$80</definedName>
    <definedName name="score703.2.2_1Zone5">Formulas!$F$81</definedName>
    <definedName name="score703.2.2_1Zone6">Formulas!$F$82</definedName>
    <definedName name="score703.2.2_1Zone7">Formulas!$F$83</definedName>
    <definedName name="score703.2.2_1Zone8">Formulas!$F$84</definedName>
    <definedName name="score703.2.2_2Zone1">Formulas!$G$77</definedName>
    <definedName name="score703.2.2_2Zone2">Formulas!$G$78</definedName>
    <definedName name="score703.2.2_2Zone3">Formulas!$G$79</definedName>
    <definedName name="score703.2.2_2Zone4">Formulas!$G$80</definedName>
    <definedName name="score703.2.2_2Zone5">Formulas!$G$81</definedName>
    <definedName name="score703.2.2_2Zone6">Formulas!$G$82</definedName>
    <definedName name="score703.2.2_2Zone7">Formulas!$G$83</definedName>
    <definedName name="score703.2.2_2Zone8">Formulas!$G$84</definedName>
    <definedName name="score703.2.2_3Zone1">Formulas!$H$77</definedName>
    <definedName name="score703.2.2_3Zone2">Formulas!$H$78</definedName>
    <definedName name="score703.2.2_3Zone3">Formulas!$H$79</definedName>
    <definedName name="score703.2.2_3Zone4">Formulas!$H$80</definedName>
    <definedName name="score703.2.2_3Zone5">Formulas!$H$81</definedName>
    <definedName name="score703.2.2_3Zone6">Formulas!$H$82</definedName>
    <definedName name="score703.2.2_3Zone7">Formulas!$H$83</definedName>
    <definedName name="score703.2.2_3Zone8">Formulas!$H$84</definedName>
    <definedName name="score703.2.2_4Zone1">Formulas!$I$77</definedName>
    <definedName name="score703.2.2_4Zone2">Formulas!$I$78</definedName>
    <definedName name="score703.2.2_4Zone3">Formulas!$I$79</definedName>
    <definedName name="score703.2.2_4Zone4">Formulas!$I$80</definedName>
    <definedName name="score703.2.2_4Zone5">Formulas!$I$81</definedName>
    <definedName name="score703.2.2_4Zone6">Formulas!$I$82</definedName>
    <definedName name="score703.2.2_4Zone7">Formulas!$I$83</definedName>
    <definedName name="score703.2.2_4Zone8">Formulas!$I$84</definedName>
    <definedName name="score703.2.2Zone1">Formulas!$E$77</definedName>
    <definedName name="score703.2.2Zone2">Formulas!$E$78</definedName>
    <definedName name="score703.2.2Zone3">Formulas!$E$79</definedName>
    <definedName name="score703.2.2Zone4">Formulas!$E$80</definedName>
    <definedName name="score703.2.2Zone5">Formulas!$E$81</definedName>
    <definedName name="score703.2.2Zone6">Formulas!$E$82</definedName>
    <definedName name="score703.2.2Zone7">Formulas!$E$83</definedName>
    <definedName name="score703.2.2Zone8">Formulas!$E$84</definedName>
    <definedName name="score703.2.3Zone1">Formulas!$J$77</definedName>
    <definedName name="score703.2.3Zone2">Formulas!$J$78</definedName>
    <definedName name="score703.2.3Zone3">Formulas!$J$79</definedName>
    <definedName name="score703.2.3Zone4">Formulas!$J$80</definedName>
    <definedName name="score703.2.3Zone5">Formulas!$J$81</definedName>
    <definedName name="score703.2.3Zone6">Formulas!$J$82</definedName>
    <definedName name="score703.2.3Zone7">Formulas!$J$83</definedName>
    <definedName name="score703.2.3Zone8">Formulas!$J$84</definedName>
    <definedName name="score703.2.4Zone1">Formulas!$K$77</definedName>
    <definedName name="score703.2.4Zone2">Formulas!$K$78</definedName>
    <definedName name="score703.2.4Zone3">Formulas!$K$79</definedName>
    <definedName name="score703.2.4Zone4">Formulas!$K$80</definedName>
    <definedName name="score703.2.4Zone5">Formulas!$K$81</definedName>
    <definedName name="score703.2.4Zone6">Formulas!$K$82</definedName>
    <definedName name="score703.2.4Zone7">Formulas!$K$83</definedName>
    <definedName name="score703.2.4Zone8">Formulas!$K$84</definedName>
    <definedName name="score703.2.6Zone1">Formulas!$L$77</definedName>
    <definedName name="score703.2.6Zone2">Formulas!$L$78</definedName>
    <definedName name="score703.2.6Zone3">Formulas!$L$79</definedName>
    <definedName name="score703.2.6Zone4">Formulas!$L$80</definedName>
    <definedName name="score703.2.6Zone5">Formulas!$L$81</definedName>
    <definedName name="score703.2.6Zone6">Formulas!$L$82</definedName>
    <definedName name="score703.2.6Zone7">Formulas!$L$83</definedName>
    <definedName name="score703.2.6Zone8">Formulas!$L$84</definedName>
    <definedName name="score703.3.4Zone1">Formulas!$M$77</definedName>
    <definedName name="score703.3.4Zone2">Formulas!$M$78</definedName>
    <definedName name="score703.3.4Zone3">Formulas!$M$79</definedName>
    <definedName name="score703.3.4Zone4">Formulas!$M$80</definedName>
    <definedName name="score703.3.4Zone5">Formulas!$M$81</definedName>
    <definedName name="score703.3.4Zone6">Formulas!$M$82</definedName>
    <definedName name="score703.3.4Zone7">Formulas!$M$83</definedName>
    <definedName name="score703.3.4Zone8">Formulas!$M$84</definedName>
    <definedName name="score703.4.1_1aZone1">Formulas!$O$77</definedName>
    <definedName name="score703.4.1_1aZone2">Formulas!$O$78</definedName>
    <definedName name="score703.4.1_1aZone3">Formulas!$O$79</definedName>
    <definedName name="score703.4.1_1aZone4">Formulas!$O$80</definedName>
    <definedName name="score703.4.1_1aZone5">Formulas!$O$81</definedName>
    <definedName name="score703.4.1_1aZone6">Formulas!$O$82</definedName>
    <definedName name="score703.4.1_1aZone7">Formulas!$O$83</definedName>
    <definedName name="score703.4.1_1aZone8">Formulas!$O$84</definedName>
    <definedName name="score703.4.1_1bZone1">Formulas!$P$77</definedName>
    <definedName name="score703.4.1_1bZone2">Formulas!$P$78</definedName>
    <definedName name="score703.4.1_1bZone3">Formulas!$P$79</definedName>
    <definedName name="score703.4.1_1bZone4">Formulas!$P$80</definedName>
    <definedName name="score703.4.1_1bZone5">Formulas!$P$81</definedName>
    <definedName name="score703.4.1_1bZone6">Formulas!$P$82</definedName>
    <definedName name="score703.4.1_1bZone7">Formulas!$P$83</definedName>
    <definedName name="score703.4.1_1bZone8">Formulas!$P$84</definedName>
    <definedName name="score703.4.1_2Zone1">Formulas!$Q$77</definedName>
    <definedName name="score703.4.1_2Zone2">Formulas!$Q$78</definedName>
    <definedName name="score703.4.1_2Zone3">Formulas!$Q$79</definedName>
    <definedName name="score703.4.1_2Zone4">Formulas!$Q$80</definedName>
    <definedName name="score703.4.1_2Zone5">Formulas!$Q$81</definedName>
    <definedName name="score703.4.1_2Zone6">Formulas!$Q$82</definedName>
    <definedName name="score703.4.1_2Zone7">Formulas!$Q$83</definedName>
    <definedName name="score703.4.1_2Zone8">Formulas!$Q$84</definedName>
    <definedName name="score703.4.1_3Zone1">Formulas!$R$77</definedName>
    <definedName name="score703.4.1_3Zone2">Formulas!$R$78</definedName>
    <definedName name="score703.4.1_3Zone3">Formulas!$R$79</definedName>
    <definedName name="score703.4.1_3Zone4">Formulas!$R$80</definedName>
    <definedName name="score703.4.1_3Zone5">Formulas!$R$81</definedName>
    <definedName name="score703.4.1_3Zone6">Formulas!$R$82</definedName>
    <definedName name="score703.4.1_3Zone7">Formulas!$R$83</definedName>
    <definedName name="score703.4.1_3Zone8">Formulas!$R$84</definedName>
    <definedName name="score703.4.1_4Zone1">Formulas!$S$77</definedName>
    <definedName name="score703.4.1_4Zone2">Formulas!$S$78</definedName>
    <definedName name="score703.4.1_4Zone3">Formulas!$S$79</definedName>
    <definedName name="score703.4.1_4Zone4">Formulas!$S$80</definedName>
    <definedName name="score703.4.1_4Zone5">Formulas!$S$81</definedName>
    <definedName name="score703.4.1_4Zone6">Formulas!$S$82</definedName>
    <definedName name="score703.4.1_4Zone7">Formulas!$S$83</definedName>
    <definedName name="score703.4.1_4Zone8">Formulas!$S$84</definedName>
    <definedName name="score703.4.1Zone1">Formulas!$N$77</definedName>
    <definedName name="score703.4.1Zone2">Formulas!$N$78</definedName>
    <definedName name="score703.4.1Zone3">Formulas!$N$79</definedName>
    <definedName name="score703.4.1Zone4">Formulas!$N$80</definedName>
    <definedName name="score703.4.1Zone5">Formulas!$N$81</definedName>
    <definedName name="score703.4.1Zone6">Formulas!$N$82</definedName>
    <definedName name="score703.4.1Zone7">Formulas!$N$83</definedName>
    <definedName name="score703.4.1Zone8">Formulas!$N$84</definedName>
    <definedName name="score703.4.5Zone1">Formulas!$T$77</definedName>
    <definedName name="score703.4.5Zone2">Formulas!$T$78</definedName>
    <definedName name="score703.4.5Zone3">Formulas!$T$79</definedName>
    <definedName name="score703.4.5Zone4">Formulas!$T$80</definedName>
    <definedName name="score703.4.5Zone5">Formulas!$T$81</definedName>
    <definedName name="score703.4.5Zone6">Formulas!$T$82</definedName>
    <definedName name="score703.4.5Zone7">Formulas!$T$83</definedName>
    <definedName name="score703.4.5Zone8">Formulas!$T$84</definedName>
    <definedName name="score703.5.1Zone1">Formulas!$U$77</definedName>
    <definedName name="score703.5.1Zone2">Formulas!$U$78</definedName>
    <definedName name="score703.5.1Zone3">Formulas!$U$79</definedName>
    <definedName name="score703.5.1Zone4">Formulas!$U$80</definedName>
    <definedName name="score703.5.1Zone5">Formulas!$U$81</definedName>
    <definedName name="score703.5.1Zone6">Formulas!$U$82</definedName>
    <definedName name="score703.5.1Zone7">Formulas!$U$83</definedName>
    <definedName name="score703.5.1Zone8">Formulas!$U$84</definedName>
    <definedName name="score703.5.2">Formulas!$U$67</definedName>
    <definedName name="score704.2.1">Formulas!$S$67</definedName>
    <definedName name="score704.5.2.1_1">Formulas!$V$67</definedName>
    <definedName name="score705.2_2">Formulas!$T$67</definedName>
    <definedName name="score801.1.1">Formulas!$A$95</definedName>
    <definedName name="score801.2_2">Formulas!$B$95</definedName>
    <definedName name="score801.3_1">Formulas!$C$95</definedName>
    <definedName name="score801.3_2">Formulas!$D$95</definedName>
    <definedName name="score801.3_3">Formulas!$E$95</definedName>
    <definedName name="score801.4.1_1">Formulas!$F$95</definedName>
    <definedName name="score801.4.2">Formulas!$G$95</definedName>
    <definedName name="score801.5_2">Formulas!$I$95</definedName>
    <definedName name="score801.5_3a">Formulas!$J$95</definedName>
    <definedName name="score801.7.1">Formulas!$K$95</definedName>
    <definedName name="score801.7.2">Formulas!$L$95</definedName>
    <definedName name="score802.1">Formulas!$M$95</definedName>
    <definedName name="score802.2">Formulas!$N$95</definedName>
    <definedName name="score901.1.1">Formulas!$A$111</definedName>
    <definedName name="score901.1.3_1">Formulas!$B$111</definedName>
    <definedName name="score901.1.3_2">Formulas!$C$111</definedName>
    <definedName name="score901.1.6">Formulas!$E$111</definedName>
    <definedName name="score901.10">Formulas!$V$111</definedName>
    <definedName name="score901.13">Formulas!$W$111</definedName>
    <definedName name="score901.2.1_1">Formulas!$F$111</definedName>
    <definedName name="score901.2.1_2">Formulas!$G$111</definedName>
    <definedName name="score901.2.1_3">Formulas!$H$111</definedName>
    <definedName name="score901.2.1_4">Formulas!$I$111</definedName>
    <definedName name="score901.2.1_5">Formulas!$J$111</definedName>
    <definedName name="score901.3_1_a">Formulas!$K$111</definedName>
    <definedName name="score901.3_1_b">Formulas!$L$111</definedName>
    <definedName name="score901.4">Formulas!$M$111</definedName>
    <definedName name="score901.4_1">Formulas!$N$111</definedName>
    <definedName name="score901.4_2">Formulas!$O$111</definedName>
    <definedName name="score901.4_3">Formulas!$P$111</definedName>
    <definedName name="score901.4_4">Formulas!$Q$111</definedName>
    <definedName name="score901.4_5">Formulas!$R$111</definedName>
    <definedName name="score901.4_6">Formulas!$S$111</definedName>
    <definedName name="score901.5">Formulas!$T$111</definedName>
    <definedName name="score902.1.1_1">Formulas!$X$111</definedName>
    <definedName name="score902.1.2">Formulas!$Z$111</definedName>
    <definedName name="score902.1.4">Formulas!$AA$111</definedName>
    <definedName name="score902.1.4_1">Formulas!$AB$111</definedName>
    <definedName name="score902.1.4_2">Formulas!$AC$111</definedName>
    <definedName name="score902.2.1">Formulas!$AD$111</definedName>
    <definedName name="score902.3_1">Formulas!$AE$111</definedName>
    <definedName name="score902.4">Formulas!$AG$111</definedName>
    <definedName name="score903.1">Formulas!$AI$111</definedName>
    <definedName name="score903.2">Formulas!$AJ$111</definedName>
    <definedName name="score903.3">Formulas!$AK$111</definedName>
    <definedName name="section702req">Formulas!$E$165</definedName>
    <definedName name="section703req">Formulas!$A$207</definedName>
    <definedName name="section704req">Formulas!$C$177</definedName>
    <definedName name="section901.9.1">'11.9'!$B$84</definedName>
    <definedName name="Seven">Formulas!$W$5:$W$6</definedName>
    <definedName name="silverMinimum">Formulas!$C$136</definedName>
    <definedName name="Six">Formulas!$V$5:$V$6</definedName>
    <definedName name="startAttachedGarage">'Start Here!'!$F$47</definedName>
    <definedName name="startAtticType">'Start Here!'!$F$43</definedName>
    <definedName name="startBuilderName">'Start Here!'!$F$16</definedName>
    <definedName name="startBuilderPhone">'Start Here!'!$F$17</definedName>
    <definedName name="startBuildingCode">Formulas!$Z$5:$Z$14</definedName>
    <definedName name="startClimateType">'Start Here!'!$K$23</definedName>
    <definedName name="startClimateZone">'Start Here!'!$F$23</definedName>
    <definedName name="startCompostingToilet">'Start Here!'!$M$52</definedName>
    <definedName name="startCounty">'Start Here!'!$J$19</definedName>
    <definedName name="startDuctless">'Start Here!'!$H$53</definedName>
    <definedName name="startEnergyCode">Formulas!$Y$5:$Y$9</definedName>
    <definedName name="startFoundation">'Start Here!'!$F$33</definedName>
    <definedName name="startHeatingFuel">'Start Here!'!$F$37</definedName>
    <definedName name="startHERSIndex">'Start Here!'!$F$31</definedName>
    <definedName name="startHomeAddress">'Start Here!'!$F$18</definedName>
    <definedName name="startHomeCity">'Start Here!'!$J$18</definedName>
    <definedName name="startHomeState">'Start Here!'!$N$18</definedName>
    <definedName name="startHomeZip">'Start Here!'!$P$18</definedName>
    <definedName name="startHVAC1">'Start Here!'!$F$35</definedName>
    <definedName name="startHVAC2">'Start Here!'!$K$35</definedName>
    <definedName name="startHVAC3">'Start Here!'!$P$35</definedName>
    <definedName name="startLot">'Start Here!'!$F$19</definedName>
    <definedName name="startMassWalls">'Start Here!'!$H$52</definedName>
    <definedName name="startMultiUnits">'Start Here!'!$L$21</definedName>
    <definedName name="startPassiveSolar">'Start Here!'!$H$51</definedName>
    <definedName name="startProjectDesc">'Start Here!'!$F$29</definedName>
    <definedName name="startRadiant_Hydronic">'Start Here!'!$H$54</definedName>
    <definedName name="startRecessedLights">'Start Here!'!$F$49</definedName>
    <definedName name="startRenewableEnergy">'Start Here!'!$F$39</definedName>
    <definedName name="startRevisionDate">'Start Here!'!$C$9</definedName>
    <definedName name="startSFBurningApp">'Start Here!'!$F$45</definedName>
    <definedName name="startSingleorMulti">'Start Here!'!$F$21</definedName>
    <definedName name="startSquareFootage">'Start Here!'!$F$25</definedName>
    <definedName name="startTanklessWH">'Start Here!'!$M$51</definedName>
    <definedName name="startTEInsulation">'Start Here!'!$F$41</definedName>
    <definedName name="startTotalFloorArea">'Start Here!'!$F$27</definedName>
    <definedName name="subLevelReached">Formulas!$A$144</definedName>
    <definedName name="Three">Formulas!$S$5:$S$8</definedName>
    <definedName name="Two">Formulas!$R$5:$R$6</definedName>
    <definedName name="UnitCount">'Verification Rpt'!$K$4</definedName>
    <definedName name="Vach50pts">Formulas!$Z$30</definedName>
    <definedName name="Vadditionalpoints">Formulas!$A$273</definedName>
    <definedName name="Vbronzemin">Formulas!$B$253</definedName>
    <definedName name="vch10totalscore">Formulas!$G$322</definedName>
    <definedName name="vch5totalscore">Formulas!$G$327</definedName>
    <definedName name="vch6totalscore">Formulas!$G$326</definedName>
    <definedName name="vch7totalscore">Formulas!$G$325</definedName>
    <definedName name="vch8totalscore">Formulas!$G$324</definedName>
    <definedName name="vch9totalscore">Formulas!$G$323</definedName>
    <definedName name="VCZ">'Verification Rpt'!$F$6</definedName>
    <definedName name="VCZACH50">Formulas!$Q$28</definedName>
    <definedName name="VCZACH501">Formulas!$Q$30:$Q$34</definedName>
    <definedName name="VCZACH502">Formulas!$R$30:$R$34</definedName>
    <definedName name="VCZACH503">Formulas!$S$30:$S$34</definedName>
    <definedName name="VCZACH504">Formulas!$T$30:$T$34</definedName>
    <definedName name="VCZACH505">Formulas!$U$30:$U$34</definedName>
    <definedName name="VCZACH506">Formulas!$V$30:$V$34</definedName>
    <definedName name="VCZACH507">Formulas!$W$30:$W$34</definedName>
    <definedName name="VCZACH508">Formulas!$X$30:$X$34</definedName>
    <definedName name="VCZEight">Formulas!$X$13:$X$17</definedName>
    <definedName name="VCZFive">Formulas!$U$13:$U$17</definedName>
    <definedName name="VCZFour">Formulas!$T$13:$T$17</definedName>
    <definedName name="VCZmass">Formulas!$Q$19</definedName>
    <definedName name="VCZmassEight">Formulas!$X$21:$X$22</definedName>
    <definedName name="VCZmassFive">Formulas!$U$21:$U$22</definedName>
    <definedName name="VCZmassFour">Formulas!$T$21:$T$22</definedName>
    <definedName name="VCZmassOne">Formulas!$Q$21:$Q$22</definedName>
    <definedName name="VCZmassSeven">Formulas!$W$21:$W$22</definedName>
    <definedName name="VCZmassSix">Formulas!$V$21:$V$22</definedName>
    <definedName name="VCZmassThree">Formulas!$S$21:$S$22</definedName>
    <definedName name="VCZmassTwo">Formulas!$R$21:$R$22</definedName>
    <definedName name="VCZOne">Formulas!$Q$13:$Q$17</definedName>
    <definedName name="VCZradiant">Formulas!$Q$24</definedName>
    <definedName name="VCZradiantEight">Formulas!$X$25</definedName>
    <definedName name="VCZradiantFive">Formulas!$U$25</definedName>
    <definedName name="VCZradiantFour">Formulas!$T$25:$T$26</definedName>
    <definedName name="VCZradiantOne">Formulas!$Q$25:$Q$26</definedName>
    <definedName name="VCZradiantSeven">Formulas!$W$25</definedName>
    <definedName name="VCZradiantSix">Formulas!$V$25</definedName>
    <definedName name="VCZradiantThree">Formulas!$S$25:$S$26</definedName>
    <definedName name="VCZradiantTwo">Formulas!$R$25:$R$26</definedName>
    <definedName name="VCZSeven">Formulas!$W$13:$W$17</definedName>
    <definedName name="VCZSix">Formulas!$V$13:$V$17</definedName>
    <definedName name="VCZThree">Formulas!$S$13:$S$17</definedName>
    <definedName name="VCZTwo">Formulas!$R$13:$R$17</definedName>
    <definedName name="VCZword">Formulas!$Q$11</definedName>
    <definedName name="vemeraldmin">Formulas!$E$253</definedName>
    <definedName name="VentNeeded">Formulas!$E$129</definedName>
    <definedName name="verifiedlevel">Formulas!$A$256</definedName>
    <definedName name="VerifiedPts">'Verification Rpt'!$H$668</definedName>
    <definedName name="VerifierComments">'Final Signature'!$A$34</definedName>
    <definedName name="vgoldmin">Formulas!$D$253</definedName>
    <definedName name="vlevel">Formulas!$A$345</definedName>
    <definedName name="vn1001.1">'Verification Rpt'!$J$611</definedName>
    <definedName name="vn1001.1_1">'Verification Rpt'!$J$612</definedName>
    <definedName name="vn1001.1_10">'Verification Rpt'!$J$621</definedName>
    <definedName name="vn1001.1_11">'Verification Rpt'!$J$622</definedName>
    <definedName name="vn1001.1_12">'Verification Rpt'!$J$623</definedName>
    <definedName name="vn1001.1_13">'Verification Rpt'!$J$624</definedName>
    <definedName name="vn1001.1_14">'Verification Rpt'!$J$625</definedName>
    <definedName name="vn1001.1_15">'Verification Rpt'!$J$626</definedName>
    <definedName name="vn1001.1_16">'Verification Rpt'!$J$627</definedName>
    <definedName name="vn1001.1_17">'Verification Rpt'!$J$628</definedName>
    <definedName name="vn1001.1_18">'Verification Rpt'!$J$629</definedName>
    <definedName name="vn1001.1_19">'Verification Rpt'!$J$630</definedName>
    <definedName name="vn1001.1_2">'Verification Rpt'!$J$613</definedName>
    <definedName name="vn1001.1_20">'Verification Rpt'!$J$631</definedName>
    <definedName name="vn1001.1_21">'Verification Rpt'!$J$632</definedName>
    <definedName name="vn1001.1_3">'Verification Rpt'!$J$614</definedName>
    <definedName name="vn1001.1_4">'Verification Rpt'!$J$615</definedName>
    <definedName name="vn1001.1_5">'Verification Rpt'!$J$616</definedName>
    <definedName name="vn1001.1_6">'Verification Rpt'!$J$617</definedName>
    <definedName name="vn1001.1_7">'Verification Rpt'!$J$618</definedName>
    <definedName name="vn1001.1_8">'Verification Rpt'!$J$619</definedName>
    <definedName name="vn1001.1_9">'Verification Rpt'!$J$620</definedName>
    <definedName name="vn1002.1">'Verification Rpt'!$J$634</definedName>
    <definedName name="vn1003.1">'Verification Rpt'!$J$637</definedName>
    <definedName name="vn1003.1_1">'Verification Rpt'!$J$638</definedName>
    <definedName name="vn1003.1_2">'Verification Rpt'!$J$639</definedName>
    <definedName name="vn1003.1_3">'Verification Rpt'!$J$640</definedName>
    <definedName name="vn1003.1_4">'Verification Rpt'!$J$641</definedName>
    <definedName name="vn1003.1_5">'Verification Rpt'!$J$642</definedName>
    <definedName name="vn1003.1_6">'Verification Rpt'!$J$643</definedName>
    <definedName name="vn1003.1_7">'Verification Rpt'!$J$644</definedName>
    <definedName name="vn1003.1_8">'Verification Rpt'!$J$645</definedName>
    <definedName name="vn1003.2">'Verification Rpt'!$J$646</definedName>
    <definedName name="vn1003.2_1">'Verification Rpt'!$J$647</definedName>
    <definedName name="vn1003.2_10">'Verification Rpt'!$J$656</definedName>
    <definedName name="vn1003.2_2">'Verification Rpt'!$J$648</definedName>
    <definedName name="vn1003.2_3">'Verification Rpt'!$J$649</definedName>
    <definedName name="vn1003.2_4">'Verification Rpt'!$J$650</definedName>
    <definedName name="vn1003.2_5">'Verification Rpt'!$J$651</definedName>
    <definedName name="vn1003.2_6">'Verification Rpt'!$J$652</definedName>
    <definedName name="vn1003.2_7">'Verification Rpt'!$J$653</definedName>
    <definedName name="vn1003.2_8">'Verification Rpt'!$J$654</definedName>
    <definedName name="vn1003.2_9">'Verification Rpt'!$J$655</definedName>
    <definedName name="vn1003.3">'Verification Rpt'!$J$657</definedName>
    <definedName name="vn1003.3_1">'Verification Rpt'!$J$658</definedName>
    <definedName name="vn1003.3_2">'Verification Rpt'!$J$659</definedName>
    <definedName name="vn1003.3_3">'Verification Rpt'!$J$660</definedName>
    <definedName name="vn1003.3_4">'Verification Rpt'!$J$661</definedName>
    <definedName name="vn1003.3_5">'Verification Rpt'!$J$662</definedName>
    <definedName name="vn1003.3_6">'Verification Rpt'!$J$663</definedName>
    <definedName name="vn1003.3_7">'Verification Rpt'!$J$664</definedName>
    <definedName name="vn1003.3_8">'Verification Rpt'!$J$665</definedName>
    <definedName name="vn1003.3_9">'Verification Rpt'!$J$666</definedName>
    <definedName name="vn501.1_1">'Verification Rpt'!#REF!</definedName>
    <definedName name="vn501.1_2">'Verification Rpt'!#REF!</definedName>
    <definedName name="vn501.1_3">'Verification Rpt'!#REF!</definedName>
    <definedName name="vn501.1_4">'Verification Rpt'!#REF!</definedName>
    <definedName name="vn501.1_5">'Verification Rpt'!#REF!</definedName>
    <definedName name="vn501.2_1">'Verification Rpt'!$J$15</definedName>
    <definedName name="vn501.2_2">'Verification Rpt'!#REF!</definedName>
    <definedName name="vn501.2_3">'Verification Rpt'!$J$16</definedName>
    <definedName name="vn501.2_4">'Verification Rpt'!$J$17</definedName>
    <definedName name="vn502.1">'Verification Rpt'!$J$20</definedName>
    <definedName name="vn503.1">'Verification Rpt'!$J$24</definedName>
    <definedName name="vn503.1_1">'Verification Rpt'!$J$24</definedName>
    <definedName name="vn503.1_2">'Verification Rpt'!$J$25</definedName>
    <definedName name="vn503.1_3">'Verification Rpt'!$J$26</definedName>
    <definedName name="vn503.1_4">'Verification Rpt'!$J$27</definedName>
    <definedName name="vn503.1_5">'Verification Rpt'!$J$28</definedName>
    <definedName name="vn503.1_6">'Verification Rpt'!$J$29</definedName>
    <definedName name="vn503.1_7">'Verification Rpt'!$J$30</definedName>
    <definedName name="vn503.2_1">'Verification Rpt'!$J$32</definedName>
    <definedName name="vn503.2_2">'Verification Rpt'!$J$33</definedName>
    <definedName name="vn503.2_3">'Verification Rpt'!$J$35</definedName>
    <definedName name="vn503.2_4">'Verification Rpt'!$J$38</definedName>
    <definedName name="vn503.2_5">'Verification Rpt'!$J$39</definedName>
    <definedName name="vn503.3_1">'Verification Rpt'!$J$41</definedName>
    <definedName name="vn503.3_2">'Verification Rpt'!$J$42</definedName>
    <definedName name="vn503.3_3">'Verification Rpt'!$J$43</definedName>
    <definedName name="vn503.4_1">'Verification Rpt'!$J$45</definedName>
    <definedName name="vn503.4_2">'Verification Rpt'!$J$46</definedName>
    <definedName name="vn503.4_3">'Verification Rpt'!$J$48</definedName>
    <definedName name="vn503.4_4">'Verification Rpt'!$J$51</definedName>
    <definedName name="vn503.4_5">'Verification Rpt'!$J$52</definedName>
    <definedName name="vn503.4_6">'Verification Rpt'!#REF!</definedName>
    <definedName name="vn503.5">'Verification Rpt'!$J$53</definedName>
    <definedName name="vn503.5_1">'Verification Rpt'!$J$55</definedName>
    <definedName name="vn503.5_2">'Verification Rpt'!$J$57</definedName>
    <definedName name="vn503.5_3">'Verification Rpt'!$J$60</definedName>
    <definedName name="vn503.5_4">'Verification Rpt'!$J$65</definedName>
    <definedName name="vn503.5_5">'Verification Rpt'!$J$67</definedName>
    <definedName name="vn503.5_6">'Verification Rpt'!$J$68</definedName>
    <definedName name="vn503.5_7">'Verification Rpt'!$J$69</definedName>
    <definedName name="vn503.5_8">'Verification Rpt'!$J$70</definedName>
    <definedName name="vn503.6_1">'Verification Rpt'!$J$73</definedName>
    <definedName name="vn503.6_2">'Verification Rpt'!$J$75</definedName>
    <definedName name="vn503.6_3">'Verification Rpt'!$J$77</definedName>
    <definedName name="vn503.6_4">'Verification Rpt'!$J$79</definedName>
    <definedName name="vn503.7_1">'Verification Rpt'!$J$81</definedName>
    <definedName name="vn503.7_2">'Verification Rpt'!$J$82</definedName>
    <definedName name="vn504.1">'Verification Rpt'!$J$85</definedName>
    <definedName name="vn504.2_1">'Verification Rpt'!$J$88</definedName>
    <definedName name="vn504.2_2">'Verification Rpt'!$J$90</definedName>
    <definedName name="vn504.2_3">'Verification Rpt'!$J$91</definedName>
    <definedName name="vn504.3_1">'Verification Rpt'!$J$93</definedName>
    <definedName name="vn504.3_2">'Verification Rpt'!$J$95</definedName>
    <definedName name="vn504.3_3">'Verification Rpt'!$J$97</definedName>
    <definedName name="vn504.3_4">'Verification Rpt'!$J$99</definedName>
    <definedName name="vn504.3_5">'Verification Rpt'!$J$101</definedName>
    <definedName name="vn504.3_6">'Verification Rpt'!$J$103</definedName>
    <definedName name="vn504.3_7">'Verification Rpt'!$J$104</definedName>
    <definedName name="vn504.3_8">'Verification Rpt'!$J$105</definedName>
    <definedName name="vn504.3_9">'Verification Rpt'!$J$106</definedName>
    <definedName name="vn505.1_1">'Verification Rpt'!$J$109</definedName>
    <definedName name="vn505.1_2">'Verification Rpt'!$J$110</definedName>
    <definedName name="vn505.1_3">'Verification Rpt'!$J$112</definedName>
    <definedName name="vn505.2_1">'Verification Rpt'!$J$117</definedName>
    <definedName name="vn505.2_2">'Verification Rpt'!$J$119</definedName>
    <definedName name="vn505.3">'Verification Rpt'!$J$122</definedName>
    <definedName name="vn505.4">'Verification Rpt'!$J$124</definedName>
    <definedName name="vn505.5">'Verification Rpt'!$J$125</definedName>
    <definedName name="vn601.1">'Verification Rpt'!$J$131</definedName>
    <definedName name="vn601.2_1">'Verification Rpt'!$J$136</definedName>
    <definedName name="vn601.2_2">'Verification Rpt'!$J$138</definedName>
    <definedName name="vn601.2_3">'Verification Rpt'!$J$140</definedName>
    <definedName name="vn601.3_1">'Verification Rpt'!$J$142</definedName>
    <definedName name="vn601.3_2">'Verification Rpt'!$J$143</definedName>
    <definedName name="vn601.3_3">'Verification Rpt'!$J$144</definedName>
    <definedName name="vn601.3_4">'Verification Rpt'!$J$145</definedName>
    <definedName name="vn601.3_5">'Verification Rpt'!$J$146</definedName>
    <definedName name="vn601.4">'Verification Rpt'!$J$147</definedName>
    <definedName name="vn601.5_1">'Verification Rpt'!$J$149</definedName>
    <definedName name="vn601.5_2">'Verification Rpt'!$J$150</definedName>
    <definedName name="vn601.5_3">'Verification Rpt'!$J$151</definedName>
    <definedName name="vn601.5_4">'Verification Rpt'!$J$152</definedName>
    <definedName name="vn601.5_5">'Verification Rpt'!$J$153</definedName>
    <definedName name="vn601.6">'Verification Rpt'!$J$155</definedName>
    <definedName name="vn601.7">'Verification Rpt'!$J$159</definedName>
    <definedName name="vn601.8">'Verification Rpt'!$J$162</definedName>
    <definedName name="vn601.9">'Verification Rpt'!$J$164</definedName>
    <definedName name="vn602.1.1.1">'Verification Rpt'!$J$167</definedName>
    <definedName name="vn602.1.1.2">'Verification Rpt'!$J$168</definedName>
    <definedName name="vn602.1.10">'Verification Rpt'!$J$212</definedName>
    <definedName name="vn602.1.11">'Verification Rpt'!$J$215</definedName>
    <definedName name="vn602.1.12">'Verification Rpt'!$J$216</definedName>
    <definedName name="vn602.1.13">'Verification Rpt'!$J$218</definedName>
    <definedName name="vn602.1.14_1">'Verification Rpt'!$J$220</definedName>
    <definedName name="vn602.1.14_2">'Verification Rpt'!$J$221</definedName>
    <definedName name="vn602.1.14_3">'Verification Rpt'!$J$222</definedName>
    <definedName name="vn602.1.2">'Verification Rpt'!$J$170</definedName>
    <definedName name="vn602.1.3.1">'Verification Rpt'!$J$172</definedName>
    <definedName name="vn602.1.3.2">'Verification Rpt'!$J$173</definedName>
    <definedName name="vn602.1.4.1_1">'Verification Rpt'!$J$176</definedName>
    <definedName name="vn602.1.4.1_2">'Verification Rpt'!$J$178</definedName>
    <definedName name="vn602.1.4.2_1">'Verification Rpt'!$J$180</definedName>
    <definedName name="vn602.1.4.2_2">'Verification Rpt'!$J$181</definedName>
    <definedName name="vn602.1.5">'Verification Rpt'!$J$182</definedName>
    <definedName name="vn602.1.6">'Verification Rpt'!$J$184</definedName>
    <definedName name="vn602.1.7.1_1">'Verification Rpt'!$J$189</definedName>
    <definedName name="vn602.1.7.1_2">'Verification Rpt'!$J$191</definedName>
    <definedName name="vn602.1.7.1_3">'Verification Rpt'!$J$193</definedName>
    <definedName name="vn602.1.7.2">'Verification Rpt'!$J$194</definedName>
    <definedName name="vn602.1.8">'Verification Rpt'!$J$196</definedName>
    <definedName name="vn602.1.9_1">'Verification Rpt'!$J$198</definedName>
    <definedName name="vn602.1.9_2">'Verification Rpt'!$J$200</definedName>
    <definedName name="vn602.1.9_3">'Verification Rpt'!$J$202</definedName>
    <definedName name="vn602.1.9_4">'Verification Rpt'!$J$203</definedName>
    <definedName name="vn602.1.9_5">'Verification Rpt'!$J$205</definedName>
    <definedName name="vn602.1.9_6">'Verification Rpt'!$J$208</definedName>
    <definedName name="vn602.1.9_7">'Verification Rpt'!$J$210</definedName>
    <definedName name="vn602.2">'Verification Rpt'!$J$225</definedName>
    <definedName name="vn602.3">'Verification Rpt'!$J$228</definedName>
    <definedName name="vn602.4.1">'Verification Rpt'!$J$229</definedName>
    <definedName name="vn602.4.2">'Verification Rpt'!$J$230</definedName>
    <definedName name="vn602.4.3">'Verification Rpt'!$J$231</definedName>
    <definedName name="vn603.1">'Verification Rpt'!$J$233</definedName>
    <definedName name="vn603.2">'Verification Rpt'!$J$236</definedName>
    <definedName name="vn603.3">'Verification Rpt'!$J$237</definedName>
    <definedName name="vn604.1.1">'Verification Rpt'!$J$241</definedName>
    <definedName name="vn604.1.2">'Verification Rpt'!$J$245</definedName>
    <definedName name="vn605.1">'Verification Rpt'!$J$248</definedName>
    <definedName name="vn605.2">'Verification Rpt'!$J$249</definedName>
    <definedName name="vn605.3">'Verification Rpt'!$J$253</definedName>
    <definedName name="vn606.1">'Verification Rpt'!$J$258</definedName>
    <definedName name="vn606.2_1">'Verification Rpt'!$J$263</definedName>
    <definedName name="vn606.2_2">'Verification Rpt'!$J$265</definedName>
    <definedName name="vn606.3">'Verification Rpt'!$J$268</definedName>
    <definedName name="vn607.1_1">'Verification Rpt'!$J$271</definedName>
    <definedName name="vn607.1_2">'Verification Rpt'!$J$272</definedName>
    <definedName name="vn607.2">'Verification Rpt'!$J$273</definedName>
    <definedName name="vn608.1">'Verification Rpt'!$J$276</definedName>
    <definedName name="vn609.1">'Verification Rpt'!$J$280</definedName>
    <definedName name="vn610.1">'Verification Rpt'!$J$283</definedName>
    <definedName name="vn610.1.1">'Verification Rpt'!$J$285</definedName>
    <definedName name="vn610.1.2">'Verification Rpt'!$J$286</definedName>
    <definedName name="vn610.1.2.1">'Verification Rpt'!$J$288</definedName>
    <definedName name="vn6101.2.2">'Verification Rpt'!$J$292</definedName>
    <definedName name="vn611.1">'Verification Rpt'!$J$298</definedName>
    <definedName name="vn611.2">'Verification Rpt'!$J$302</definedName>
    <definedName name="vn611.2_1">'Verification Rpt'!$J$303</definedName>
    <definedName name="vn611.2_2">'Verification Rpt'!$J$304</definedName>
    <definedName name="vn611.2_3">'Verification Rpt'!$J$305</definedName>
    <definedName name="vn611.2_4">'Verification Rpt'!$J$306</definedName>
    <definedName name="vn611.2_5">'Verification Rpt'!$J$307</definedName>
    <definedName name="vn611.2_6">'Verification Rpt'!$J$308</definedName>
    <definedName name="vn611.2_7">'Verification Rpt'!$J$309</definedName>
    <definedName name="vn611.3">'Verification Rpt'!$J$310</definedName>
    <definedName name="vn611.3_1">'Verification Rpt'!$J$311</definedName>
    <definedName name="vn611.3_2">'Verification Rpt'!$J$312</definedName>
    <definedName name="vn611.3_3">'Verification Rpt'!$J$313</definedName>
    <definedName name="vn611.3_4">'Verification Rpt'!$J$315</definedName>
    <definedName name="vn701.1">'Verification Rpt'!#REF!</definedName>
    <definedName name="vn701.1.3Step1">'Verification Rpt'!#REF!</definedName>
    <definedName name="vn701.1.3Step2">'Verification Rpt'!#REF!</definedName>
    <definedName name="vn701.3">'Verification Rpt'!#REF!</definedName>
    <definedName name="vn701.4.1.1">'Verification Rpt'!$J$320</definedName>
    <definedName name="vn701.4.1.2">'Verification Rpt'!$J$321</definedName>
    <definedName name="vn701.4.2.1">'Verification Rpt'!$J$323</definedName>
    <definedName name="vn701.4.2.2">'Verification Rpt'!$J$324</definedName>
    <definedName name="vn701.4.2.3">'Verification Rpt'!$J$325</definedName>
    <definedName name="vn701.4.3.1">'Verification Rpt'!$J$327</definedName>
    <definedName name="vn701.4.3.2">'Verification Rpt'!$J$329</definedName>
    <definedName name="vn701.4.3.2_1">'Verification Rpt'!$J$332</definedName>
    <definedName name="vn701.4.3.2_1ACH50">'Verification Rpt'!$J$331</definedName>
    <definedName name="vn701.4.3.2_2">'Verification Rpt'!$J$333</definedName>
    <definedName name="vn701.4.3.2_3">'Verification Rpt'!$J$334</definedName>
    <definedName name="vn701.4.3.2_4">'Verification Rpt'!$J$335</definedName>
    <definedName name="vn701.4.3.2Grade3">'Verification Rpt'!$J$328</definedName>
    <definedName name="vn701.4.4">'Verification Rpt'!$J$336</definedName>
    <definedName name="vn701.4.5">'Verification Rpt'!$J$337</definedName>
    <definedName name="vn702.2.1">'Verification Rpt'!#REF!</definedName>
    <definedName name="vn702.2.2">'Verification Rpt'!#REF!</definedName>
    <definedName name="vn702.2.2Percentage">'Verification Rpt'!#REF!</definedName>
    <definedName name="vn703.1.1">'Verification Rpt'!#REF!</definedName>
    <definedName name="vn703.1.2">'Verification Rpt'!#REF!</definedName>
    <definedName name="vn703.1.3">'Verification Rpt'!#REF!</definedName>
    <definedName name="vn703.1.4">'Verification Rpt'!#REF!</definedName>
    <definedName name="vn703.1.5">'Verification Rpt'!#REF!</definedName>
    <definedName name="vn703.1.5ACH50">'Verification Rpt'!#REF!</definedName>
    <definedName name="vn703.1.6.1">'Verification Rpt'!#REF!</definedName>
    <definedName name="vn703.1.6.2_a">'Verification Rpt'!#REF!</definedName>
    <definedName name="vn703.1.6.2_b">'Verification Rpt'!#REF!</definedName>
    <definedName name="vn703.1.6.2_c">'Verification Rpt'!#REF!</definedName>
    <definedName name="vn703.2.1">'Verification Rpt'!#REF!</definedName>
    <definedName name="vn703.2.2">'Verification Rpt'!#REF!</definedName>
    <definedName name="vn703.2.2AFUE">'Verification Rpt'!#REF!</definedName>
    <definedName name="vn703.2.2HeatingSystemType">'Verification Rpt'!#REF!</definedName>
    <definedName name="vn703.2.3">'Verification Rpt'!#REF!</definedName>
    <definedName name="vn703.2.3HSPF">'Verification Rpt'!#REF!</definedName>
    <definedName name="vn703.2.4">'Verification Rpt'!#REF!</definedName>
    <definedName name="vn703.2.4Seer">'Verification Rpt'!#REF!</definedName>
    <definedName name="vn703.2.5">'Verification Rpt'!#REF!</definedName>
    <definedName name="vn703.2.5EER">'Verification Rpt'!#REF!</definedName>
    <definedName name="vn703.2.6">'Verification Rpt'!#REF!</definedName>
    <definedName name="vn703.2.6EER">'Verification Rpt'!#REF!</definedName>
    <definedName name="vn703.2.7">'Verification Rpt'!#REF!</definedName>
    <definedName name="vn703.2.8">'Verification Rpt'!#REF!</definedName>
    <definedName name="vn703.2.9">'Verification Rpt'!#REF!</definedName>
    <definedName name="vn703.3.1">'Verification Rpt'!#REF!</definedName>
    <definedName name="vn703.3.2">'Verification Rpt'!#REF!</definedName>
    <definedName name="vn703.3.3">'Verification Rpt'!#REF!</definedName>
    <definedName name="vn703.3.4">'Verification Rpt'!#REF!</definedName>
    <definedName name="vn703.3.4DuctworkLocation">'Verification Rpt'!#REF!</definedName>
    <definedName name="vn703.3.4LeakagePercentage">'Verification Rpt'!#REF!</definedName>
    <definedName name="vn703.4.1">'Verification Rpt'!#REF!</definedName>
    <definedName name="vn703.4.1ThermalEfficiency">'Verification Rpt'!#REF!</definedName>
    <definedName name="vn703.4.1WaterHeaterType">'Verification Rpt'!#REF!</definedName>
    <definedName name="vn703.4.2">'Verification Rpt'!#REF!</definedName>
    <definedName name="vn703.4.3">'Verification Rpt'!#REF!</definedName>
    <definedName name="vn703.4.4">'Verification Rpt'!#REF!</definedName>
    <definedName name="vn703.4.5">'Verification Rpt'!#REF!</definedName>
    <definedName name="vn703.4.5SEF">'Verification Rpt'!#REF!</definedName>
    <definedName name="vn703.5.1">'Verification Rpt'!#REF!</definedName>
    <definedName name="vn703.5.1Percentage">'Verification Rpt'!#REF!</definedName>
    <definedName name="vn703.5.2">'Verification Rpt'!#REF!</definedName>
    <definedName name="vn703.5.2ConditionedSF">'Verification Rpt'!#REF!</definedName>
    <definedName name="vn703.5.2RecessedLights">'Verification Rpt'!#REF!</definedName>
    <definedName name="vn703.5.3Dishwasher">'Verification Rpt'!#REF!</definedName>
    <definedName name="vn703.5.3Refrigerator">'Verification Rpt'!#REF!</definedName>
    <definedName name="vn703.5.3WashingMachine">'Verification Rpt'!#REF!</definedName>
    <definedName name="vn703.5.4">'Verification Rpt'!#REF!</definedName>
    <definedName name="vn703.6.1">'Verification Rpt'!#REF!</definedName>
    <definedName name="vn703.6.2">'Verification Rpt'!#REF!</definedName>
    <definedName name="vn703.6.3ExposedThermalMass">'Verification Rpt'!#REF!</definedName>
    <definedName name="vn703.6.3ExteriorShading">'Verification Rpt'!#REF!</definedName>
    <definedName name="vn703.6.3Overhangs">'Verification Rpt'!#REF!</definedName>
    <definedName name="vn703.6.3RoofingMaterial">'Verification Rpt'!#REF!</definedName>
    <definedName name="vn703.6.3SolarReflective">'Verification Rpt'!#REF!</definedName>
    <definedName name="vn703.6.3Windows">'Verification Rpt'!#REF!</definedName>
    <definedName name="vn703.6.4">'Verification Rpt'!#REF!</definedName>
    <definedName name="vn704.2.1">'Verification Rpt'!#REF!</definedName>
    <definedName name="vn704.2.2">'Verification Rpt'!#REF!</definedName>
    <definedName name="vn704.2.3">'Verification Rpt'!#REF!</definedName>
    <definedName name="vn704.3">'Verification Rpt'!#REF!</definedName>
    <definedName name="vn704.4.1">'Verification Rpt'!#REF!</definedName>
    <definedName name="vn704.4.2">'Verification Rpt'!#REF!</definedName>
    <definedName name="vn704.4.3">'Verification Rpt'!#REF!</definedName>
    <definedName name="vn704.5.1Step1">'Verification Rpt'!#REF!</definedName>
    <definedName name="vn704.5.1Step2">'Verification Rpt'!#REF!</definedName>
    <definedName name="vn704.5.2.1_1Step1">'Verification Rpt'!#REF!</definedName>
    <definedName name="vn704.5.2.1_1Step2">'Verification Rpt'!#REF!</definedName>
    <definedName name="vn704.5.2.1_2">'Verification Rpt'!#REF!</definedName>
    <definedName name="vn704.5.2.2Step1">'Verification Rpt'!#REF!</definedName>
    <definedName name="vn704.5.2.2Step2">'Verification Rpt'!#REF!</definedName>
    <definedName name="vn704.5.3">'Verification Rpt'!#REF!</definedName>
    <definedName name="vn705.1">'Verification Rpt'!#REF!</definedName>
    <definedName name="vn705.2_2">'Verification Rpt'!#REF!</definedName>
    <definedName name="vn705.2._1">'Verification Rpt'!#REF!</definedName>
    <definedName name="vn705.3">'Verification Rpt'!#REF!</definedName>
    <definedName name="vn705.3ClothesDryer">'Verification Rpt'!#REF!</definedName>
    <definedName name="vn705.3ClothesWasher">'Verification Rpt'!#REF!</definedName>
    <definedName name="vn705.3Dishwasher">'Verification Rpt'!#REF!</definedName>
    <definedName name="vn705.3Freezer">'Verification Rpt'!#REF!</definedName>
    <definedName name="vn705.3HotWaterHeating">'Verification Rpt'!#REF!</definedName>
    <definedName name="vn705.3HVAC">'Verification Rpt'!#REF!</definedName>
    <definedName name="vn705.3Refrigerator">'Verification Rpt'!#REF!</definedName>
    <definedName name="vn705.3RoomAirConditioner">'Verification Rpt'!#REF!</definedName>
    <definedName name="vn705.4.1_1">'Verification Rpt'!#REF!</definedName>
    <definedName name="vn705.4.1_2">'Verification Rpt'!#REF!</definedName>
    <definedName name="vn705.4.2">'Verification Rpt'!#REF!</definedName>
    <definedName name="vn705.5">'Verification Rpt'!#REF!</definedName>
    <definedName name="vn705.5RenewableWatts">'Verification Rpt'!#REF!</definedName>
    <definedName name="vn705.5TotalSFArea">'Verification Rpt'!#REF!</definedName>
    <definedName name="vn705.6">'Verification Rpt'!#REF!</definedName>
    <definedName name="vn801.1.1_1thru4a">'Verification Rpt'!#REF!</definedName>
    <definedName name="vn801.1.1_5">'Verification Rpt'!#REF!</definedName>
    <definedName name="vn801.1.1_6">'Verification Rpt'!#REF!</definedName>
    <definedName name="vn801.2_1">'Verification Rpt'!#REF!</definedName>
    <definedName name="vn801.2_2">'Verification Rpt'!#REF!</definedName>
    <definedName name="vn801.3_1">'Verification Rpt'!#REF!</definedName>
    <definedName name="vn801.3_2">'Verification Rpt'!#REF!</definedName>
    <definedName name="vn801.3_3">'Verification Rpt'!#REF!</definedName>
    <definedName name="vn801.4.1_1">'Verification Rpt'!#REF!</definedName>
    <definedName name="vn801.4.1_2">'Verification Rpt'!#REF!</definedName>
    <definedName name="vn801.4.2">'Verification Rpt'!#REF!</definedName>
    <definedName name="vn801.5_1">'Verification Rpt'!#REF!</definedName>
    <definedName name="vn801.5_2">'Verification Rpt'!#REF!</definedName>
    <definedName name="vn801.5_3">'Verification Rpt'!#REF!</definedName>
    <definedName name="vn801.5_3a">'Verification Rpt'!#REF!</definedName>
    <definedName name="vn801.5_3b">'Verification Rpt'!#REF!</definedName>
    <definedName name="vn801.5_3c">'Verification Rpt'!#REF!</definedName>
    <definedName name="vn801.6.1">'Verification Rpt'!#REF!</definedName>
    <definedName name="vn801.6.2_1">'Verification Rpt'!#REF!</definedName>
    <definedName name="vn801.6.2_2">'Verification Rpt'!#REF!</definedName>
    <definedName name="vn801.6.3">'Verification Rpt'!#REF!</definedName>
    <definedName name="vn801.6.4">'Verification Rpt'!#REF!</definedName>
    <definedName name="vn801.6.5_1and2">'Verification Rpt'!#REF!</definedName>
    <definedName name="vn801.6.5_3">'Verification Rpt'!#REF!</definedName>
    <definedName name="vn801.7.1">'Verification Rpt'!#REF!</definedName>
    <definedName name="vn801.7.2">'Verification Rpt'!#REF!</definedName>
    <definedName name="vn801.8">'Verification Rpt'!#REF!</definedName>
    <definedName name="vn802.1">'Verification Rpt'!#REF!</definedName>
    <definedName name="vn802.2ExcessiveShutoff">'Verification Rpt'!#REF!</definedName>
    <definedName name="vn802.2LeakDetection">'Verification Rpt'!#REF!</definedName>
    <definedName name="vn802.3">'Verification Rpt'!#REF!</definedName>
    <definedName name="vn802.4">'Verification Rpt'!#REF!</definedName>
    <definedName name="vn802.5">'Verification Rpt'!#REF!</definedName>
    <definedName name="vn901.1.1">'Verification Rpt'!$J$472</definedName>
    <definedName name="vn901.1.2">'Verification Rpt'!$J$474</definedName>
    <definedName name="vn901.1.3_1">'Verification Rpt'!$J$476</definedName>
    <definedName name="vn901.1.3_2">'Verification Rpt'!$J$478</definedName>
    <definedName name="vn901.1.4">'Verification Rpt'!$J$480</definedName>
    <definedName name="vn901.1.5">'Verification Rpt'!$J$481</definedName>
    <definedName name="vn901.1.6">'Verification Rpt'!$J$484</definedName>
    <definedName name="vn901.10">'Verification Rpt'!$J$548</definedName>
    <definedName name="vn901.11">'Verification Rpt'!$J$551</definedName>
    <definedName name="vn901.12">'Verification Rpt'!$J$552</definedName>
    <definedName name="vn901.13_1">'Verification Rpt'!$J$554</definedName>
    <definedName name="vn901.13_2">'Verification Rpt'!$J$555</definedName>
    <definedName name="vn901.14_1">'Verification Rpt'!$J$557</definedName>
    <definedName name="vn901.14_2">'Verification Rpt'!$J$558</definedName>
    <definedName name="vn901.15">'Verification Rpt'!$J$559</definedName>
    <definedName name="vn901.2.1_1">'Verification Rpt'!$J$488</definedName>
    <definedName name="vn901.2.1_2">'Verification Rpt'!$J$490</definedName>
    <definedName name="vn901.2.1_3">'Verification Rpt'!$J$492</definedName>
    <definedName name="vn901.2.1_4">'Verification Rpt'!$J$494</definedName>
    <definedName name="vn901.2.1_5">'Verification Rpt'!$J$496</definedName>
    <definedName name="vn901.2.2">'Verification Rpt'!$J$498</definedName>
    <definedName name="vn901.3_1a">'Verification Rpt'!$J$500</definedName>
    <definedName name="vn901.3_1b">'Verification Rpt'!$J$502</definedName>
    <definedName name="vn901.3_1c">'Verification Rpt'!$J$504</definedName>
    <definedName name="vn901.3_2">'Verification Rpt'!$J$505</definedName>
    <definedName name="vn901.4_1">'Verification Rpt'!$J$506</definedName>
    <definedName name="vn901.4_2">'Verification Rpt'!$J$509</definedName>
    <definedName name="vn901.4_2thru6">'Verification Rpt'!$J$507</definedName>
    <definedName name="vn901.4_3">'Verification Rpt'!$J$514</definedName>
    <definedName name="vn901.4_4">'Verification Rpt'!$J$519</definedName>
    <definedName name="vn901.4_5">'Verification Rpt'!$J$524</definedName>
    <definedName name="vn901.4_6">'Verification Rpt'!$J$529</definedName>
    <definedName name="vn901.5">'Verification Rpt'!$J$533</definedName>
    <definedName name="vn901.5_1and2">'Verification Rpt'!$J$534</definedName>
    <definedName name="vn901.6_1">'Verification Rpt'!$J$537</definedName>
    <definedName name="vn901.6_2a">'Verification Rpt'!$J$538</definedName>
    <definedName name="vn901.6_2b">'Verification Rpt'!$J$539</definedName>
    <definedName name="vn901.7">'Verification Rpt'!$J$540</definedName>
    <definedName name="vn901.8">'Verification Rpt'!$J$541</definedName>
    <definedName name="vn901.9.1">'Verification Rpt'!$J$543</definedName>
    <definedName name="vn901.9.2">'Verification Rpt'!$J$544</definedName>
    <definedName name="vn901.9.3">'Verification Rpt'!$J$545</definedName>
    <definedName name="vn901.9.4">'Verification Rpt'!$J$546</definedName>
    <definedName name="vn902.1.1_1">'Verification Rpt'!$J$564</definedName>
    <definedName name="vn902.1.1_2">'Verification Rpt'!$J$566</definedName>
    <definedName name="vn902.1.1_3">'Verification Rpt'!$J$567</definedName>
    <definedName name="vn902.1.2">'Verification Rpt'!$J$569</definedName>
    <definedName name="vn902.1.3">'Verification Rpt'!$J$573</definedName>
    <definedName name="vn902.1.4">'Verification Rpt'!$J$574</definedName>
    <definedName name="vn902.1.4_1">'Verification Rpt'!$J$575</definedName>
    <definedName name="vn902.1.4_2">'Verification Rpt'!$J$576</definedName>
    <definedName name="vn902.2.1">'Verification Rpt'!$J$578</definedName>
    <definedName name="vn902.2.1_1thru4">'Verification Rpt'!$J$579</definedName>
    <definedName name="vn902.2.2">'Verification Rpt'!$J$583</definedName>
    <definedName name="vn902.2.3">'Verification Rpt'!$J$584</definedName>
    <definedName name="vn902.3_1">'Verification Rpt'!$J$586</definedName>
    <definedName name="vn902.3_1a">'Verification Rpt'!$J$587</definedName>
    <definedName name="vn902.3_1b">'Verification Rpt'!$J$588</definedName>
    <definedName name="vn902.3_2a">'Verification Rpt'!$J$590</definedName>
    <definedName name="vn902.4_1">'Verification Rpt'!$J$592</definedName>
    <definedName name="vn902.4_2">'Verification Rpt'!$J$593</definedName>
    <definedName name="vn902.5">'Verification Rpt'!$J$594</definedName>
    <definedName name="vn902.6">'Verification Rpt'!$J$595</definedName>
    <definedName name="vn903.1.1">'Verification Rpt'!$J$598</definedName>
    <definedName name="vn903.1.2">'Verification Rpt'!$J$599</definedName>
    <definedName name="vn903.2">'Verification Rpt'!$J$601</definedName>
    <definedName name="vn903.3">'Verification Rpt'!$J$604</definedName>
    <definedName name="vn904.1">'Verification Rpt'!$J$607</definedName>
    <definedName name="vn904.2">'Verification Rpt'!$J$608</definedName>
    <definedName name="vnSqFT">'Verification Rpt'!$J$130</definedName>
    <definedName name="Vreport701.1">'Verification Rpt'!#REF!</definedName>
    <definedName name="vsilvermin">Formulas!$C$253</definedName>
    <definedName name="VSqFt">'Verification Rpt'!$J$130</definedName>
    <definedName name="Vstatus">Formulas!$G$226</definedName>
    <definedName name="vtotalscore">Formulas!$G$328</definedName>
    <definedName name="VZCmassFour">Formulas!$T$21:$T$22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2" l="1"/>
  <c r="B9" i="23" s="1"/>
  <c r="F4" i="21"/>
  <c r="F5" i="21"/>
  <c r="F7" i="21"/>
  <c r="K4" i="21" l="1"/>
  <c r="I6" i="21"/>
  <c r="F6" i="21"/>
  <c r="F3" i="21"/>
  <c r="K6" i="21"/>
  <c r="K3" i="21"/>
  <c r="K5" i="21"/>
  <c r="J199" i="21" l="1"/>
  <c r="I285" i="8" l="1"/>
  <c r="I284" i="8"/>
  <c r="I283" i="8"/>
  <c r="I282" i="8"/>
  <c r="I281" i="8"/>
  <c r="I280" i="8"/>
  <c r="I279" i="8"/>
  <c r="I278" i="8"/>
  <c r="I277" i="8"/>
  <c r="I287" i="8" l="1"/>
  <c r="I657" i="21" s="1"/>
  <c r="R334" i="21"/>
  <c r="S614" i="21"/>
  <c r="S613" i="21"/>
  <c r="S612" i="21"/>
  <c r="N537" i="21"/>
  <c r="P81" i="11"/>
  <c r="J411" i="21" l="1"/>
  <c r="J457" i="21"/>
  <c r="J21" i="12" l="1"/>
  <c r="G1" i="21"/>
  <c r="I5" i="14"/>
  <c r="I5" i="13"/>
  <c r="J6" i="11"/>
  <c r="J5" i="10"/>
  <c r="E671" i="21"/>
  <c r="B76" i="14"/>
  <c r="B171" i="13"/>
  <c r="C85" i="11"/>
  <c r="C214" i="10"/>
  <c r="B62" i="12"/>
  <c r="J16" i="12"/>
  <c r="I5" i="12"/>
  <c r="I5" i="1" l="1"/>
  <c r="B118" i="1"/>
  <c r="H369" i="21" l="1"/>
  <c r="G369" i="21"/>
  <c r="H353" i="21"/>
  <c r="G353" i="21"/>
  <c r="H351" i="21"/>
  <c r="O559" i="21"/>
  <c r="K546" i="21"/>
  <c r="K559" i="21"/>
  <c r="G559" i="21"/>
  <c r="R546" i="21"/>
  <c r="E243" i="8" l="1"/>
  <c r="G129" i="13"/>
  <c r="D241" i="8"/>
  <c r="G546" i="21"/>
  <c r="G250" i="21"/>
  <c r="R337" i="21"/>
  <c r="R336" i="21"/>
  <c r="R335" i="21"/>
  <c r="Q337" i="21"/>
  <c r="Q334" i="21"/>
  <c r="Q330" i="21"/>
  <c r="Q325" i="21"/>
  <c r="Q324" i="21"/>
  <c r="Q323" i="21"/>
  <c r="Q321" i="21"/>
  <c r="Q320" i="21"/>
  <c r="H587" i="21"/>
  <c r="E308" i="15" l="1"/>
  <c r="E307" i="15"/>
  <c r="E306" i="15"/>
  <c r="E305" i="15"/>
  <c r="E300" i="15"/>
  <c r="E298" i="15"/>
  <c r="E297" i="15"/>
  <c r="E296" i="15"/>
  <c r="E294" i="15"/>
  <c r="E293" i="15"/>
  <c r="F17" i="15"/>
  <c r="E17" i="15"/>
  <c r="P79" i="11" l="1"/>
  <c r="S79" i="11" s="1"/>
  <c r="P67" i="11"/>
  <c r="G117" i="8"/>
  <c r="A119" i="8"/>
  <c r="A229" i="8"/>
  <c r="A230" i="8"/>
  <c r="A231" i="8"/>
  <c r="A232" i="8"/>
  <c r="A233" i="8"/>
  <c r="A234" i="8"/>
  <c r="A235" i="8"/>
  <c r="A236" i="8"/>
  <c r="A237" i="8"/>
  <c r="A238" i="8"/>
  <c r="A239" i="8"/>
  <c r="S67" i="11" l="1"/>
  <c r="E310" i="15" s="1"/>
  <c r="J462" i="21" l="1"/>
  <c r="J461" i="21"/>
  <c r="J460" i="21"/>
  <c r="J459" i="21"/>
  <c r="J456" i="21"/>
  <c r="J455" i="21"/>
  <c r="J454" i="21"/>
  <c r="J416" i="21"/>
  <c r="J415" i="21"/>
  <c r="J414" i="21"/>
  <c r="J413" i="21"/>
  <c r="J410" i="21"/>
  <c r="J409" i="21"/>
  <c r="J408" i="21"/>
  <c r="J449" i="21"/>
  <c r="J448" i="21"/>
  <c r="J447" i="21"/>
  <c r="J446" i="21"/>
  <c r="J445" i="21"/>
  <c r="J443" i="21"/>
  <c r="J442" i="21"/>
  <c r="J441" i="21"/>
  <c r="J440" i="21"/>
  <c r="J439" i="21"/>
  <c r="J437" i="21"/>
  <c r="J436" i="21"/>
  <c r="J435" i="21"/>
  <c r="J434" i="21"/>
  <c r="J433" i="21"/>
  <c r="J431" i="21"/>
  <c r="J430" i="21"/>
  <c r="J429" i="21"/>
  <c r="J428" i="21"/>
  <c r="J427" i="21"/>
  <c r="J425" i="21"/>
  <c r="J424" i="21"/>
  <c r="J403" i="21"/>
  <c r="J402" i="21"/>
  <c r="J401" i="21"/>
  <c r="J400" i="21"/>
  <c r="J399" i="21"/>
  <c r="J397" i="21"/>
  <c r="J396" i="21"/>
  <c r="J395" i="21"/>
  <c r="J394" i="21"/>
  <c r="J393" i="21"/>
  <c r="J391" i="21"/>
  <c r="J390" i="21"/>
  <c r="J389" i="21"/>
  <c r="J388" i="21"/>
  <c r="J387" i="21"/>
  <c r="J385" i="21"/>
  <c r="J384" i="21"/>
  <c r="J383" i="21"/>
  <c r="J382" i="21"/>
  <c r="J381" i="21"/>
  <c r="J379" i="21"/>
  <c r="J378" i="21"/>
  <c r="H367" i="21"/>
  <c r="G367" i="21"/>
  <c r="G351" i="21"/>
  <c r="H371" i="21"/>
  <c r="J464" i="21" l="1"/>
  <c r="J418" i="21"/>
  <c r="G466" i="21" s="1"/>
  <c r="G337" i="21"/>
  <c r="G336" i="21"/>
  <c r="G335" i="21"/>
  <c r="G334" i="21"/>
  <c r="H329" i="21"/>
  <c r="H338" i="21" s="1"/>
  <c r="G327" i="21"/>
  <c r="G325" i="21"/>
  <c r="G324" i="21"/>
  <c r="G323" i="21"/>
  <c r="G321" i="21"/>
  <c r="G320" i="21"/>
  <c r="G16" i="21"/>
  <c r="G17" i="21"/>
  <c r="O52" i="12"/>
  <c r="O51" i="12"/>
  <c r="O50" i="12"/>
  <c r="O49" i="12"/>
  <c r="O46" i="12"/>
  <c r="O45" i="12"/>
  <c r="O44" i="12"/>
  <c r="O41" i="12"/>
  <c r="O40" i="12"/>
  <c r="O39" i="12"/>
  <c r="O38" i="12"/>
  <c r="O37" i="12"/>
  <c r="O35" i="12"/>
  <c r="O34" i="12"/>
  <c r="O33" i="12"/>
  <c r="O32" i="12"/>
  <c r="O31" i="12"/>
  <c r="O29" i="12"/>
  <c r="O28" i="12"/>
  <c r="O27" i="12"/>
  <c r="O26" i="12"/>
  <c r="O25" i="12"/>
  <c r="O23" i="12"/>
  <c r="O22" i="12"/>
  <c r="O21" i="12"/>
  <c r="O20" i="12"/>
  <c r="O19" i="12"/>
  <c r="O17" i="12"/>
  <c r="O16" i="12"/>
  <c r="J52" i="12"/>
  <c r="J51" i="12"/>
  <c r="J50" i="12"/>
  <c r="J49" i="12"/>
  <c r="J46" i="12"/>
  <c r="J45" i="12"/>
  <c r="J44" i="12"/>
  <c r="J41" i="12"/>
  <c r="J40" i="12"/>
  <c r="J39" i="12"/>
  <c r="J38" i="12"/>
  <c r="J37" i="12"/>
  <c r="J35" i="12"/>
  <c r="J34" i="12"/>
  <c r="J33" i="12"/>
  <c r="J32" i="12"/>
  <c r="J31" i="12"/>
  <c r="J29" i="12"/>
  <c r="J28" i="12"/>
  <c r="J27" i="12"/>
  <c r="J26" i="12"/>
  <c r="J25" i="12"/>
  <c r="J23" i="12"/>
  <c r="J22" i="12"/>
  <c r="J20" i="12"/>
  <c r="J19" i="12"/>
  <c r="J17" i="12"/>
  <c r="J373" i="21" l="1"/>
  <c r="E328" i="8" s="1"/>
  <c r="R330" i="21"/>
  <c r="J468" i="21"/>
  <c r="E329" i="8" s="1"/>
  <c r="O54" i="12"/>
  <c r="J54" i="12"/>
  <c r="K56" i="12" s="1"/>
  <c r="B126" i="8" l="1"/>
  <c r="B125" i="8"/>
  <c r="B124" i="8"/>
  <c r="B122" i="8"/>
  <c r="B121" i="8"/>
  <c r="B120" i="8"/>
  <c r="B119" i="8"/>
  <c r="B118" i="8"/>
  <c r="B116" i="8"/>
  <c r="N3" i="12" l="1"/>
  <c r="K57" i="12" s="1"/>
  <c r="E314" i="15"/>
  <c r="P82" i="11"/>
  <c r="O3" i="11" s="1"/>
  <c r="D213" i="8" s="1"/>
  <c r="I63" i="8"/>
  <c r="G328" i="21" s="1"/>
  <c r="A126" i="8"/>
  <c r="A122" i="8"/>
  <c r="A120" i="8"/>
  <c r="G116" i="8"/>
  <c r="D127" i="8"/>
  <c r="D128" i="8"/>
  <c r="D133" i="8"/>
  <c r="D125" i="8"/>
  <c r="O9" i="14"/>
  <c r="AE111" i="8"/>
  <c r="D212" i="8" l="1"/>
  <c r="X56" i="8"/>
  <c r="P147" i="10" l="1"/>
  <c r="G254" i="21"/>
  <c r="G253" i="21"/>
  <c r="G252" i="21"/>
  <c r="G255" i="21"/>
  <c r="E101" i="1"/>
  <c r="C6" i="9" l="1"/>
  <c r="Q328" i="21" l="1"/>
  <c r="R614" i="21" l="1"/>
  <c r="R613" i="21"/>
  <c r="R612" i="21"/>
  <c r="R658" i="21"/>
  <c r="R640" i="21"/>
  <c r="R639" i="21"/>
  <c r="R638" i="21"/>
  <c r="R648" i="21"/>
  <c r="R647" i="21"/>
  <c r="O3" i="14" l="1"/>
  <c r="T8" i="21" l="1"/>
  <c r="S8" i="21"/>
  <c r="T6" i="21"/>
  <c r="S6" i="21"/>
  <c r="S4" i="21"/>
  <c r="S5" i="21"/>
  <c r="S3" i="21"/>
  <c r="T586" i="21"/>
  <c r="S586" i="21"/>
  <c r="BF71" i="8" l="1"/>
  <c r="E2" i="19" l="1"/>
  <c r="E2" i="18"/>
  <c r="D2" i="17"/>
  <c r="D2" i="23"/>
  <c r="D2" i="22"/>
  <c r="D2" i="15"/>
  <c r="C9" i="9" l="1"/>
  <c r="L9" i="9" l="1"/>
  <c r="L1" i="21"/>
  <c r="F1" i="15"/>
  <c r="C2" i="19"/>
  <c r="C2" i="17"/>
  <c r="B2" i="22"/>
  <c r="I4" i="12"/>
  <c r="D2" i="18"/>
  <c r="B2" i="23"/>
  <c r="I4" i="13"/>
  <c r="J4" i="11"/>
  <c r="H4" i="9"/>
  <c r="I4" i="14"/>
  <c r="I4" i="1"/>
  <c r="G572" i="21" l="1"/>
  <c r="C572" i="21" s="1"/>
  <c r="G571" i="21"/>
  <c r="C571" i="21" s="1"/>
  <c r="G570" i="21"/>
  <c r="C570" i="21" s="1"/>
  <c r="G569" i="21"/>
  <c r="C569" i="21" s="1"/>
  <c r="G555" i="21"/>
  <c r="C555" i="21" s="1"/>
  <c r="G554" i="21"/>
  <c r="G550" i="21"/>
  <c r="C550" i="21" s="1"/>
  <c r="G549" i="21"/>
  <c r="C549" i="21" s="1"/>
  <c r="G485" i="21"/>
  <c r="C485" i="21" s="1"/>
  <c r="G484" i="21"/>
  <c r="C484" i="21" s="1"/>
  <c r="G479" i="21"/>
  <c r="C479" i="21" s="1"/>
  <c r="G478" i="21"/>
  <c r="C478" i="21" s="1"/>
  <c r="G477" i="21"/>
  <c r="C477" i="21" s="1"/>
  <c r="G476" i="21"/>
  <c r="C476" i="21" s="1"/>
  <c r="F282" i="8"/>
  <c r="F281" i="8"/>
  <c r="F605" i="21"/>
  <c r="F604" i="21"/>
  <c r="E165" i="13"/>
  <c r="E403" i="15"/>
  <c r="E402" i="15"/>
  <c r="G558" i="21"/>
  <c r="C558" i="21" s="1"/>
  <c r="G557" i="21"/>
  <c r="C557" i="21" s="1"/>
  <c r="H6" i="22"/>
  <c r="H6" i="23" s="1"/>
  <c r="H4" i="22"/>
  <c r="H4" i="23" s="1"/>
  <c r="B7" i="22"/>
  <c r="B7" i="23" s="1"/>
  <c r="C475" i="21" l="1"/>
  <c r="C483" i="21"/>
  <c r="C556" i="21"/>
  <c r="C568" i="21"/>
  <c r="C553" i="21"/>
  <c r="C554" i="21"/>
  <c r="S122" i="21"/>
  <c r="G472" i="21" l="1"/>
  <c r="C288" i="21" l="1"/>
  <c r="C285" i="21"/>
  <c r="J118" i="21" l="1"/>
  <c r="J116" i="21"/>
  <c r="G63" i="21"/>
  <c r="C63" i="21" s="1"/>
  <c r="G62" i="21"/>
  <c r="C62" i="21" s="1"/>
  <c r="G61" i="21"/>
  <c r="G59" i="21"/>
  <c r="C59" i="21" s="1"/>
  <c r="C60" i="21"/>
  <c r="C57" i="21"/>
  <c r="C55" i="21"/>
  <c r="C24" i="21"/>
  <c r="C58" i="21" l="1"/>
  <c r="C61" i="21"/>
  <c r="R481" i="21"/>
  <c r="S522" i="21"/>
  <c r="S521" i="21"/>
  <c r="S520" i="21"/>
  <c r="S519" i="21"/>
  <c r="S532" i="21"/>
  <c r="S531" i="21"/>
  <c r="S530" i="21"/>
  <c r="S529" i="21"/>
  <c r="S527" i="21"/>
  <c r="S526" i="21"/>
  <c r="S525" i="21"/>
  <c r="S524" i="21"/>
  <c r="R218" i="21"/>
  <c r="P53" i="21"/>
  <c r="Q218" i="21"/>
  <c r="Q172" i="21"/>
  <c r="A340" i="8"/>
  <c r="A341" i="8" s="1"/>
  <c r="A342" i="8" s="1"/>
  <c r="T592" i="21"/>
  <c r="C190" i="8"/>
  <c r="C189" i="8"/>
  <c r="C188" i="8"/>
  <c r="C187" i="8"/>
  <c r="C186" i="8"/>
  <c r="C185" i="8"/>
  <c r="C184" i="8"/>
  <c r="C183" i="8"/>
  <c r="C182" i="8"/>
  <c r="C181" i="8"/>
  <c r="C180" i="8"/>
  <c r="S66" i="21"/>
  <c r="S64" i="21"/>
  <c r="S59" i="21"/>
  <c r="S56" i="21"/>
  <c r="S55" i="21"/>
  <c r="S53" i="21"/>
  <c r="S658" i="21"/>
  <c r="S656" i="21"/>
  <c r="S655" i="21"/>
  <c r="S654" i="21"/>
  <c r="S653" i="21"/>
  <c r="S652" i="21"/>
  <c r="S651" i="21"/>
  <c r="S650" i="21"/>
  <c r="S649" i="21"/>
  <c r="S648" i="21"/>
  <c r="S647" i="21"/>
  <c r="S645" i="21"/>
  <c r="S644" i="21"/>
  <c r="S643" i="21"/>
  <c r="S642" i="21"/>
  <c r="S641" i="21"/>
  <c r="S640" i="21"/>
  <c r="S639" i="21"/>
  <c r="S638" i="21"/>
  <c r="V478" i="21"/>
  <c r="U478" i="21"/>
  <c r="U476" i="21"/>
  <c r="T476" i="21"/>
  <c r="S473" i="21"/>
  <c r="T180" i="21"/>
  <c r="S180" i="21"/>
  <c r="F33" i="11"/>
  <c r="I272" i="8"/>
  <c r="I271" i="8"/>
  <c r="I270" i="8"/>
  <c r="I269" i="8"/>
  <c r="I268" i="8"/>
  <c r="I267" i="8"/>
  <c r="I266" i="8"/>
  <c r="I265" i="8"/>
  <c r="I264" i="8"/>
  <c r="I263" i="8"/>
  <c r="I251" i="8"/>
  <c r="I258" i="8"/>
  <c r="I257" i="8"/>
  <c r="I256" i="8"/>
  <c r="I255" i="8"/>
  <c r="I254" i="8"/>
  <c r="I253" i="8"/>
  <c r="I252" i="8"/>
  <c r="I247" i="8"/>
  <c r="I246" i="8"/>
  <c r="I245" i="8"/>
  <c r="I244" i="8"/>
  <c r="I243" i="8"/>
  <c r="I242" i="8"/>
  <c r="I241" i="8"/>
  <c r="I240" i="8"/>
  <c r="I239" i="8"/>
  <c r="I238" i="8"/>
  <c r="I237" i="8"/>
  <c r="I236" i="8"/>
  <c r="I235" i="8"/>
  <c r="I234" i="8"/>
  <c r="I233" i="8"/>
  <c r="I232" i="8"/>
  <c r="I231" i="8"/>
  <c r="I230" i="8"/>
  <c r="I229" i="8"/>
  <c r="I228" i="8"/>
  <c r="I227" i="8"/>
  <c r="S604" i="21"/>
  <c r="O601" i="21"/>
  <c r="O598" i="21"/>
  <c r="Q595" i="21"/>
  <c r="O594" i="21"/>
  <c r="V590" i="21"/>
  <c r="S590" i="21"/>
  <c r="U590" i="21"/>
  <c r="T590" i="21"/>
  <c r="T588" i="21"/>
  <c r="T587" i="21"/>
  <c r="S588" i="21"/>
  <c r="O590" i="21"/>
  <c r="O588" i="21"/>
  <c r="O587" i="21"/>
  <c r="S587" i="21"/>
  <c r="R566" i="21"/>
  <c r="R564" i="21"/>
  <c r="S558" i="21"/>
  <c r="S544" i="21"/>
  <c r="R537" i="21"/>
  <c r="S517" i="21"/>
  <c r="S516" i="21"/>
  <c r="S515" i="21"/>
  <c r="S514" i="21"/>
  <c r="S512" i="21"/>
  <c r="S511" i="21"/>
  <c r="S510" i="21"/>
  <c r="S509" i="21"/>
  <c r="Q506" i="21"/>
  <c r="R502" i="21"/>
  <c r="R500" i="21"/>
  <c r="R496" i="21"/>
  <c r="R494" i="21"/>
  <c r="R492" i="21"/>
  <c r="R490" i="21"/>
  <c r="R488" i="21"/>
  <c r="O484" i="21"/>
  <c r="R480" i="21"/>
  <c r="O478" i="21"/>
  <c r="O476" i="21"/>
  <c r="O474" i="21"/>
  <c r="R473" i="21"/>
  <c r="I574" i="21"/>
  <c r="I565" i="21"/>
  <c r="G564" i="21"/>
  <c r="E408" i="15"/>
  <c r="I507" i="21"/>
  <c r="I491" i="21"/>
  <c r="S490" i="21" s="1"/>
  <c r="I497" i="21"/>
  <c r="I495" i="21"/>
  <c r="S494" i="21" s="1"/>
  <c r="I493" i="21"/>
  <c r="S492" i="21" s="1"/>
  <c r="I489" i="21"/>
  <c r="S488" i="21" s="1"/>
  <c r="I503" i="21"/>
  <c r="S502" i="21" s="1"/>
  <c r="I501" i="21"/>
  <c r="S500" i="21" s="1"/>
  <c r="S496" i="21" l="1"/>
  <c r="D335" i="8"/>
  <c r="D334" i="8"/>
  <c r="D337" i="8"/>
  <c r="D336" i="8"/>
  <c r="I274" i="8"/>
  <c r="I646" i="21" s="1"/>
  <c r="I260" i="8"/>
  <c r="I637" i="21" s="1"/>
  <c r="S498" i="21"/>
  <c r="I249" i="8"/>
  <c r="I611" i="21" s="1"/>
  <c r="Q327" i="21"/>
  <c r="AW82" i="8"/>
  <c r="AW81" i="8"/>
  <c r="AW80" i="8"/>
  <c r="AW79" i="8"/>
  <c r="AW78" i="8"/>
  <c r="AW77" i="8"/>
  <c r="AW76" i="8"/>
  <c r="AW75" i="8"/>
  <c r="AX69" i="8"/>
  <c r="BA63" i="8"/>
  <c r="BF64" i="8" s="1"/>
  <c r="BA53" i="8"/>
  <c r="BF54" i="8" s="1"/>
  <c r="BF50" i="8"/>
  <c r="AX48" i="8"/>
  <c r="AW83" i="8" l="1"/>
  <c r="BA35" i="8"/>
  <c r="BF36" i="8" s="1"/>
  <c r="AP93" i="8"/>
  <c r="AU94" i="8" s="1"/>
  <c r="AU91" i="8"/>
  <c r="AM89" i="8"/>
  <c r="AU87" i="8"/>
  <c r="AM85" i="8"/>
  <c r="AU83" i="8"/>
  <c r="AM81" i="8"/>
  <c r="AU79" i="8" l="1"/>
  <c r="AM77" i="8"/>
  <c r="AP68" i="8"/>
  <c r="AU69" i="8" s="1"/>
  <c r="AM66" i="8"/>
  <c r="AU63" i="8"/>
  <c r="AM61" i="8"/>
  <c r="AP52" i="8"/>
  <c r="AU53" i="8" s="1"/>
  <c r="AM50" i="8"/>
  <c r="AP41" i="8"/>
  <c r="AU42" i="8" s="1"/>
  <c r="AM39" i="8"/>
  <c r="CB29" i="8"/>
  <c r="BW28" i="8"/>
  <c r="BT26" i="8"/>
  <c r="BQ29" i="8"/>
  <c r="BL28" i="8"/>
  <c r="BI26" i="8"/>
  <c r="BF29" i="8"/>
  <c r="BA28" i="8"/>
  <c r="AP28" i="8"/>
  <c r="AU29" i="8" s="1"/>
  <c r="AX26" i="8"/>
  <c r="AM26" i="8"/>
  <c r="AF30" i="8"/>
  <c r="AE30" i="8"/>
  <c r="AD30" i="8"/>
  <c r="AC30" i="8"/>
  <c r="AI33" i="8"/>
  <c r="AI32" i="8"/>
  <c r="AI31" i="8"/>
  <c r="AF32" i="8"/>
  <c r="AF26" i="8"/>
  <c r="AF33" i="8"/>
  <c r="AE33" i="8"/>
  <c r="AD33" i="8"/>
  <c r="AC33" i="8"/>
  <c r="AD32" i="8"/>
  <c r="AC32" i="8"/>
  <c r="AF31" i="8"/>
  <c r="AE31" i="8"/>
  <c r="AD31" i="8"/>
  <c r="AC31" i="8"/>
  <c r="O32" i="8"/>
  <c r="Z30" i="8" s="1"/>
  <c r="N27" i="8"/>
  <c r="Q28" i="8"/>
  <c r="Q24" i="8"/>
  <c r="Q19" i="8"/>
  <c r="Q11" i="8"/>
  <c r="CC29" i="8" l="1"/>
  <c r="AH30" i="8"/>
  <c r="AH31" i="8"/>
  <c r="AJ31" i="8" s="1"/>
  <c r="AH32" i="8"/>
  <c r="AJ32" i="8" s="1"/>
  <c r="AH33" i="8"/>
  <c r="AJ33" i="8" s="1"/>
  <c r="N84" i="8"/>
  <c r="N83" i="8"/>
  <c r="N82" i="8"/>
  <c r="N81" i="8"/>
  <c r="N80" i="8"/>
  <c r="N77" i="8"/>
  <c r="N78" i="8"/>
  <c r="E84" i="8"/>
  <c r="E83" i="8"/>
  <c r="E82" i="8"/>
  <c r="E79" i="8"/>
  <c r="E78" i="8"/>
  <c r="E77" i="8"/>
  <c r="Q9" i="8"/>
  <c r="J330" i="21" l="1"/>
  <c r="P330" i="21" s="1"/>
  <c r="R229" i="21"/>
  <c r="R222" i="21"/>
  <c r="R215" i="21"/>
  <c r="Q198" i="21"/>
  <c r="R195" i="21"/>
  <c r="Q190" i="21"/>
  <c r="R181" i="21"/>
  <c r="R172" i="21"/>
  <c r="R167" i="21"/>
  <c r="J314" i="21"/>
  <c r="J301" i="21"/>
  <c r="J282" i="21"/>
  <c r="J235" i="21"/>
  <c r="J209" i="21"/>
  <c r="J207" i="21"/>
  <c r="J201" i="21"/>
  <c r="J192" i="21"/>
  <c r="J188" i="21"/>
  <c r="J139" i="21"/>
  <c r="J137" i="21"/>
  <c r="J135" i="21"/>
  <c r="J102" i="21"/>
  <c r="J100" i="21"/>
  <c r="J98" i="21"/>
  <c r="J96" i="21"/>
  <c r="J94" i="21"/>
  <c r="J89" i="21"/>
  <c r="J87" i="21"/>
  <c r="J84" i="21"/>
  <c r="J78" i="21"/>
  <c r="J76" i="21"/>
  <c r="J74" i="21"/>
  <c r="J72" i="21"/>
  <c r="J66" i="21"/>
  <c r="J64" i="21"/>
  <c r="J59" i="21"/>
  <c r="J56" i="21"/>
  <c r="J54" i="21"/>
  <c r="J23" i="21"/>
  <c r="J19" i="21"/>
  <c r="O279" i="21" l="1"/>
  <c r="O276" i="21"/>
  <c r="J279" i="21"/>
  <c r="P279" i="21" s="1"/>
  <c r="J275" i="21"/>
  <c r="P276" i="21" s="1"/>
  <c r="O167" i="21"/>
  <c r="P314" i="21"/>
  <c r="O314" i="21"/>
  <c r="O313" i="21"/>
  <c r="O312" i="21"/>
  <c r="O311" i="21"/>
  <c r="O310" i="21"/>
  <c r="O301" i="21"/>
  <c r="O309" i="21"/>
  <c r="O308" i="21"/>
  <c r="O307" i="21"/>
  <c r="O306" i="21"/>
  <c r="O305" i="21"/>
  <c r="O304" i="21"/>
  <c r="O297" i="21"/>
  <c r="O303" i="21"/>
  <c r="O273" i="21"/>
  <c r="O272" i="21"/>
  <c r="O271" i="21"/>
  <c r="O267" i="21"/>
  <c r="O264" i="21"/>
  <c r="O262" i="21"/>
  <c r="O252" i="21"/>
  <c r="O249" i="21"/>
  <c r="O248" i="21"/>
  <c r="O244" i="21"/>
  <c r="O240" i="21"/>
  <c r="O237" i="21"/>
  <c r="O235" i="21"/>
  <c r="O233" i="21"/>
  <c r="O231" i="21"/>
  <c r="O230" i="21"/>
  <c r="O228" i="21"/>
  <c r="O225" i="21"/>
  <c r="O222" i="21"/>
  <c r="O221" i="21"/>
  <c r="O220" i="21"/>
  <c r="O216" i="21"/>
  <c r="O212" i="21"/>
  <c r="O209" i="21"/>
  <c r="O207" i="21"/>
  <c r="O205" i="21"/>
  <c r="O203" i="21"/>
  <c r="O201" i="21"/>
  <c r="O199" i="21"/>
  <c r="O194" i="21"/>
  <c r="O192" i="21"/>
  <c r="O188" i="21"/>
  <c r="O184" i="21"/>
  <c r="O182" i="21"/>
  <c r="O180" i="21"/>
  <c r="O176" i="21"/>
  <c r="O173" i="21"/>
  <c r="O169" i="21"/>
  <c r="O168" i="21"/>
  <c r="O163" i="21"/>
  <c r="O158" i="21"/>
  <c r="O162" i="21"/>
  <c r="O155" i="21"/>
  <c r="O153" i="21"/>
  <c r="O152" i="21"/>
  <c r="O151" i="21"/>
  <c r="O150" i="21"/>
  <c r="O149" i="21"/>
  <c r="O147" i="21"/>
  <c r="O146" i="21"/>
  <c r="O145" i="21"/>
  <c r="O144" i="21"/>
  <c r="O143" i="21"/>
  <c r="O142" i="21"/>
  <c r="O135" i="21"/>
  <c r="O137" i="21"/>
  <c r="O139" i="21"/>
  <c r="J217" i="21"/>
  <c r="P217" i="21" s="1"/>
  <c r="J197" i="21"/>
  <c r="P197" i="21" s="1"/>
  <c r="J195" i="21"/>
  <c r="P195" i="21" s="1"/>
  <c r="J177" i="21"/>
  <c r="P177" i="21" s="1"/>
  <c r="J171" i="21"/>
  <c r="P171" i="21" s="1"/>
  <c r="J166" i="21"/>
  <c r="P166" i="21" s="1"/>
  <c r="P139" i="21"/>
  <c r="P137" i="21"/>
  <c r="P135" i="21"/>
  <c r="AF52" i="8"/>
  <c r="AF51" i="8"/>
  <c r="AF50" i="8"/>
  <c r="AF49" i="8"/>
  <c r="J287" i="21"/>
  <c r="P287" i="21" s="1"/>
  <c r="H287" i="21"/>
  <c r="P301" i="21"/>
  <c r="J297" i="21"/>
  <c r="P297" i="21" s="1"/>
  <c r="P282" i="21"/>
  <c r="J267" i="21"/>
  <c r="P267" i="21" s="1"/>
  <c r="J264" i="21"/>
  <c r="P264" i="21" s="1"/>
  <c r="J262" i="21"/>
  <c r="P262" i="21" s="1"/>
  <c r="J257" i="21"/>
  <c r="P257" i="21" s="1"/>
  <c r="P235" i="21"/>
  <c r="J204" i="21"/>
  <c r="P204" i="21" s="1"/>
  <c r="P209" i="21"/>
  <c r="P207" i="21"/>
  <c r="P201" i="21"/>
  <c r="P199" i="21"/>
  <c r="P192" i="21"/>
  <c r="J190" i="21"/>
  <c r="P188" i="21"/>
  <c r="J169" i="21"/>
  <c r="P169" i="21" s="1"/>
  <c r="J163" i="21"/>
  <c r="P163" i="21" s="1"/>
  <c r="J158" i="21"/>
  <c r="P158" i="21" s="1"/>
  <c r="H129" i="21"/>
  <c r="J252" i="21"/>
  <c r="P252" i="21" s="1"/>
  <c r="P129" i="21"/>
  <c r="O125" i="21"/>
  <c r="O124" i="21"/>
  <c r="O121" i="21"/>
  <c r="O118" i="21"/>
  <c r="O116" i="21"/>
  <c r="O112" i="21"/>
  <c r="O110" i="21"/>
  <c r="O109" i="21"/>
  <c r="O106" i="21"/>
  <c r="O105" i="21"/>
  <c r="O104" i="21"/>
  <c r="O102" i="21"/>
  <c r="O100" i="21"/>
  <c r="O98" i="21"/>
  <c r="O96" i="21"/>
  <c r="O94" i="21"/>
  <c r="O93" i="21"/>
  <c r="O91" i="21"/>
  <c r="O89" i="21"/>
  <c r="O87" i="21"/>
  <c r="O84" i="21"/>
  <c r="O82" i="21"/>
  <c r="O81" i="21"/>
  <c r="O78" i="21"/>
  <c r="O76" i="21"/>
  <c r="O74" i="21"/>
  <c r="O72" i="21"/>
  <c r="O70" i="21"/>
  <c r="O69" i="21"/>
  <c r="O68" i="21"/>
  <c r="O66" i="21"/>
  <c r="O64" i="21"/>
  <c r="O59" i="21"/>
  <c r="O56" i="21"/>
  <c r="O54" i="21"/>
  <c r="O52" i="21"/>
  <c r="O51" i="21"/>
  <c r="O48" i="21"/>
  <c r="O46" i="21"/>
  <c r="O45" i="21"/>
  <c r="O43" i="21"/>
  <c r="O42" i="21"/>
  <c r="O41" i="21"/>
  <c r="O40" i="21"/>
  <c r="O39" i="21"/>
  <c r="O38" i="21"/>
  <c r="O35" i="21"/>
  <c r="O34" i="21"/>
  <c r="O33" i="21"/>
  <c r="O32" i="21"/>
  <c r="O31" i="21"/>
  <c r="O30" i="21"/>
  <c r="O29" i="21"/>
  <c r="O28" i="21"/>
  <c r="O27" i="21"/>
  <c r="O26" i="21"/>
  <c r="O25" i="21"/>
  <c r="O23" i="21"/>
  <c r="O19" i="21"/>
  <c r="O17" i="21"/>
  <c r="O16" i="21"/>
  <c r="O15" i="21"/>
  <c r="P116" i="21"/>
  <c r="P118" i="21"/>
  <c r="P102" i="21"/>
  <c r="P100" i="21"/>
  <c r="P98" i="21"/>
  <c r="P96" i="21"/>
  <c r="P94" i="21"/>
  <c r="P89" i="21"/>
  <c r="P87" i="21"/>
  <c r="P84" i="21"/>
  <c r="P78" i="21"/>
  <c r="P76" i="21"/>
  <c r="P72" i="21"/>
  <c r="P66" i="21"/>
  <c r="P64" i="21"/>
  <c r="P59" i="21"/>
  <c r="P56" i="21"/>
  <c r="P54" i="21"/>
  <c r="J244" i="21"/>
  <c r="P244" i="21" s="1"/>
  <c r="J240" i="21"/>
  <c r="A271" i="8"/>
  <c r="A272" i="8" s="1"/>
  <c r="A273" i="8" s="1"/>
  <c r="A320" i="8"/>
  <c r="A319" i="8"/>
  <c r="A318" i="8"/>
  <c r="A317" i="8"/>
  <c r="A316" i="8"/>
  <c r="A315" i="8"/>
  <c r="A314" i="8"/>
  <c r="A313" i="8"/>
  <c r="A312" i="8"/>
  <c r="A311" i="8"/>
  <c r="A310" i="8"/>
  <c r="A309" i="8"/>
  <c r="C308" i="8"/>
  <c r="A308" i="8"/>
  <c r="C307" i="8"/>
  <c r="A306" i="8"/>
  <c r="C304" i="8"/>
  <c r="C303" i="8"/>
  <c r="A303" i="8"/>
  <c r="C302" i="8"/>
  <c r="A302" i="8"/>
  <c r="C301" i="8"/>
  <c r="A301" i="8"/>
  <c r="C300" i="8"/>
  <c r="C299" i="8"/>
  <c r="C298" i="8"/>
  <c r="A298" i="8"/>
  <c r="A297" i="8"/>
  <c r="A296" i="8"/>
  <c r="A295" i="8"/>
  <c r="A294" i="8"/>
  <c r="A293" i="8"/>
  <c r="C292" i="8"/>
  <c r="C291" i="8"/>
  <c r="A291" i="8"/>
  <c r="C288" i="8"/>
  <c r="C287" i="8"/>
  <c r="A287" i="8"/>
  <c r="C286" i="8"/>
  <c r="C285" i="8"/>
  <c r="C284" i="8"/>
  <c r="A284" i="8"/>
  <c r="C283" i="8"/>
  <c r="C282" i="8"/>
  <c r="A277" i="8"/>
  <c r="F262" i="8"/>
  <c r="D246" i="8"/>
  <c r="D245" i="8"/>
  <c r="D244" i="8"/>
  <c r="B243" i="8"/>
  <c r="D243" i="8"/>
  <c r="B242" i="8"/>
  <c r="D242" i="8"/>
  <c r="B241" i="8"/>
  <c r="D240" i="8"/>
  <c r="B240" i="8"/>
  <c r="D239" i="8"/>
  <c r="B239" i="8"/>
  <c r="D238" i="8"/>
  <c r="B238" i="8"/>
  <c r="D237" i="8"/>
  <c r="D236" i="8"/>
  <c r="B236" i="8"/>
  <c r="D235" i="8"/>
  <c r="B235" i="8"/>
  <c r="D234" i="8"/>
  <c r="B234" i="8"/>
  <c r="D233" i="8"/>
  <c r="B233" i="8"/>
  <c r="E232" i="8"/>
  <c r="D232" i="8"/>
  <c r="B232" i="8"/>
  <c r="E231" i="8"/>
  <c r="D231" i="8"/>
  <c r="B230" i="8"/>
  <c r="D229" i="8"/>
  <c r="B229" i="8"/>
  <c r="I21" i="9"/>
  <c r="B1" i="8"/>
  <c r="P19" i="21"/>
  <c r="B16" i="11"/>
  <c r="B15" i="11"/>
  <c r="D124" i="8"/>
  <c r="A124" i="8"/>
  <c r="D123" i="8"/>
  <c r="B55" i="11"/>
  <c r="B127" i="8" s="1"/>
  <c r="P23" i="21"/>
  <c r="K666" i="21"/>
  <c r="G666" i="21"/>
  <c r="C666" i="21" s="1"/>
  <c r="K665" i="21"/>
  <c r="G665" i="21"/>
  <c r="C665" i="21" s="1"/>
  <c r="K664" i="21"/>
  <c r="G664" i="21"/>
  <c r="C664" i="21" s="1"/>
  <c r="K663" i="21"/>
  <c r="G663" i="21"/>
  <c r="C663" i="21" s="1"/>
  <c r="K662" i="21"/>
  <c r="G662" i="21"/>
  <c r="C662" i="21" s="1"/>
  <c r="K661" i="21"/>
  <c r="G661" i="21"/>
  <c r="C661" i="21" s="1"/>
  <c r="K660" i="21"/>
  <c r="G660" i="21"/>
  <c r="C660" i="21" s="1"/>
  <c r="K659" i="21"/>
  <c r="G659" i="21"/>
  <c r="C659" i="21" s="1"/>
  <c r="K658" i="21"/>
  <c r="G658" i="21"/>
  <c r="C658" i="21" s="1"/>
  <c r="K656" i="21"/>
  <c r="G656" i="21"/>
  <c r="C656" i="21" s="1"/>
  <c r="K655" i="21"/>
  <c r="G655" i="21"/>
  <c r="C655" i="21" s="1"/>
  <c r="K654" i="21"/>
  <c r="G654" i="21"/>
  <c r="C654" i="21" s="1"/>
  <c r="K653" i="21"/>
  <c r="G653" i="21"/>
  <c r="C653" i="21" s="1"/>
  <c r="K652" i="21"/>
  <c r="G652" i="21"/>
  <c r="C652" i="21" s="1"/>
  <c r="K651" i="21"/>
  <c r="G651" i="21"/>
  <c r="C651" i="21" s="1"/>
  <c r="K650" i="21"/>
  <c r="G650" i="21"/>
  <c r="C650" i="21" s="1"/>
  <c r="K649" i="21"/>
  <c r="G649" i="21"/>
  <c r="C649" i="21" s="1"/>
  <c r="K648" i="21"/>
  <c r="G648" i="21"/>
  <c r="C648" i="21" s="1"/>
  <c r="K647" i="21"/>
  <c r="G647" i="21"/>
  <c r="C647" i="21" s="1"/>
  <c r="K645" i="21"/>
  <c r="G645" i="21"/>
  <c r="C645" i="21" s="1"/>
  <c r="K644" i="21"/>
  <c r="G644" i="21"/>
  <c r="C644" i="21" s="1"/>
  <c r="K643" i="21"/>
  <c r="G643" i="21"/>
  <c r="C643" i="21" s="1"/>
  <c r="K642" i="21"/>
  <c r="G642" i="21"/>
  <c r="C642" i="21" s="1"/>
  <c r="K641" i="21"/>
  <c r="G641" i="21"/>
  <c r="C641" i="21" s="1"/>
  <c r="K640" i="21"/>
  <c r="G640" i="21"/>
  <c r="C640" i="21" s="1"/>
  <c r="K639" i="21"/>
  <c r="G639" i="21"/>
  <c r="C639" i="21" s="1"/>
  <c r="K638" i="21"/>
  <c r="G638" i="21"/>
  <c r="C638" i="21" s="1"/>
  <c r="K634" i="21"/>
  <c r="G634" i="21"/>
  <c r="K632" i="21"/>
  <c r="G632" i="21"/>
  <c r="C632" i="21" s="1"/>
  <c r="K631" i="21"/>
  <c r="G631" i="21"/>
  <c r="C631" i="21" s="1"/>
  <c r="K630" i="21"/>
  <c r="G630" i="21"/>
  <c r="C630" i="21" s="1"/>
  <c r="K629" i="21"/>
  <c r="G629" i="21"/>
  <c r="C629" i="21" s="1"/>
  <c r="K628" i="21"/>
  <c r="G628" i="21"/>
  <c r="C628" i="21" s="1"/>
  <c r="K627" i="21"/>
  <c r="G627" i="21"/>
  <c r="C627" i="21" s="1"/>
  <c r="K626" i="21"/>
  <c r="G626" i="21"/>
  <c r="C626" i="21" s="1"/>
  <c r="K625" i="21"/>
  <c r="G625" i="21"/>
  <c r="C625" i="21" s="1"/>
  <c r="K624" i="21"/>
  <c r="G624" i="21"/>
  <c r="C624" i="21" s="1"/>
  <c r="K623" i="21"/>
  <c r="G623" i="21"/>
  <c r="C623" i="21" s="1"/>
  <c r="K622" i="21"/>
  <c r="G622" i="21"/>
  <c r="C622" i="21" s="1"/>
  <c r="K621" i="21"/>
  <c r="G621" i="21"/>
  <c r="C621" i="21" s="1"/>
  <c r="K620" i="21"/>
  <c r="G620" i="21"/>
  <c r="C620" i="21" s="1"/>
  <c r="K619" i="21"/>
  <c r="G619" i="21"/>
  <c r="C619" i="21" s="1"/>
  <c r="K618" i="21"/>
  <c r="G618" i="21"/>
  <c r="C618" i="21" s="1"/>
  <c r="K617" i="21"/>
  <c r="G617" i="21"/>
  <c r="C617" i="21" s="1"/>
  <c r="K616" i="21"/>
  <c r="G616" i="21"/>
  <c r="C616" i="21" s="1"/>
  <c r="K615" i="21"/>
  <c r="G615" i="21"/>
  <c r="C615" i="21" s="1"/>
  <c r="K614" i="21"/>
  <c r="G614" i="21"/>
  <c r="C614" i="21" s="1"/>
  <c r="K613" i="21"/>
  <c r="G613" i="21"/>
  <c r="C613" i="21" s="1"/>
  <c r="K612" i="21"/>
  <c r="G612" i="21"/>
  <c r="C612" i="21" s="1"/>
  <c r="K608" i="21"/>
  <c r="G608" i="21"/>
  <c r="C608" i="21" s="1"/>
  <c r="K607" i="21"/>
  <c r="G607" i="21"/>
  <c r="C607" i="21" s="1"/>
  <c r="K605" i="21"/>
  <c r="G605" i="21"/>
  <c r="C605" i="21" s="1"/>
  <c r="K604" i="21"/>
  <c r="G604" i="21"/>
  <c r="K601" i="21"/>
  <c r="K599" i="21"/>
  <c r="K598" i="21"/>
  <c r="K595" i="21"/>
  <c r="G595" i="21"/>
  <c r="K594" i="21"/>
  <c r="G594" i="21"/>
  <c r="C594" i="21" s="1"/>
  <c r="K593" i="21"/>
  <c r="G593" i="21"/>
  <c r="C593" i="21" s="1"/>
  <c r="K592" i="21"/>
  <c r="G592" i="21"/>
  <c r="C592" i="21" s="1"/>
  <c r="K590" i="21"/>
  <c r="G590" i="21"/>
  <c r="K586" i="21"/>
  <c r="G586" i="21"/>
  <c r="K584" i="21"/>
  <c r="G584" i="21"/>
  <c r="C584" i="21" s="1"/>
  <c r="K583" i="21"/>
  <c r="G583" i="21"/>
  <c r="C583" i="21" s="1"/>
  <c r="K579" i="21"/>
  <c r="G578" i="21"/>
  <c r="G576" i="21"/>
  <c r="C576" i="21" s="1"/>
  <c r="G575" i="21"/>
  <c r="C575" i="21" s="1"/>
  <c r="K574" i="21"/>
  <c r="K573" i="21"/>
  <c r="G573" i="21"/>
  <c r="C573" i="21" s="1"/>
  <c r="K569" i="21"/>
  <c r="K567" i="21"/>
  <c r="G567" i="21"/>
  <c r="K566" i="21"/>
  <c r="G566" i="21"/>
  <c r="K564" i="21"/>
  <c r="K557" i="21"/>
  <c r="K554" i="21"/>
  <c r="K552" i="21"/>
  <c r="G552" i="21"/>
  <c r="C552" i="21" s="1"/>
  <c r="K551" i="21"/>
  <c r="G551" i="21"/>
  <c r="C551" i="21" s="1"/>
  <c r="K548" i="21"/>
  <c r="K545" i="21"/>
  <c r="G545" i="21"/>
  <c r="C545" i="21" s="1"/>
  <c r="K544" i="21"/>
  <c r="G544" i="21"/>
  <c r="C544" i="21" s="1"/>
  <c r="K543" i="21"/>
  <c r="G543" i="21"/>
  <c r="K541" i="21"/>
  <c r="G541" i="21"/>
  <c r="C541" i="21" s="1"/>
  <c r="K540" i="21"/>
  <c r="G540" i="21"/>
  <c r="C540" i="21" s="1"/>
  <c r="G539" i="21"/>
  <c r="C539" i="21" s="1"/>
  <c r="K538" i="21"/>
  <c r="G538" i="21"/>
  <c r="C538" i="21" s="1"/>
  <c r="K537" i="21"/>
  <c r="G537" i="21"/>
  <c r="K534" i="21"/>
  <c r="G533" i="21"/>
  <c r="G532" i="21"/>
  <c r="C532" i="21" s="1"/>
  <c r="G531" i="21"/>
  <c r="C531" i="21" s="1"/>
  <c r="G530" i="21"/>
  <c r="C530" i="21" s="1"/>
  <c r="K529" i="21"/>
  <c r="G529" i="21"/>
  <c r="G527" i="21"/>
  <c r="C527" i="21" s="1"/>
  <c r="G526" i="21"/>
  <c r="C526" i="21" s="1"/>
  <c r="G525" i="21"/>
  <c r="C525" i="21" s="1"/>
  <c r="K524" i="21"/>
  <c r="G524" i="21"/>
  <c r="G522" i="21"/>
  <c r="C522" i="21" s="1"/>
  <c r="G521" i="21"/>
  <c r="C521" i="21" s="1"/>
  <c r="G520" i="21"/>
  <c r="C520" i="21" s="1"/>
  <c r="K519" i="21"/>
  <c r="G519" i="21"/>
  <c r="G517" i="21"/>
  <c r="C517" i="21" s="1"/>
  <c r="G516" i="21"/>
  <c r="C516" i="21" s="1"/>
  <c r="G515" i="21"/>
  <c r="C515" i="21" s="1"/>
  <c r="K514" i="21"/>
  <c r="G514" i="21"/>
  <c r="G512" i="21"/>
  <c r="C512" i="21" s="1"/>
  <c r="G511" i="21"/>
  <c r="C511" i="21" s="1"/>
  <c r="G510" i="21"/>
  <c r="C510" i="21" s="1"/>
  <c r="K509" i="21"/>
  <c r="G509" i="21"/>
  <c r="K506" i="21"/>
  <c r="G506" i="21"/>
  <c r="K505" i="21"/>
  <c r="G505" i="21"/>
  <c r="C505" i="21" s="1"/>
  <c r="K504" i="21"/>
  <c r="G504" i="21"/>
  <c r="C504" i="21" s="1"/>
  <c r="K502" i="21"/>
  <c r="G502" i="21"/>
  <c r="K500" i="21"/>
  <c r="G500" i="21"/>
  <c r="K498" i="21"/>
  <c r="G498" i="21"/>
  <c r="C498" i="21" s="1"/>
  <c r="K496" i="21"/>
  <c r="G496" i="21"/>
  <c r="K494" i="21"/>
  <c r="G494" i="21"/>
  <c r="K492" i="21"/>
  <c r="G492" i="21"/>
  <c r="K490" i="21"/>
  <c r="G490" i="21"/>
  <c r="K488" i="21"/>
  <c r="G488" i="21"/>
  <c r="K484" i="21"/>
  <c r="K482" i="21"/>
  <c r="G482" i="21"/>
  <c r="K480" i="21"/>
  <c r="G480" i="21"/>
  <c r="K478" i="21"/>
  <c r="K476" i="21"/>
  <c r="K474" i="21"/>
  <c r="G474" i="21"/>
  <c r="C474" i="21" s="1"/>
  <c r="G473" i="21"/>
  <c r="K472" i="21"/>
  <c r="K337" i="21"/>
  <c r="K336" i="21"/>
  <c r="K335" i="21"/>
  <c r="K334" i="21"/>
  <c r="K333" i="21"/>
  <c r="G332" i="21"/>
  <c r="K330" i="21"/>
  <c r="K327" i="21"/>
  <c r="K325" i="21"/>
  <c r="K324" i="21"/>
  <c r="K323" i="21"/>
  <c r="K321" i="21"/>
  <c r="K320" i="21"/>
  <c r="K315" i="21"/>
  <c r="G314" i="21"/>
  <c r="C314" i="21" s="1"/>
  <c r="K313" i="21"/>
  <c r="G313" i="21"/>
  <c r="C313" i="21" s="1"/>
  <c r="K312" i="21"/>
  <c r="G312" i="21"/>
  <c r="C312" i="21" s="1"/>
  <c r="K311" i="21"/>
  <c r="G311" i="21"/>
  <c r="C311" i="21" s="1"/>
  <c r="K309" i="21"/>
  <c r="G309" i="21"/>
  <c r="C309" i="21" s="1"/>
  <c r="K308" i="21"/>
  <c r="G308" i="21"/>
  <c r="C308" i="21" s="1"/>
  <c r="K307" i="21"/>
  <c r="G307" i="21"/>
  <c r="C307" i="21" s="1"/>
  <c r="K306" i="21"/>
  <c r="G306" i="21"/>
  <c r="C306" i="21" s="1"/>
  <c r="K305" i="21"/>
  <c r="G305" i="21"/>
  <c r="C305" i="21" s="1"/>
  <c r="K304" i="21"/>
  <c r="G304" i="21"/>
  <c r="C304" i="21" s="1"/>
  <c r="K303" i="21"/>
  <c r="G303" i="21"/>
  <c r="C303" i="21" s="1"/>
  <c r="K297" i="21"/>
  <c r="G295" i="21"/>
  <c r="G294" i="21"/>
  <c r="C294" i="21" s="1"/>
  <c r="G293" i="21"/>
  <c r="C293" i="21" s="1"/>
  <c r="G292" i="21"/>
  <c r="C292" i="21" s="1"/>
  <c r="K291" i="21"/>
  <c r="G290" i="21"/>
  <c r="C290" i="21" s="1"/>
  <c r="G289" i="21"/>
  <c r="C289" i="21" s="1"/>
  <c r="K287" i="21"/>
  <c r="K284" i="21"/>
  <c r="G284" i="21"/>
  <c r="C284" i="21" s="1"/>
  <c r="K282" i="21"/>
  <c r="K279" i="21"/>
  <c r="K275" i="21"/>
  <c r="K273" i="21"/>
  <c r="G273" i="21"/>
  <c r="C273" i="21" s="1"/>
  <c r="K272" i="21"/>
  <c r="G272" i="21"/>
  <c r="C272" i="21" s="1"/>
  <c r="K271" i="21"/>
  <c r="G271" i="21"/>
  <c r="C271" i="21" s="1"/>
  <c r="K267" i="21"/>
  <c r="G264" i="21"/>
  <c r="C264" i="21" s="1"/>
  <c r="K262" i="21"/>
  <c r="G262" i="21"/>
  <c r="G260" i="21"/>
  <c r="C260" i="21" s="1"/>
  <c r="G259" i="21"/>
  <c r="C259" i="21" s="1"/>
  <c r="G258" i="21"/>
  <c r="C258" i="21" s="1"/>
  <c r="K257" i="21"/>
  <c r="K252" i="21"/>
  <c r="K249" i="21"/>
  <c r="G249" i="21"/>
  <c r="C249" i="21" s="1"/>
  <c r="K248" i="21"/>
  <c r="G248" i="21"/>
  <c r="C248" i="21" s="1"/>
  <c r="K244" i="21"/>
  <c r="K240" i="21"/>
  <c r="K237" i="21"/>
  <c r="G237" i="21"/>
  <c r="C237" i="21" s="1"/>
  <c r="K235" i="21"/>
  <c r="G235" i="21"/>
  <c r="K233" i="21"/>
  <c r="G233" i="21"/>
  <c r="K231" i="21"/>
  <c r="G231" i="21"/>
  <c r="C231" i="21" s="1"/>
  <c r="K230" i="21"/>
  <c r="G230" i="21"/>
  <c r="C230" i="21" s="1"/>
  <c r="K229" i="21"/>
  <c r="G229" i="21"/>
  <c r="K228" i="21"/>
  <c r="G228" i="21"/>
  <c r="C228" i="21" s="1"/>
  <c r="G227" i="21"/>
  <c r="C227" i="21" s="1"/>
  <c r="G226" i="21"/>
  <c r="C226" i="21" s="1"/>
  <c r="K225" i="21"/>
  <c r="G225" i="21"/>
  <c r="K222" i="21"/>
  <c r="G222" i="21"/>
  <c r="C222" i="21" s="1"/>
  <c r="K221" i="21"/>
  <c r="G221" i="21"/>
  <c r="C221" i="21" s="1"/>
  <c r="K220" i="21"/>
  <c r="G220" i="21"/>
  <c r="K217" i="21"/>
  <c r="G217" i="21"/>
  <c r="K216" i="21"/>
  <c r="G216" i="21"/>
  <c r="C216" i="21" s="1"/>
  <c r="K215" i="21"/>
  <c r="G215" i="21"/>
  <c r="K212" i="21"/>
  <c r="K209" i="21"/>
  <c r="G209" i="21"/>
  <c r="C209" i="21" s="1"/>
  <c r="K207" i="21"/>
  <c r="G207" i="21"/>
  <c r="C207" i="21" s="1"/>
  <c r="K205" i="21"/>
  <c r="K203" i="21"/>
  <c r="G203" i="21"/>
  <c r="C203" i="21" s="1"/>
  <c r="K201" i="21"/>
  <c r="G201" i="21"/>
  <c r="C201" i="21" s="1"/>
  <c r="K199" i="21"/>
  <c r="G199" i="21"/>
  <c r="C199" i="21" s="1"/>
  <c r="K198" i="21"/>
  <c r="G198" i="21"/>
  <c r="K195" i="21"/>
  <c r="G195" i="21"/>
  <c r="K194" i="21"/>
  <c r="G194" i="21"/>
  <c r="C194" i="21" s="1"/>
  <c r="K192" i="21"/>
  <c r="G192" i="21"/>
  <c r="C192" i="21" s="1"/>
  <c r="K190" i="21"/>
  <c r="G190" i="21"/>
  <c r="K188" i="21"/>
  <c r="G188" i="21"/>
  <c r="C188" i="21" s="1"/>
  <c r="K184" i="21"/>
  <c r="K182" i="21"/>
  <c r="G182" i="21"/>
  <c r="C182" i="21" s="1"/>
  <c r="K181" i="21"/>
  <c r="K180" i="21"/>
  <c r="G180" i="21"/>
  <c r="C180" i="21" s="1"/>
  <c r="K178" i="21"/>
  <c r="K176" i="21"/>
  <c r="G176" i="21"/>
  <c r="C176" i="21" s="1"/>
  <c r="K173" i="21"/>
  <c r="G173" i="21"/>
  <c r="C173" i="21" s="1"/>
  <c r="K172" i="21"/>
  <c r="G172" i="21"/>
  <c r="K169" i="21"/>
  <c r="K168" i="21"/>
  <c r="G168" i="21"/>
  <c r="C168" i="21" s="1"/>
  <c r="K167" i="21"/>
  <c r="K163" i="21"/>
  <c r="G163" i="21"/>
  <c r="C163" i="21" s="1"/>
  <c r="K162" i="21"/>
  <c r="G162" i="21"/>
  <c r="C162" i="21" s="1"/>
  <c r="G161" i="21"/>
  <c r="C161" i="21" s="1"/>
  <c r="G160" i="21"/>
  <c r="C160" i="21" s="1"/>
  <c r="K159" i="21"/>
  <c r="G159" i="21"/>
  <c r="K155" i="21"/>
  <c r="K153" i="21"/>
  <c r="G153" i="21"/>
  <c r="C153" i="21" s="1"/>
  <c r="K152" i="21"/>
  <c r="G152" i="21"/>
  <c r="C152" i="21" s="1"/>
  <c r="K151" i="21"/>
  <c r="G151" i="21"/>
  <c r="C151" i="21" s="1"/>
  <c r="K150" i="21"/>
  <c r="G150" i="21"/>
  <c r="C150" i="21" s="1"/>
  <c r="K149" i="21"/>
  <c r="G149" i="21"/>
  <c r="K147" i="21"/>
  <c r="G147" i="21"/>
  <c r="C147" i="21" s="1"/>
  <c r="K146" i="21"/>
  <c r="G146" i="21"/>
  <c r="C146" i="21" s="1"/>
  <c r="K145" i="21"/>
  <c r="G145" i="21"/>
  <c r="C145" i="21" s="1"/>
  <c r="K144" i="21"/>
  <c r="G144" i="21"/>
  <c r="C144" i="21" s="1"/>
  <c r="K143" i="21"/>
  <c r="G143" i="21"/>
  <c r="C143" i="21" s="1"/>
  <c r="K142" i="21"/>
  <c r="G142" i="21"/>
  <c r="K139" i="21"/>
  <c r="G139" i="21"/>
  <c r="C139" i="21" s="1"/>
  <c r="K137" i="21"/>
  <c r="G137" i="21"/>
  <c r="C137" i="21" s="1"/>
  <c r="K135" i="21"/>
  <c r="G135" i="21"/>
  <c r="K129" i="21"/>
  <c r="K125" i="21"/>
  <c r="G125" i="21"/>
  <c r="K124" i="21"/>
  <c r="G124" i="21"/>
  <c r="C124" i="21" s="1"/>
  <c r="K121" i="21"/>
  <c r="K118" i="21"/>
  <c r="G118" i="21"/>
  <c r="C118" i="21" s="1"/>
  <c r="K116" i="21"/>
  <c r="G116" i="21"/>
  <c r="K112" i="21"/>
  <c r="K110" i="21"/>
  <c r="G110" i="21"/>
  <c r="C110" i="21" s="1"/>
  <c r="K109" i="21"/>
  <c r="G109" i="21"/>
  <c r="K106" i="21"/>
  <c r="G106" i="21"/>
  <c r="C106" i="21" s="1"/>
  <c r="K105" i="21"/>
  <c r="G105" i="21"/>
  <c r="C105" i="21" s="1"/>
  <c r="K104" i="21"/>
  <c r="G104" i="21"/>
  <c r="C104" i="21" s="1"/>
  <c r="K102" i="21"/>
  <c r="G102" i="21"/>
  <c r="C102" i="21" s="1"/>
  <c r="K100" i="21"/>
  <c r="G100" i="21"/>
  <c r="C100" i="21" s="1"/>
  <c r="K98" i="21"/>
  <c r="G98" i="21"/>
  <c r="C98" i="21" s="1"/>
  <c r="K96" i="21"/>
  <c r="G96" i="21"/>
  <c r="C96" i="21" s="1"/>
  <c r="K94" i="21"/>
  <c r="G94" i="21"/>
  <c r="C94" i="21" s="1"/>
  <c r="K93" i="21"/>
  <c r="G93" i="21"/>
  <c r="K91" i="21"/>
  <c r="G91" i="21"/>
  <c r="C91" i="21" s="1"/>
  <c r="K89" i="21"/>
  <c r="G89" i="21"/>
  <c r="K87" i="21"/>
  <c r="G87" i="21"/>
  <c r="K84" i="21"/>
  <c r="G84" i="21"/>
  <c r="C84" i="21" s="1"/>
  <c r="K82" i="21"/>
  <c r="G82" i="21"/>
  <c r="C82" i="21" s="1"/>
  <c r="K81" i="21"/>
  <c r="G81" i="21"/>
  <c r="C81" i="21" s="1"/>
  <c r="K78" i="21"/>
  <c r="G78" i="21"/>
  <c r="C78" i="21" s="1"/>
  <c r="K76" i="21"/>
  <c r="G76" i="21"/>
  <c r="C76" i="21" s="1"/>
  <c r="K74" i="21"/>
  <c r="G74" i="21"/>
  <c r="C74" i="21" s="1"/>
  <c r="K72" i="21"/>
  <c r="G72" i="21"/>
  <c r="K70" i="21"/>
  <c r="G70" i="21"/>
  <c r="C70" i="21" s="1"/>
  <c r="K69" i="21"/>
  <c r="G69" i="21"/>
  <c r="C69" i="21" s="1"/>
  <c r="K68" i="21"/>
  <c r="G68" i="21"/>
  <c r="C68" i="21" s="1"/>
  <c r="K66" i="21"/>
  <c r="G66" i="21"/>
  <c r="C66" i="21" s="1"/>
  <c r="K64" i="21"/>
  <c r="G64" i="21"/>
  <c r="C64" i="21" s="1"/>
  <c r="K59" i="21"/>
  <c r="K56" i="21"/>
  <c r="G56" i="21"/>
  <c r="C56" i="21" s="1"/>
  <c r="K54" i="21"/>
  <c r="G54" i="21"/>
  <c r="C54" i="21" s="1"/>
  <c r="F53" i="21"/>
  <c r="C53" i="21" s="1"/>
  <c r="K52" i="21"/>
  <c r="G52" i="21"/>
  <c r="C52" i="21" s="1"/>
  <c r="K51" i="21"/>
  <c r="G51" i="21"/>
  <c r="C51" i="21" s="1"/>
  <c r="K48" i="21"/>
  <c r="K46" i="21"/>
  <c r="G46" i="21"/>
  <c r="C46" i="21" s="1"/>
  <c r="K45" i="21"/>
  <c r="G45" i="21"/>
  <c r="K43" i="21"/>
  <c r="G43" i="21"/>
  <c r="C43" i="21" s="1"/>
  <c r="K42" i="21"/>
  <c r="G42" i="21"/>
  <c r="C42" i="21" s="1"/>
  <c r="K41" i="21"/>
  <c r="G41" i="21"/>
  <c r="K39" i="21"/>
  <c r="G39" i="21"/>
  <c r="C39" i="21" s="1"/>
  <c r="K38" i="21"/>
  <c r="G38" i="21"/>
  <c r="C38" i="21" s="1"/>
  <c r="K35" i="21"/>
  <c r="K33" i="21"/>
  <c r="G33" i="21"/>
  <c r="C33" i="21" s="1"/>
  <c r="K32" i="21"/>
  <c r="G32" i="21"/>
  <c r="K30" i="21"/>
  <c r="G30" i="21"/>
  <c r="C30" i="21" s="1"/>
  <c r="K29" i="21"/>
  <c r="G29" i="21"/>
  <c r="C29" i="21" s="1"/>
  <c r="K28" i="21"/>
  <c r="G28" i="21"/>
  <c r="C28" i="21" s="1"/>
  <c r="K27" i="21"/>
  <c r="G27" i="21"/>
  <c r="C27" i="21" s="1"/>
  <c r="K26" i="21"/>
  <c r="G26" i="21"/>
  <c r="C26" i="21" s="1"/>
  <c r="K25" i="21"/>
  <c r="G25" i="21"/>
  <c r="C25" i="21" s="1"/>
  <c r="K23" i="21"/>
  <c r="G23" i="21"/>
  <c r="K19" i="21"/>
  <c r="G19" i="21"/>
  <c r="C19" i="21" s="1"/>
  <c r="K17" i="21"/>
  <c r="C17" i="21"/>
  <c r="K16" i="21"/>
  <c r="C16" i="21"/>
  <c r="K15" i="21"/>
  <c r="G15" i="21"/>
  <c r="C15" i="21" s="1"/>
  <c r="K7" i="21"/>
  <c r="H8" i="22" s="1"/>
  <c r="H7" i="22"/>
  <c r="H7" i="23" s="1"/>
  <c r="B8" i="22"/>
  <c r="B8" i="23" s="1"/>
  <c r="H5" i="22"/>
  <c r="H5" i="23" s="1"/>
  <c r="B6" i="22"/>
  <c r="B6" i="23" s="1"/>
  <c r="J121" i="21"/>
  <c r="P121" i="21" s="1"/>
  <c r="B5" i="22"/>
  <c r="B5" i="23" s="1"/>
  <c r="B4" i="22"/>
  <c r="B4" i="23" s="1"/>
  <c r="E459" i="15"/>
  <c r="E458" i="15"/>
  <c r="E457" i="15"/>
  <c r="O111" i="8"/>
  <c r="D132" i="8"/>
  <c r="A45" i="13"/>
  <c r="A37" i="13"/>
  <c r="A123" i="8"/>
  <c r="A12" i="11"/>
  <c r="B12" i="11"/>
  <c r="B117" i="8" s="1"/>
  <c r="A20" i="13"/>
  <c r="E503" i="15"/>
  <c r="E494" i="15"/>
  <c r="E493" i="15"/>
  <c r="E492" i="15"/>
  <c r="E410" i="15"/>
  <c r="D51" i="15"/>
  <c r="E485" i="15"/>
  <c r="E484" i="15"/>
  <c r="E483" i="15"/>
  <c r="B231" i="8"/>
  <c r="E253" i="8" l="1"/>
  <c r="D253" i="8"/>
  <c r="C253" i="8"/>
  <c r="B253" i="8"/>
  <c r="C125" i="21"/>
  <c r="C509" i="21"/>
  <c r="C508" i="21"/>
  <c r="C518" i="21"/>
  <c r="C519" i="21"/>
  <c r="C528" i="21"/>
  <c r="C529" i="21"/>
  <c r="C543" i="21"/>
  <c r="C542" i="21"/>
  <c r="C513" i="21"/>
  <c r="C514" i="21"/>
  <c r="C523" i="21"/>
  <c r="C524" i="21"/>
  <c r="C603" i="21"/>
  <c r="C604" i="21"/>
  <c r="C590" i="21"/>
  <c r="C589" i="21"/>
  <c r="G322" i="8"/>
  <c r="G323" i="8"/>
  <c r="C32" i="21"/>
  <c r="C87" i="21"/>
  <c r="C86" i="21"/>
  <c r="C109" i="21"/>
  <c r="C108" i="21"/>
  <c r="C40" i="21"/>
  <c r="C41" i="21"/>
  <c r="C115" i="21"/>
  <c r="C116" i="21"/>
  <c r="C45" i="21"/>
  <c r="C23" i="21"/>
  <c r="C22" i="21"/>
  <c r="C72" i="21"/>
  <c r="C71" i="21"/>
  <c r="C92" i="21"/>
  <c r="C93" i="21"/>
  <c r="C134" i="21"/>
  <c r="C135" i="21"/>
  <c r="C220" i="21"/>
  <c r="C142" i="21"/>
  <c r="C141" i="21"/>
  <c r="C148" i="21"/>
  <c r="C149" i="21"/>
  <c r="C225" i="21"/>
  <c r="C224" i="21"/>
  <c r="C262" i="21"/>
  <c r="C261" i="21"/>
  <c r="C159" i="21"/>
  <c r="C158" i="21"/>
  <c r="G327" i="8"/>
  <c r="G324" i="8"/>
  <c r="E133" i="21"/>
  <c r="F110" i="21"/>
  <c r="AF62" i="8"/>
  <c r="H291" i="21" s="1"/>
  <c r="J284" i="21"/>
  <c r="P284" i="21" s="1"/>
  <c r="B64" i="10"/>
  <c r="A118" i="8" s="1"/>
  <c r="A50" i="10"/>
  <c r="A55" i="10"/>
  <c r="H668" i="21" l="1"/>
  <c r="D13" i="23"/>
  <c r="D14" i="22"/>
  <c r="E14" i="22"/>
  <c r="E13" i="23"/>
  <c r="F13" i="23"/>
  <c r="F14" i="22"/>
  <c r="G13" i="23"/>
  <c r="G14" i="22"/>
  <c r="J291" i="21"/>
  <c r="P291" i="21" s="1"/>
  <c r="T11" i="21" s="1"/>
  <c r="K8" i="21" s="1"/>
  <c r="B63" i="10"/>
  <c r="H282" i="21"/>
  <c r="A147" i="15"/>
  <c r="A172" i="21"/>
  <c r="B155" i="15"/>
  <c r="E155" i="15" s="1"/>
  <c r="B181" i="21"/>
  <c r="G181" i="21" s="1"/>
  <c r="B55" i="10"/>
  <c r="B62" i="10"/>
  <c r="B57" i="10"/>
  <c r="B58" i="10"/>
  <c r="B59" i="10"/>
  <c r="B60" i="10"/>
  <c r="A117" i="8" s="1"/>
  <c r="B61" i="10"/>
  <c r="B52" i="10"/>
  <c r="B53" i="10"/>
  <c r="B54" i="10"/>
  <c r="B50" i="10"/>
  <c r="A115" i="8" s="1"/>
  <c r="C13" i="23" l="1"/>
  <c r="H9" i="22"/>
  <c r="H9" i="23"/>
  <c r="E330" i="8"/>
  <c r="C14" i="22"/>
  <c r="B172" i="21"/>
  <c r="A116" i="8"/>
  <c r="B167" i="21"/>
  <c r="G167" i="21" s="1"/>
  <c r="G326" i="8"/>
  <c r="B152" i="15"/>
  <c r="E152" i="15" s="1"/>
  <c r="B178" i="21"/>
  <c r="G177" i="21" s="1"/>
  <c r="B147" i="15"/>
  <c r="B143" i="15"/>
  <c r="E143" i="15" s="1"/>
  <c r="P31" i="11" l="1"/>
  <c r="E304" i="15" l="1"/>
  <c r="G333" i="21"/>
  <c r="E302" i="15"/>
  <c r="G330" i="21"/>
  <c r="B237" i="8"/>
  <c r="F308" i="15" l="1"/>
  <c r="F307" i="15"/>
  <c r="F306" i="15"/>
  <c r="F305" i="15"/>
  <c r="F304" i="15"/>
  <c r="F302" i="15"/>
  <c r="E303" i="15"/>
  <c r="F300" i="15"/>
  <c r="F298" i="15"/>
  <c r="F297" i="15"/>
  <c r="F257" i="15"/>
  <c r="E261" i="15"/>
  <c r="E260" i="15"/>
  <c r="E259" i="15"/>
  <c r="E258" i="15"/>
  <c r="F254" i="15"/>
  <c r="E256" i="15"/>
  <c r="E255" i="15"/>
  <c r="AF46" i="8"/>
  <c r="AF45" i="8"/>
  <c r="AF44" i="8"/>
  <c r="AF43" i="8"/>
  <c r="F286" i="15"/>
  <c r="F285" i="15"/>
  <c r="F284" i="15"/>
  <c r="F283" i="15"/>
  <c r="E286" i="15"/>
  <c r="E285" i="15"/>
  <c r="E284" i="15"/>
  <c r="E283" i="15"/>
  <c r="F281" i="15"/>
  <c r="F280" i="15"/>
  <c r="F279" i="15"/>
  <c r="F278" i="15"/>
  <c r="F277" i="15"/>
  <c r="F276" i="15"/>
  <c r="F275" i="15"/>
  <c r="E281" i="15"/>
  <c r="E280" i="15"/>
  <c r="E279" i="15"/>
  <c r="E278" i="15"/>
  <c r="E277" i="15"/>
  <c r="E276" i="15"/>
  <c r="E275" i="15"/>
  <c r="F264" i="15"/>
  <c r="F252" i="15"/>
  <c r="E252" i="15"/>
  <c r="F251" i="15"/>
  <c r="F245" i="15"/>
  <c r="F240" i="15"/>
  <c r="E237" i="15"/>
  <c r="E236" i="15"/>
  <c r="E235" i="15"/>
  <c r="F237" i="15"/>
  <c r="F236" i="15"/>
  <c r="F235" i="15"/>
  <c r="F231" i="15"/>
  <c r="E229" i="15"/>
  <c r="E228" i="15"/>
  <c r="F228" i="15"/>
  <c r="E226" i="15"/>
  <c r="E225" i="15"/>
  <c r="E224" i="15"/>
  <c r="F223" i="15"/>
  <c r="F218" i="15"/>
  <c r="F216" i="15"/>
  <c r="E216" i="15"/>
  <c r="F215" i="15"/>
  <c r="E215" i="15"/>
  <c r="AF56" i="8" l="1"/>
  <c r="P182" i="10" s="1"/>
  <c r="F211" i="15"/>
  <c r="F207" i="15"/>
  <c r="F204" i="15"/>
  <c r="E204" i="15"/>
  <c r="E202" i="15"/>
  <c r="F202" i="15"/>
  <c r="E200" i="15"/>
  <c r="F200" i="15"/>
  <c r="F198" i="15"/>
  <c r="F197" i="15"/>
  <c r="E198" i="15"/>
  <c r="E197" i="15"/>
  <c r="F196" i="15"/>
  <c r="E196" i="15"/>
  <c r="F195" i="15"/>
  <c r="E195" i="15"/>
  <c r="E192" i="15"/>
  <c r="E193" i="15"/>
  <c r="E194" i="15"/>
  <c r="F192" i="15"/>
  <c r="E187" i="15"/>
  <c r="E188" i="15"/>
  <c r="E189" i="15"/>
  <c r="F189" i="15"/>
  <c r="F188" i="15"/>
  <c r="F187" i="15"/>
  <c r="E185" i="15"/>
  <c r="F185" i="15"/>
  <c r="F184" i="15"/>
  <c r="E184" i="15"/>
  <c r="E183" i="15"/>
  <c r="F183" i="15"/>
  <c r="F178" i="15"/>
  <c r="F177" i="15"/>
  <c r="E178" i="15"/>
  <c r="E177" i="15"/>
  <c r="F151" i="15"/>
  <c r="E394" i="15"/>
  <c r="E370" i="15"/>
  <c r="E363" i="15"/>
  <c r="F452" i="15"/>
  <c r="F451" i="15"/>
  <c r="E452" i="15"/>
  <c r="E451" i="15"/>
  <c r="E449" i="15"/>
  <c r="E448" i="15"/>
  <c r="F449" i="15"/>
  <c r="F448" i="15"/>
  <c r="F446" i="15"/>
  <c r="F445" i="15"/>
  <c r="F443" i="15"/>
  <c r="F442" i="15"/>
  <c r="F439" i="15"/>
  <c r="E439" i="15"/>
  <c r="F438" i="15"/>
  <c r="E438" i="15"/>
  <c r="F437" i="15"/>
  <c r="F436" i="15"/>
  <c r="E437" i="15"/>
  <c r="E436" i="15"/>
  <c r="E434" i="15"/>
  <c r="F434" i="15"/>
  <c r="F430" i="15"/>
  <c r="E430" i="15"/>
  <c r="E428" i="15"/>
  <c r="E427" i="15"/>
  <c r="F428" i="15"/>
  <c r="F427" i="15"/>
  <c r="E422" i="15"/>
  <c r="F423" i="15"/>
  <c r="E420" i="15"/>
  <c r="E419" i="15"/>
  <c r="F418" i="15"/>
  <c r="F417" i="15"/>
  <c r="E417" i="15"/>
  <c r="F413" i="15"/>
  <c r="E416" i="15"/>
  <c r="E415" i="15"/>
  <c r="E414" i="15"/>
  <c r="E413" i="15"/>
  <c r="F411" i="15"/>
  <c r="F410" i="15"/>
  <c r="F408" i="15"/>
  <c r="E411" i="15"/>
  <c r="F403" i="15"/>
  <c r="F399" i="15"/>
  <c r="E400" i="15"/>
  <c r="E399" i="15"/>
  <c r="E397" i="15"/>
  <c r="E396" i="15"/>
  <c r="F396" i="15"/>
  <c r="AE56" i="8"/>
  <c r="P175" i="10" l="1"/>
  <c r="G287" i="21" s="1"/>
  <c r="C287" i="21" s="1"/>
  <c r="E254" i="15"/>
  <c r="P176" i="10"/>
  <c r="E257" i="15"/>
  <c r="G291" i="21"/>
  <c r="C291" i="21" s="1"/>
  <c r="E395" i="15"/>
  <c r="F393" i="15"/>
  <c r="F391" i="15"/>
  <c r="F390" i="15"/>
  <c r="F389" i="15"/>
  <c r="E391" i="15"/>
  <c r="E390" i="15"/>
  <c r="E389" i="15"/>
  <c r="F387" i="15"/>
  <c r="E387" i="15"/>
  <c r="F386" i="15"/>
  <c r="E386" i="15"/>
  <c r="E385" i="15"/>
  <c r="E384" i="15"/>
  <c r="F384" i="15"/>
  <c r="F383" i="15"/>
  <c r="E383" i="15"/>
  <c r="F380" i="15"/>
  <c r="E379" i="15"/>
  <c r="F375" i="15"/>
  <c r="F370" i="15"/>
  <c r="F365" i="15"/>
  <c r="F355" i="15"/>
  <c r="F360" i="15"/>
  <c r="E378" i="15"/>
  <c r="E377" i="15"/>
  <c r="E376" i="15"/>
  <c r="E375" i="15"/>
  <c r="E373" i="15"/>
  <c r="E372" i="15"/>
  <c r="E371" i="15"/>
  <c r="E368" i="15"/>
  <c r="E367" i="15"/>
  <c r="E366" i="15"/>
  <c r="E365" i="15"/>
  <c r="E362" i="15"/>
  <c r="E361" i="15"/>
  <c r="E360" i="15"/>
  <c r="E358" i="15"/>
  <c r="E357" i="15"/>
  <c r="E356" i="15"/>
  <c r="E355" i="15"/>
  <c r="E352" i="15"/>
  <c r="F352" i="15"/>
  <c r="E351" i="15"/>
  <c r="E348" i="15"/>
  <c r="E346" i="15"/>
  <c r="E350" i="15"/>
  <c r="F346" i="15"/>
  <c r="F348" i="15"/>
  <c r="F350" i="15"/>
  <c r="F351" i="15"/>
  <c r="F344" i="15"/>
  <c r="E344" i="15"/>
  <c r="F342" i="15"/>
  <c r="F340" i="15"/>
  <c r="F338" i="15"/>
  <c r="F336" i="15"/>
  <c r="E342" i="15"/>
  <c r="E340" i="15"/>
  <c r="E338" i="15"/>
  <c r="E336" i="15"/>
  <c r="E334" i="15"/>
  <c r="E319" i="15"/>
  <c r="E320" i="15"/>
  <c r="F334" i="15"/>
  <c r="E331" i="15"/>
  <c r="E330" i="15"/>
  <c r="F330" i="15"/>
  <c r="E328" i="15"/>
  <c r="F328" i="15"/>
  <c r="E327" i="15"/>
  <c r="F327" i="15"/>
  <c r="E326" i="15"/>
  <c r="E325" i="15"/>
  <c r="E324" i="15"/>
  <c r="E323" i="15"/>
  <c r="F325" i="15"/>
  <c r="F323" i="15"/>
  <c r="F321" i="15"/>
  <c r="E321" i="15"/>
  <c r="F319" i="15"/>
  <c r="G286" i="21" l="1"/>
  <c r="C286" i="21" s="1"/>
  <c r="E253" i="15"/>
  <c r="E66" i="15"/>
  <c r="F511" i="15"/>
  <c r="F510" i="15"/>
  <c r="F509" i="15"/>
  <c r="F508" i="15"/>
  <c r="F507" i="15"/>
  <c r="F506" i="15"/>
  <c r="F505" i="15"/>
  <c r="F504" i="15"/>
  <c r="F503" i="15"/>
  <c r="E511" i="15"/>
  <c r="E510" i="15"/>
  <c r="E509" i="15"/>
  <c r="E508" i="15"/>
  <c r="E507" i="15"/>
  <c r="E506" i="15"/>
  <c r="E505" i="15"/>
  <c r="E504" i="15"/>
  <c r="F501" i="15"/>
  <c r="F500" i="15"/>
  <c r="F499" i="15"/>
  <c r="F498" i="15"/>
  <c r="F497" i="15"/>
  <c r="F496" i="15"/>
  <c r="F495" i="15"/>
  <c r="F494" i="15"/>
  <c r="F493" i="15"/>
  <c r="F492" i="15"/>
  <c r="E501" i="15"/>
  <c r="E500" i="15"/>
  <c r="E499" i="15"/>
  <c r="E498" i="15"/>
  <c r="E497" i="15"/>
  <c r="E496" i="15"/>
  <c r="E495" i="15"/>
  <c r="F490" i="15"/>
  <c r="F489" i="15"/>
  <c r="F488" i="15"/>
  <c r="F487" i="15"/>
  <c r="F486" i="15"/>
  <c r="F485" i="15"/>
  <c r="F484" i="15"/>
  <c r="F483" i="15"/>
  <c r="E490" i="15"/>
  <c r="E489" i="15"/>
  <c r="E488" i="15"/>
  <c r="E487" i="15"/>
  <c r="E486" i="15"/>
  <c r="F479" i="15"/>
  <c r="E479" i="15"/>
  <c r="F477" i="15"/>
  <c r="F476" i="15"/>
  <c r="F475" i="15"/>
  <c r="F474" i="15"/>
  <c r="F473" i="15"/>
  <c r="F472" i="15"/>
  <c r="F471" i="15"/>
  <c r="F470" i="15"/>
  <c r="F469" i="15"/>
  <c r="F468" i="15"/>
  <c r="F467" i="15"/>
  <c r="F466" i="15"/>
  <c r="F465" i="15"/>
  <c r="F464" i="15"/>
  <c r="F463" i="15"/>
  <c r="F462" i="15"/>
  <c r="F461" i="15"/>
  <c r="F460" i="15"/>
  <c r="F459" i="15"/>
  <c r="F457" i="15"/>
  <c r="F458" i="15"/>
  <c r="E477" i="15"/>
  <c r="E476" i="15"/>
  <c r="E475" i="15"/>
  <c r="E474" i="15"/>
  <c r="E473" i="15"/>
  <c r="E472" i="15"/>
  <c r="E471" i="15"/>
  <c r="E470" i="15"/>
  <c r="E469" i="15"/>
  <c r="E468" i="15"/>
  <c r="E467" i="15"/>
  <c r="E466" i="15"/>
  <c r="E465" i="15"/>
  <c r="E464" i="15"/>
  <c r="E463" i="15"/>
  <c r="E462" i="15"/>
  <c r="E461" i="15"/>
  <c r="E460" i="15"/>
  <c r="D91" i="15" l="1"/>
  <c r="E53" i="15"/>
  <c r="E55" i="1" l="1"/>
  <c r="L56" i="1"/>
  <c r="F59" i="21" s="1"/>
  <c r="L59" i="1"/>
  <c r="L58" i="1"/>
  <c r="L57" i="1"/>
  <c r="N64" i="1"/>
  <c r="N62" i="1"/>
  <c r="N60" i="1"/>
  <c r="N52" i="1"/>
  <c r="N50" i="1"/>
  <c r="D59" i="15" l="1"/>
  <c r="F64" i="21"/>
  <c r="D61" i="15"/>
  <c r="F68" i="21"/>
  <c r="D53" i="15"/>
  <c r="F56" i="21"/>
  <c r="D60" i="15"/>
  <c r="F66" i="21"/>
  <c r="D56" i="15"/>
  <c r="F61" i="21"/>
  <c r="D58" i="15"/>
  <c r="F63" i="21"/>
  <c r="D52" i="15"/>
  <c r="F54" i="21"/>
  <c r="D57" i="15"/>
  <c r="F62" i="21"/>
  <c r="C33" i="8"/>
  <c r="D55" i="15"/>
  <c r="N162" i="13"/>
  <c r="AK111" i="8" s="1"/>
  <c r="I164" i="13"/>
  <c r="E164" i="13"/>
  <c r="S77" i="8"/>
  <c r="N163" i="13" l="1"/>
  <c r="V67" i="8"/>
  <c r="U67" i="8"/>
  <c r="A307" i="8" s="1"/>
  <c r="D129" i="8"/>
  <c r="D117" i="8"/>
  <c r="F14" i="10"/>
  <c r="C306" i="8" l="1"/>
  <c r="C305" i="8"/>
  <c r="C290" i="8"/>
  <c r="C289" i="8"/>
  <c r="X111" i="8"/>
  <c r="T111" i="8"/>
  <c r="O48" i="13" l="1"/>
  <c r="D8" i="15"/>
  <c r="R56" i="8"/>
  <c r="P53" i="10" s="1"/>
  <c r="G169" i="21" s="1"/>
  <c r="C169" i="21" s="1"/>
  <c r="E353" i="15" l="1"/>
  <c r="G507" i="21"/>
  <c r="C507" i="21" s="1"/>
  <c r="F180" i="15" l="1"/>
  <c r="F175" i="15"/>
  <c r="F173" i="15"/>
  <c r="E173" i="15"/>
  <c r="F172" i="15"/>
  <c r="E172" i="15"/>
  <c r="F171" i="15"/>
  <c r="E171" i="15"/>
  <c r="F170" i="15"/>
  <c r="E170" i="15"/>
  <c r="F168" i="15"/>
  <c r="E168" i="15"/>
  <c r="F167" i="15"/>
  <c r="E167" i="15"/>
  <c r="E164" i="15"/>
  <c r="E166" i="15" l="1"/>
  <c r="E163" i="15"/>
  <c r="F166" i="15"/>
  <c r="F164" i="15"/>
  <c r="F163" i="15"/>
  <c r="F158" i="15"/>
  <c r="F156" i="15"/>
  <c r="E156" i="15"/>
  <c r="F155" i="15"/>
  <c r="F154" i="15"/>
  <c r="E154" i="15"/>
  <c r="F152" i="15"/>
  <c r="E151" i="15"/>
  <c r="F148" i="15"/>
  <c r="E148" i="15"/>
  <c r="F147" i="15"/>
  <c r="E147" i="15"/>
  <c r="F145" i="15"/>
  <c r="E145" i="15"/>
  <c r="F144" i="15"/>
  <c r="E144" i="15"/>
  <c r="F143" i="15"/>
  <c r="F140" i="15"/>
  <c r="E140" i="15"/>
  <c r="F139" i="15"/>
  <c r="E139" i="15"/>
  <c r="E138" i="15"/>
  <c r="E137" i="15"/>
  <c r="E136" i="15"/>
  <c r="F136" i="15"/>
  <c r="F132" i="15"/>
  <c r="F33" i="15"/>
  <c r="F46" i="15"/>
  <c r="F55" i="15"/>
  <c r="F93" i="15"/>
  <c r="F100" i="15"/>
  <c r="D76" i="8" l="1"/>
  <c r="A79" i="8"/>
  <c r="F130" i="15" l="1"/>
  <c r="F129" i="15"/>
  <c r="F128" i="15"/>
  <c r="F127" i="15"/>
  <c r="F126" i="15"/>
  <c r="E130" i="15"/>
  <c r="E129" i="15"/>
  <c r="E128" i="15"/>
  <c r="E127" i="15"/>
  <c r="E126" i="15"/>
  <c r="F124" i="15"/>
  <c r="E124" i="15"/>
  <c r="F123" i="15"/>
  <c r="F122" i="15"/>
  <c r="F121" i="15"/>
  <c r="F120" i="15"/>
  <c r="E123" i="15"/>
  <c r="E122" i="15"/>
  <c r="E121" i="15"/>
  <c r="E120" i="15"/>
  <c r="F119" i="15"/>
  <c r="E119" i="15"/>
  <c r="F117" i="15"/>
  <c r="F116" i="15"/>
  <c r="F115" i="15"/>
  <c r="E117" i="15"/>
  <c r="E116" i="15"/>
  <c r="E115" i="15"/>
  <c r="F109" i="15"/>
  <c r="A162" i="8" l="1"/>
  <c r="A205" i="8"/>
  <c r="A204" i="8"/>
  <c r="A203" i="8"/>
  <c r="A202" i="8"/>
  <c r="A201" i="8"/>
  <c r="A200" i="8"/>
  <c r="A199" i="8"/>
  <c r="A198" i="8"/>
  <c r="A197" i="8"/>
  <c r="A196" i="8"/>
  <c r="A195" i="8"/>
  <c r="A194" i="8"/>
  <c r="A193" i="8"/>
  <c r="A192" i="8"/>
  <c r="A191" i="8"/>
  <c r="A188" i="8"/>
  <c r="A187" i="8"/>
  <c r="A186" i="8"/>
  <c r="A183" i="8"/>
  <c r="A182" i="8"/>
  <c r="A181" i="8"/>
  <c r="A180" i="8"/>
  <c r="A179" i="8"/>
  <c r="A178" i="8"/>
  <c r="A176" i="8"/>
  <c r="A172" i="8"/>
  <c r="A169" i="8"/>
  <c r="C175" i="8"/>
  <c r="C174" i="8"/>
  <c r="C173" i="8"/>
  <c r="C172" i="8"/>
  <c r="C171" i="8"/>
  <c r="C170" i="8"/>
  <c r="C169" i="8"/>
  <c r="C168" i="8"/>
  <c r="C167" i="8"/>
  <c r="C166" i="8"/>
  <c r="C165" i="8"/>
  <c r="U84" i="8" l="1"/>
  <c r="U83" i="8"/>
  <c r="U82" i="8"/>
  <c r="U81" i="8"/>
  <c r="U80" i="8"/>
  <c r="U79" i="8"/>
  <c r="U78" i="8"/>
  <c r="U77" i="8"/>
  <c r="A305" i="8" l="1"/>
  <c r="T67" i="8"/>
  <c r="S67" i="8"/>
  <c r="M77" i="8"/>
  <c r="T84" i="8"/>
  <c r="T83" i="8"/>
  <c r="T82" i="8"/>
  <c r="T81" i="8"/>
  <c r="T80" i="8"/>
  <c r="T79" i="8"/>
  <c r="T78" i="8"/>
  <c r="T77" i="8"/>
  <c r="L77" i="8"/>
  <c r="S84" i="8"/>
  <c r="S83" i="8"/>
  <c r="S82" i="8"/>
  <c r="S81" i="8"/>
  <c r="S80" i="8"/>
  <c r="S79" i="8"/>
  <c r="S78" i="8"/>
  <c r="R84" i="8"/>
  <c r="R83" i="8"/>
  <c r="R82" i="8"/>
  <c r="R81" i="8"/>
  <c r="R80" i="8"/>
  <c r="R79" i="8"/>
  <c r="R78" i="8"/>
  <c r="R77" i="8"/>
  <c r="O77" i="8"/>
  <c r="Q84" i="8"/>
  <c r="Q83" i="8"/>
  <c r="Q82" i="8"/>
  <c r="Q81" i="8"/>
  <c r="Q80" i="8"/>
  <c r="Q79" i="8"/>
  <c r="Q78" i="8"/>
  <c r="Q77" i="8"/>
  <c r="P77" i="8"/>
  <c r="P84" i="8"/>
  <c r="P83" i="8"/>
  <c r="P82" i="8"/>
  <c r="P81" i="8"/>
  <c r="P80" i="8"/>
  <c r="P79" i="8"/>
  <c r="P78" i="8"/>
  <c r="O84" i="8"/>
  <c r="O83" i="8"/>
  <c r="O82" i="8"/>
  <c r="O81" i="8"/>
  <c r="O80" i="8"/>
  <c r="O79" i="8"/>
  <c r="N79" i="8" s="1"/>
  <c r="O78" i="8"/>
  <c r="M84" i="8"/>
  <c r="M83" i="8"/>
  <c r="M82" i="8"/>
  <c r="M81" i="8"/>
  <c r="M80" i="8"/>
  <c r="M79" i="8"/>
  <c r="M78" i="8"/>
  <c r="C297" i="8" l="1"/>
  <c r="C309" i="8" s="1"/>
  <c r="C281" i="8"/>
  <c r="C293" i="8" s="1"/>
  <c r="C294" i="8" s="1"/>
  <c r="C192" i="8"/>
  <c r="A300" i="8"/>
  <c r="C164" i="8"/>
  <c r="C176" i="8" s="1"/>
  <c r="A190" i="8"/>
  <c r="L84" i="8"/>
  <c r="L83" i="8"/>
  <c r="L82" i="8"/>
  <c r="L81" i="8"/>
  <c r="L80" i="8"/>
  <c r="L79" i="8"/>
  <c r="L78" i="8"/>
  <c r="K84" i="8"/>
  <c r="K83" i="8"/>
  <c r="K82" i="8"/>
  <c r="K81" i="8"/>
  <c r="K80" i="8"/>
  <c r="K79" i="8"/>
  <c r="K78" i="8"/>
  <c r="K77" i="8"/>
  <c r="J84" i="8"/>
  <c r="J83" i="8"/>
  <c r="J82" i="8"/>
  <c r="J81" i="8"/>
  <c r="J80" i="8"/>
  <c r="J79" i="8"/>
  <c r="J78" i="8"/>
  <c r="J77" i="8"/>
  <c r="F84" i="8"/>
  <c r="F83" i="8"/>
  <c r="F82" i="8"/>
  <c r="F81" i="8"/>
  <c r="F80" i="8"/>
  <c r="F79" i="8"/>
  <c r="F78" i="8"/>
  <c r="F77" i="8"/>
  <c r="H77" i="8"/>
  <c r="H84" i="8"/>
  <c r="H83" i="8"/>
  <c r="H82" i="8"/>
  <c r="H81" i="8"/>
  <c r="H80" i="8"/>
  <c r="H79" i="8"/>
  <c r="H78" i="8"/>
  <c r="I84" i="8"/>
  <c r="I83" i="8"/>
  <c r="I82" i="8"/>
  <c r="I81" i="8"/>
  <c r="I80" i="8"/>
  <c r="I79" i="8"/>
  <c r="I78" i="8"/>
  <c r="I77" i="8"/>
  <c r="G84" i="8"/>
  <c r="G83" i="8"/>
  <c r="G82" i="8"/>
  <c r="G81" i="8"/>
  <c r="E81" i="8" s="1"/>
  <c r="G80" i="8"/>
  <c r="E80" i="8" s="1"/>
  <c r="G79" i="8"/>
  <c r="G78" i="8"/>
  <c r="G77" i="8"/>
  <c r="C83" i="8"/>
  <c r="C82" i="8"/>
  <c r="C81" i="8"/>
  <c r="C80" i="8"/>
  <c r="C79" i="8"/>
  <c r="C78" i="8"/>
  <c r="C77" i="8"/>
  <c r="C76" i="8"/>
  <c r="B78" i="8"/>
  <c r="B77" i="8"/>
  <c r="B76" i="8"/>
  <c r="A76" i="8"/>
  <c r="R67" i="8"/>
  <c r="P67" i="8"/>
  <c r="A288" i="8" l="1"/>
  <c r="A304" i="8"/>
  <c r="A299" i="8"/>
  <c r="C177" i="8"/>
  <c r="A184" i="8"/>
  <c r="A189" i="8"/>
  <c r="A82" i="8"/>
  <c r="A83" i="8"/>
  <c r="A81" i="8"/>
  <c r="A80" i="8"/>
  <c r="A78" i="8"/>
  <c r="A77" i="8"/>
  <c r="G325" i="8" l="1"/>
  <c r="G328" i="8" s="1"/>
  <c r="A168" i="8"/>
  <c r="A285" i="8"/>
  <c r="A283" i="8"/>
  <c r="A290" i="8"/>
  <c r="A289" i="8"/>
  <c r="A286" i="8"/>
  <c r="E230" i="8"/>
  <c r="A292" i="8"/>
  <c r="A175" i="8"/>
  <c r="A174" i="8"/>
  <c r="A170" i="8"/>
  <c r="A171" i="8"/>
  <c r="A177" i="8"/>
  <c r="A173" i="8"/>
  <c r="A185" i="8"/>
  <c r="E281" i="8"/>
  <c r="E282" i="8" s="1"/>
  <c r="A281" i="8" l="1"/>
  <c r="A282" i="8"/>
  <c r="E164" i="8"/>
  <c r="E165" i="8" s="1"/>
  <c r="A166" i="8"/>
  <c r="A167" i="8"/>
  <c r="B65" i="10"/>
  <c r="B43" i="10"/>
  <c r="B42" i="10"/>
  <c r="D130" i="8"/>
  <c r="D126" i="8"/>
  <c r="D122" i="8"/>
  <c r="D121" i="8"/>
  <c r="D120" i="8"/>
  <c r="D119" i="8"/>
  <c r="D118" i="8"/>
  <c r="D116" i="8"/>
  <c r="A321" i="8" l="1"/>
  <c r="A322" i="8" s="1"/>
  <c r="A206" i="8"/>
  <c r="B123" i="8"/>
  <c r="P3" i="11" s="1"/>
  <c r="A207" i="8" l="1"/>
  <c r="B244" i="8"/>
  <c r="B130" i="8"/>
  <c r="O141" i="13"/>
  <c r="AG111" i="8"/>
  <c r="O148" i="13" s="1"/>
  <c r="AI111" i="8"/>
  <c r="O155" i="13" s="1"/>
  <c r="AJ111" i="8"/>
  <c r="O158" i="13" s="1"/>
  <c r="O162" i="13"/>
  <c r="AD111" i="8"/>
  <c r="O128" i="13" s="1"/>
  <c r="E129" i="8" s="1"/>
  <c r="D131" i="8" s="1"/>
  <c r="AC111" i="8"/>
  <c r="AB111" i="8"/>
  <c r="Z111" i="8"/>
  <c r="O122" i="13" s="1"/>
  <c r="O118" i="13"/>
  <c r="N111" i="13"/>
  <c r="W111" i="8"/>
  <c r="O106" i="13" s="1"/>
  <c r="V111" i="8"/>
  <c r="O101" i="13" s="1"/>
  <c r="G548" i="21" s="1"/>
  <c r="O71" i="13"/>
  <c r="S111" i="8"/>
  <c r="R111" i="8"/>
  <c r="Q111" i="8"/>
  <c r="P111" i="8"/>
  <c r="L111" i="8"/>
  <c r="O41" i="13" s="1"/>
  <c r="K111" i="8"/>
  <c r="O39" i="13" s="1"/>
  <c r="G111" i="8"/>
  <c r="O27" i="13" s="1"/>
  <c r="H111" i="8"/>
  <c r="O29" i="13" s="1"/>
  <c r="I111" i="8"/>
  <c r="O31" i="13" s="1"/>
  <c r="J111" i="8"/>
  <c r="O33" i="13" s="1"/>
  <c r="F111" i="8"/>
  <c r="O25" i="13" s="1"/>
  <c r="E111" i="8"/>
  <c r="O21" i="13" s="1"/>
  <c r="C111" i="8"/>
  <c r="O17" i="13" s="1"/>
  <c r="B111" i="8"/>
  <c r="O15" i="13" s="1"/>
  <c r="A111" i="8"/>
  <c r="O11" i="13" s="1"/>
  <c r="G535" i="21" l="1"/>
  <c r="C535" i="21" s="1"/>
  <c r="G534" i="21"/>
  <c r="C548" i="21"/>
  <c r="C547" i="21"/>
  <c r="E343" i="15"/>
  <c r="G497" i="21"/>
  <c r="E347" i="15"/>
  <c r="G501" i="21"/>
  <c r="E409" i="15"/>
  <c r="G565" i="21"/>
  <c r="G582" i="21"/>
  <c r="C582" i="21" s="1"/>
  <c r="G580" i="21"/>
  <c r="C580" i="21" s="1"/>
  <c r="G579" i="21"/>
  <c r="C579" i="21" s="1"/>
  <c r="G581" i="21"/>
  <c r="C581" i="21" s="1"/>
  <c r="E335" i="15"/>
  <c r="G489" i="21"/>
  <c r="E341" i="15"/>
  <c r="G495" i="21"/>
  <c r="E337" i="15"/>
  <c r="G491" i="21"/>
  <c r="E349" i="15"/>
  <c r="G503" i="21"/>
  <c r="E393" i="15"/>
  <c r="G599" i="21"/>
  <c r="C599" i="21" s="1"/>
  <c r="G598" i="21"/>
  <c r="C598" i="21" s="1"/>
  <c r="E432" i="15"/>
  <c r="G588" i="21"/>
  <c r="G587" i="21"/>
  <c r="E339" i="15"/>
  <c r="G493" i="21"/>
  <c r="G602" i="21"/>
  <c r="C602" i="21" s="1"/>
  <c r="G601" i="21"/>
  <c r="C601" i="21" s="1"/>
  <c r="E442" i="15"/>
  <c r="E443" i="15"/>
  <c r="E445" i="15"/>
  <c r="E446" i="15"/>
  <c r="E431" i="15"/>
  <c r="E426" i="15"/>
  <c r="E425" i="15"/>
  <c r="E424" i="15"/>
  <c r="E423" i="15"/>
  <c r="E381" i="15"/>
  <c r="E380" i="15"/>
  <c r="E116" i="8"/>
  <c r="AA111" i="8"/>
  <c r="O124" i="13" s="1"/>
  <c r="N3" i="13" s="1"/>
  <c r="O3" i="13" l="1"/>
  <c r="D134" i="8"/>
  <c r="C534" i="21"/>
  <c r="C533" i="21"/>
  <c r="E418" i="15"/>
  <c r="G574" i="21"/>
  <c r="C574" i="21" l="1"/>
  <c r="E104" i="15"/>
  <c r="F104" i="15"/>
  <c r="F103" i="15"/>
  <c r="E103" i="15"/>
  <c r="F98" i="15"/>
  <c r="E98" i="15"/>
  <c r="F97" i="15"/>
  <c r="E97" i="15"/>
  <c r="F91" i="15"/>
  <c r="E91" i="15"/>
  <c r="F90" i="15"/>
  <c r="E90" i="15"/>
  <c r="F87" i="15"/>
  <c r="F81" i="15"/>
  <c r="F80" i="15"/>
  <c r="F79" i="15"/>
  <c r="E87" i="15"/>
  <c r="E86" i="15"/>
  <c r="E85" i="15"/>
  <c r="E84" i="15"/>
  <c r="E83" i="15"/>
  <c r="E82" i="15"/>
  <c r="E81" i="15"/>
  <c r="E80" i="15"/>
  <c r="E79" i="15"/>
  <c r="F86" i="15"/>
  <c r="F77" i="15"/>
  <c r="F76" i="15"/>
  <c r="F75" i="15"/>
  <c r="E77" i="15"/>
  <c r="E76" i="15"/>
  <c r="E75" i="15"/>
  <c r="F73" i="15"/>
  <c r="E73" i="15"/>
  <c r="F71" i="15"/>
  <c r="F70" i="15"/>
  <c r="E71" i="15"/>
  <c r="E70" i="15"/>
  <c r="F68" i="15"/>
  <c r="F67" i="15"/>
  <c r="F66" i="15"/>
  <c r="F65" i="15"/>
  <c r="E68" i="15"/>
  <c r="E67" i="15"/>
  <c r="E65" i="15"/>
  <c r="E63" i="15"/>
  <c r="F62" i="15"/>
  <c r="E62" i="15"/>
  <c r="F50" i="15"/>
  <c r="E50" i="15"/>
  <c r="F49" i="15"/>
  <c r="E49" i="15"/>
  <c r="F44" i="15"/>
  <c r="E44" i="15"/>
  <c r="F43" i="15"/>
  <c r="E43" i="15"/>
  <c r="E41" i="15"/>
  <c r="E40" i="15"/>
  <c r="E39" i="15"/>
  <c r="E37" i="15"/>
  <c r="E36" i="15"/>
  <c r="E31" i="15"/>
  <c r="F30" i="15"/>
  <c r="E30" i="15"/>
  <c r="F28" i="15"/>
  <c r="E28" i="15"/>
  <c r="F27" i="15"/>
  <c r="E27" i="15"/>
  <c r="E26" i="15"/>
  <c r="E25" i="15"/>
  <c r="E24" i="15"/>
  <c r="E23" i="15"/>
  <c r="E22" i="15"/>
  <c r="E19" i="15"/>
  <c r="F16" i="15"/>
  <c r="E16" i="15"/>
  <c r="E15" i="15"/>
  <c r="E14" i="15"/>
  <c r="G9" i="15"/>
  <c r="D7" i="15"/>
  <c r="G8" i="15"/>
  <c r="G7" i="15"/>
  <c r="G6" i="15"/>
  <c r="G5" i="15"/>
  <c r="G4" i="15"/>
  <c r="D6" i="15"/>
  <c r="D5" i="15"/>
  <c r="D4" i="15"/>
  <c r="A125" i="8"/>
  <c r="A121" i="8"/>
  <c r="O49" i="14"/>
  <c r="E64" i="14"/>
  <c r="O62" i="14"/>
  <c r="E51" i="14"/>
  <c r="O38" i="14"/>
  <c r="P3" i="10" l="1"/>
  <c r="A240" i="8"/>
  <c r="E482" i="15"/>
  <c r="G637" i="21"/>
  <c r="E502" i="15"/>
  <c r="G657" i="21"/>
  <c r="E456" i="15"/>
  <c r="G611" i="21"/>
  <c r="C611" i="21" s="1"/>
  <c r="E491" i="15"/>
  <c r="G646" i="21"/>
  <c r="C646" i="21" s="1"/>
  <c r="E118" i="8"/>
  <c r="A128" i="8"/>
  <c r="E11" i="14"/>
  <c r="C657" i="21" l="1"/>
  <c r="C636" i="21"/>
  <c r="C637" i="21"/>
  <c r="E115" i="8"/>
  <c r="L95" i="8"/>
  <c r="K95" i="8"/>
  <c r="N95" i="8"/>
  <c r="M95" i="8"/>
  <c r="J95" i="8" l="1"/>
  <c r="I95" i="8"/>
  <c r="G95" i="8" l="1"/>
  <c r="F95" i="8"/>
  <c r="E95" i="8"/>
  <c r="C95" i="8"/>
  <c r="D95" i="8"/>
  <c r="B95" i="8"/>
  <c r="A95" i="8"/>
  <c r="E40" i="14" l="1"/>
  <c r="AD56" i="8" l="1"/>
  <c r="U56" i="8" l="1"/>
  <c r="L65" i="10"/>
  <c r="L61" i="10"/>
  <c r="A56" i="8"/>
  <c r="J4" i="10" l="1"/>
  <c r="AI56" i="8" l="1"/>
  <c r="P199" i="10" s="1"/>
  <c r="AH56" i="8"/>
  <c r="P198" i="10" s="1"/>
  <c r="G297" i="21" s="1"/>
  <c r="C297" i="21" s="1"/>
  <c r="P150" i="10"/>
  <c r="G257" i="21" s="1"/>
  <c r="AB56" i="8"/>
  <c r="P171" i="10" s="1"/>
  <c r="G279" i="21" s="1"/>
  <c r="C279" i="21" s="1"/>
  <c r="AA56" i="8"/>
  <c r="P168" i="10" s="1"/>
  <c r="G275" i="21" s="1"/>
  <c r="C275" i="21" s="1"/>
  <c r="Z56" i="8"/>
  <c r="P160" i="10" s="1"/>
  <c r="W56" i="8"/>
  <c r="P140" i="10" s="1"/>
  <c r="V56" i="8"/>
  <c r="P138" i="10" s="1"/>
  <c r="P133" i="10"/>
  <c r="G236" i="21" s="1"/>
  <c r="C235" i="21" s="1"/>
  <c r="T56" i="8"/>
  <c r="P125" i="10" s="1"/>
  <c r="Q56" i="8"/>
  <c r="P116" i="10" s="1"/>
  <c r="P56" i="8"/>
  <c r="P114" i="10" s="1"/>
  <c r="E229" i="8" s="1"/>
  <c r="G269" i="21" l="1"/>
  <c r="C269" i="21" s="1"/>
  <c r="G268" i="21"/>
  <c r="C268" i="21" s="1"/>
  <c r="G267" i="21"/>
  <c r="E190" i="15"/>
  <c r="G223" i="21"/>
  <c r="C219" i="21" s="1"/>
  <c r="E201" i="15"/>
  <c r="G234" i="21"/>
  <c r="C233" i="21" s="1"/>
  <c r="G241" i="21"/>
  <c r="C241" i="21" s="1"/>
  <c r="G240" i="21"/>
  <c r="G242" i="21"/>
  <c r="C242" i="21" s="1"/>
  <c r="C255" i="21"/>
  <c r="C253" i="21"/>
  <c r="C254" i="21"/>
  <c r="E223" i="15"/>
  <c r="C257" i="21"/>
  <c r="G310" i="21"/>
  <c r="C310" i="21" s="1"/>
  <c r="G301" i="21"/>
  <c r="G245" i="21"/>
  <c r="C245" i="21" s="1"/>
  <c r="G244" i="21"/>
  <c r="G246" i="21"/>
  <c r="C246" i="21" s="1"/>
  <c r="E267" i="15"/>
  <c r="E212" i="15"/>
  <c r="E213" i="15"/>
  <c r="E211" i="15"/>
  <c r="E245" i="15"/>
  <c r="E248" i="15"/>
  <c r="E246" i="15"/>
  <c r="E249" i="15"/>
  <c r="E247" i="15"/>
  <c r="E232" i="15"/>
  <c r="E233" i="15"/>
  <c r="E231" i="15"/>
  <c r="E207" i="15"/>
  <c r="E209" i="15"/>
  <c r="E208" i="15"/>
  <c r="E241" i="15"/>
  <c r="E240" i="15"/>
  <c r="E242" i="15"/>
  <c r="E274" i="15"/>
  <c r="E282" i="15"/>
  <c r="E271" i="15"/>
  <c r="E270" i="15"/>
  <c r="E266" i="15"/>
  <c r="E273" i="15"/>
  <c r="E269" i="15"/>
  <c r="E265" i="15"/>
  <c r="E272" i="15"/>
  <c r="E268" i="15"/>
  <c r="E264" i="15"/>
  <c r="E203" i="15"/>
  <c r="E220" i="15"/>
  <c r="E219" i="15"/>
  <c r="E218" i="15"/>
  <c r="E221" i="15"/>
  <c r="AG56" i="8"/>
  <c r="M56" i="8"/>
  <c r="P97" i="10" s="1"/>
  <c r="G214" i="21" s="1"/>
  <c r="C214" i="21" s="1"/>
  <c r="F95" i="10"/>
  <c r="L56" i="8"/>
  <c r="P91" i="10" s="1"/>
  <c r="I56" i="8"/>
  <c r="P79" i="10" s="1"/>
  <c r="H56" i="8"/>
  <c r="P73" i="10" s="1"/>
  <c r="P41" i="10"/>
  <c r="C56" i="8"/>
  <c r="P34" i="10" s="1"/>
  <c r="C301" i="21" l="1"/>
  <c r="G156" i="21"/>
  <c r="C156" i="21" s="1"/>
  <c r="G155" i="21"/>
  <c r="G157" i="21"/>
  <c r="C157" i="21" s="1"/>
  <c r="C267" i="21"/>
  <c r="C266" i="21"/>
  <c r="C243" i="21"/>
  <c r="C244" i="21"/>
  <c r="G206" i="21"/>
  <c r="C206" i="21" s="1"/>
  <c r="G205" i="21"/>
  <c r="G184" i="21"/>
  <c r="G186" i="21"/>
  <c r="C186" i="21" s="1"/>
  <c r="G185" i="21"/>
  <c r="C185" i="21" s="1"/>
  <c r="C251" i="21"/>
  <c r="C252" i="21"/>
  <c r="C239" i="21"/>
  <c r="C240" i="21"/>
  <c r="E165" i="15"/>
  <c r="G191" i="21"/>
  <c r="G213" i="21"/>
  <c r="C213" i="21" s="1"/>
  <c r="G212" i="21"/>
  <c r="E135" i="15"/>
  <c r="G158" i="21"/>
  <c r="E175" i="15"/>
  <c r="E176" i="15"/>
  <c r="E180" i="15"/>
  <c r="E181" i="15"/>
  <c r="E132" i="15"/>
  <c r="E134" i="15"/>
  <c r="E133" i="15"/>
  <c r="E182" i="15"/>
  <c r="E158" i="15"/>
  <c r="E160" i="15"/>
  <c r="E159" i="15"/>
  <c r="AC56" i="8"/>
  <c r="P173" i="10" s="1"/>
  <c r="G282" i="21" s="1"/>
  <c r="C282" i="21" s="1"/>
  <c r="A43" i="8"/>
  <c r="A42" i="8"/>
  <c r="A41" i="8"/>
  <c r="A40" i="8"/>
  <c r="C211" i="21" l="1"/>
  <c r="C212" i="21"/>
  <c r="C184" i="21"/>
  <c r="C183" i="21"/>
  <c r="C155" i="21"/>
  <c r="C154" i="21"/>
  <c r="C204" i="21"/>
  <c r="C205" i="21"/>
  <c r="E251" i="15"/>
  <c r="P9" i="10"/>
  <c r="O3" i="10" s="1"/>
  <c r="E22" i="8"/>
  <c r="O111" i="1" s="1"/>
  <c r="D22" i="8"/>
  <c r="O103" i="1" s="1"/>
  <c r="A22" i="8"/>
  <c r="O32" i="1" s="1"/>
  <c r="B22" i="8"/>
  <c r="O46" i="1" s="1"/>
  <c r="G50" i="21" l="1"/>
  <c r="C50" i="21" s="1"/>
  <c r="G48" i="21"/>
  <c r="G49" i="21"/>
  <c r="C49" i="21" s="1"/>
  <c r="G114" i="21"/>
  <c r="C114" i="21" s="1"/>
  <c r="G113" i="21"/>
  <c r="C113" i="21" s="1"/>
  <c r="G112" i="21"/>
  <c r="G37" i="21"/>
  <c r="C37" i="21" s="1"/>
  <c r="G35" i="21"/>
  <c r="G36" i="21"/>
  <c r="C36" i="21" s="1"/>
  <c r="G122" i="21"/>
  <c r="G123" i="21"/>
  <c r="C123" i="21" s="1"/>
  <c r="G121" i="21"/>
  <c r="C121" i="21" s="1"/>
  <c r="G132" i="21"/>
  <c r="G667" i="21" s="1"/>
  <c r="G131" i="21"/>
  <c r="C131" i="21" s="1"/>
  <c r="G130" i="21"/>
  <c r="C130" i="21" s="1"/>
  <c r="G129" i="21"/>
  <c r="E113" i="1"/>
  <c r="E109" i="15"/>
  <c r="E112" i="15"/>
  <c r="E111" i="15"/>
  <c r="E110" i="15"/>
  <c r="E94" i="15"/>
  <c r="E95" i="15"/>
  <c r="E93" i="15"/>
  <c r="E47" i="15"/>
  <c r="E46" i="15"/>
  <c r="E48" i="15"/>
  <c r="E33" i="15"/>
  <c r="E35" i="15"/>
  <c r="E34" i="15"/>
  <c r="E102" i="15"/>
  <c r="E100" i="15"/>
  <c r="E101" i="15"/>
  <c r="E61" i="15"/>
  <c r="E59" i="15"/>
  <c r="C132" i="21" l="1"/>
  <c r="C120" i="21"/>
  <c r="C122" i="21"/>
  <c r="C35" i="21"/>
  <c r="C34" i="21"/>
  <c r="C31" i="21"/>
  <c r="C112" i="21"/>
  <c r="C111" i="21"/>
  <c r="C48" i="21"/>
  <c r="C47" i="21"/>
  <c r="C44" i="21"/>
  <c r="C129" i="21"/>
  <c r="C128" i="21"/>
  <c r="A263" i="8"/>
  <c r="E60" i="15"/>
  <c r="O55" i="1"/>
  <c r="N3" i="1" s="1"/>
  <c r="E52" i="15"/>
  <c r="E56" i="15" l="1"/>
  <c r="E55" i="15"/>
  <c r="E57" i="15"/>
  <c r="E58" i="15"/>
  <c r="F296" i="15"/>
  <c r="F294" i="15"/>
  <c r="F293" i="15"/>
  <c r="F85" i="15"/>
  <c r="F84" i="15"/>
  <c r="F83" i="15"/>
  <c r="F82" i="15"/>
  <c r="F63" i="15"/>
  <c r="F61" i="15"/>
  <c r="F60" i="15"/>
  <c r="F59" i="15"/>
  <c r="F53" i="15"/>
  <c r="F52" i="15"/>
  <c r="F41" i="15"/>
  <c r="F40" i="15"/>
  <c r="F39" i="15"/>
  <c r="F37" i="15"/>
  <c r="F36" i="15"/>
  <c r="F31" i="15"/>
  <c r="F26" i="15"/>
  <c r="F25" i="15"/>
  <c r="F24" i="15"/>
  <c r="F23" i="15"/>
  <c r="F22" i="15"/>
  <c r="F19" i="15"/>
  <c r="F15" i="15"/>
  <c r="F14" i="15"/>
  <c r="A265" i="8" l="1"/>
  <c r="E117" i="8"/>
  <c r="A150" i="8"/>
  <c r="N3" i="14"/>
  <c r="A156" i="8"/>
  <c r="A157" i="8" s="1"/>
  <c r="A158" i="8" s="1"/>
  <c r="F261" i="8" l="1"/>
  <c r="P4" i="11"/>
  <c r="A267" i="8"/>
  <c r="E210" i="8"/>
  <c r="A266" i="8"/>
  <c r="A264" i="8"/>
  <c r="F147" i="8"/>
  <c r="P4" i="10"/>
  <c r="A149" i="8"/>
  <c r="A152" i="8"/>
  <c r="O4" i="14"/>
  <c r="O4" i="13"/>
  <c r="O4" i="12"/>
  <c r="A151" i="8"/>
  <c r="E211" i="8" l="1"/>
  <c r="D221" i="8"/>
  <c r="D220" i="8"/>
  <c r="D219" i="8"/>
  <c r="D230" i="8" s="1"/>
  <c r="D248" i="8" s="1"/>
  <c r="D222" i="8"/>
  <c r="Q4" i="10"/>
  <c r="P4" i="14"/>
  <c r="P4" i="12"/>
  <c r="Q4" i="11"/>
  <c r="P4" i="13"/>
  <c r="R4" i="10"/>
  <c r="Q4" i="13"/>
  <c r="R4" i="11"/>
  <c r="Q4" i="14"/>
  <c r="Q4" i="12"/>
  <c r="S4" i="10"/>
  <c r="R4" i="14"/>
  <c r="R4" i="13"/>
  <c r="R4" i="12"/>
  <c r="S4" i="11"/>
  <c r="T4" i="10"/>
  <c r="S4" i="13"/>
  <c r="S4" i="12"/>
  <c r="S4" i="14"/>
  <c r="T4" i="11"/>
  <c r="A22" i="9" l="1"/>
  <c r="M21" i="9"/>
  <c r="R4" i="9"/>
  <c r="Q4" i="9"/>
  <c r="P4" i="9"/>
  <c r="O4" i="9"/>
  <c r="N4" i="9"/>
  <c r="A262" i="8" l="1"/>
  <c r="A268" i="8" s="1"/>
  <c r="A147" i="8"/>
  <c r="S4" i="1"/>
  <c r="R4" i="1"/>
  <c r="Q4" i="1"/>
  <c r="P4" i="1"/>
  <c r="O4" i="1"/>
  <c r="F397" i="15" l="1"/>
  <c r="H1" i="15" s="1"/>
  <c r="C9" i="15" s="1"/>
  <c r="A148" i="8"/>
  <c r="A153" i="8" s="1"/>
  <c r="B14" i="22" l="1"/>
  <c r="N4" i="14"/>
  <c r="O4" i="10"/>
  <c r="D214" i="8"/>
  <c r="D218" i="8"/>
  <c r="N4" i="12"/>
  <c r="N4" i="1"/>
  <c r="M4" i="9"/>
  <c r="N4" i="13"/>
  <c r="O4" i="11"/>
  <c r="E214" i="8" l="1"/>
  <c r="A144" i="8" s="1"/>
  <c r="E331" i="8"/>
  <c r="S11" i="21" l="1"/>
  <c r="L669" i="21" s="1"/>
  <c r="A345" i="8"/>
  <c r="H669" i="21" s="1"/>
  <c r="D331" i="8"/>
  <c r="A259" i="8"/>
  <c r="A141" i="8"/>
  <c r="A256" i="8"/>
  <c r="A138" i="8" l="1"/>
  <c r="I1" i="1" s="1"/>
  <c r="H8" i="23"/>
  <c r="Y1" i="15"/>
  <c r="AF1" i="21"/>
  <c r="A253" i="8"/>
  <c r="M1" i="21"/>
  <c r="J1" i="11" l="1"/>
  <c r="I1" i="12"/>
  <c r="H1" i="9"/>
  <c r="I1" i="14"/>
  <c r="I1" i="13"/>
  <c r="J1" i="10"/>
</calcChain>
</file>

<file path=xl/sharedStrings.xml><?xml version="1.0" encoding="utf-8"?>
<sst xmlns="http://schemas.openxmlformats.org/spreadsheetml/2006/main" count="4739" uniqueCount="2632">
  <si>
    <t>Current Status</t>
  </si>
  <si>
    <t>Performance Level Minimums</t>
  </si>
  <si>
    <t>Score</t>
  </si>
  <si>
    <t>Mandatory</t>
  </si>
  <si>
    <t>Bronze</t>
  </si>
  <si>
    <t>Silver</t>
  </si>
  <si>
    <t>Gold</t>
  </si>
  <si>
    <t>Emerald</t>
  </si>
  <si>
    <t>This Chapter</t>
  </si>
  <si>
    <t>N/A</t>
  </si>
  <si>
    <t>This Project</t>
  </si>
  <si>
    <t>Practice #</t>
  </si>
  <si>
    <t>Chapter 5: Lot Design, Preparation, and Development</t>
  </si>
  <si>
    <t>Points
Available</t>
  </si>
  <si>
    <t>Points
Claimed</t>
  </si>
  <si>
    <t>Approved Products</t>
  </si>
  <si>
    <t>Notes</t>
  </si>
  <si>
    <t>500 - Lot Design, Preparation, and Development</t>
  </si>
  <si>
    <t>--</t>
  </si>
  <si>
    <t>A natural resources inventory is completed under the direction of a qualified professional.</t>
  </si>
  <si>
    <t>Items listed for protection in the resource inventory plan are protected under the direction of a qualified professional.</t>
  </si>
  <si>
    <t>Basic training in tree or other natural resource protection is provided for the on-site supervisor.</t>
  </si>
  <si>
    <t>All tree pruning on-site is conducted by a Certified Arborist.</t>
  </si>
  <si>
    <t>Underground parking uses the natural slope for parking entrances.</t>
  </si>
  <si>
    <t>Natural water and drainage features are preserved and used.</t>
  </si>
  <si>
    <t>Plants with similar watering needs are grouped (hydrozoning).</t>
  </si>
  <si>
    <t>An integrated pest management plan is developed to minimize chemical use in pesticides and fertilizers.</t>
  </si>
  <si>
    <r>
      <rPr>
        <b/>
        <sz val="10"/>
        <color rgb="FFFF0000"/>
        <rFont val="Calibri"/>
        <family val="2"/>
        <scheme val="minor"/>
      </rPr>
      <t>NOTE:</t>
    </r>
    <r>
      <rPr>
        <sz val="10"/>
        <rFont val="Calibri"/>
        <family val="2"/>
        <scheme val="minor"/>
      </rPr>
      <t xml:space="preserve"> Points must be taken in 503.3 to claim points in 504.1.</t>
    </r>
  </si>
  <si>
    <t>Fencing or equivalent is installed to protect trees and other vegetation.</t>
  </si>
  <si>
    <t>Damage to designated existing trees and vegetation is mitigated during construction through pruning, root pruning, fertilizing, and watering.</t>
  </si>
  <si>
    <t>Soil compaction from construction equipment is reduced by distributing the weight of the equipment over a larger area (laying lightweight geogrids, mulch, chipped wood, plywood, OSB, metal plates, or other materials capable of weight distribution in the pathway of the equipment).</t>
  </si>
  <si>
    <t>End of Chapter 5</t>
  </si>
  <si>
    <t>Proceed to Chapter 6 &gt;&gt;</t>
  </si>
  <si>
    <r>
      <rPr>
        <b/>
        <sz val="10"/>
        <color rgb="FFFF0000"/>
        <rFont val="Calibri"/>
        <family val="2"/>
      </rPr>
      <t>NOTE:</t>
    </r>
    <r>
      <rPr>
        <sz val="10"/>
        <rFont val="Calibri"/>
        <family val="2"/>
      </rPr>
      <t xml:space="preserve"> List the 6 community resources in the Notes field.</t>
    </r>
  </si>
  <si>
    <r>
      <rPr>
        <b/>
        <sz val="10"/>
        <color theme="1"/>
        <rFont val="Calibri"/>
        <family val="2"/>
        <scheme val="minor"/>
      </rPr>
      <t>Multi-modal transportation.</t>
    </r>
    <r>
      <rPr>
        <sz val="10"/>
        <color theme="1"/>
        <rFont val="Calibri"/>
        <family val="2"/>
        <scheme val="minor"/>
      </rPr>
      <t xml:space="preserve"> A range of multi-modal transportation choices are promoted by one or more of the following:
</t>
    </r>
    <r>
      <rPr>
        <b/>
        <u/>
        <sz val="10"/>
        <color theme="1"/>
        <rFont val="Calibri"/>
        <family val="2"/>
        <scheme val="minor"/>
      </rPr>
      <t>Claim points for all that apply from (1)-(3) below:</t>
    </r>
  </si>
  <si>
    <r>
      <rPr>
        <b/>
        <sz val="10"/>
        <color theme="1"/>
        <rFont val="Calibri"/>
        <family val="2"/>
        <scheme val="minor"/>
      </rPr>
      <t>Project team, mission statement, and goals.</t>
    </r>
    <r>
      <rPr>
        <sz val="10"/>
        <color theme="1"/>
        <rFont val="Calibri"/>
        <family val="2"/>
        <scheme val="minor"/>
      </rPr>
      <t xml:space="preserve"> A knowledgeable team is established and team member roles are identified with respect to green lot design, preparation, and development. The project’s green goals and objectives are written into a mission statement.</t>
    </r>
  </si>
  <si>
    <r>
      <rPr>
        <b/>
        <sz val="10"/>
        <color theme="1"/>
        <rFont val="Calibri"/>
        <family val="2"/>
        <scheme val="minor"/>
      </rPr>
      <t>Intent.</t>
    </r>
    <r>
      <rPr>
        <sz val="10"/>
        <color theme="1"/>
        <rFont val="Calibri"/>
        <family val="2"/>
        <scheme val="minor"/>
      </rPr>
      <t xml:space="preserve"> The lot is designed to avoid detrimental environmental impacts first, minimize any unavoidable impacts, and mitigate for those impacts that do occur. The project is designed to minimize environmental impacts and to protect, restore, and enhance the natural features and environmental quality of the lot.</t>
    </r>
  </si>
  <si>
    <r>
      <rPr>
        <b/>
        <sz val="10"/>
        <color rgb="FFFF0000"/>
        <rFont val="Calibri"/>
        <family val="2"/>
      </rPr>
      <t>NOTE:</t>
    </r>
    <r>
      <rPr>
        <sz val="10"/>
        <rFont val="Calibri"/>
        <family val="2"/>
      </rPr>
      <t xml:space="preserve"> To be awarded points allocated for design the intent of the design is implemented.</t>
    </r>
  </si>
  <si>
    <t>A plan is implemented to conserve the elements identified by the resource inventory as high-priority resources.</t>
  </si>
  <si>
    <t>Ongoing maintenance of vegetation on the lot during construction is in accordance with TCIA A300 or locally accepted best practices.</t>
  </si>
  <si>
    <r>
      <t xml:space="preserve">Natural resources. </t>
    </r>
    <r>
      <rPr>
        <sz val="10"/>
        <rFont val="Calibri"/>
        <family val="2"/>
        <scheme val="minor"/>
      </rPr>
      <t>Natural resources are conserved by one or more of the following:</t>
    </r>
    <r>
      <rPr>
        <b/>
        <sz val="10"/>
        <rFont val="Calibri"/>
        <family val="2"/>
        <scheme val="minor"/>
      </rPr>
      <t xml:space="preserve">
</t>
    </r>
    <r>
      <rPr>
        <b/>
        <u/>
        <sz val="10"/>
        <rFont val="Calibri"/>
        <family val="2"/>
        <scheme val="minor"/>
      </rPr>
      <t>Claim points for all that apply from (1)-(7) below:</t>
    </r>
  </si>
  <si>
    <t>The use of terrain adaptive architecture including terracing, retaining walls, landscaping, or other re-stabilization techniques.</t>
  </si>
  <si>
    <t>503.2_3</t>
  </si>
  <si>
    <t>a</t>
  </si>
  <si>
    <t>b</t>
  </si>
  <si>
    <t>c</t>
  </si>
  <si>
    <t>10% to 25%</t>
  </si>
  <si>
    <t>25% to 75%</t>
  </si>
  <si>
    <t>4 points</t>
  </si>
  <si>
    <t>6 points</t>
  </si>
  <si>
    <t>Long-term erosion effects are reduced through the design and implementation of terracing, retaining walls, landscaping, or restabilization techniques.</t>
  </si>
  <si>
    <r>
      <rPr>
        <b/>
        <sz val="10"/>
        <color theme="1"/>
        <rFont val="Calibri"/>
        <family val="2"/>
        <scheme val="minor"/>
      </rPr>
      <t>Soil disturbance and erosion</t>
    </r>
    <r>
      <rPr>
        <sz val="10"/>
        <color theme="1"/>
        <rFont val="Calibri"/>
        <family val="2"/>
        <scheme val="minor"/>
      </rPr>
      <t xml:space="preserve">. Soil disturbance and erosion are minimized by one or more of the following:
</t>
    </r>
    <r>
      <rPr>
        <b/>
        <u/>
        <sz val="10"/>
        <color theme="1"/>
        <rFont val="Calibri"/>
        <family val="2"/>
        <scheme val="minor"/>
      </rPr>
      <t>Claim points for all that apply from (1)-(3) below:</t>
    </r>
  </si>
  <si>
    <r>
      <rPr>
        <b/>
        <sz val="10"/>
        <color rgb="FFFF0000"/>
        <rFont val="Calibri"/>
        <family val="2"/>
        <scheme val="minor"/>
      </rPr>
      <t>NOTE:</t>
    </r>
    <r>
      <rPr>
        <sz val="10"/>
        <rFont val="Calibri"/>
        <family val="2"/>
        <scheme val="minor"/>
      </rPr>
      <t xml:space="preserve"> For lots in a development, the points for items (1), (2), and (3) may be awarded for the lot when there is a community storm water management plan implemented and the builder does not violate that plan with respect to water leaving the lot. </t>
    </r>
  </si>
  <si>
    <r>
      <rPr>
        <b/>
        <sz val="10"/>
        <color theme="1"/>
        <rFont val="Calibri"/>
        <family val="2"/>
        <scheme val="minor"/>
      </rPr>
      <t>Storm water management.</t>
    </r>
    <r>
      <rPr>
        <sz val="10"/>
        <color theme="1"/>
        <rFont val="Calibri"/>
        <family val="2"/>
        <scheme val="minor"/>
      </rPr>
      <t xml:space="preserve"> A storm water management design includes one or more of the following low-impact development techniques:
</t>
    </r>
    <r>
      <rPr>
        <b/>
        <u/>
        <sz val="10"/>
        <color theme="1"/>
        <rFont val="Calibri"/>
        <family val="2"/>
        <scheme val="minor"/>
      </rPr>
      <t>Claim points for all that apply from (1)-(6) below:</t>
    </r>
  </si>
  <si>
    <t>Facilities that minimize concentrated flows and simulate flows found in natural hydrology by the use of vegetative swales, french drains, wetlands, drywells, rain gardens, and similar infiltration features.</t>
  </si>
  <si>
    <t>2 points</t>
  </si>
  <si>
    <t>A minimum of 50 percent of the roof is vegetated (green roof) using technology capable of withstanding the climate conditions of the jurisdiction and the microclimate conditions of the building site. Invasive plant species are not permitted.</t>
  </si>
  <si>
    <t>Stormwater management practices that manage rainfall on-site and prevent the off-site discharge from all storms up to and including the volume of the 95th percentile storm event.</t>
  </si>
  <si>
    <t>503.4_3</t>
  </si>
  <si>
    <t>Where a lot is less than 50% turf, a plan is formulated to restore or enhance natural vegetation that is cleared during construction. Landscaping is phased to coincide with achievement of final grades to ensure denuded areas are quickly vegetated.</t>
  </si>
  <si>
    <t>Turf grass species, other vegetation, and trees are selected and specified on the lot plan that are native or regionally appropriate for local growing conditions.</t>
  </si>
  <si>
    <r>
      <t xml:space="preserve">The percentage of turf areas that is designed to be mowed is limited and shown on the lot plan. The percentage is based on the landscaped area of the lot not including the home footprint, hardscape, and any undisturbed natural areas.
</t>
    </r>
    <r>
      <rPr>
        <b/>
        <u/>
        <sz val="10"/>
        <color theme="1"/>
        <rFont val="Calibri"/>
        <family val="2"/>
        <scheme val="minor"/>
      </rPr>
      <t>Claim points for only one from (a)-(d) below:</t>
    </r>
  </si>
  <si>
    <t>d</t>
  </si>
  <si>
    <t>0% or EPA WaterSense Water Budget Tool is used to determine the maximum percentage of turf areas</t>
  </si>
  <si>
    <t>greater than 0% to less than 20%</t>
  </si>
  <si>
    <t>40% to 60%</t>
  </si>
  <si>
    <t>20% to less than 40%</t>
  </si>
  <si>
    <t>503.5_3</t>
  </si>
  <si>
    <t>Plants and gardens that will encourage wildlife, such as bird and butterfly gardens.</t>
  </si>
  <si>
    <t>Inclusion of a certified “backyard wildlife” program.</t>
  </si>
  <si>
    <t>Lots are adjacent to wildlife corridors, fish and game parks, or preserved areas and are designed with regard for this relationship.</t>
  </si>
  <si>
    <t>Outdoor lighting techniques are utilized with regard for wildlife.</t>
  </si>
  <si>
    <r>
      <rPr>
        <b/>
        <sz val="10"/>
        <color theme="1"/>
        <rFont val="Calibri"/>
        <family val="2"/>
        <scheme val="minor"/>
      </rPr>
      <t>Environmentally sensitive areas</t>
    </r>
    <r>
      <rPr>
        <sz val="10"/>
        <color theme="1"/>
        <rFont val="Calibri"/>
        <family val="2"/>
        <scheme val="minor"/>
      </rPr>
      <t xml:space="preserve">. Environmentally sensitive areas.
</t>
    </r>
    <r>
      <rPr>
        <b/>
        <u/>
        <sz val="10"/>
        <color theme="1"/>
        <rFont val="Calibri"/>
        <family val="2"/>
        <scheme val="minor"/>
      </rPr>
      <t>Claim points for all that apply from (1)-(2) below:</t>
    </r>
  </si>
  <si>
    <r>
      <rPr>
        <b/>
        <sz val="10"/>
        <color theme="1"/>
        <rFont val="Calibri"/>
        <family val="2"/>
        <scheme val="minor"/>
      </rPr>
      <t>Intent</t>
    </r>
    <r>
      <rPr>
        <sz val="10"/>
        <color theme="1"/>
        <rFont val="Calibri"/>
        <family val="2"/>
        <scheme val="minor"/>
      </rPr>
      <t>. Environmental impact during construction is avoided to the extent possible; impacts that do occur are minimized, and any significant impacts are mitigated.</t>
    </r>
  </si>
  <si>
    <r>
      <rPr>
        <b/>
        <sz val="10"/>
        <color theme="1"/>
        <rFont val="Calibri"/>
        <family val="2"/>
        <scheme val="minor"/>
      </rPr>
      <t>On-site supervision and coordination</t>
    </r>
    <r>
      <rPr>
        <sz val="10"/>
        <color theme="1"/>
        <rFont val="Calibri"/>
        <family val="2"/>
        <scheme val="minor"/>
      </rPr>
      <t>. On-site supervision and coordination is provided during clearing, grading, trenching, paving on the lot, and installation of utilities on the lot to ensure that specified green development practices are implemented. (also see Section 503.3)</t>
    </r>
  </si>
  <si>
    <r>
      <t>Trees and vegetation</t>
    </r>
    <r>
      <rPr>
        <sz val="10"/>
        <color theme="1"/>
        <rFont val="Calibri"/>
        <family val="2"/>
        <scheme val="minor"/>
      </rPr>
      <t xml:space="preserve">. Designated trees and vegetation are preserved by one or more of the following:
</t>
    </r>
    <r>
      <rPr>
        <b/>
        <u/>
        <sz val="10"/>
        <color theme="1"/>
        <rFont val="Calibri"/>
        <family val="2"/>
        <scheme val="minor"/>
      </rPr>
      <t>Claim points for all that apply from (1)-(3) below:</t>
    </r>
  </si>
  <si>
    <t>Trenching, significant changes in grade, and compaction of soil and critical root zones in all “tree save” areas as shown on the lot plan are avoided.</t>
  </si>
  <si>
    <t>Sediment and erosion controls are installed on the lot and maintained in accordance with the storm water pollution prevention plan, where required.</t>
  </si>
  <si>
    <t>Limits of clearing and grading are staked out on the lot.</t>
  </si>
  <si>
    <t>“No disturbance” zones are created using fencing or flagging to protect vegetation and sensitive areas on the lot from construction activity.</t>
  </si>
  <si>
    <t>Topsoil from either the lot or the site development is stockpiled and stabilized for later use and used to establish landscape plantings on the lot.</t>
  </si>
  <si>
    <t>Disturbed areas on the lot that are complete or to be left unworked for 21 days or more are stabilized within 14 days using methods as recommended by the EPA, or in the approved storm water pollution prevention plan, where required.</t>
  </si>
  <si>
    <t>Inspection reports of storm water best management practices are available.</t>
  </si>
  <si>
    <r>
      <rPr>
        <b/>
        <sz val="10"/>
        <color theme="1"/>
        <rFont val="Calibri"/>
        <family val="2"/>
        <scheme val="minor"/>
      </rPr>
      <t>Intent</t>
    </r>
    <r>
      <rPr>
        <sz val="10"/>
        <color theme="1"/>
        <rFont val="Calibri"/>
        <family val="2"/>
        <scheme val="minor"/>
      </rPr>
      <t>. Innovative lot design, preparation and development practices are used to enhance environmental performance. Waivers or variances from local development regulations are obtained, and innovative zoning practices are used to implement such practices.</t>
    </r>
  </si>
  <si>
    <r>
      <rPr>
        <b/>
        <sz val="10"/>
        <color theme="1"/>
        <rFont val="Calibri"/>
        <family val="2"/>
        <scheme val="minor"/>
      </rPr>
      <t>Driveways or parking areas</t>
    </r>
    <r>
      <rPr>
        <sz val="10"/>
        <color theme="1"/>
        <rFont val="Calibri"/>
        <family val="2"/>
        <scheme val="minor"/>
      </rPr>
      <t>. Driveways and parking areas are minimized by one or more of the following:</t>
    </r>
  </si>
  <si>
    <t>Off-street parking areas are shared or driveways are shared. Waivers or variances from local development regulations are obtained to implement such practices, if required.</t>
  </si>
  <si>
    <t>In a multi-unit project, parking capacity is not to exceed the local minimum requirements.</t>
  </si>
  <si>
    <t>Structured parking is utilized to reduce the footprint of surface parking areas.</t>
  </si>
  <si>
    <t>50% to 75%</t>
  </si>
  <si>
    <t>5 points</t>
  </si>
  <si>
    <t>505.1_3</t>
  </si>
  <si>
    <r>
      <rPr>
        <b/>
        <sz val="10"/>
        <color theme="1"/>
        <rFont val="Calibri"/>
        <family val="2"/>
        <scheme val="minor"/>
      </rPr>
      <t>Hardscape:</t>
    </r>
    <r>
      <rPr>
        <sz val="10"/>
        <color theme="1"/>
        <rFont val="Calibri"/>
        <family val="2"/>
        <scheme val="minor"/>
      </rPr>
      <t xml:space="preserv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r>
  </si>
  <si>
    <r>
      <rPr>
        <b/>
        <sz val="10"/>
        <color theme="1"/>
        <rFont val="Calibri"/>
        <family val="2"/>
        <scheme val="minor"/>
      </rPr>
      <t>Roofs:</t>
    </r>
    <r>
      <rPr>
        <sz val="10"/>
        <color theme="1"/>
        <rFont val="Calibri"/>
        <family val="2"/>
        <scheme val="minor"/>
      </rPr>
      <t xml:space="preserve"> Not less than 75 percent of the exposed surface of the roof meets one or a combination of the following methods.
     (a) Minimum initial SRI of 78 for a low-sloped roof (a slope less than or equal to 2:12) and a minimum initial (SRI) of 29 for a steep-sloped roof (a slope of more than 2:12). The SRI shall be calculated in accordance with ASTM E1980. Roof products shall be labeled and certified.
     (b) Roof is vegetated using technology capable of withstanding the climate conditions of the jurisdiction and the microclimate conditions of the building site. Invasive plant species are not permitted.</t>
    </r>
  </si>
  <si>
    <r>
      <rPr>
        <b/>
        <sz val="10"/>
        <color theme="1"/>
        <rFont val="Calibri"/>
        <family val="2"/>
        <scheme val="minor"/>
      </rPr>
      <t>Density.</t>
    </r>
    <r>
      <rPr>
        <sz val="10"/>
        <color theme="1"/>
        <rFont val="Calibri"/>
        <family val="2"/>
        <scheme val="minor"/>
      </rPr>
      <t xml:space="preserve"> The average density on the lot on a net developable area basis is:</t>
    </r>
  </si>
  <si>
    <r>
      <rPr>
        <b/>
        <sz val="10"/>
        <color theme="1"/>
        <rFont val="Calibri"/>
        <family val="2"/>
        <scheme val="minor"/>
      </rPr>
      <t>Mixed-use development.</t>
    </r>
    <r>
      <rPr>
        <sz val="10"/>
        <color theme="1"/>
        <rFont val="Calibri"/>
        <family val="2"/>
        <scheme val="minor"/>
      </rPr>
      <t xml:space="preserve"> The lot contains a mixed-use building.</t>
    </r>
  </si>
  <si>
    <r>
      <rPr>
        <b/>
        <sz val="10"/>
        <color theme="1"/>
        <rFont val="Calibri"/>
        <family val="2"/>
        <scheme val="minor"/>
      </rPr>
      <t>Community garden(s).</t>
    </r>
    <r>
      <rPr>
        <sz val="10"/>
        <color theme="1"/>
        <rFont val="Calibri"/>
        <family val="2"/>
        <scheme val="minor"/>
      </rPr>
      <t xml:space="preserve"> A portion of the lot is established as a community garden(s), available to residents of the lot, to provide for local food production to residents or area consumers.</t>
    </r>
  </si>
  <si>
    <r>
      <t>7 to less than 14 dwelling units per acre (per 4047 m</t>
    </r>
    <r>
      <rPr>
        <vertAlign val="superscript"/>
        <sz val="10"/>
        <color theme="1"/>
        <rFont val="Calibri"/>
        <family val="2"/>
        <scheme val="minor"/>
      </rPr>
      <t>2</t>
    </r>
    <r>
      <rPr>
        <sz val="10"/>
        <color theme="1"/>
        <rFont val="Calibri"/>
        <family val="2"/>
        <scheme val="minor"/>
      </rPr>
      <t>)</t>
    </r>
  </si>
  <si>
    <r>
      <t>14 to less than 21 dwelling units per acre (per 4047 m</t>
    </r>
    <r>
      <rPr>
        <vertAlign val="superscript"/>
        <sz val="10"/>
        <color theme="1"/>
        <rFont val="Calibri"/>
        <family val="2"/>
        <scheme val="minor"/>
      </rPr>
      <t>2</t>
    </r>
    <r>
      <rPr>
        <sz val="10"/>
        <color theme="1"/>
        <rFont val="Calibri"/>
        <family val="2"/>
        <scheme val="minor"/>
      </rPr>
      <t>)</t>
    </r>
  </si>
  <si>
    <r>
      <t>21 or greater dwelling units per acre (per 4047 m</t>
    </r>
    <r>
      <rPr>
        <vertAlign val="superscript"/>
        <sz val="10"/>
        <color theme="1"/>
        <rFont val="Calibri"/>
        <family val="2"/>
        <scheme val="minor"/>
      </rPr>
      <t>2</t>
    </r>
    <r>
      <rPr>
        <sz val="10"/>
        <color theme="1"/>
        <rFont val="Calibri"/>
        <family val="2"/>
        <scheme val="minor"/>
      </rPr>
      <t>)</t>
    </r>
  </si>
  <si>
    <t>8 points</t>
  </si>
  <si>
    <t>11 points</t>
  </si>
  <si>
    <t>Foundation Types</t>
  </si>
  <si>
    <t>HVAC Systems</t>
  </si>
  <si>
    <t>Heating Fuel</t>
  </si>
  <si>
    <t>Renewable Energy</t>
  </si>
  <si>
    <t>Thermal Envelope Insulation</t>
  </si>
  <si>
    <t>Attic Type</t>
  </si>
  <si>
    <t>Solid Fuel Burning Applicance</t>
  </si>
  <si>
    <t>Attached Garage</t>
  </si>
  <si>
    <t>Recessed Lighting</t>
  </si>
  <si>
    <t>Passive Solar</t>
  </si>
  <si>
    <t>Mass Walls</t>
  </si>
  <si>
    <t>Tankless Water Heater</t>
  </si>
  <si>
    <t>Composting Toilet</t>
  </si>
  <si>
    <t>Basement</t>
  </si>
  <si>
    <t>Furnace</t>
  </si>
  <si>
    <t>Gas</t>
  </si>
  <si>
    <t>Photovoltaic</t>
  </si>
  <si>
    <t>None</t>
  </si>
  <si>
    <t>Wood Burning Fireplace</t>
  </si>
  <si>
    <t>Yes</t>
  </si>
  <si>
    <t>Boiler</t>
  </si>
  <si>
    <t>Propane</t>
  </si>
  <si>
    <t>Solar Hot Water</t>
  </si>
  <si>
    <t>Cellulose</t>
  </si>
  <si>
    <t>Vented</t>
  </si>
  <si>
    <t>Wood Stove</t>
  </si>
  <si>
    <t>No</t>
  </si>
  <si>
    <t>Heat Pump</t>
  </si>
  <si>
    <t>Oil</t>
  </si>
  <si>
    <t>Solar Heating</t>
  </si>
  <si>
    <t>Rigid Foam</t>
  </si>
  <si>
    <t>Sealed</t>
  </si>
  <si>
    <t>Pellet Furnace</t>
  </si>
  <si>
    <t>Electric Resistance</t>
  </si>
  <si>
    <t>Wind</t>
  </si>
  <si>
    <t>Spray Foam</t>
  </si>
  <si>
    <t>Masonry Heater</t>
  </si>
  <si>
    <t>Ground Source Heat Pump</t>
  </si>
  <si>
    <t>Other</t>
  </si>
  <si>
    <t>Wood/Biomass</t>
  </si>
  <si>
    <t>Drop Downs - Start Here!</t>
  </si>
  <si>
    <t>Drop Downs - Chapter 5</t>
  </si>
  <si>
    <t>Version</t>
  </si>
  <si>
    <t>This workbook may be updated periodically.  Before scoring a project, always check to see if you have the latest version.</t>
  </si>
  <si>
    <t xml:space="preserve">Last revision: </t>
  </si>
  <si>
    <t>See the Errata worksheet for a list of versions &amp; corrections.</t>
  </si>
  <si>
    <t>Introduction</t>
  </si>
  <si>
    <t>Please fill in the information below. All fields are required unless marked otherwise. This information may be used to pre-populate fields and aid in scoring decisions in this tool. It may also be used for statistical reasons. Your privacy is important to us, and your information will not be shared or sold outside of the NAHB Research Center or National Association of Home Builders.</t>
  </si>
  <si>
    <t>Builder Name:</t>
  </si>
  <si>
    <t>Builder Phone Number:</t>
  </si>
  <si>
    <t>Physical Address of Home:</t>
  </si>
  <si>
    <t>City:</t>
  </si>
  <si>
    <t>State:</t>
  </si>
  <si>
    <t>Zip:</t>
  </si>
  <si>
    <t>Community/Lot #:</t>
  </si>
  <si>
    <t>The project I am scoring is:</t>
  </si>
  <si>
    <t>Project's Climate Zone:</t>
  </si>
  <si>
    <t>See Climate Zone Map.</t>
  </si>
  <si>
    <t>Square Footage:</t>
  </si>
  <si>
    <t>s.f.</t>
  </si>
  <si>
    <t xml:space="preserve">Project Description (optional): </t>
  </si>
  <si>
    <t>Foundation Type:</t>
  </si>
  <si>
    <t>Type of HVAC System:</t>
  </si>
  <si>
    <t>Heating Fuel:</t>
  </si>
  <si>
    <t>Renewable Energy:</t>
  </si>
  <si>
    <t>Thermal Envelope Insulation:</t>
  </si>
  <si>
    <t>Attic Type:</t>
  </si>
  <si>
    <t>Solid Fuel Burning Applicance:</t>
  </si>
  <si>
    <t>Attached Garage:</t>
  </si>
  <si>
    <t>Recessed Lighting:</t>
  </si>
  <si>
    <t>Special Design Features:</t>
  </si>
  <si>
    <t>Passive Solar:</t>
  </si>
  <si>
    <t>Tankless Water Heater:</t>
  </si>
  <si>
    <t>Mass Walls:</t>
  </si>
  <si>
    <t>Composting Toilet:</t>
  </si>
  <si>
    <t>Key</t>
  </si>
  <si>
    <t>This indicates a calculation. This type of cell will calculate points based on data entered in other cells.  Do not try to enter a value in this type of cell.</t>
  </si>
  <si>
    <t>NOTE</t>
  </si>
  <si>
    <t>This indicates a special warning or instruction for scoring.  Read all cells like this very carefully.</t>
  </si>
  <si>
    <t>Instructions</t>
  </si>
  <si>
    <t>When you have finished scoring your project, send this file as an attachment to your verifier. Accredited verifiers can be found at www.nahbgreen.org.</t>
  </si>
  <si>
    <t>The NGBS Scoring for New Construction workbook is based on the ANSI approved ICC-700-2012 National Green Building Standard™. It is intended for builders, designers, and other professionals who are interested in pursuing National Green Building Certification through the NAHB Research Center. It was specifically designed to work with the Verification Report, which is distributed to accredited verifiers of the National Green Building Certification program.</t>
  </si>
  <si>
    <t>The scoring status is available at the top of each worksheet for Chapters 5-10.  This is for reference only.  Review the Scoring Analysis worksheet carefully for a detailed report of your project's status.</t>
  </si>
  <si>
    <t>The Approved Products column displays links when Green Approved Products are available for practices. Click “See Products” to review relevant products on the Green Approved Products website. An internet connection is required.</t>
  </si>
  <si>
    <t>The Designer’s Report worksheet does not allow for any data entry: it is a reflection of the data recorded in the worksheets for Chapters 5-10 and the Start Here! page.  It also reports scoring errors and missing Mandatory conditions.  To change the data on the Designer’s Report, you must make your changes on the worksheets for Chapters 5-10 and the Start Here! page.</t>
  </si>
  <si>
    <t>For advanced users of Excel, filtering has been incorporated into the Designer’s Report. If you are not familiar with filtering in Excel, please see the Help option for the Excel software.</t>
  </si>
  <si>
    <t>This spreadsheet is saved at a default magnification of 100%. If the widths of the worksheets do not fit on your computer screen, adjust the magnification or zoom in Excel until it is a size that works for you. Please note that adjusting the magnification may cut off text in some cells. Adjust the row height if this happens.</t>
  </si>
  <si>
    <t>This scoring tool was developed using Microsoft Excel 2010 for PC, and tested in Excel 2010 and Excel 2007. Features of this spreadsheet may not work in older versions of Excel, in spreadsheet software other than Excel, or platforms other than Windows.</t>
  </si>
  <si>
    <t>Single or Multi</t>
  </si>
  <si>
    <t>Single-Family</t>
  </si>
  <si>
    <t>Multi-Unit</t>
  </si>
  <si>
    <t>Climate Zone</t>
  </si>
  <si>
    <t>Scoring Dashboard</t>
  </si>
  <si>
    <t>Project Level</t>
  </si>
  <si>
    <t>Bronze Min</t>
  </si>
  <si>
    <t>Gold Minimum</t>
  </si>
  <si>
    <t>Silver Minimum</t>
  </si>
  <si>
    <t>Emerald Minimum</t>
  </si>
  <si>
    <t>Final Level Reached</t>
  </si>
  <si>
    <t>Sublevel Reached</t>
  </si>
  <si>
    <t>Project Total Points</t>
  </si>
  <si>
    <t xml:space="preserve"> is the Project Total</t>
  </si>
  <si>
    <t>Chapter 5</t>
  </si>
  <si>
    <t>Chapter 6</t>
  </si>
  <si>
    <t>Chapter 8</t>
  </si>
  <si>
    <t>Chapter 9</t>
  </si>
  <si>
    <t>Chapter 10</t>
  </si>
  <si>
    <t>Chapter 7</t>
  </si>
  <si>
    <t>Chapter 6: Resource Efficiency</t>
  </si>
  <si>
    <t>Points Claimed</t>
  </si>
  <si>
    <t>Required Documentation</t>
  </si>
  <si>
    <r>
      <t>less than or equal to 1,000 square feet (93 m</t>
    </r>
    <r>
      <rPr>
        <vertAlign val="superscript"/>
        <sz val="10"/>
        <rFont val="Calibri"/>
        <family val="2"/>
        <scheme val="minor"/>
      </rPr>
      <t>2</t>
    </r>
    <r>
      <rPr>
        <sz val="10"/>
        <rFont val="Calibri"/>
        <family val="2"/>
        <scheme val="minor"/>
      </rPr>
      <t>)</t>
    </r>
  </si>
  <si>
    <r>
      <t>less than or equal to 1,500 square feet (139 m</t>
    </r>
    <r>
      <rPr>
        <vertAlign val="superscript"/>
        <sz val="10"/>
        <rFont val="Calibri"/>
        <family val="2"/>
        <scheme val="minor"/>
      </rPr>
      <t>2</t>
    </r>
    <r>
      <rPr>
        <sz val="10"/>
        <rFont val="Calibri"/>
        <family val="2"/>
        <scheme val="minor"/>
      </rPr>
      <t>)</t>
    </r>
  </si>
  <si>
    <r>
      <t>less than or equal to 2,000 square feet (186 m</t>
    </r>
    <r>
      <rPr>
        <vertAlign val="superscript"/>
        <sz val="10"/>
        <rFont val="Calibri"/>
        <family val="2"/>
        <scheme val="minor"/>
      </rPr>
      <t>2</t>
    </r>
    <r>
      <rPr>
        <sz val="10"/>
        <rFont val="Calibri"/>
        <family val="2"/>
        <scheme val="minor"/>
      </rPr>
      <t>)</t>
    </r>
  </si>
  <si>
    <r>
      <t>less than or equal to 2,500 square feet (232 m</t>
    </r>
    <r>
      <rPr>
        <vertAlign val="superscript"/>
        <sz val="10"/>
        <rFont val="Calibri"/>
        <family val="2"/>
        <scheme val="minor"/>
      </rPr>
      <t>2</t>
    </r>
    <r>
      <rPr>
        <sz val="10"/>
        <rFont val="Calibri"/>
        <family val="2"/>
        <scheme val="minor"/>
      </rPr>
      <t>)</t>
    </r>
  </si>
  <si>
    <t>Floor area</t>
  </si>
  <si>
    <t>Wall area</t>
  </si>
  <si>
    <t>Roof area</t>
  </si>
  <si>
    <t>Cladding or siding area</t>
  </si>
  <si>
    <t>Penetrations or trim area</t>
  </si>
  <si>
    <r>
      <rPr>
        <b/>
        <sz val="10"/>
        <color rgb="FFFF0000"/>
        <rFont val="Calibri"/>
        <family val="2"/>
      </rPr>
      <t>NOTE:</t>
    </r>
    <r>
      <rPr>
        <sz val="10"/>
        <rFont val="Calibri"/>
        <family val="2"/>
      </rPr>
      <t xml:space="preserve"> Points can be  claimed for 601.5(1), 601.5(2), and/or 601.5(3) OR 601.5(4) OR 601.5(5).</t>
    </r>
  </si>
  <si>
    <t>floor system</t>
  </si>
  <si>
    <t>wall system</t>
  </si>
  <si>
    <t>roof system</t>
  </si>
  <si>
    <t>Modular construction for the entire building located above grade.</t>
  </si>
  <si>
    <t>Manufactured home construction for the entire building located above grade.</t>
  </si>
  <si>
    <r>
      <rPr>
        <b/>
        <sz val="10"/>
        <rFont val="Calibri"/>
        <family val="2"/>
        <scheme val="minor"/>
      </rPr>
      <t>Stacked stories.</t>
    </r>
    <r>
      <rPr>
        <sz val="10"/>
        <rFont val="Calibri"/>
        <family val="2"/>
        <scheme val="minor"/>
      </rPr>
      <t xml:space="preserve"> Stories above grade are stacked, such as in 1½-story, 2-story, or greater structures.  The area of the upper story is a minimum of 50% of the area of the story below, based on areas with a minimum ceiling height of 7 feet (2134 mm).
</t>
    </r>
    <r>
      <rPr>
        <b/>
        <u/>
        <sz val="10"/>
        <rFont val="Calibri"/>
        <family val="2"/>
        <scheme val="minor"/>
      </rPr>
      <t>Claim points for only one from (1)-(3) below:</t>
    </r>
  </si>
  <si>
    <t>1 stacked story</t>
  </si>
  <si>
    <t>2 stacked stories</t>
  </si>
  <si>
    <t>3 stacked stories</t>
  </si>
  <si>
    <t>12 points max.</t>
  </si>
  <si>
    <r>
      <rPr>
        <b/>
        <sz val="10"/>
        <rFont val="Calibri"/>
        <family val="2"/>
        <scheme val="minor"/>
      </rPr>
      <t>Above grade wall systems.</t>
    </r>
    <r>
      <rPr>
        <sz val="10"/>
        <rFont val="Calibri"/>
        <family val="2"/>
        <scheme val="minor"/>
      </rPr>
      <t xml:space="preserve"> One or more of the following above grade wall systems that provide sufficient structural and thermal characteristics are used for a minimum of 75% of the gross exterior wall area of the building:
     (1) adobe
     (2) concrete and/or masonry
     (3) logs
     (4) rammed earth</t>
    </r>
  </si>
  <si>
    <t>See Figure 6(2)</t>
  </si>
  <si>
    <r>
      <t>Inches Rainfall</t>
    </r>
    <r>
      <rPr>
        <b/>
        <vertAlign val="superscript"/>
        <sz val="10"/>
        <color theme="0"/>
        <rFont val="Calibri"/>
        <family val="2"/>
        <scheme val="minor"/>
      </rPr>
      <t>1</t>
    </r>
  </si>
  <si>
    <t>Eave Overhang (Inches)</t>
  </si>
  <si>
    <t>Rake Overhang (Inches)</t>
  </si>
  <si>
    <t>41 to 70</t>
  </si>
  <si>
    <t>More than 70</t>
  </si>
  <si>
    <t>Foundation Drainage</t>
  </si>
  <si>
    <t>Mandatory, if applicable.</t>
  </si>
  <si>
    <r>
      <rPr>
        <b/>
        <sz val="10"/>
        <rFont val="Calibri"/>
        <family val="2"/>
        <scheme val="minor"/>
      </rPr>
      <t>Roof water discharge.</t>
    </r>
    <r>
      <rPr>
        <sz val="10"/>
        <rFont val="Calibri"/>
        <family val="2"/>
        <scheme val="minor"/>
      </rPr>
      <t xml:space="preserve"> A gutter and downspout system or splash blocks and effective grading are provided to carry water a minimum of 5 feet (1524 mm) away from perimeter foundation walls.</t>
    </r>
  </si>
  <si>
    <r>
      <rPr>
        <b/>
        <sz val="10"/>
        <rFont val="Calibri"/>
        <family val="2"/>
        <scheme val="minor"/>
      </rPr>
      <t>Termite barrier.</t>
    </r>
    <r>
      <rPr>
        <sz val="10"/>
        <rFont val="Calibri"/>
        <family val="2"/>
        <scheme val="minor"/>
      </rPr>
      <t xml:space="preserve"> Continuous physical foundation termite barrier used with or without low toxicity treatment is installed in geographical areas that have subterranean termite infestation potential determined in accordance with Figure 6(3).
</t>
    </r>
  </si>
  <si>
    <t>See Figure 6(3).</t>
  </si>
  <si>
    <r>
      <rPr>
        <b/>
        <sz val="10"/>
        <color rgb="FFFF0000"/>
        <rFont val="Calibri"/>
        <family val="2"/>
        <scheme val="minor"/>
      </rPr>
      <t>NOTE:</t>
    </r>
    <r>
      <rPr>
        <sz val="10"/>
        <rFont val="Calibri"/>
        <family val="2"/>
        <scheme val="minor"/>
      </rPr>
      <t xml:space="preserve"> Points awarded for dwellings in Very Heavy, Moderate to Heavy, and Slight to Moderate areas.  No points awarded for dwellings in None to Slight areas.</t>
    </r>
  </si>
  <si>
    <r>
      <rPr>
        <b/>
        <sz val="10"/>
        <rFont val="Calibri"/>
        <family val="2"/>
        <scheme val="minor"/>
      </rPr>
      <t>Termite-resistant materials.</t>
    </r>
    <r>
      <rPr>
        <sz val="10"/>
        <rFont val="Calibri"/>
        <family val="2"/>
        <scheme val="minor"/>
      </rPr>
      <t xml:space="preserve"> Termite-resistant materials are used as follows:
</t>
    </r>
    <r>
      <rPr>
        <b/>
        <u/>
        <sz val="10"/>
        <rFont val="Calibri"/>
        <family val="2"/>
        <scheme val="minor"/>
      </rPr>
      <t>Claim points for only one from (1)-(3) below:</t>
    </r>
  </si>
  <si>
    <t xml:space="preserve">In areas of slight to moderate termite infestion probability (as defined by Figure 6(3)) for the foundation, all structural walls, floors, concealed roof spaces not accessible for inspection, exterior decks, and exterior claddings within the first 2 feet (610 mm) above the top of the foundation. </t>
  </si>
  <si>
    <t xml:space="preserve">In areas of moderate to heavy termite infestion probability (as defined by Figure 6(3)) for the foundation, all structural walls, floors, concealed roof spaces not accessible for inspection, exterior decks, and exterior claddings within the first 3 feet (914 mm) above the top of the foundation. </t>
  </si>
  <si>
    <t xml:space="preserve">In areas of very heavy termite infestion probability [as defined by Figure 6(3)] for the foundation, all structural walls, floors, concealed roof spaces not accessible for inspection, exterior decks, and exterior claddings. </t>
  </si>
  <si>
    <r>
      <rPr>
        <b/>
        <sz val="10"/>
        <rFont val="Calibri"/>
        <family val="2"/>
        <scheme val="minor"/>
      </rPr>
      <t>Ice barrier.</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</si>
  <si>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r>
      <rPr>
        <b/>
        <sz val="10"/>
        <rFont val="Calibri"/>
        <family val="2"/>
        <scheme val="minor"/>
      </rPr>
      <t>Recycling.</t>
    </r>
    <r>
      <rPr>
        <sz val="10"/>
        <rFont val="Calibri"/>
        <family val="2"/>
        <scheme val="minor"/>
      </rPr>
      <t xml:space="preserve"> Occupant recycling is facilitated by one or more of the following methods:
</t>
    </r>
    <r>
      <rPr>
        <b/>
        <u/>
        <sz val="10"/>
        <rFont val="Calibri"/>
        <family val="2"/>
        <scheme val="minor"/>
      </rPr>
      <t>Claim points for all that apply from (1)-(2) below:</t>
    </r>
  </si>
  <si>
    <t>A built-in collection space in each kitchen and an aggregation/pick-up space in a garage, covered outdoor space, or other area for recycling containers.</t>
  </si>
  <si>
    <t>Compost facility provided on-site.</t>
  </si>
  <si>
    <t>Points per Table 603.1</t>
  </si>
  <si>
    <t>Table 603.1</t>
  </si>
  <si>
    <t>Square Feet</t>
  </si>
  <si>
    <t>Points</t>
  </si>
  <si>
    <t>200 - &lt;400</t>
  </si>
  <si>
    <t>400 - &lt;600</t>
  </si>
  <si>
    <t>600 - &lt;800</t>
  </si>
  <si>
    <t>800 - &lt;1000</t>
  </si>
  <si>
    <t>1000 - &lt;1200</t>
  </si>
  <si>
    <t>1200 - &lt;1400</t>
  </si>
  <si>
    <t>1400 - &lt;1600</t>
  </si>
  <si>
    <t>1600 - &lt;1800</t>
  </si>
  <si>
    <t>1800 - &lt;2000</t>
  </si>
  <si>
    <t>2000 - &lt;2200</t>
  </si>
  <si>
    <t>2200 - &lt;2400</t>
  </si>
  <si>
    <t>2400+</t>
  </si>
  <si>
    <r>
      <rPr>
        <b/>
        <sz val="10"/>
        <rFont val="Calibri"/>
        <family val="2"/>
        <scheme val="minor"/>
      </rPr>
      <t>Scrap Materials.</t>
    </r>
    <r>
      <rPr>
        <sz val="10"/>
        <rFont val="Calibri"/>
        <family val="2"/>
        <scheme val="minor"/>
      </rPr>
      <t xml:space="preserve"> Facilitation for sorting and reuse of scrap building material (e.g., provide a central storage area or dedicated bins).</t>
    </r>
  </si>
  <si>
    <t>25 - &lt;50% = 1 pt
50 - &lt;75% = 2 pts
75%+ = 3 pts</t>
  </si>
  <si>
    <r>
      <rPr>
        <b/>
        <sz val="10"/>
        <rFont val="Calibri"/>
        <family val="2"/>
        <scheme val="minor"/>
      </rPr>
      <t>Recycled content.</t>
    </r>
    <r>
      <rPr>
        <sz val="10"/>
        <rFont val="Calibri"/>
        <family val="2"/>
        <scheme val="minor"/>
      </rPr>
      <t xml:space="preserve"> Building materials with the following percentages of recycled content are used for at least two </t>
    </r>
    <r>
      <rPr>
        <b/>
        <sz val="10"/>
        <rFont val="Calibri"/>
        <family val="2"/>
        <scheme val="minor"/>
      </rPr>
      <t>major</t>
    </r>
    <r>
      <rPr>
        <sz val="10"/>
        <rFont val="Calibri"/>
        <family val="2"/>
        <scheme val="minor"/>
      </rPr>
      <t xml:space="preserve"> components of the building.</t>
    </r>
  </si>
  <si>
    <t>25 - &lt;50% = 2 pt
50 - &lt;75% = 4 pts
75%+ = 6 pts</t>
  </si>
  <si>
    <t>2 types = 3 pts
3 types = 4 pts
4 types = 5 pts
5+ types = 6 pts</t>
  </si>
  <si>
    <r>
      <rPr>
        <b/>
        <sz val="10"/>
        <rFont val="Calibri"/>
        <family val="2"/>
        <scheme val="minor"/>
      </rPr>
      <t>Biobased products.</t>
    </r>
    <r>
      <rPr>
        <sz val="10"/>
        <rFont val="Calibri"/>
        <family val="2"/>
        <scheme val="minor"/>
      </rPr>
      <t xml:space="preserve"> The following biobased products are used:
     (a) certified solid wood in accordance with Section 606.2
     (b) engineered wood
     (c) bamboo
     (d) cotton
     (e) cork
     (f) straw
     (g) natural fiber products made from crops (soy-based, corn-based)
     (h) products with the minimum biobased contents of the USDA 7 CFR Part 2902
     (i) other biobased materials with a minimum of 50% biobased content (by weight or volume)
</t>
    </r>
    <r>
      <rPr>
        <b/>
        <u/>
        <sz val="10"/>
        <rFont val="Calibri"/>
        <family val="2"/>
        <scheme val="minor"/>
      </rPr>
      <t>Claim points for all that apply from (1)-(3) below:</t>
    </r>
  </si>
  <si>
    <t>8 points max.</t>
  </si>
  <si>
    <t>Two types of biobased materials are used, each for more than 0.5% of the project's projected building material cost.</t>
  </si>
  <si>
    <t>Two types of biobased materials are used, each for more than 1% percent of the project's projected building material cost.</t>
  </si>
  <si>
    <t>Additional types of biobased materials used for more the 0.5% of the project's projected building material cost.</t>
  </si>
  <si>
    <t>1 add. type=1 pt
2 add. type=2 pts</t>
  </si>
  <si>
    <r>
      <rPr>
        <b/>
        <sz val="10"/>
        <rFont val="Calibri"/>
        <family val="2"/>
        <scheme val="minor"/>
      </rPr>
      <t>Wood-based products.</t>
    </r>
    <r>
      <rPr>
        <sz val="10"/>
        <rFont val="Calibri"/>
        <family val="2"/>
        <scheme val="minor"/>
      </rPr>
      <t xml:space="preserve"> Wood or wood-based products are certified to the requirements of one of the following recognized product programs:
     (a) American Forest Foundation's </t>
    </r>
    <r>
      <rPr>
        <i/>
        <sz val="10"/>
        <rFont val="Calibri"/>
        <family val="2"/>
        <scheme val="minor"/>
      </rPr>
      <t>American Tree Farm System</t>
    </r>
    <r>
      <rPr>
        <sz val="10"/>
        <rFont val="Calibri"/>
        <family val="2"/>
        <scheme val="minor"/>
      </rPr>
      <t xml:space="preserve">® (ATFS)
     (b) Canadian Standards Association's </t>
    </r>
    <r>
      <rPr>
        <i/>
        <sz val="10"/>
        <rFont val="Calibri"/>
        <family val="2"/>
        <scheme val="minor"/>
      </rPr>
      <t>Sustainable Forest Management System Standards</t>
    </r>
    <r>
      <rPr>
        <sz val="10"/>
        <rFont val="Calibri"/>
        <family val="2"/>
        <scheme val="minor"/>
      </rPr>
      <t xml:space="preserve"> (CSA Z809)
     (c) </t>
    </r>
    <r>
      <rPr>
        <i/>
        <sz val="10"/>
        <rFont val="Calibri"/>
        <family val="2"/>
        <scheme val="minor"/>
      </rPr>
      <t>Forest Stewardship Council</t>
    </r>
    <r>
      <rPr>
        <sz val="10"/>
        <rFont val="Calibri"/>
        <family val="2"/>
        <scheme val="minor"/>
      </rPr>
      <t xml:space="preserve"> (FSC)
     (d) </t>
    </r>
    <r>
      <rPr>
        <i/>
        <sz val="10"/>
        <rFont val="Calibri"/>
        <family val="2"/>
        <scheme val="minor"/>
      </rPr>
      <t>Program for Endorsement of Forest Certification Systems</t>
    </r>
    <r>
      <rPr>
        <sz val="10"/>
        <rFont val="Calibri"/>
        <family val="2"/>
        <scheme val="minor"/>
      </rPr>
      <t xml:space="preserve"> (PEFC)
     (e) </t>
    </r>
    <r>
      <rPr>
        <i/>
        <sz val="10"/>
        <rFont val="Calibri"/>
        <family val="2"/>
        <scheme val="minor"/>
      </rPr>
      <t>Sustainable Forestry Initiative® Program</t>
    </r>
    <r>
      <rPr>
        <sz val="10"/>
        <rFont val="Calibri"/>
        <family val="2"/>
        <scheme val="minor"/>
      </rPr>
      <t xml:space="preserve"> (SFI)
     (f) other product programs mutually recognized by PEFC
</t>
    </r>
    <r>
      <rPr>
        <b/>
        <u/>
        <sz val="10"/>
        <rFont val="Calibri"/>
        <family val="2"/>
        <scheme val="minor"/>
      </rPr>
      <t>Claim points for all that apply from (1)-(2) below:</t>
    </r>
  </si>
  <si>
    <r>
      <t xml:space="preserve">Where a minimum of two certified wood-based products are used for </t>
    </r>
    <r>
      <rPr>
        <b/>
        <sz val="10"/>
        <rFont val="Calibri"/>
        <family val="2"/>
        <scheme val="minor"/>
      </rPr>
      <t>minor</t>
    </r>
    <r>
      <rPr>
        <sz val="10"/>
        <rFont val="Calibri"/>
        <family val="2"/>
        <scheme val="minor"/>
      </rPr>
      <t xml:space="preserve"> elements of the building, such as all trim, cabinetry, or millwork.</t>
    </r>
  </si>
  <si>
    <r>
      <t xml:space="preserve">Where a minimum of two certified wood-based products are used in </t>
    </r>
    <r>
      <rPr>
        <b/>
        <sz val="10"/>
        <rFont val="Calibri"/>
        <family val="2"/>
        <scheme val="minor"/>
      </rPr>
      <t>major</t>
    </r>
    <r>
      <rPr>
        <sz val="10"/>
        <rFont val="Calibri"/>
        <family val="2"/>
        <scheme val="minor"/>
      </rPr>
      <t xml:space="preserve"> elements of the building, such as walls, floors, or roof.</t>
    </r>
  </si>
  <si>
    <t>1 mat'l = 2 pts
2 mat'l = 4 pts
3+ mat'l = 6 pts</t>
  </si>
  <si>
    <r>
      <rPr>
        <b/>
        <sz val="10"/>
        <rFont val="Calibri"/>
        <family val="2"/>
        <scheme val="minor"/>
      </rPr>
      <t>Resource-efficient materials.</t>
    </r>
    <r>
      <rPr>
        <sz val="10"/>
        <rFont val="Calibri"/>
        <family val="2"/>
        <scheme val="minor"/>
      </rPr>
      <t xml:space="preserve"> Products containing fewer materials are used to achieve the same end-use requirements as conventional products, including but not limited to:
     (1) lighter, thinner brick with bed depth less than 3 inches and/or brick with coring of more than 25%
     (2) engineered wood or engineered steel products
     (3) roof or floor trusses</t>
    </r>
  </si>
  <si>
    <t>1 prod = 3 pts
2 prod = 6 pts
3+ prod = 9 pts</t>
  </si>
  <si>
    <t>1 type = 2 pts
2 types = 4pts
3 types = 6 pts
4 types = 8 pts
5+ types = 10 pts</t>
  </si>
  <si>
    <r>
      <rPr>
        <b/>
        <sz val="10"/>
        <rFont val="Calibri"/>
        <family val="2"/>
        <scheme val="minor"/>
      </rPr>
      <t>Manufacturer's environmental management system concepts.</t>
    </r>
    <r>
      <rPr>
        <sz val="10"/>
        <rFont val="Calibri"/>
        <family val="2"/>
        <scheme val="minor"/>
      </rPr>
      <t xml:space="preserve"> 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</si>
  <si>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 - &lt;2% = 1 pt
2% - &lt;3% = 2 pts
3% - &lt;4% = 3 pts
4% - &lt;5% = 4 pts
5% - &lt;6% = 5 pts
6% - &lt;7%  = 6 pts
7% - &lt;8% = 7 pts
8% - &lt;9% = 8 pts
9% - &lt;10% = 9 pts
10+% = 10 pts</t>
  </si>
  <si>
    <t>End of Chapter 6</t>
  </si>
  <si>
    <t>Proceed to Chapter 7 &gt;&gt;</t>
  </si>
  <si>
    <t>Square Footage and Additional Points</t>
  </si>
  <si>
    <t>Chapter 7: Energy Efficiency</t>
  </si>
  <si>
    <t>Mandatory Practices</t>
  </si>
  <si>
    <t>HVAC systems.</t>
  </si>
  <si>
    <t>Mandatory, if applicable</t>
  </si>
  <si>
    <t>Duct systems.</t>
  </si>
  <si>
    <t>701.4.2.1</t>
  </si>
  <si>
    <t>Mandatory, if there is a duct system</t>
  </si>
  <si>
    <t>701.4.2.2</t>
  </si>
  <si>
    <t>Insulation and air sealing.</t>
  </si>
  <si>
    <t>701.4.3.1</t>
  </si>
  <si>
    <t>701.4.3.2</t>
  </si>
  <si>
    <t>701.4.3.3</t>
  </si>
  <si>
    <t>701.4.3.4</t>
  </si>
  <si>
    <t>701.4.4</t>
  </si>
  <si>
    <t>SHGC</t>
  </si>
  <si>
    <t>703.1.1</t>
  </si>
  <si>
    <t>703.1.2</t>
  </si>
  <si>
    <t>703.1.3</t>
  </si>
  <si>
    <t>703.3.1</t>
  </si>
  <si>
    <t>703.5.1</t>
  </si>
  <si>
    <t>703.5.2</t>
  </si>
  <si>
    <t>703.5.3</t>
  </si>
  <si>
    <t>704.2.1</t>
  </si>
  <si>
    <t>25% of lighting</t>
  </si>
  <si>
    <t>50% of lighting</t>
  </si>
  <si>
    <t>(a)</t>
  </si>
  <si>
    <t>(b)</t>
  </si>
  <si>
    <t>(c)</t>
  </si>
  <si>
    <t>(d)</t>
  </si>
  <si>
    <t>(e)</t>
  </si>
  <si>
    <t>End of Chapter 7</t>
  </si>
  <si>
    <t>Proceed to Chapter 8 &gt;&gt;</t>
  </si>
  <si>
    <t>Chapter 8: Water Efficiency</t>
  </si>
  <si>
    <t>801.1.1</t>
  </si>
  <si>
    <r>
      <rPr>
        <b/>
        <sz val="10"/>
        <rFont val="Calibri"/>
        <family val="2"/>
        <scheme val="minor"/>
      </rPr>
      <t>Food waste disposers.</t>
    </r>
    <r>
      <rPr>
        <sz val="10"/>
        <rFont val="Calibri"/>
        <family val="2"/>
        <scheme val="minor"/>
      </rPr>
      <t xml:space="preserve"> A minimum of one food waste disposer is installed at the primary kitchen sink.</t>
    </r>
  </si>
  <si>
    <t>2.0 to &lt;2.5 gpm</t>
  </si>
  <si>
    <t>1.6 to &lt;2.0 gpm</t>
  </si>
  <si>
    <t>801.5.2</t>
  </si>
  <si>
    <t>10 points max.</t>
  </si>
  <si>
    <t>End of Chapter 8</t>
  </si>
  <si>
    <t>Proceed to Chapter 9 &gt;&gt;</t>
  </si>
  <si>
    <t>Chapter 9: Indoor Environmental Quality</t>
  </si>
  <si>
    <t>Space and water heating options</t>
  </si>
  <si>
    <t>Air handling equipment or return ducts are not located in the garage, unless placed in isolated, air-sealed mechanical rooms with an outside air source.</t>
  </si>
  <si>
    <t>901.1.4</t>
  </si>
  <si>
    <t>Factory-built, wood-burning fireplaces are in accordance with the certification requirements of UL 127 and are EPA certified.</t>
  </si>
  <si>
    <t>Pellet (biomass) stoves and furnaces are in accordance with the requirements of ASTM E1509 or are EPA certified.</t>
  </si>
  <si>
    <t>Masonry heaters are in accordance with the definitions in ASTM E1602 and ICC IBC, Section 2112.1.</t>
  </si>
  <si>
    <t>Fireplaces, wood stoves, pellet stoves, or masonry heaters are not installed.</t>
  </si>
  <si>
    <r>
      <t>Garages</t>
    </r>
    <r>
      <rPr>
        <sz val="10"/>
        <color theme="1"/>
        <rFont val="Calibri"/>
        <family val="2"/>
        <scheme val="minor"/>
      </rPr>
      <t>. Garages are in accordance with the following:</t>
    </r>
  </si>
  <si>
    <t>Attached garage</t>
  </si>
  <si>
    <t>Where installed in the common wall between the attached garage and conditioned space, the door is tightly sealed and gasketed.</t>
  </si>
  <si>
    <r>
      <rPr>
        <b/>
        <sz val="10"/>
        <color rgb="FFFF0000"/>
        <rFont val="Calibri"/>
        <family val="2"/>
      </rPr>
      <t>NOTE:</t>
    </r>
    <r>
      <rPr>
        <sz val="10"/>
        <rFont val="Calibri"/>
        <family val="2"/>
      </rPr>
      <t xml:space="preserve"> An attached garage must be installed to claim points for 901.3(1)(a). If you claim points for 901.3(1)(a), you cannot claim points for 901.3(2).
</t>
    </r>
  </si>
  <si>
    <t>A continuous air barrier is provided between walls and ceilings separating the garage space from the conditioned living spaces.</t>
  </si>
  <si>
    <r>
      <rPr>
        <b/>
        <sz val="10"/>
        <color rgb="FFFF0000"/>
        <rFont val="Calibri"/>
        <family val="2"/>
      </rPr>
      <t>NOTE:</t>
    </r>
    <r>
      <rPr>
        <sz val="10"/>
        <rFont val="Calibri"/>
        <family val="2"/>
      </rPr>
      <t xml:space="preserve"> An attached garage must be installed to claim points. If you claim points for 901.3(1)(b), you cannot claim points for 901.3(2).
</t>
    </r>
  </si>
  <si>
    <t>See Appendix A</t>
  </si>
  <si>
    <r>
      <rPr>
        <b/>
        <sz val="10"/>
        <color rgb="FFFF0000"/>
        <rFont val="Calibri"/>
        <family val="2"/>
      </rPr>
      <t>NOTE:</t>
    </r>
    <r>
      <rPr>
        <sz val="10"/>
        <rFont val="Calibri"/>
        <family val="2"/>
      </rPr>
      <t xml:space="preserve"> If you claim points for 901.3(1)(c), you cannot claim points for 901.3(2).
</t>
    </r>
  </si>
  <si>
    <t>A carport is installed, the garage is detached from the building, or no garage is installed.</t>
  </si>
  <si>
    <r>
      <rPr>
        <b/>
        <sz val="10"/>
        <color rgb="FFFF0000"/>
        <rFont val="Calibri"/>
        <family val="2"/>
      </rPr>
      <t>NOTE:</t>
    </r>
    <r>
      <rPr>
        <sz val="10"/>
        <rFont val="Calibri"/>
        <family val="2"/>
      </rPr>
      <t xml:space="preserve"> If you claim points for 901.3(2), you cannot claim points for 901.3(1)(a), 901.3(1)(b), or 901.3(1)(c).
</t>
    </r>
  </si>
  <si>
    <t>Particleboard and MDF (medium density fiberboard) is manufactured and labeled in accordance with CPA A208.1 and CPA A208.2, respectively.</t>
  </si>
  <si>
    <r>
      <t xml:space="preserve">Composite wood or agrifiber panel products contain no added urea-formaldehyde or are in accordance with the CARB </t>
    </r>
    <r>
      <rPr>
        <i/>
        <sz val="10"/>
        <color theme="1"/>
        <rFont val="Calibri"/>
        <family val="2"/>
        <scheme val="minor"/>
      </rPr>
      <t>Composite Wood Air Toxic Contaminant Measure Standard</t>
    </r>
    <r>
      <rPr>
        <sz val="10"/>
        <color theme="1"/>
        <rFont val="Calibri"/>
        <family val="2"/>
        <scheme val="minor"/>
      </rPr>
      <t>.</t>
    </r>
  </si>
  <si>
    <t>Non-emitting products.</t>
  </si>
  <si>
    <r>
      <t>Carpets</t>
    </r>
    <r>
      <rPr>
        <sz val="10"/>
        <color theme="1"/>
        <rFont val="Calibri"/>
        <family val="2"/>
        <scheme val="minor"/>
      </rPr>
      <t>. Carpets are in accordance with the following:</t>
    </r>
  </si>
  <si>
    <t>Wall-to-wall carpeting is not installed adjacent to water closets and bathing fixtures.</t>
  </si>
  <si>
    <t>Carpet</t>
  </si>
  <si>
    <t>Carpet cushion</t>
  </si>
  <si>
    <t>Exterior grilles or mats are installed in a fixed manner and may be removable for cleaning.</t>
  </si>
  <si>
    <t>Interior grilles or mats are installed in a fixed manner and may be removable for cleaning.</t>
  </si>
  <si>
    <t>Spot ventilation.</t>
  </si>
  <si>
    <t>Spot ventilation is in accordance with the following conditions.</t>
  </si>
  <si>
    <t>Clothes dryers are vented to the outdoors.</t>
  </si>
  <si>
    <t>Kitchen exhaust units and/or range hoods are ducted to the outdoors and have a minimum ventilation rate of 100 cfm (47.2 L/s) for intermittent operation or 25 cfm (11.8 L/s) for continuous operation.</t>
  </si>
  <si>
    <t>902.1.2</t>
  </si>
  <si>
    <t>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</si>
  <si>
    <t>902.1.4</t>
  </si>
  <si>
    <t>Exhaust fans are ENERGY STAR®, as applicable.</t>
  </si>
  <si>
    <t>Building ventilation systems</t>
  </si>
  <si>
    <t>See Appendix B</t>
  </si>
  <si>
    <t>Exhaust or supply fan(s) ready for continuous operation and with appropriately labeled controls.</t>
  </si>
  <si>
    <t>Balanced exhaust and supply fans with supply intakes located in accordance with the manufacturer's guidelines to not introduce polluted air back into the building.</t>
  </si>
  <si>
    <t>Heat-recovery ventilator.</t>
  </si>
  <si>
    <t>Energy-recovery ventilator.</t>
  </si>
  <si>
    <r>
      <rPr>
        <b/>
        <sz val="10"/>
        <color rgb="FFFF0000"/>
        <rFont val="Calibri"/>
        <family val="2"/>
      </rPr>
      <t>NOTE:</t>
    </r>
    <r>
      <rPr>
        <sz val="10"/>
        <rFont val="Calibri"/>
        <family val="2"/>
      </rPr>
      <t xml:space="preserve"> Points must be claimed in 902.2.1 to claim points in 902.2.2.
</t>
    </r>
  </si>
  <si>
    <t>See Figure 9(1)</t>
  </si>
  <si>
    <t>Mandatory, if located in 
Radon Zone 1</t>
  </si>
  <si>
    <t>a passive radon system is installed</t>
  </si>
  <si>
    <t>an active radon system is installed</t>
  </si>
  <si>
    <r>
      <rPr>
        <b/>
        <sz val="10"/>
        <color rgb="FFFF0000"/>
        <rFont val="Calibri"/>
        <family val="2"/>
      </rPr>
      <t>NOTE:</t>
    </r>
    <r>
      <rPr>
        <sz val="10"/>
        <rFont val="Calibri"/>
        <family val="2"/>
      </rPr>
      <t xml:space="preserve"> 902.3(1) must be "Met" to claim points for 902.3(1)(a) or 902.3(1)(b). If points are claimed for 902.3(1)(a) or 902.3(1)(b), points cannot be claimed for 902.3(2)(a).
</t>
    </r>
  </si>
  <si>
    <r>
      <rPr>
        <b/>
        <sz val="10"/>
        <color rgb="FFFF0000"/>
        <rFont val="Calibri"/>
        <family val="2"/>
      </rPr>
      <t>NOTE:</t>
    </r>
    <r>
      <rPr>
        <sz val="10"/>
        <rFont val="Calibri"/>
        <family val="2"/>
      </rPr>
      <t xml:space="preserve"> If points are claimed for 902.3(2)(a), points cannot be claimed for 902.3(1)(a) or 902.3(1)(b).</t>
    </r>
  </si>
  <si>
    <r>
      <rPr>
        <b/>
        <sz val="10"/>
        <color theme="1"/>
        <rFont val="Calibri"/>
        <family val="2"/>
        <scheme val="minor"/>
      </rPr>
      <t>HVAC system protection</t>
    </r>
    <r>
      <rPr>
        <sz val="10"/>
        <color theme="1"/>
        <rFont val="Calibri"/>
        <family val="2"/>
        <scheme val="minor"/>
      </rPr>
      <t xml:space="preserve">. One of the following HVAC system protection measures is performed.
</t>
    </r>
    <r>
      <rPr>
        <b/>
        <u/>
        <sz val="10"/>
        <color theme="1"/>
        <rFont val="Calibri"/>
        <family val="2"/>
        <scheme val="minor"/>
      </rPr>
      <t>Claim points for only one from (1)-(2) below:</t>
    </r>
  </si>
  <si>
    <t>HVAC supply registers (boots), return grilles, and rough-ins are covered during construction activities to prevent dust and other pollutants from entering the system.</t>
  </si>
  <si>
    <t>Prior to owner occupancy, HVAC supply registers (boots), return grilles, and duct terminations are inspected and vacuumed. In addition, the coils are inspected and cleaned and the filter is replaced if necessary.</t>
  </si>
  <si>
    <r>
      <rPr>
        <b/>
        <sz val="10"/>
        <color theme="1"/>
        <rFont val="Calibri"/>
        <family val="2"/>
        <scheme val="minor"/>
      </rPr>
      <t>Central vacuum systems</t>
    </r>
    <r>
      <rPr>
        <sz val="10"/>
        <color theme="1"/>
        <rFont val="Calibri"/>
        <family val="2"/>
        <scheme val="minor"/>
      </rPr>
      <t>. Central vacuum system is installed and vented to the outside.</t>
    </r>
  </si>
  <si>
    <t>Capillary breaks</t>
  </si>
  <si>
    <t>See Figure 6(1)</t>
  </si>
  <si>
    <t>Crawlspaces</t>
  </si>
  <si>
    <t>Mandatory, if there is a crawlspace that extends below finished grade</t>
  </si>
  <si>
    <t>Moisture control measures</t>
  </si>
  <si>
    <t>Building materials with visible mold are not installed or are cleaned or encapsulated prior to concealment and closing.</t>
  </si>
  <si>
    <t>Plumbing</t>
  </si>
  <si>
    <t>Cold water pipes in unconditioned spaces are insulated to a minimum of R-4 with pipe insulation or other covering that adequately prevents condensation.</t>
  </si>
  <si>
    <t>Plumbing is not installed in unconditioned spaces.</t>
  </si>
  <si>
    <t>Additional dehumidification system(s)</t>
  </si>
  <si>
    <t>Central HVAC system equipped with additional controls to operate in dehumidification mode</t>
  </si>
  <si>
    <t>End of Chapter 9</t>
  </si>
  <si>
    <t>Proceed to Chapter 10 &gt;&gt;</t>
  </si>
  <si>
    <t>Chapter 10: Operation, Maintenance, and Building Owner Education</t>
  </si>
  <si>
    <t>A building owner's manual is provided that includes the following conditions, as available and applicable.</t>
  </si>
  <si>
    <t>A green building program certificate or completion document.</t>
  </si>
  <si>
    <t>Mandatory for One- &amp; Two-Family Dwellings only</t>
  </si>
  <si>
    <t>List of green building features (can include the national green building checklist).</t>
  </si>
  <si>
    <t>Information on local recycling programs.</t>
  </si>
  <si>
    <t>Information on available local utility programs that purchase a portion of energy from renewable energy providers.</t>
  </si>
  <si>
    <t>Explanation of the benefits of using energy efficient lighting systems (e.g., compact fluorescent light bulbs, light emitting diode (LED)) in high usage areas.</t>
  </si>
  <si>
    <t>A list of practices to conserve water and energy.</t>
  </si>
  <si>
    <t>Local public transporation options.</t>
  </si>
  <si>
    <t>A diagram showing the location of safety valves and controls for major building systems.</t>
  </si>
  <si>
    <t>Where frost-protected shallow foundations are used, owner is informed of precautions including:
     (a) instructions to not remove or damage insulation when modifying landscaping.
     (b) providing heat to the building as required by the ICC IRC or IBC.
     (c) keeping base materials beneath and around the building free from moisture due to broken water pipes or other water sources.</t>
  </si>
  <si>
    <t>A list of local service providers that offer regularly scheduled service and maintenance contracts to assure proper performance of equipment and the structure (e.g., HVAC, water heating equipment, sealants, caulks, gutter and downspout system, shower and/or tub surrounds, irrigation system).</t>
  </si>
  <si>
    <t>A photo record of framing with utilities installed. Photos are taken prior to installing insulation, clearly labeled, and included as part of the building owners' manual.</t>
  </si>
  <si>
    <t>Maintenance checklist.</t>
  </si>
  <si>
    <t>List of common hazardous materials often used around the building and instructions for proper handling and disposal of these materials.</t>
  </si>
  <si>
    <t>Information on organic pest control, fertilizers, deicers, and cleaning products.</t>
  </si>
  <si>
    <t>Information on native landscape materials and/or those that have low-water requirements.</t>
  </si>
  <si>
    <t>Information on methods of maintaining the building's relative humidity in the range of 30% to 60%.</t>
  </si>
  <si>
    <t>Instructions for inspecting the building for termite infestation.</t>
  </si>
  <si>
    <t>Instructions for maintaining gutters and downspouts and importance of diverting water a minimum of 5 feet away from foundation.</t>
  </si>
  <si>
    <t>A narrative detailing the importance of maintenance and operation in retaining the attributes of a green-built building.</t>
  </si>
  <si>
    <r>
      <rPr>
        <b/>
        <sz val="10"/>
        <color theme="1"/>
        <rFont val="Calibri"/>
        <family val="2"/>
        <scheme val="minor"/>
      </rPr>
      <t>Building construction manual</t>
    </r>
    <r>
      <rPr>
        <sz val="10"/>
        <color theme="1"/>
        <rFont val="Calibri"/>
        <family val="2"/>
        <scheme val="minor"/>
      </rPr>
      <t xml:space="preserve">. A building construction manual, including </t>
    </r>
    <r>
      <rPr>
        <b/>
        <sz val="10"/>
        <color rgb="FFFF0000"/>
        <rFont val="Calibri"/>
        <family val="2"/>
        <scheme val="minor"/>
      </rPr>
      <t>five or more</t>
    </r>
    <r>
      <rPr>
        <sz val="10"/>
        <color theme="1"/>
        <rFont val="Calibri"/>
        <family val="2"/>
        <scheme val="minor"/>
      </rPr>
      <t xml:space="preserve"> of the following, is compiled and distributed in accordance with the intent of this practice.
</t>
    </r>
    <r>
      <rPr>
        <b/>
        <u/>
        <sz val="10"/>
        <color theme="1"/>
        <rFont val="Calibri"/>
        <family val="2"/>
        <scheme val="minor"/>
      </rPr>
      <t>Claim points for at least 5 items from (1)-(8) below:</t>
    </r>
  </si>
  <si>
    <r>
      <t xml:space="preserve">Points awarded per 2 items.
</t>
    </r>
    <r>
      <rPr>
        <b/>
        <i/>
        <sz val="10"/>
        <color rgb="FFFF0000"/>
        <rFont val="Calibri"/>
        <family val="2"/>
        <scheme val="minor"/>
      </rPr>
      <t>5 or more</t>
    </r>
    <r>
      <rPr>
        <b/>
        <i/>
        <sz val="10"/>
        <color theme="1"/>
        <rFont val="Calibri"/>
        <family val="2"/>
        <scheme val="minor"/>
      </rPr>
      <t xml:space="preserve"> items are required, including the mandatory items.</t>
    </r>
  </si>
  <si>
    <t>A narrative detailing the importance of constructing a green building, including a list of green building attributes included in the building. This narrative is included in all responsible parties' manuals.</t>
  </si>
  <si>
    <t>Mandatory for Multi-Unit Buildings only</t>
  </si>
  <si>
    <t>A local green building program certificate as well as a copy of the National Green Building Standard™, as adopted by the Adopting Entity, and the individual measures achieved by the building.</t>
  </si>
  <si>
    <t>Warranty, operation, and maintenance instructions for all equipment, fixtures, appliances, and finishes.</t>
  </si>
  <si>
    <t>Record drawings of the building.</t>
  </si>
  <si>
    <t>A record drawing of the site including stormwater management plans, utility lines, landscaping with common name and genus/species of plantings.</t>
  </si>
  <si>
    <t>A list of the type and wattage of light bulbs installed in light fixtures.</t>
  </si>
  <si>
    <t>A photo record of framing with utilities installed. Photos are taken prior to installing insulation and clearly labeled.</t>
  </si>
  <si>
    <t>A narrative detailing the importance of operating and living in a green building. This narrative is included in all responsible parties' manuals.</t>
  </si>
  <si>
    <t>A list of practices to conserve water and energy (e.g., turning off lights when not in use, switching the rotation of ceiling fans in changing seasons, purchasing ENERGY STAR® appliances and electronics.</t>
  </si>
  <si>
    <t>Information on opportunities to purchase renewable energy from local utilities or national green power providers and information on utility and tax incentives for the installation of on-site renewable energy systems.</t>
  </si>
  <si>
    <t>Informtation on local and on-site recycling and hazardous waste disposal programs and, if applicable, building recycling and hazardous waste handling and disposal procedures.</t>
  </si>
  <si>
    <t>Local public transportation options.</t>
  </si>
  <si>
    <t>Explanation of the benefits of using compact fluorescent light bulbs, LEDs, or other high-efficiency lighting.</t>
  </si>
  <si>
    <t>Information on native landscape materials and/or those that have low water requirements.</t>
  </si>
  <si>
    <t>Information on the radon mitigation system, where applicable.</t>
  </si>
  <si>
    <t>A procedure for educating tenants in rental properties on the proper use, benefits, and maintenance of green building systems including a maintenance staff notification process for improperly functioning equipment.</t>
  </si>
  <si>
    <t>A narrative detailing the importance of maintaining a green building. This narrative is included in all responsible parties' manuals.</t>
  </si>
  <si>
    <t>User-friendly maintenance checklist that includes: 
     (1) HVAC
     (2) thermostat operation and programming
     (3) lighting controls
     (4) appliances and settings
     (5) water heater settings
     (6) fan controls</t>
  </si>
  <si>
    <t>A procedure for rental tenant occupancy turnover that preserves the green features.</t>
  </si>
  <si>
    <t>An outline of a formal green building training program for maintenance staff.</t>
  </si>
  <si>
    <t>End of Chapter 10</t>
  </si>
  <si>
    <t>Target Level =</t>
  </si>
  <si>
    <t xml:space="preserve">DESIGNERS REPORT - NATIONAL GREEN BUILDING STANDARD </t>
  </si>
  <si>
    <t>Builder/Applicant:</t>
  </si>
  <si>
    <t>Builder Phone:</t>
  </si>
  <si>
    <t>Mailing (physical) Address w/ Zip Code of Home:</t>
  </si>
  <si>
    <t>Single-Family or Multi-Unit:</t>
  </si>
  <si>
    <t># of units:</t>
  </si>
  <si>
    <t>Climate Zone:</t>
  </si>
  <si>
    <t>HERS Index:</t>
  </si>
  <si>
    <t>Project Description:</t>
  </si>
  <si>
    <t>Practice</t>
  </si>
  <si>
    <t>500  LOT DESIGN, PREPARATION AND DEVELOPMENT</t>
  </si>
  <si>
    <t>501  LOT SELECTION</t>
  </si>
  <si>
    <t>502  PROJECT TEAM, MISSION STATEMENT AND GOALS</t>
  </si>
  <si>
    <t>503 LOT DESIGN</t>
  </si>
  <si>
    <r>
      <t xml:space="preserve">503.4(3) </t>
    </r>
    <r>
      <rPr>
        <sz val="10"/>
        <rFont val="Calibri"/>
        <family val="2"/>
        <scheme val="minor"/>
      </rPr>
      <t>All or a percentage of impervious surfaces are minimized and permeable materials are used for driveways, parking areas, walkways, and patios.</t>
    </r>
  </si>
  <si>
    <t>504 LOT CONSTRUCTION</t>
  </si>
  <si>
    <t>505  INNOVATIVE PRACTICES</t>
  </si>
  <si>
    <t>600  RESOURCE EFFICIENCY</t>
  </si>
  <si>
    <t>601 QUALITY OF CONSTRUCTION MATERIALS AND WASTE</t>
  </si>
  <si>
    <t xml:space="preserve">601.1 Conditioned floor area, is limited.  </t>
  </si>
  <si>
    <r>
      <t>601.1(1)</t>
    </r>
    <r>
      <rPr>
        <sz val="10"/>
        <rFont val="Calibri"/>
        <family val="2"/>
        <scheme val="minor"/>
      </rPr>
      <t xml:space="preserve"> less than or equal to 1,000 square feet (93 m</t>
    </r>
    <r>
      <rPr>
        <vertAlign val="superscript"/>
        <sz val="10"/>
        <rFont val="Calibri"/>
        <family val="2"/>
        <scheme val="minor"/>
      </rPr>
      <t>2</t>
    </r>
    <r>
      <rPr>
        <sz val="10"/>
        <rFont val="Calibri"/>
        <family val="2"/>
        <scheme val="minor"/>
      </rPr>
      <t>)</t>
    </r>
  </si>
  <si>
    <r>
      <t xml:space="preserve">601.1(2) </t>
    </r>
    <r>
      <rPr>
        <sz val="10"/>
        <rFont val="Calibri"/>
        <family val="2"/>
        <scheme val="minor"/>
      </rPr>
      <t>less than or equal to 1,500 square feet (139 m</t>
    </r>
    <r>
      <rPr>
        <vertAlign val="superscript"/>
        <sz val="10"/>
        <rFont val="Calibri"/>
        <family val="2"/>
        <scheme val="minor"/>
      </rPr>
      <t>2</t>
    </r>
    <r>
      <rPr>
        <sz val="10"/>
        <rFont val="Calibri"/>
        <family val="2"/>
        <scheme val="minor"/>
      </rPr>
      <t>)</t>
    </r>
  </si>
  <si>
    <r>
      <t>601.1(3)</t>
    </r>
    <r>
      <rPr>
        <sz val="10"/>
        <rFont val="Calibri"/>
        <family val="2"/>
        <scheme val="minor"/>
      </rPr>
      <t xml:space="preserve"> less than or equal to 2,000 square feet (186 m</t>
    </r>
    <r>
      <rPr>
        <vertAlign val="superscript"/>
        <sz val="10"/>
        <rFont val="Calibri"/>
        <family val="2"/>
        <scheme val="minor"/>
      </rPr>
      <t>2</t>
    </r>
    <r>
      <rPr>
        <sz val="10"/>
        <rFont val="Calibri"/>
        <family val="2"/>
        <scheme val="minor"/>
      </rPr>
      <t>)</t>
    </r>
  </si>
  <si>
    <r>
      <t>601.1(4)</t>
    </r>
    <r>
      <rPr>
        <sz val="10"/>
        <rFont val="Calibri"/>
        <family val="2"/>
        <scheme val="minor"/>
      </rPr>
      <t xml:space="preserve"> less than or equal to 2,500 square feet (232 m</t>
    </r>
    <r>
      <rPr>
        <vertAlign val="superscript"/>
        <sz val="10"/>
        <rFont val="Calibri"/>
        <family val="2"/>
        <scheme val="minor"/>
      </rPr>
      <t>2</t>
    </r>
    <r>
      <rPr>
        <sz val="10"/>
        <rFont val="Calibri"/>
        <family val="2"/>
        <scheme val="minor"/>
      </rPr>
      <t>)</t>
    </r>
  </si>
  <si>
    <r>
      <rPr>
        <b/>
        <sz val="10"/>
        <color rgb="FF7030A0"/>
        <rFont val="Calibri"/>
        <family val="2"/>
        <scheme val="minor"/>
      </rPr>
      <t>Multi-Unit Building Note</t>
    </r>
    <r>
      <rPr>
        <sz val="10"/>
        <rFont val="Calibri"/>
        <family val="2"/>
        <scheme val="minor"/>
      </rPr>
      <t>: For a multi-unit building, use a weighted average of the individual unit sizes in qualifying for available points.</t>
    </r>
  </si>
  <si>
    <t>MAX = 9</t>
  </si>
  <si>
    <r>
      <t>601.3(1)</t>
    </r>
    <r>
      <rPr>
        <sz val="10"/>
        <rFont val="Calibri"/>
        <family val="2"/>
        <scheme val="minor"/>
      </rPr>
      <t xml:space="preserve"> floor area</t>
    </r>
  </si>
  <si>
    <r>
      <t>601.3(2)</t>
    </r>
    <r>
      <rPr>
        <sz val="10"/>
        <rFont val="Calibri"/>
        <family val="2"/>
        <scheme val="minor"/>
      </rPr>
      <t xml:space="preserve"> wall area</t>
    </r>
  </si>
  <si>
    <r>
      <t>601.3(3)</t>
    </r>
    <r>
      <rPr>
        <sz val="10"/>
        <rFont val="Calibri"/>
        <family val="2"/>
        <scheme val="minor"/>
      </rPr>
      <t xml:space="preserve"> roof area</t>
    </r>
  </si>
  <si>
    <r>
      <t>601.3(4)</t>
    </r>
    <r>
      <rPr>
        <sz val="10"/>
        <rFont val="Calibri"/>
        <family val="2"/>
        <scheme val="minor"/>
      </rPr>
      <t xml:space="preserve"> cladding or siding area</t>
    </r>
  </si>
  <si>
    <r>
      <t>601.3(5)</t>
    </r>
    <r>
      <rPr>
        <sz val="10"/>
        <rFont val="Calibri"/>
        <family val="2"/>
        <scheme val="minor"/>
      </rPr>
      <t xml:space="preserve"> penetrations or trim area</t>
    </r>
  </si>
  <si>
    <r>
      <t xml:space="preserve">601.5(1) </t>
    </r>
    <r>
      <rPr>
        <sz val="10"/>
        <rFont val="Calibri"/>
        <family val="2"/>
        <scheme val="minor"/>
      </rPr>
      <t>floor system</t>
    </r>
  </si>
  <si>
    <r>
      <t xml:space="preserve">601.5(2) </t>
    </r>
    <r>
      <rPr>
        <sz val="10"/>
        <rFont val="Calibri"/>
        <family val="2"/>
        <scheme val="minor"/>
      </rPr>
      <t>wall system</t>
    </r>
  </si>
  <si>
    <r>
      <t xml:space="preserve">601.5(3) </t>
    </r>
    <r>
      <rPr>
        <sz val="10"/>
        <rFont val="Calibri"/>
        <family val="2"/>
        <scheme val="minor"/>
      </rPr>
      <t>roof system</t>
    </r>
  </si>
  <si>
    <r>
      <t xml:space="preserve">601.5(4) </t>
    </r>
    <r>
      <rPr>
        <sz val="10"/>
        <rFont val="Calibri"/>
        <family val="2"/>
        <scheme val="minor"/>
      </rPr>
      <t>modular construction above grade</t>
    </r>
  </si>
  <si>
    <r>
      <t xml:space="preserve">601.5(5) </t>
    </r>
    <r>
      <rPr>
        <sz val="10"/>
        <rFont val="Calibri"/>
        <family val="2"/>
        <scheme val="minor"/>
      </rPr>
      <t>manufactured home construction above grade</t>
    </r>
  </si>
  <si>
    <r>
      <t xml:space="preserve">601.6(1) </t>
    </r>
    <r>
      <rPr>
        <sz val="10"/>
        <rFont val="Calibri"/>
        <family val="2"/>
        <scheme val="minor"/>
      </rPr>
      <t>1 stacked story</t>
    </r>
  </si>
  <si>
    <r>
      <t xml:space="preserve">601.6(2) </t>
    </r>
    <r>
      <rPr>
        <sz val="10"/>
        <rFont val="Calibri"/>
        <family val="2"/>
        <scheme val="minor"/>
      </rPr>
      <t>2 stacked stories</t>
    </r>
  </si>
  <si>
    <r>
      <t xml:space="preserve">601.6(3) </t>
    </r>
    <r>
      <rPr>
        <sz val="10"/>
        <rFont val="Calibri"/>
        <family val="2"/>
        <scheme val="minor"/>
      </rPr>
      <t>3 or more stacked stories</t>
    </r>
  </si>
  <si>
    <t>MAX  = 12</t>
  </si>
  <si>
    <t>602 ENHANCED DURABILITY AND REDUCED MAINTENANCE</t>
  </si>
  <si>
    <t>603 REUSED OR SALVAGED MATERIALS</t>
  </si>
  <si>
    <t>MAX = 12</t>
  </si>
  <si>
    <t>604 RECYCLED CONTENT BUILDING MATERIALS</t>
  </si>
  <si>
    <t>605 RECYCLED CONSTRUCTION WASTE</t>
  </si>
  <si>
    <t>606 RENEWABLE MATERIALS</t>
  </si>
  <si>
    <t>MAX = 8</t>
  </si>
  <si>
    <r>
      <t xml:space="preserve">606.2(1) </t>
    </r>
    <r>
      <rPr>
        <sz val="10"/>
        <rFont val="Calibri"/>
        <family val="2"/>
        <scheme val="minor"/>
      </rPr>
      <t>Min. 2 products used for minor elements</t>
    </r>
  </si>
  <si>
    <r>
      <t xml:space="preserve">606.2(2) </t>
    </r>
    <r>
      <rPr>
        <sz val="10"/>
        <rFont val="Calibri"/>
        <family val="2"/>
        <scheme val="minor"/>
      </rPr>
      <t>Min. 2 products used for major elements</t>
    </r>
  </si>
  <si>
    <t>MAX = 10</t>
  </si>
  <si>
    <t>700 ENERGY EFFICIENCY</t>
  </si>
  <si>
    <t>701 MINIMUM ENERGY EFFICIENCY REQUIREMENTS</t>
  </si>
  <si>
    <r>
      <t xml:space="preserve">User must select either </t>
    </r>
    <r>
      <rPr>
        <i/>
        <sz val="10"/>
        <color theme="1"/>
        <rFont val="Calibri"/>
        <family val="2"/>
        <scheme val="minor"/>
      </rPr>
      <t>Performance (701.1.1)</t>
    </r>
    <r>
      <rPr>
        <sz val="10"/>
        <color theme="1"/>
        <rFont val="Calibri"/>
        <family val="2"/>
        <scheme val="minor"/>
      </rPr>
      <t xml:space="preserve">, </t>
    </r>
    <r>
      <rPr>
        <i/>
        <sz val="10"/>
        <color theme="1"/>
        <rFont val="Calibri"/>
        <family val="2"/>
        <scheme val="minor"/>
      </rPr>
      <t>Prescriptive (701.1.2)</t>
    </r>
    <r>
      <rPr>
        <sz val="10"/>
        <color theme="1"/>
        <rFont val="Calibri"/>
        <family val="2"/>
        <scheme val="minor"/>
      </rPr>
      <t xml:space="preserve">, or </t>
    </r>
    <r>
      <rPr>
        <i/>
        <sz val="10"/>
        <color theme="1"/>
        <rFont val="Calibri"/>
        <family val="2"/>
        <scheme val="minor"/>
      </rPr>
      <t>Alternative Bronze (701.1.3)</t>
    </r>
    <r>
      <rPr>
        <sz val="10"/>
        <color theme="1"/>
        <rFont val="Calibri"/>
        <family val="2"/>
        <scheme val="minor"/>
      </rPr>
      <t xml:space="preserve"> compliance path.
(Choose one path only)</t>
    </r>
  </si>
  <si>
    <t>701.4  Mandatory practices.</t>
  </si>
  <si>
    <t>701.4.1 HVAC systems.</t>
  </si>
  <si>
    <r>
      <t>701.4.1.1</t>
    </r>
    <r>
      <rPr>
        <sz val="10"/>
        <rFont val="Calibri"/>
        <family val="2"/>
        <scheme val="minor"/>
      </rPr>
      <t xml:space="preserve">  Space heating/cooling sized per Manual J</t>
    </r>
  </si>
  <si>
    <r>
      <t>701.4.1.2</t>
    </r>
    <r>
      <rPr>
        <sz val="10"/>
        <rFont val="Calibri"/>
        <family val="2"/>
        <scheme val="minor"/>
      </rPr>
      <t xml:space="preserve"> Radiant/hydronic heating system designed using industry-approved guidelines</t>
    </r>
  </si>
  <si>
    <t>701.4.2 Duct systems.</t>
  </si>
  <si>
    <r>
      <t>701.4.2.2</t>
    </r>
    <r>
      <rPr>
        <sz val="10"/>
        <rFont val="Calibri"/>
        <family val="2"/>
        <scheme val="minor"/>
      </rPr>
      <t xml:space="preserve">  Building cavities are not used as supply ducts</t>
    </r>
  </si>
  <si>
    <t>701.4.3 Insulation and air sealing.</t>
  </si>
  <si>
    <t>800 WATER EFFICIENCY</t>
  </si>
  <si>
    <t>900 INDOOR ENVIRONMENTAL QUALITY</t>
  </si>
  <si>
    <t>901 POLLUTANT SOURCE CONTROL</t>
  </si>
  <si>
    <t xml:space="preserve">901.1 Space and water heating options.  </t>
  </si>
  <si>
    <t>901.3 Garages are in accordance with the following:</t>
  </si>
  <si>
    <t>Mandatory        
2 points if applicable</t>
  </si>
  <si>
    <t xml:space="preserve">Mandatory </t>
  </si>
  <si>
    <r>
      <t>901.13(1)</t>
    </r>
    <r>
      <rPr>
        <sz val="10"/>
        <rFont val="Calibri"/>
        <family val="2"/>
        <scheme val="minor"/>
      </rPr>
      <t xml:space="preserve"> Exterior grilles or mats</t>
    </r>
  </si>
  <si>
    <r>
      <t xml:space="preserve">901.13(2) </t>
    </r>
    <r>
      <rPr>
        <sz val="10"/>
        <rFont val="Calibri"/>
        <family val="2"/>
        <scheme val="minor"/>
      </rPr>
      <t>Interior grilles or mats</t>
    </r>
  </si>
  <si>
    <t>902 POLLUTANT CONTROL</t>
  </si>
  <si>
    <t>902.1 Spot ventilation.</t>
  </si>
  <si>
    <r>
      <t xml:space="preserve">902.1.1  </t>
    </r>
    <r>
      <rPr>
        <sz val="10"/>
        <rFont val="Calibri"/>
        <family val="2"/>
        <scheme val="minor"/>
      </rPr>
      <t>Spot ventilation is in accordance with the following:</t>
    </r>
  </si>
  <si>
    <r>
      <t>902.1.1(1)</t>
    </r>
    <r>
      <rPr>
        <sz val="10"/>
        <rFont val="Calibri"/>
        <family val="2"/>
        <scheme val="minor"/>
      </rPr>
      <t xml:space="preserve"> All bathrooms are vented to the outdoors - rate = 50 cfm or 20 cfm if continuous operation</t>
    </r>
  </si>
  <si>
    <r>
      <t xml:space="preserve">902.1.1(2) </t>
    </r>
    <r>
      <rPr>
        <sz val="10"/>
        <rFont val="Calibri"/>
        <family val="2"/>
        <scheme val="minor"/>
      </rPr>
      <t>Clothes dryers are vented to the outdoors</t>
    </r>
  </si>
  <si>
    <r>
      <t>902.1.1(3)</t>
    </r>
    <r>
      <rPr>
        <sz val="10"/>
        <rFont val="Calibri"/>
        <family val="2"/>
        <scheme val="minor"/>
      </rPr>
      <t xml:space="preserve"> Kitchen exhaust units ducted outdoors &amp; rate of 100 cfm or 25 cfm if continuous operation</t>
    </r>
  </si>
  <si>
    <r>
      <t xml:space="preserve">902.1.2 </t>
    </r>
    <r>
      <rPr>
        <sz val="10"/>
        <rFont val="Calibri"/>
        <family val="2"/>
        <scheme val="minor"/>
      </rPr>
      <t>Bathroom or laundry exhaust fan is provided w/ an automatic timer or humidistat.</t>
    </r>
  </si>
  <si>
    <r>
      <t>902.1.2(1)</t>
    </r>
    <r>
      <rPr>
        <sz val="10"/>
        <rFont val="Calibri"/>
        <family val="2"/>
        <scheme val="minor"/>
      </rPr>
      <t xml:space="preserve"> 1 automatic timer/humidistat devices installed</t>
    </r>
  </si>
  <si>
    <r>
      <t xml:space="preserve">902.1.2(2) </t>
    </r>
    <r>
      <rPr>
        <sz val="10"/>
        <rFont val="Calibri"/>
        <family val="2"/>
        <scheme val="minor"/>
      </rPr>
      <t>2 automatic timer/humidistat devices installed</t>
    </r>
  </si>
  <si>
    <r>
      <t xml:space="preserve">902.1.4 </t>
    </r>
    <r>
      <rPr>
        <sz val="10"/>
        <rFont val="Calibri"/>
        <family val="2"/>
        <scheme val="minor"/>
      </rPr>
      <t>Exhaust fans are ENERGY STAR, as applicable.</t>
    </r>
  </si>
  <si>
    <r>
      <t xml:space="preserve">902.1.4(1) </t>
    </r>
    <r>
      <rPr>
        <sz val="10"/>
        <rFont val="Calibri"/>
        <family val="2"/>
        <scheme val="minor"/>
      </rPr>
      <t>ENERGY STAR fans</t>
    </r>
  </si>
  <si>
    <t>2 points per fan</t>
  </si>
  <si>
    <r>
      <t xml:space="preserve">902.1.4(2) </t>
    </r>
    <r>
      <rPr>
        <sz val="10"/>
        <rFont val="Calibri"/>
        <family val="2"/>
        <scheme val="minor"/>
      </rPr>
      <t>ENERGY STAR fans operating at 1 sone or less</t>
    </r>
  </si>
  <si>
    <t>3 points per fan</t>
  </si>
  <si>
    <t>902.2 Building ventilation systems.</t>
  </si>
  <si>
    <r>
      <t xml:space="preserve">902.2.1 </t>
    </r>
    <r>
      <rPr>
        <sz val="10"/>
        <rFont val="Calibri"/>
        <family val="2"/>
        <scheme val="minor"/>
      </rPr>
      <t xml:space="preserve">Whole building ventilation system is implemented per Appendix B.  </t>
    </r>
  </si>
  <si>
    <t>902.3 Radon control measures per ICC IRC Appendix F.</t>
  </si>
  <si>
    <r>
      <t>902.3(1)</t>
    </r>
    <r>
      <rPr>
        <sz val="10"/>
        <rFont val="Calibri"/>
        <family val="2"/>
        <scheme val="minor"/>
      </rPr>
      <t xml:space="preserve"> Buildings located in Zone 1 - radon detection system installed</t>
    </r>
  </si>
  <si>
    <r>
      <t xml:space="preserve">902.3(1)(a) </t>
    </r>
    <r>
      <rPr>
        <sz val="10"/>
        <rFont val="Calibri"/>
        <family val="2"/>
        <scheme val="minor"/>
      </rPr>
      <t>passive radon system is installed</t>
    </r>
  </si>
  <si>
    <r>
      <t xml:space="preserve">902.3(1)(b) </t>
    </r>
    <r>
      <rPr>
        <sz val="10"/>
        <rFont val="Calibri"/>
        <family val="2"/>
        <scheme val="minor"/>
      </rPr>
      <t>active radon system</t>
    </r>
    <r>
      <rPr>
        <b/>
        <sz val="10"/>
        <rFont val="Calibri"/>
        <family val="2"/>
        <scheme val="minor"/>
      </rPr>
      <t xml:space="preserve"> </t>
    </r>
    <r>
      <rPr>
        <sz val="10"/>
        <rFont val="Calibri"/>
        <family val="2"/>
        <scheme val="minor"/>
      </rPr>
      <t>is installed</t>
    </r>
  </si>
  <si>
    <r>
      <t xml:space="preserve">902.3(2) </t>
    </r>
    <r>
      <rPr>
        <sz val="10"/>
        <rFont val="Calibri"/>
        <family val="2"/>
        <scheme val="minor"/>
      </rPr>
      <t>Buildings located in Zone 2</t>
    </r>
  </si>
  <si>
    <r>
      <t xml:space="preserve">902.3(2)(a) </t>
    </r>
    <r>
      <rPr>
        <sz val="10"/>
        <rFont val="Calibri"/>
        <family val="2"/>
        <scheme val="minor"/>
      </rPr>
      <t>passive radon system for zone 2</t>
    </r>
  </si>
  <si>
    <t xml:space="preserve">902.4 One of the following HVAC system protection measures is performed. </t>
  </si>
  <si>
    <t>902.5 Central vacuum system vented to the outside.</t>
  </si>
  <si>
    <t>903 MOISTURE MANAGEMENT: VAPOR, RAINWATER, PLUMBING, HVAC</t>
  </si>
  <si>
    <t>904 INNOVATIVE PRACTICES</t>
  </si>
  <si>
    <t>1000 OPERATION, MAINTENANCE AND BUILDING OWNER EDUCATION</t>
  </si>
  <si>
    <t>1001 BUILDING OWNERS’ MANUAL FOR ONE- AND TWO-FAMILY DWELLINGS</t>
  </si>
  <si>
    <r>
      <t>1001.1(16)</t>
    </r>
    <r>
      <rPr>
        <sz val="10"/>
        <rFont val="Calibri"/>
        <family val="2"/>
        <scheme val="minor"/>
      </rPr>
      <t xml:space="preserve"> Information on native landscape materials and/or those that have low-water requirements.</t>
    </r>
  </si>
  <si>
    <t>1002 TRAINING OF BUILDING OWNERS ON OPERATION AND MAINTENANCE FOR ONE- AND TWO-FAMILY DWELLINGS AND MULTI-UNIT BUILDINGS</t>
  </si>
  <si>
    <t>1003 CONSTRUCTION, OPERATION, AND MAINTENANCE MANUALS AND TRAINING FOR MULTI-UNIT BUILDINGS</t>
  </si>
  <si>
    <t>1 point per 2 items
including (1)-(3)
MAX = 4
5+ items must be Met</t>
  </si>
  <si>
    <t>1 point per 2 items
including (1)-(3)
MAX = 5
5+ items must be Met</t>
  </si>
  <si>
    <t>1 point per 2 items
including 1003.3(1)
MAX = 4
5+ items must be Met</t>
  </si>
  <si>
    <r>
      <t xml:space="preserve">1003.3(3) </t>
    </r>
    <r>
      <rPr>
        <sz val="10"/>
        <rFont val="Calibri"/>
        <family val="2"/>
        <scheme val="minor"/>
      </rPr>
      <t xml:space="preserve">User-friendly maintenance checklist including:
      </t>
    </r>
    <r>
      <rPr>
        <b/>
        <sz val="10"/>
        <rFont val="Calibri"/>
        <family val="2"/>
        <scheme val="minor"/>
      </rPr>
      <t>(a)</t>
    </r>
    <r>
      <rPr>
        <sz val="10"/>
        <rFont val="Calibri"/>
        <family val="2"/>
        <scheme val="minor"/>
      </rPr>
      <t xml:space="preserve"> HVAC filters    
  </t>
    </r>
    <r>
      <rPr>
        <b/>
        <sz val="10"/>
        <rFont val="Calibri"/>
        <family val="2"/>
        <scheme val="minor"/>
      </rPr>
      <t xml:space="preserve">    (b)</t>
    </r>
    <r>
      <rPr>
        <sz val="10"/>
        <rFont val="Calibri"/>
        <family val="2"/>
        <scheme val="minor"/>
      </rPr>
      <t xml:space="preserve"> thermostat operation and programming
  </t>
    </r>
    <r>
      <rPr>
        <b/>
        <sz val="10"/>
        <rFont val="Calibri"/>
        <family val="2"/>
        <scheme val="minor"/>
      </rPr>
      <t xml:space="preserve">    (c)</t>
    </r>
    <r>
      <rPr>
        <sz val="10"/>
        <rFont val="Calibri"/>
        <family val="2"/>
        <scheme val="minor"/>
      </rPr>
      <t xml:space="preserve"> lighting controls
      </t>
    </r>
    <r>
      <rPr>
        <b/>
        <sz val="10"/>
        <rFont val="Calibri"/>
        <family val="2"/>
        <scheme val="minor"/>
      </rPr>
      <t>(d)</t>
    </r>
    <r>
      <rPr>
        <sz val="10"/>
        <rFont val="Calibri"/>
        <family val="2"/>
        <scheme val="minor"/>
      </rPr>
      <t xml:space="preserve"> appliances and settings 
      </t>
    </r>
    <r>
      <rPr>
        <b/>
        <sz val="10"/>
        <rFont val="Calibri"/>
        <family val="2"/>
        <scheme val="minor"/>
      </rPr>
      <t>(e)</t>
    </r>
    <r>
      <rPr>
        <sz val="10"/>
        <rFont val="Calibri"/>
        <family val="2"/>
        <scheme val="minor"/>
      </rPr>
      <t xml:space="preserve"> water heater settings
      </t>
    </r>
    <r>
      <rPr>
        <b/>
        <sz val="10"/>
        <rFont val="Calibri"/>
        <family val="2"/>
        <scheme val="minor"/>
      </rPr>
      <t>(f)</t>
    </r>
    <r>
      <rPr>
        <sz val="10"/>
        <rFont val="Calibri"/>
        <family val="2"/>
        <scheme val="minor"/>
      </rPr>
      <t xml:space="preserve"> fan controls</t>
    </r>
  </si>
  <si>
    <t>Section 703.1.2: Building Envelope - Installation Insulation Grading</t>
  </si>
  <si>
    <t>See Practice 703.1.2</t>
  </si>
  <si>
    <t>Building orientation, sizing of glazing, and design of overhangs are in accordance with all of the following:</t>
  </si>
  <si>
    <r>
      <rPr>
        <b/>
        <sz val="10"/>
        <color theme="1"/>
        <rFont val="Calibri"/>
        <family val="2"/>
        <scheme val="minor"/>
      </rPr>
      <t>6.</t>
    </r>
    <r>
      <rPr>
        <sz val="10"/>
        <color theme="1"/>
        <rFont val="Calibri"/>
        <family val="2"/>
        <scheme val="minor"/>
      </rPr>
      <t xml:space="preserve"> Skylights, where installed, are in accordance with the following:</t>
    </r>
  </si>
  <si>
    <r>
      <rPr>
        <b/>
        <sz val="10"/>
        <color theme="1"/>
        <rFont val="Calibri"/>
        <family val="2"/>
        <scheme val="minor"/>
      </rPr>
      <t>a.</t>
    </r>
    <r>
      <rPr>
        <sz val="10"/>
        <color theme="1"/>
        <rFont val="Calibri"/>
        <family val="2"/>
        <scheme val="minor"/>
      </rPr>
      <t xml:space="preserve"> shades and insulated wells are used, and all glazing is ENERGY STAR compliant or equivalent</t>
    </r>
  </si>
  <si>
    <t>See a map of Climate Zones by States and Counties.</t>
  </si>
  <si>
    <t>Vertical distance between bottom of overhang and top of window sill</t>
  </si>
  <si>
    <t>≤ 7 feet 4 inches</t>
  </si>
  <si>
    <t>≤ 6 feet 4 inches</t>
  </si>
  <si>
    <t>≤ 5 feet 4 inches</t>
  </si>
  <si>
    <t>≤ 4 feet 4 inches</t>
  </si>
  <si>
    <t>≤ 3 feet 4 inches</t>
  </si>
  <si>
    <t>1, 2, 3</t>
  </si>
  <si>
    <t>2 feet 8 inches</t>
  </si>
  <si>
    <t>2 feet 4 inches</t>
  </si>
  <si>
    <t>2 feet</t>
  </si>
  <si>
    <t>4, 5, 6</t>
  </si>
  <si>
    <t>1 foot 8 inches</t>
  </si>
  <si>
    <t>7, 8</t>
  </si>
  <si>
    <t>1 foot 4 inches</t>
  </si>
  <si>
    <t>1 foot</t>
  </si>
  <si>
    <t>For SI: 25.4 mm</t>
  </si>
  <si>
    <r>
      <rPr>
        <b/>
        <sz val="10"/>
        <color theme="1"/>
        <rFont val="Calibri"/>
        <family val="2"/>
        <scheme val="minor"/>
      </rPr>
      <t>b.</t>
    </r>
    <r>
      <rPr>
        <sz val="10"/>
        <color theme="1"/>
        <rFont val="Calibri"/>
        <family val="2"/>
        <scheme val="minor"/>
      </rPr>
      <t xml:space="preserve"> Thermal mass directly exposed to sunlight is provided in accordance with the following minimum ratios:</t>
    </r>
  </si>
  <si>
    <t>Figure 6(1): Climate Zones</t>
  </si>
  <si>
    <t>See 703.1.1</t>
  </si>
  <si>
    <t>Source: 2006 International Residential Code. International Code Council, Inc., Country Club Hills, Illinois. Reproduced with permission. All rights reserved. http://www.iccsafe.org</t>
  </si>
  <si>
    <t>Figure 6(2): Average Annual Precipitation</t>
  </si>
  <si>
    <t>To see a more detailed map, go to www.nationalatlas.gov, and follow these instructions:</t>
  </si>
  <si>
    <t>Click the "Map Maker" link</t>
  </si>
  <si>
    <t>Click on "Climate"</t>
  </si>
  <si>
    <t>Check the box for "Average Annual Precipitation 1961-1990"</t>
  </si>
  <si>
    <t>Click the "Redraw Map" button</t>
  </si>
  <si>
    <t>In the dropdown box, select "Zoom to State(s)" option</t>
  </si>
  <si>
    <t>Source: www.nationalatlas.gov</t>
  </si>
  <si>
    <t>Figure 6(3): Termite Infestation Probability Map</t>
  </si>
  <si>
    <t>Source: 2006 International Residential Code. International Code Council, Inc., Country Club Hill, Illinois. Reproduced with permission. All rights reserved. www.iccsafe.org</t>
  </si>
  <si>
    <t>See the EPA Map of Radon Zones to find the level of radon potential for your project area.</t>
  </si>
  <si>
    <t>Appendix A: Ducted Garage Exhaust Fan Sizing Criteria</t>
  </si>
  <si>
    <t>See Practice 901.3(1)(c)</t>
  </si>
  <si>
    <t>A100 - Scope and Applicability</t>
  </si>
  <si>
    <r>
      <rPr>
        <b/>
        <sz val="11"/>
        <color theme="1"/>
        <rFont val="Calibri"/>
        <family val="2"/>
        <scheme val="minor"/>
      </rPr>
      <t>A101.1 - Applicability of Appendix A</t>
    </r>
    <r>
      <rPr>
        <sz val="11"/>
        <color theme="1"/>
        <rFont val="Calibri"/>
        <family val="2"/>
        <scheme val="minor"/>
      </rPr>
      <t>. Appendix A is part of this Standard.</t>
    </r>
  </si>
  <si>
    <t>A101.2 - Scope. The provisions contained in Appendix A provide the criteria necessary for complying with Section 901.3(1)(c) for the installation of ducted exhaust fans in garages. To receive points for implementing Practice 901.3(1)(c), the fan airflow rating and duct sizing for ducted exhaust fans are to be in accordance with the applicable criteria of Appendix A.</t>
  </si>
  <si>
    <t>A101.3 - Acknowledgement. The text of Appendix A, Section A200 and related Table are extracted from ASHRAE (American Society of Heating, Refrigerating and Air-Conditioning Engineers, Inc.) standard 62.2 Ventilation and Acceptable Indoor Air Quality in Low-Rise  Residential Buildings, Section 7.3 and Table 7.1, respectively, and is used with the permission of ASHRAE. The reference Section and Table numbers within the extracted text are modified to be applicable to Appendix A of this Standard.</t>
  </si>
  <si>
    <t>A200 - Airflow Rating</t>
  </si>
  <si>
    <r>
      <rPr>
        <b/>
        <sz val="11"/>
        <color theme="1"/>
        <rFont val="Calibri"/>
        <family val="2"/>
        <scheme val="minor"/>
      </rPr>
      <t>A201.1 - Airflow Rating</t>
    </r>
    <r>
      <rPr>
        <sz val="11"/>
        <color theme="1"/>
        <rFont val="Calibri"/>
        <family val="2"/>
        <scheme val="minor"/>
      </rPr>
      <t>. The airflows required by this Standard refer to the delivered airflow of the system as installed an tested using a flow hood, flow grid, or other airflow measuring device. Alternatively, the airflow rating at a pressure of 0.25 in. w.c. (62.5 Pa) may be used, provided the duct sizing meets the prescriptive requirements of Table A201 or manufacturers' design criteria.</t>
    </r>
  </si>
  <si>
    <t>Table A201
Prescriptive Duct Sizing</t>
  </si>
  <si>
    <t>Duct Type</t>
  </si>
  <si>
    <t>Fan Rating</t>
  </si>
  <si>
    <t>Flex Duct</t>
  </si>
  <si>
    <t>Smooth Duct</t>
  </si>
  <si>
    <t>cfm @ 0.25 in. w.g.
(L/s) @ 62.5 Pa)</t>
  </si>
  <si>
    <t>50
(25)</t>
  </si>
  <si>
    <t>80
(40)</t>
  </si>
  <si>
    <t>100
(50)</t>
  </si>
  <si>
    <t>125
(65)</t>
  </si>
  <si>
    <t>Diameter, in. (mm)</t>
  </si>
  <si>
    <t>Maximum Length, ft (m)</t>
  </si>
  <si>
    <t>3 (75)</t>
  </si>
  <si>
    <t>X</t>
  </si>
  <si>
    <t>5 (2)</t>
  </si>
  <si>
    <t>4 (100)</t>
  </si>
  <si>
    <t>70 (27)</t>
  </si>
  <si>
    <t>3 (1)</t>
  </si>
  <si>
    <t>105 (35)</t>
  </si>
  <si>
    <t>35 (12)</t>
  </si>
  <si>
    <t>5 (125)</t>
  </si>
  <si>
    <t>NL</t>
  </si>
  <si>
    <t>20 (7)</t>
  </si>
  <si>
    <t>135 (45)</t>
  </si>
  <si>
    <t>85 (28)</t>
  </si>
  <si>
    <t>55 (18)</t>
  </si>
  <si>
    <t>6 (150)</t>
  </si>
  <si>
    <t>125 (42)</t>
  </si>
  <si>
    <t>95 (32)</t>
  </si>
  <si>
    <t>145 (48)</t>
  </si>
  <si>
    <t>7 (175) and above</t>
  </si>
  <si>
    <t>This table assumes no elbows. Deduct 15 ft (5 m) of allowable duct length  for each elbow.</t>
  </si>
  <si>
    <t>NL = no limit on duct length of this size.</t>
  </si>
  <si>
    <t>X = not allowed, any length of duct of this size with assumed turns and fitting will exceed the rated pressure drop.</t>
  </si>
  <si>
    <t>Appendix B: Whole Building Ventiation System Specifications</t>
  </si>
  <si>
    <t>B100 - Scope and Applicability</t>
  </si>
  <si>
    <r>
      <rPr>
        <b/>
        <sz val="11"/>
        <color theme="1"/>
        <rFont val="Calibri"/>
        <family val="2"/>
        <scheme val="minor"/>
      </rPr>
      <t>B101.1 - Applicability of Appendix B</t>
    </r>
    <r>
      <rPr>
        <sz val="11"/>
        <color theme="1"/>
        <rFont val="Calibri"/>
        <family val="2"/>
        <scheme val="minor"/>
      </rPr>
      <t>. Appendix B is part of this Standard.</t>
    </r>
  </si>
  <si>
    <r>
      <rPr>
        <b/>
        <sz val="11"/>
        <color theme="1"/>
        <rFont val="Calibri"/>
        <family val="2"/>
        <scheme val="minor"/>
      </rPr>
      <t>B101.2 - Scope.</t>
    </r>
    <r>
      <rPr>
        <sz val="11"/>
        <color theme="1"/>
        <rFont val="Calibri"/>
        <family val="2"/>
        <scheme val="minor"/>
      </rPr>
      <t xml:space="preserve"> The provisions contained in Appendix B provide the specification necessary for complying with Section 902.2.1 for the installation of whole building ventilation systems. To receive points for implementing Practice 902.2.1, the chosen whole building ventilation system is to be in accordance with the applicable specification of Appendix B.</t>
    </r>
  </si>
  <si>
    <r>
      <rPr>
        <b/>
        <sz val="11"/>
        <color theme="1"/>
        <rFont val="Calibri"/>
        <family val="2"/>
        <scheme val="minor"/>
      </rPr>
      <t>B101.3 - Acknowledgement.</t>
    </r>
    <r>
      <rPr>
        <sz val="11"/>
        <color theme="1"/>
        <rFont val="Calibri"/>
        <family val="2"/>
        <scheme val="minor"/>
      </rPr>
      <t xml:space="preserve"> The text of Appendix B, Section B200 and related Tables are extracted from ASHRAE (American Society of Heating, Refrigerating and Air-Conditioning Engineers, Inc.) Standard 62.2-2007 Ventilation and Acceptable Indoor Air Quality in Low-Rise Residential Buildings, Section 4, and is used with the permission of ASHRAE. The referenced Section and Table numbers within the extracted text are modified to be applicable to Appendix B of this Standard. "*" indicates added reference to ICC or ASHRAE 62.2 to provide clarity.</t>
    </r>
  </si>
  <si>
    <t>B200 - Whole Building Ventilation</t>
  </si>
  <si>
    <r>
      <rPr>
        <b/>
        <sz val="11"/>
        <color theme="1"/>
        <rFont val="Calibri"/>
        <family val="2"/>
        <scheme val="minor"/>
      </rPr>
      <t>B201.1 - Ventilation Rate</t>
    </r>
    <r>
      <rPr>
        <sz val="11"/>
        <color theme="1"/>
        <rFont val="Calibri"/>
        <family val="2"/>
        <scheme val="minor"/>
      </rPr>
      <t>. A mechanical exhaust system, supply system, or combination thereof shall be installed for each dwelling unit to provide whole building ventilation with outdoor air each hour at no less than the rate specified in Tables B201.1a and B201.1b or, equivalently, Equations B201.1a and B201.1b, based on the floor area of the conditioned space and number of bedrooms.</t>
    </r>
  </si>
  <si>
    <r>
      <rPr>
        <b/>
        <sz val="11"/>
        <color theme="1"/>
        <rFont val="Calibri"/>
        <family val="2"/>
        <scheme val="minor"/>
      </rPr>
      <t>Exceptions</t>
    </r>
    <r>
      <rPr>
        <sz val="11"/>
        <color theme="1"/>
        <rFont val="Calibri"/>
        <family val="2"/>
        <scheme val="minor"/>
      </rPr>
      <t>: Whole building mechanical systems are not required provided that at least one of the following conditions is met:</t>
    </r>
  </si>
  <si>
    <r>
      <rPr>
        <b/>
        <sz val="11"/>
        <color theme="1"/>
        <rFont val="Calibri"/>
        <family val="2"/>
        <scheme val="minor"/>
      </rPr>
      <t>(a)</t>
    </r>
    <r>
      <rPr>
        <sz val="11"/>
        <color theme="1"/>
        <rFont val="Calibri"/>
        <family val="2"/>
        <scheme val="minor"/>
      </rPr>
      <t xml:space="preserve"> the building is in zone 3B ir 3C of the ICC* IECC 2004 Climate Zone Map (see ASHRAE 62.2*, Figure 8.2),</t>
    </r>
  </si>
  <si>
    <r>
      <rPr>
        <b/>
        <sz val="11"/>
        <color theme="1"/>
        <rFont val="Calibri"/>
        <family val="2"/>
        <scheme val="minor"/>
      </rPr>
      <t>(b)</t>
    </r>
    <r>
      <rPr>
        <sz val="11"/>
        <color theme="1"/>
        <rFont val="Calibri"/>
        <family val="2"/>
        <scheme val="minor"/>
      </rPr>
      <t xml:space="preserve"> the building has no mechanical cooling and is in zone 1 or 2 of the ICC* IECC Climate Zone Map (see ASHRAE 62.2*, Figure 8.2), or</t>
    </r>
  </si>
  <si>
    <r>
      <rPr>
        <b/>
        <sz val="11"/>
        <color theme="1"/>
        <rFont val="Calibri"/>
        <family val="2"/>
        <scheme val="minor"/>
      </rPr>
      <t>(c)</t>
    </r>
    <r>
      <rPr>
        <sz val="11"/>
        <color theme="1"/>
        <rFont val="Calibri"/>
        <family val="2"/>
        <scheme val="minor"/>
      </rPr>
      <t xml:space="preserve"> the building is thermally conditioned for human occupancy for less than 876 hours per year,</t>
    </r>
  </si>
  <si>
    <r>
      <rPr>
        <i/>
        <sz val="11"/>
        <color theme="1"/>
        <rFont val="Calibri"/>
        <family val="2"/>
        <scheme val="minor"/>
      </rPr>
      <t>and</t>
    </r>
    <r>
      <rPr>
        <sz val="11"/>
        <color theme="1"/>
        <rFont val="Calibri"/>
        <family val="2"/>
        <scheme val="minor"/>
      </rPr>
      <t xml:space="preserve"> if the authority having jurisdiction determines that window operation is a locally permissible method of providing ventilation.</t>
    </r>
  </si>
  <si>
    <r>
      <rPr>
        <b/>
        <sz val="11"/>
        <color theme="1"/>
        <rFont val="Calibri"/>
        <family val="2"/>
        <scheme val="minor"/>
      </rPr>
      <t>B201.1.1 - Different Occupant Density.</t>
    </r>
    <r>
      <rPr>
        <sz val="11"/>
        <color theme="1"/>
        <rFont val="Calibri"/>
        <family val="2"/>
        <scheme val="minor"/>
      </rPr>
      <t xml:space="preserve"> Tables B201.1a and B201.1b and Equations B201.1a and B201.1b assume two persons in a studio or one-bedroom dwelling unit and an additional person for each additional bedroom. Where higher occupant densities are known, the rate shall be increased by 7.5 cfm (3.5 L/s) for each additional person. When approved by the authority having jurisdiction, lower occupant densities may be used.</t>
    </r>
  </si>
  <si>
    <r>
      <rPr>
        <b/>
        <sz val="11"/>
        <color theme="1"/>
        <rFont val="Calibri"/>
        <family val="2"/>
        <scheme val="minor"/>
      </rPr>
      <t>B201.1.2 - Alternative Ventilation</t>
    </r>
    <r>
      <rPr>
        <sz val="11"/>
        <color theme="1"/>
        <rFont val="Calibri"/>
        <family val="2"/>
        <scheme val="minor"/>
      </rPr>
      <t>. Other methods may be used to provide the required ventilation rates (of Tables B201.1a and B201.1b) when approved by a licensed design professional.</t>
    </r>
  </si>
  <si>
    <r>
      <rPr>
        <b/>
        <sz val="11"/>
        <color theme="1"/>
        <rFont val="Calibri"/>
        <family val="2"/>
        <scheme val="minor"/>
      </rPr>
      <t>B201.1.3 - Infiltration Credit.</t>
    </r>
    <r>
      <rPr>
        <sz val="11"/>
        <color theme="1"/>
        <rFont val="Calibri"/>
        <family val="2"/>
        <scheme val="minor"/>
      </rPr>
      <t xml:space="preserve"> Section B201.1 includes a default credit for ventilation provided by infiltration of 2 cfm/100 ft2 (10 L/s per 100 m2) of occupiable floor space. For buildings built prior to the application of this standard, when excess infiltration has been measured using ANSI/ASHRAE Standard 136, A Method of Determining Air Change Rates in Detached Dwellings,1 the rates in Section B201.1 may be decreased by half of the excess of the rate calculated from Standard 136 that is above the default rate.</t>
    </r>
  </si>
  <si>
    <t>Equation B201.1a</t>
  </si>
  <si>
    <t>Qfan</t>
  </si>
  <si>
    <t>=</t>
  </si>
  <si>
    <r>
      <t>0.01</t>
    </r>
    <r>
      <rPr>
        <i/>
        <sz val="11"/>
        <color theme="1"/>
        <rFont val="Calibri"/>
        <family val="2"/>
        <scheme val="minor"/>
      </rPr>
      <t>Afloor</t>
    </r>
    <r>
      <rPr>
        <sz val="11"/>
        <color theme="1"/>
        <rFont val="Calibri"/>
        <family val="2"/>
        <scheme val="minor"/>
      </rPr>
      <t xml:space="preserve"> + 7.5(Nbr +1)</t>
    </r>
  </si>
  <si>
    <t>where</t>
  </si>
  <si>
    <t>fan flow rate, cfm</t>
  </si>
  <si>
    <t>Afloor</t>
  </si>
  <si>
    <r>
      <t>floor area, ft</t>
    </r>
    <r>
      <rPr>
        <vertAlign val="superscript"/>
        <sz val="11"/>
        <color theme="1"/>
        <rFont val="Calibri"/>
        <family val="2"/>
        <scheme val="minor"/>
      </rPr>
      <t>2</t>
    </r>
  </si>
  <si>
    <t>Nbr</t>
  </si>
  <si>
    <t>number of bedrooms; not to be less than one</t>
  </si>
  <si>
    <t>Equation B201.1b</t>
  </si>
  <si>
    <r>
      <t>0.05</t>
    </r>
    <r>
      <rPr>
        <i/>
        <sz val="11"/>
        <color theme="1"/>
        <rFont val="Calibri"/>
        <family val="2"/>
        <scheme val="minor"/>
      </rPr>
      <t>Afloor</t>
    </r>
    <r>
      <rPr>
        <sz val="11"/>
        <color theme="1"/>
        <rFont val="Calibri"/>
        <family val="2"/>
        <scheme val="minor"/>
      </rPr>
      <t xml:space="preserve"> + 3.5(Nbr +1)</t>
    </r>
  </si>
  <si>
    <t>fan flow rate, L/s</t>
  </si>
  <si>
    <r>
      <t>floor area, m</t>
    </r>
    <r>
      <rPr>
        <vertAlign val="superscript"/>
        <sz val="11"/>
        <color theme="1"/>
        <rFont val="Calibri"/>
        <family val="2"/>
        <scheme val="minor"/>
      </rPr>
      <t>2</t>
    </r>
  </si>
  <si>
    <t>TABLE B201.1a (I-P)
Ventilation Air Requirements, cfm</t>
  </si>
  <si>
    <t>Floor Area</t>
  </si>
  <si>
    <t>Bedrooms</t>
  </si>
  <si>
    <r>
      <t>(ft</t>
    </r>
    <r>
      <rPr>
        <vertAlign val="superscript"/>
        <sz val="11"/>
        <color theme="0"/>
        <rFont val="Calibri"/>
        <family val="2"/>
        <scheme val="minor"/>
      </rPr>
      <t>2</t>
    </r>
    <r>
      <rPr>
        <sz val="11"/>
        <color theme="0"/>
        <rFont val="Calibri"/>
        <family val="2"/>
        <scheme val="minor"/>
      </rPr>
      <t>)</t>
    </r>
  </si>
  <si>
    <t>0-1</t>
  </si>
  <si>
    <t>2-3</t>
  </si>
  <si>
    <t>4-5</t>
  </si>
  <si>
    <t>6-7</t>
  </si>
  <si>
    <t>&gt;7</t>
  </si>
  <si>
    <t>&lt;1500</t>
  </si>
  <si>
    <t>1501-3000</t>
  </si>
  <si>
    <t>3001-4500</t>
  </si>
  <si>
    <t>4501-6000</t>
  </si>
  <si>
    <t>6001-7500</t>
  </si>
  <si>
    <t>&gt;7500</t>
  </si>
  <si>
    <t>TABLE B201.1b (SI)
Ventilation Air Requirements, L/s</t>
  </si>
  <si>
    <r>
      <t>(m</t>
    </r>
    <r>
      <rPr>
        <vertAlign val="superscript"/>
        <sz val="11"/>
        <color theme="0"/>
        <rFont val="Calibri"/>
        <family val="2"/>
        <scheme val="minor"/>
      </rPr>
      <t>2</t>
    </r>
    <r>
      <rPr>
        <sz val="11"/>
        <color theme="0"/>
        <rFont val="Calibri"/>
        <family val="2"/>
        <scheme val="minor"/>
      </rPr>
      <t>)</t>
    </r>
  </si>
  <si>
    <t>&lt;139</t>
  </si>
  <si>
    <t>139.1-279</t>
  </si>
  <si>
    <t>279.1-418</t>
  </si>
  <si>
    <t>418.1-557</t>
  </si>
  <si>
    <t>557.1-697</t>
  </si>
  <si>
    <t>&gt;697</t>
  </si>
  <si>
    <r>
      <rPr>
        <b/>
        <sz val="11"/>
        <color theme="1"/>
        <rFont val="Calibri"/>
        <family val="2"/>
        <scheme val="minor"/>
      </rPr>
      <t>B201.2 - System Type.</t>
    </r>
    <r>
      <rPr>
        <sz val="11"/>
        <color theme="1"/>
        <rFont val="Calibri"/>
        <family val="2"/>
        <scheme val="minor"/>
      </rPr>
      <t xml:space="preserve"> The whole house ventilation system shall consist of one or more supply of exhaust fans and associated ducts and controls. Local exhaust fans shall be permitted to be part of a mechanical exhaust system. Outdoor air ducts connected to the return side of an air handler shall be permitted as supply ventilation if manufacturers' requirements for return air temperature are met. See ASHRAE 62.2*, Appendix B for guidance on selection of methods.</t>
    </r>
  </si>
  <si>
    <r>
      <rPr>
        <b/>
        <sz val="11"/>
        <color theme="1"/>
        <rFont val="Calibri"/>
        <family val="2"/>
        <scheme val="minor"/>
      </rPr>
      <t>B201.3 - Control and Operation.</t>
    </r>
    <r>
      <rPr>
        <sz val="11"/>
        <color theme="1"/>
        <rFont val="Calibri"/>
        <family val="2"/>
        <scheme val="minor"/>
      </rPr>
      <t xml:space="preserve"> The "fan on" switch on a heating or air-conditioning system shall be permitted as an operational control for systems introducing ventilation air through a duct to the return side of an HVAC system. Readily accessible override control must be provided to the occupant. Local exhaust fan switches and "fan on" switches shall be permitted as override controls. Controls, including the "fan on" switch of a conditioning system, must be appropriately labeled.</t>
    </r>
  </si>
  <si>
    <r>
      <rPr>
        <b/>
        <sz val="11"/>
        <color theme="1"/>
        <rFont val="Calibri"/>
        <family val="2"/>
        <scheme val="minor"/>
      </rPr>
      <t>Exception:</t>
    </r>
    <r>
      <rPr>
        <sz val="11"/>
        <color theme="1"/>
        <rFont val="Calibri"/>
        <family val="2"/>
        <scheme val="minor"/>
      </rPr>
      <t xml:space="preserve"> An intermittently operating, whole-house mechanical ventilation system may be used if the ventilation rate is adjusted according to the exception of Section B201.4. The system must be designed so that it can operate automatically based on a timer. The intermittent mechanical ventilation system must operate at least one hour out of every twelve.</t>
    </r>
  </si>
  <si>
    <r>
      <rPr>
        <b/>
        <sz val="11"/>
        <color theme="1"/>
        <rFont val="Calibri"/>
        <family val="2"/>
        <scheme val="minor"/>
      </rPr>
      <t>B201.4 - Delivered Ventilation</t>
    </r>
    <r>
      <rPr>
        <sz val="11"/>
        <color theme="1"/>
        <rFont val="Calibri"/>
        <family val="2"/>
        <scheme val="minor"/>
      </rPr>
      <t>. The delivered ventilation rate shall be calculated as the larger of the total supply or total exhaust and shall be no less than specified in Section B201.1 during each hour of operation.</t>
    </r>
  </si>
  <si>
    <r>
      <rPr>
        <b/>
        <sz val="11"/>
        <color theme="1"/>
        <rFont val="Calibri"/>
        <family val="2"/>
        <scheme val="minor"/>
      </rPr>
      <t>Exception</t>
    </r>
    <r>
      <rPr>
        <sz val="11"/>
        <color theme="1"/>
        <rFont val="Calibri"/>
        <family val="2"/>
        <scheme val="minor"/>
      </rPr>
      <t>: The effective ventilation rate of an intermittent system is the combination of its delivered capacity, its daily fractional on-time, and the ventilation effectiveness from Table B201.2.</t>
    </r>
  </si>
  <si>
    <t>Equation B201.2</t>
  </si>
  <si>
    <r>
      <t>Qr / (</t>
    </r>
    <r>
      <rPr>
        <sz val="11"/>
        <color theme="1"/>
        <rFont val="Century Gothic"/>
        <family val="2"/>
      </rPr>
      <t>ε</t>
    </r>
    <r>
      <rPr>
        <sz val="11"/>
        <color theme="1"/>
        <rFont val="Calibri"/>
        <family val="2"/>
      </rPr>
      <t xml:space="preserve"> f)</t>
    </r>
  </si>
  <si>
    <t>Qf</t>
  </si>
  <si>
    <t>fan flow rate</t>
  </si>
  <si>
    <t>Qr</t>
  </si>
  <si>
    <t>ventilation air requirement (from Table B201.1a or B201.1b</t>
  </si>
  <si>
    <t>ε</t>
  </si>
  <si>
    <t>ventilation effectiveness (from Table B201.2)</t>
  </si>
  <si>
    <t>f</t>
  </si>
  <si>
    <t>fractional on-time</t>
  </si>
  <si>
    <t>If the system runs at least once every three hours, 1.0 can be used as the ventilation effectiveness. (See ASHRAE 62.2*, Appendix B for an example of this calculation.)</t>
  </si>
  <si>
    <t>TABLE B201.2
Ventilation Effectiveness for Intermittent Fans</t>
  </si>
  <si>
    <r>
      <t xml:space="preserve">Daily Fractional On-Time, </t>
    </r>
    <r>
      <rPr>
        <i/>
        <sz val="11"/>
        <color theme="0"/>
        <rFont val="Calibri"/>
        <family val="2"/>
        <scheme val="minor"/>
      </rPr>
      <t>f</t>
    </r>
  </si>
  <si>
    <r>
      <t xml:space="preserve">Ventilation Effectiveness, </t>
    </r>
    <r>
      <rPr>
        <b/>
        <i/>
        <sz val="11"/>
        <color theme="0"/>
        <rFont val="Calibri"/>
        <family val="2"/>
        <scheme val="minor"/>
      </rPr>
      <t>ε</t>
    </r>
  </si>
  <si>
    <r>
      <rPr>
        <i/>
        <sz val="11"/>
        <color theme="1"/>
        <rFont val="Calibri"/>
        <family val="2"/>
        <scheme val="minor"/>
      </rPr>
      <t>f</t>
    </r>
    <r>
      <rPr>
        <sz val="11"/>
        <color theme="1"/>
        <rFont val="Calibri"/>
        <family val="2"/>
        <scheme val="minor"/>
      </rPr>
      <t xml:space="preserve"> ≤ 25%</t>
    </r>
  </si>
  <si>
    <r>
      <t xml:space="preserve">35% ≤ </t>
    </r>
    <r>
      <rPr>
        <i/>
        <sz val="11"/>
        <color theme="1"/>
        <rFont val="Calibri"/>
        <family val="2"/>
        <scheme val="minor"/>
      </rPr>
      <t>f</t>
    </r>
    <r>
      <rPr>
        <sz val="11"/>
        <color theme="1"/>
        <rFont val="Calibri"/>
        <family val="2"/>
        <scheme val="minor"/>
      </rPr>
      <t xml:space="preserve"> &lt; 60%</t>
    </r>
  </si>
  <si>
    <r>
      <t xml:space="preserve">60% ≤ </t>
    </r>
    <r>
      <rPr>
        <i/>
        <sz val="11"/>
        <color theme="1"/>
        <rFont val="Calibri"/>
        <family val="2"/>
        <scheme val="minor"/>
      </rPr>
      <t>f</t>
    </r>
    <r>
      <rPr>
        <sz val="11"/>
        <color theme="1"/>
        <rFont val="Calibri"/>
        <family val="2"/>
        <scheme val="minor"/>
      </rPr>
      <t xml:space="preserve"> &lt; 80%</t>
    </r>
  </si>
  <si>
    <r>
      <t xml:space="preserve">80% ≤ </t>
    </r>
    <r>
      <rPr>
        <i/>
        <sz val="11"/>
        <color theme="1"/>
        <rFont val="Calibri"/>
        <family val="2"/>
        <scheme val="minor"/>
      </rPr>
      <t>f</t>
    </r>
  </si>
  <si>
    <r>
      <rPr>
        <b/>
        <sz val="11"/>
        <color theme="1"/>
        <rFont val="Calibri"/>
        <family val="2"/>
        <scheme val="minor"/>
      </rPr>
      <t>B201.5 - Restrictions on System Type</t>
    </r>
    <r>
      <rPr>
        <sz val="11"/>
        <color theme="1"/>
        <rFont val="Calibri"/>
        <family val="2"/>
        <scheme val="minor"/>
      </rPr>
      <t>. Use of certain ventilation strategies is restricted in specific climates as follows.</t>
    </r>
  </si>
  <si>
    <r>
      <rPr>
        <b/>
        <sz val="11"/>
        <color theme="1"/>
        <rFont val="Calibri"/>
        <family val="2"/>
        <scheme val="minor"/>
      </rPr>
      <t>B201.5.1 - Hot, Humid Climates</t>
    </r>
    <r>
      <rPr>
        <sz val="11"/>
        <color theme="1"/>
        <rFont val="Calibri"/>
        <family val="2"/>
        <scheme val="minor"/>
      </rPr>
      <t>. In hot, humid climates, whole house mechanical net exhaust flow shall not exceed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(see ASHRAE 62.2*, Section 8 for a listing of hot, humid US climates.)</t>
    </r>
  </si>
  <si>
    <r>
      <rPr>
        <b/>
        <sz val="11"/>
        <color theme="1"/>
        <rFont val="Calibri"/>
        <family val="2"/>
        <scheme val="minor"/>
      </rPr>
      <t>B201.5.2 - Very Cold Climates</t>
    </r>
    <r>
      <rPr>
        <sz val="11"/>
        <color theme="1"/>
        <rFont val="Calibri"/>
        <family val="2"/>
        <scheme val="minor"/>
      </rPr>
      <t>. Mechanical supply systems exceeding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shall not be used in very cold climates. (see ASHRAE 62.2*, Section 8 for a listing of very cold US climates.)</t>
    </r>
  </si>
  <si>
    <r>
      <rPr>
        <b/>
        <sz val="11"/>
        <color theme="1"/>
        <rFont val="Calibri"/>
        <family val="2"/>
        <scheme val="minor"/>
      </rPr>
      <t>Exception</t>
    </r>
    <r>
      <rPr>
        <sz val="11"/>
        <color theme="1"/>
        <rFont val="Calibri"/>
        <family val="2"/>
        <scheme val="minor"/>
      </rPr>
      <t>: These ventilation strategies are not restricted if the authority having jurisdiction approves the envelope design as being moisture resistant.</t>
    </r>
  </si>
  <si>
    <r>
      <rPr>
        <vertAlign val="superscript"/>
        <sz val="11"/>
        <color theme="1"/>
        <rFont val="Calibri"/>
        <family val="2"/>
        <scheme val="minor"/>
      </rPr>
      <t>1</t>
    </r>
    <r>
      <rPr>
        <sz val="11"/>
        <color theme="1"/>
        <rFont val="Calibri"/>
        <family val="2"/>
        <scheme val="minor"/>
      </rPr>
      <t xml:space="preserve"> </t>
    </r>
    <r>
      <rPr>
        <i/>
        <sz val="11"/>
        <color theme="1"/>
        <rFont val="Calibri"/>
        <family val="2"/>
        <scheme val="minor"/>
      </rPr>
      <t>ANSI/ASHRAE Standard 136-1993 (RA2006), A Method of Determining Air Change Rates in Detached Dwellings</t>
    </r>
    <r>
      <rPr>
        <sz val="11"/>
        <color theme="1"/>
        <rFont val="Calibri"/>
        <family val="2"/>
        <scheme val="minor"/>
      </rPr>
      <t>. American Society of Heating, Refrigerating and Air-Conditioning Engineers, Inc., Atlanta, GA.</t>
    </r>
  </si>
  <si>
    <t>Errata</t>
  </si>
  <si>
    <t>Date</t>
  </si>
  <si>
    <t>Correction</t>
  </si>
  <si>
    <t>Chapter 5 - Landscape Formulas</t>
  </si>
  <si>
    <t>Full Landscape Plan</t>
  </si>
  <si>
    <t>Front Only Landscape Plan</t>
  </si>
  <si>
    <t>Rear Only Landscape Plan</t>
  </si>
  <si>
    <t>dd Landscape Types</t>
  </si>
  <si>
    <t>&lt;25%</t>
  </si>
  <si>
    <t>&gt;75%</t>
  </si>
  <si>
    <t>25% to &lt;50%</t>
  </si>
  <si>
    <t>7 to &lt;14 units</t>
  </si>
  <si>
    <t>14 to &lt;21 units</t>
  </si>
  <si>
    <t>21 or more units</t>
  </si>
  <si>
    <t>Drop Downs - Chapter 6</t>
  </si>
  <si>
    <t>Formulas - Chapter 6</t>
  </si>
  <si>
    <t>15 points</t>
  </si>
  <si>
    <t>12 points</t>
  </si>
  <si>
    <t>9 points</t>
  </si>
  <si>
    <t>Minimum structural member or element sizes necessary for strength and stiffness in accordance with advanced framing techniques or structural design standards are selected.</t>
  </si>
  <si>
    <t>Higher-grade or higher-strength of the same materials than commonly specified for structural elements and components in the building are used and element or component sizes are reduced accordingly.</t>
  </si>
  <si>
    <t>Performance-based structural design is used to optimize lateral force-resisting systems.</t>
  </si>
  <si>
    <r>
      <rPr>
        <b/>
        <sz val="10"/>
        <rFont val="Calibri"/>
        <family val="2"/>
        <scheme val="minor"/>
      </rPr>
      <t>Site-applied finishing materials.</t>
    </r>
    <r>
      <rPr>
        <sz val="10"/>
        <rFont val="Calibri"/>
        <family val="2"/>
        <scheme val="minor"/>
      </rPr>
      <t xml:space="preserve"> Building materials or assemblies listed below that do not require additional site-applied material for finishing are incorporated in the building. These include:
(a) pigmented, stamped, decorative, or final finish concrete or masonry
(b) interior trim not requiring paint or stain
(c) exterior trim not requiring paint or stain
(d) window, skylight, and door assemblies not requiring paint or stain on one of the following surfaces:
     i. exterior surfaces
     ii. interior surfaces
(e) interior wall coverings or systems not requiring paint or stain or other type of finishing application
(f) exterior wall coverings or systems not requiring paint or stain or other type of finishing application
(g) pre-finished hardwood flooring
For example: of all of the exterior trim, less than 10% needs to be painted.</t>
    </r>
  </si>
  <si>
    <r>
      <rPr>
        <b/>
        <sz val="10"/>
        <color rgb="FFFF0000"/>
        <rFont val="Calibri"/>
        <family val="2"/>
      </rPr>
      <t>NOTE:</t>
    </r>
    <r>
      <rPr>
        <sz val="10"/>
        <rFont val="Calibri"/>
        <family val="2"/>
      </rPr>
      <t xml:space="preserve"> Indicate types of materials or assemblies in the assigned Notes area. Note if used at 90%, 50%, or 35 to less than 50% level.
Qualifying materials limited to: pigmented, stamped, decorative, or final finish concrete or masonry; trim not requiring paint or stain; window, skylight, and door assemblies not requiring paint/stain on exterior and/or interior; wall coverings/systems not requiring paint/stain or other type of finishing.</t>
    </r>
  </si>
  <si>
    <r>
      <rPr>
        <b/>
        <sz val="10"/>
        <color rgb="FFFF0000"/>
        <rFont val="Calibri"/>
        <family val="2"/>
      </rPr>
      <t>NOTE:</t>
    </r>
    <r>
      <rPr>
        <sz val="10"/>
        <rFont val="Calibri"/>
        <family val="2"/>
      </rPr>
      <t xml:space="preserve"> Indicate in the assigned Notes area the type designed and constructed: frost-protected shallow foundations, pier and pad foundations, post foundations, or other similar foundation type.</t>
    </r>
  </si>
  <si>
    <r>
      <rPr>
        <b/>
        <sz val="10"/>
        <color rgb="FFFF0000"/>
        <rFont val="Calibri"/>
        <family val="2"/>
      </rPr>
      <t>NOTE:</t>
    </r>
    <r>
      <rPr>
        <sz val="10"/>
        <rFont val="Calibri"/>
        <family val="2"/>
      </rPr>
      <t xml:space="preserve"> Indicate in the assigned Notes area the type of wall system used.</t>
    </r>
  </si>
  <si>
    <r>
      <rPr>
        <b/>
        <sz val="10"/>
        <color theme="1"/>
        <rFont val="Calibri"/>
        <family val="2"/>
        <scheme val="minor"/>
      </rPr>
      <t>Intent.</t>
    </r>
    <r>
      <rPr>
        <sz val="10"/>
        <color theme="1"/>
        <rFont val="Calibri"/>
        <family val="2"/>
        <scheme val="minor"/>
      </rPr>
      <t xml:space="preserve"> Design and construction practices are implemented that enhance the durability of materials and reduce in-service maintenance.</t>
    </r>
  </si>
  <si>
    <t>Moisture Mangement - Building Envelope</t>
  </si>
  <si>
    <t>602.1.1.1</t>
  </si>
  <si>
    <t>Met</t>
  </si>
  <si>
    <t>Not Met</t>
  </si>
  <si>
    <t>602.1.2</t>
  </si>
  <si>
    <t>602.1.3.1</t>
  </si>
  <si>
    <t>Floors. Minimum 6 mil vapor retarder installed on the crawlspace floor and extended at least 6 inches up the wall and is attached and sealed to the wall.</t>
  </si>
  <si>
    <t>a concrete slab over 6 mil polyethylene or polystyrene sheeting lapped a minimum of 6 inches (152 mm) and taped or sealed at the seams.</t>
  </si>
  <si>
    <t>602.1.4.1_2</t>
  </si>
  <si>
    <t>602.1.4.2_2</t>
  </si>
  <si>
    <t>602.1.6</t>
  </si>
  <si>
    <t>slight to moderate termite infestion probability</t>
  </si>
  <si>
    <t>moderate to heavy termite infestion probability</t>
  </si>
  <si>
    <t>very heavy termite infestion probability</t>
  </si>
  <si>
    <t>602.1.7.1_2</t>
  </si>
  <si>
    <t>602.1.8</t>
  </si>
  <si>
    <t>602.1.9_1</t>
  </si>
  <si>
    <t>All window head and jamb flashing are self-adhered flashing complying with AAMA 711-07.</t>
  </si>
  <si>
    <t>Pan flashing is installed at sills of all exterior windows and doors.</t>
  </si>
  <si>
    <t>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</si>
  <si>
    <t>Flashing is installed at expansion joints in stucco walls.</t>
  </si>
  <si>
    <t>Through wall flashing is installed at transitions between wall cladding materials, or wall construction types.</t>
  </si>
  <si>
    <r>
      <t xml:space="preserve">A rainscreen wall design is used for exterior wall assemblies.
</t>
    </r>
    <r>
      <rPr>
        <b/>
        <sz val="10"/>
        <color theme="1"/>
        <rFont val="Calibri"/>
        <family val="2"/>
        <scheme val="minor"/>
      </rPr>
      <t>Claim points for only one from (a) or (b) below:</t>
    </r>
  </si>
  <si>
    <t>A system designed with minimum ¼” inch air space exterior to the water-resistive barrier, vented to the exterior at top and bottom of the wall and integrated with flashing details.</t>
  </si>
  <si>
    <t>Either a cladding material or a water-resistive barrier with enhanced drainage, meeting 75% drainage efficiency requirement of ASTM E2273.</t>
  </si>
  <si>
    <t>602.1.9_5</t>
  </si>
  <si>
    <t>System designed with air space</t>
  </si>
  <si>
    <t>Cladding material or a water-resistive barrier</t>
  </si>
  <si>
    <t>602.1.10</t>
  </si>
  <si>
    <r>
      <rPr>
        <b/>
        <sz val="10"/>
        <rFont val="Calibri"/>
        <family val="2"/>
        <scheme val="minor"/>
      </rPr>
      <t>Exterior doors.</t>
    </r>
    <r>
      <rPr>
        <sz val="10"/>
        <rFont val="Calibri"/>
        <family val="2"/>
        <scheme val="minor"/>
      </rPr>
      <t xml:space="preserve"> Entries at exterior door assemblies, inclusive of side lights, are covered by one of the following methods to protect the building from the effects of precipitation and solar radiation. A projection factor of 0.375 minimum is provided. Eastern- and western-facing entries in Climate Zones 1, 2, and 3, as determined in accordance with Figure 6(1) or Appendix C, have a projection factor of 1.0 minimum, unless otherwise protected from direct solar radiation by other means (e.g., screen wall, vegetation).
     (a) installing a porch roof or awning
     (b) extending the roof overhang
     (c) recessing the exterior door
</t>
    </r>
    <r>
      <rPr>
        <b/>
        <u/>
        <sz val="10"/>
        <rFont val="Calibri"/>
        <family val="2"/>
        <scheme val="minor"/>
      </rPr>
      <t>Claim points for only one from (1)-(3) below:</t>
    </r>
  </si>
  <si>
    <t>1 exterior door</t>
  </si>
  <si>
    <t>2 exterior doors</t>
  </si>
  <si>
    <t>3+ exterior doors</t>
  </si>
  <si>
    <t>3 or more exterior doors</t>
  </si>
  <si>
    <t>602.1.11</t>
  </si>
  <si>
    <r>
      <rPr>
        <b/>
        <sz val="10"/>
        <rFont val="Calibri"/>
        <family val="2"/>
        <scheme val="minor"/>
      </rPr>
      <t>Roof overhangs.</t>
    </r>
    <r>
      <rPr>
        <sz val="10"/>
        <rFont val="Calibri"/>
        <family val="2"/>
        <scheme val="minor"/>
      </rPr>
      <t xml:space="preserve"> Roof overhangs, based on inches of rainfall in Table 602.1.12, are provided over a minimum of 90% of exterior walls to protect the building envelope.</t>
    </r>
  </si>
  <si>
    <t>Table 602.1.12
Minimum Roof Overhang for One- &amp; Two-Story Buildings</t>
  </si>
  <si>
    <t>40 or less</t>
  </si>
  <si>
    <r>
      <rPr>
        <vertAlign val="superscript"/>
        <sz val="9"/>
        <color theme="1"/>
        <rFont val="Calibri"/>
        <family val="2"/>
        <scheme val="minor"/>
      </rPr>
      <t>1</t>
    </r>
    <r>
      <rPr>
        <sz val="9"/>
        <color theme="1"/>
        <rFont val="Calibri"/>
        <family val="2"/>
        <scheme val="minor"/>
      </rPr>
      <t xml:space="preserve"> Average annual inches of rainfall are in accordance with Figure 6(2)
For SI: 12 inches = 304.8 mm</t>
    </r>
  </si>
  <si>
    <t>602.1.14</t>
  </si>
  <si>
    <r>
      <rPr>
        <b/>
        <sz val="10"/>
        <rFont val="Calibri"/>
        <family val="2"/>
        <scheme val="minor"/>
      </rPr>
      <t>Architectural Features.</t>
    </r>
    <r>
      <rPr>
        <sz val="10"/>
        <rFont val="Calibri"/>
        <family val="2"/>
        <scheme val="minor"/>
      </rPr>
      <t xml:space="preserve"> Architectural features that increase the potential for water intrusion are avoided:
</t>
    </r>
    <r>
      <rPr>
        <b/>
        <u/>
        <sz val="10"/>
        <rFont val="Calibri"/>
        <family val="2"/>
        <scheme val="minor"/>
      </rPr>
      <t>Claim points for all that apply from (1)-(2) below:</t>
    </r>
  </si>
  <si>
    <t>No roof configurations that create horizontal valleys in roof design.</t>
  </si>
  <si>
    <t>No recessed windows and architectural features that trap water on horizontal surfaces.</t>
  </si>
  <si>
    <t>All horizontal ledgers are sloped away to provide gravity drainage as appropriate for the application.</t>
  </si>
  <si>
    <t>602.1.15_3</t>
  </si>
  <si>
    <r>
      <rPr>
        <b/>
        <sz val="10"/>
        <rFont val="Calibri"/>
        <family val="2"/>
        <scheme val="minor"/>
      </rPr>
      <t>Roof surfaces.</t>
    </r>
    <r>
      <rPr>
        <sz val="10"/>
        <rFont val="Calibri"/>
        <family val="2"/>
        <scheme val="minor"/>
      </rPr>
      <t xml:space="preserve"> A minimum of 90 percent of roof surfaces, not used for roof penetrations and associated equipment, on-site renewable energy systems such as photovoltaics or solar thermal energy collectors, or rooftop decks, amenities and walkways, are constructed of one or both of the following:
     (1) products that are in accordance with the ENERGY STAR® cool roof certification or equivalent
     (2) a vegetated roof system</t>
    </r>
  </si>
  <si>
    <t>ENERGY STAR® cool roof</t>
  </si>
  <si>
    <t>Vegetated roof system</t>
  </si>
  <si>
    <t>Both</t>
  </si>
  <si>
    <t>Finished grade.</t>
  </si>
  <si>
    <t>602.4.1</t>
  </si>
  <si>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 percent.</t>
  </si>
  <si>
    <t>Water is directed to drains or swales to ensure drainage away from the structure.</t>
  </si>
  <si>
    <r>
      <rPr>
        <b/>
        <sz val="10"/>
        <color theme="1"/>
        <rFont val="Calibri"/>
        <family val="2"/>
        <scheme val="minor"/>
      </rPr>
      <t>Intent.</t>
    </r>
    <r>
      <rPr>
        <sz val="10"/>
        <color theme="1"/>
        <rFont val="Calibri"/>
        <family val="2"/>
        <scheme val="minor"/>
      </rPr>
      <t xml:space="preserve"> Practices that reuse or modify existing structures, salvage materials for other uses, or use salvaged materials in the building's construction are implemented.</t>
    </r>
  </si>
  <si>
    <t>200 - &lt;400 sf</t>
  </si>
  <si>
    <t>400 - &lt;600 sf</t>
  </si>
  <si>
    <t>600 - &lt;800 sf</t>
  </si>
  <si>
    <t>800 - &lt;1000 sf</t>
  </si>
  <si>
    <t>1000 - &lt;1200 sf</t>
  </si>
  <si>
    <t>1200 - &lt;1400 sf</t>
  </si>
  <si>
    <t>1400 - &lt;1600 sf</t>
  </si>
  <si>
    <t>1600 - &lt;1800 sf</t>
  </si>
  <si>
    <t>1800 - &lt;2000 sf</t>
  </si>
  <si>
    <t>2000 - &lt;2200 sf</t>
  </si>
  <si>
    <t>2200 - &lt;2400 sf</t>
  </si>
  <si>
    <t>2400+ sf</t>
  </si>
  <si>
    <r>
      <rPr>
        <b/>
        <sz val="10"/>
        <rFont val="Calibri"/>
        <family val="2"/>
        <scheme val="minor"/>
      </rPr>
      <t>Reuse of existing building.</t>
    </r>
    <r>
      <rPr>
        <sz val="10"/>
        <rFont val="Calibri"/>
        <family val="2"/>
        <scheme val="minor"/>
      </rPr>
      <t xml:space="preserve"> Existing buildings and structures are reused, modified, or deconstructed in lieu of demolition.</t>
    </r>
    <r>
      <rPr>
        <sz val="8"/>
        <rFont val="Calibri"/>
        <family val="2"/>
        <scheme val="minor"/>
      </rPr>
      <t xml:space="preserve"> </t>
    </r>
    <r>
      <rPr>
        <sz val="10"/>
        <rFont val="Calibri"/>
        <family val="2"/>
        <scheme val="minor"/>
      </rPr>
      <t xml:space="preserve">
</t>
    </r>
    <r>
      <rPr>
        <b/>
        <sz val="10"/>
        <rFont val="Calibri"/>
        <family val="2"/>
        <scheme val="minor"/>
      </rPr>
      <t>Points awarded for every 200 square feet (18.5 m</t>
    </r>
    <r>
      <rPr>
        <b/>
        <vertAlign val="superscript"/>
        <sz val="10"/>
        <rFont val="Calibri"/>
        <family val="2"/>
        <scheme val="minor"/>
      </rPr>
      <t>2</t>
    </r>
    <r>
      <rPr>
        <b/>
        <sz val="10"/>
        <rFont val="Calibri"/>
        <family val="2"/>
        <scheme val="minor"/>
      </rPr>
      <t>) of floor area.</t>
    </r>
  </si>
  <si>
    <r>
      <rPr>
        <b/>
        <sz val="10"/>
        <color rgb="FFFF0000"/>
        <rFont val="Calibri"/>
        <family val="2"/>
        <scheme val="minor"/>
      </rPr>
      <t>NOTE:</t>
    </r>
    <r>
      <rPr>
        <sz val="10"/>
        <rFont val="Calibri"/>
        <family val="2"/>
        <scheme val="minor"/>
      </rPr>
      <t xml:space="preserve"> In the assigned Notes area, list materials used for minor building components.</t>
    </r>
  </si>
  <si>
    <r>
      <rPr>
        <b/>
        <sz val="10"/>
        <color rgb="FFFF0000"/>
        <rFont val="Calibri"/>
        <family val="2"/>
        <scheme val="minor"/>
      </rPr>
      <t>NOTE:</t>
    </r>
    <r>
      <rPr>
        <sz val="10"/>
        <rFont val="Calibri"/>
        <family val="2"/>
        <scheme val="minor"/>
      </rPr>
      <t xml:space="preserve"> In the assigned Notes area, list materials used for major building components.</t>
    </r>
  </si>
  <si>
    <t>Recycled content.</t>
  </si>
  <si>
    <r>
      <t xml:space="preserve">Building materials with the following percentages of recycled content are used for at least two </t>
    </r>
    <r>
      <rPr>
        <b/>
        <sz val="10"/>
        <rFont val="Calibri"/>
        <family val="2"/>
        <scheme val="minor"/>
      </rPr>
      <t xml:space="preserve">minor </t>
    </r>
    <r>
      <rPr>
        <sz val="10"/>
        <rFont val="Calibri"/>
        <family val="2"/>
        <scheme val="minor"/>
      </rPr>
      <t>components of the building.</t>
    </r>
  </si>
  <si>
    <t>604.1.1</t>
  </si>
  <si>
    <t>604.1.2</t>
  </si>
  <si>
    <t>25 - &lt;50%</t>
  </si>
  <si>
    <t>50 - &lt;75%</t>
  </si>
  <si>
    <t>75%+</t>
  </si>
  <si>
    <r>
      <rPr>
        <b/>
        <sz val="10"/>
        <color theme="1"/>
        <rFont val="Calibri"/>
        <family val="2"/>
        <scheme val="minor"/>
      </rPr>
      <t>Intent.</t>
    </r>
    <r>
      <rPr>
        <sz val="10"/>
        <color theme="1"/>
        <rFont val="Calibri"/>
        <family val="2"/>
        <scheme val="minor"/>
      </rPr>
      <t xml:space="preserve"> Building materials derived from renewable resources are used.</t>
    </r>
  </si>
  <si>
    <r>
      <rPr>
        <b/>
        <sz val="10"/>
        <rFont val="Calibri"/>
        <family val="2"/>
        <scheme val="minor"/>
      </rPr>
      <t>Construction waste management plan.</t>
    </r>
    <r>
      <rPr>
        <sz val="10"/>
        <rFont val="Calibri"/>
        <family val="2"/>
        <scheme val="minor"/>
      </rPr>
      <t xml:space="preserve"> A construction waste management plan is developed, posted at the jobsite, and implemented with a goal of recycling or salvaging a minimum of 50 percent (by weight) of construction waste.</t>
    </r>
  </si>
  <si>
    <r>
      <rPr>
        <b/>
        <sz val="10"/>
        <rFont val="Calibri"/>
        <family val="2"/>
        <scheme val="minor"/>
      </rPr>
      <t>On-site recycling.</t>
    </r>
    <r>
      <rPr>
        <sz val="10"/>
        <rFont val="Calibri"/>
        <family val="2"/>
        <scheme val="minor"/>
      </rPr>
      <t xml:space="preserve"> On-site recycling measures following applicable regulations and codes are implemented, such as the following:
     (a) Materials are ground or otherwise safely applied on-site as soil amendment or fill. A minimum of 50 percent (by weight) of construction and land-clearing waste is diverted from landfill.
     (b) Alternative compliance methods approved by the Adopting Entity.
     (c) Compatible untreated biomass material (lumber, posts, beams etc.) are set aside for combustion if a solid fuel burning appliance as per Section 901.2.1(2) will be available for on-site renewable energy.</t>
    </r>
  </si>
  <si>
    <r>
      <rPr>
        <b/>
        <sz val="10"/>
        <rFont val="Calibri"/>
        <family val="2"/>
        <scheme val="minor"/>
      </rPr>
      <t xml:space="preserve">Recycled construction materials. </t>
    </r>
    <r>
      <rPr>
        <sz val="10"/>
        <rFont val="Calibri"/>
        <family val="2"/>
        <scheme val="minor"/>
      </rPr>
      <t>Construction materials (e.g., wood, cardboard, metals, drywall, plastic, asphalt roofing shingles, or concrete) are recycled offsite.</t>
    </r>
  </si>
  <si>
    <t>5+ types</t>
  </si>
  <si>
    <t>4 types</t>
  </si>
  <si>
    <t>3 types</t>
  </si>
  <si>
    <t>2 types</t>
  </si>
  <si>
    <r>
      <rPr>
        <b/>
        <sz val="10"/>
        <color rgb="FFFF0000"/>
        <rFont val="Calibri"/>
        <family val="2"/>
      </rPr>
      <t>NOTE:</t>
    </r>
    <r>
      <rPr>
        <sz val="10"/>
        <rFont val="Calibri"/>
        <family val="2"/>
      </rPr>
      <t xml:space="preserve"> List types of materials recycled in the assigned Notes area.
Examples: Wood, carboard, metal, drywall, plastic, concrete, shingles, other materials</t>
    </r>
  </si>
  <si>
    <r>
      <rPr>
        <b/>
        <sz val="10"/>
        <color rgb="FFFF0000"/>
        <rFont val="Calibri"/>
        <family val="2"/>
      </rPr>
      <t>NOTE:</t>
    </r>
    <r>
      <rPr>
        <sz val="10"/>
        <rFont val="Calibri"/>
        <family val="2"/>
      </rPr>
      <t xml:space="preserve"> Additional points claimed in 606.1(3) will not be awarded unless points are claimed for 606.1(1) and/or 606.1(2).
In the assigned Notes area, list biobased materials used.
Examples: Certified wood, engineered wood, bamboo, cotton, cork, straw, fiber from crops, min. biobased per CFR2902, other biobased with &gt;50% biobased content</t>
    </r>
  </si>
  <si>
    <r>
      <rPr>
        <b/>
        <sz val="10"/>
        <color rgb="FFFF0000"/>
        <rFont val="Calibri"/>
        <family val="2"/>
      </rPr>
      <t>NOTE:</t>
    </r>
    <r>
      <rPr>
        <sz val="10"/>
        <rFont val="Calibri"/>
        <family val="2"/>
      </rPr>
      <t xml:space="preserve"> In the assigned Notes area, list certified wood/wood-based products used. Note if they are minor or major elements of the building.
Examples: AFF American Tree Farm System®, CSA Sustainable Forest Management System Standards (CA Z809), Forest Stewardship Councils (FSC), Program for Endorsement of Forest Certification Systems (PEFC), Sustainable Forestry Initiative® Program (SFI), other product programs mutually recognized by PEFC</t>
    </r>
  </si>
  <si>
    <r>
      <rPr>
        <b/>
        <sz val="10"/>
        <color rgb="FFFF0000"/>
        <rFont val="Calibri"/>
        <family val="2"/>
      </rPr>
      <t>NOTE:</t>
    </r>
    <r>
      <rPr>
        <sz val="10"/>
        <rFont val="Calibri"/>
        <family val="2"/>
      </rPr>
      <t xml:space="preserve"> In the assigned Notes area, list materials used that comply with 606.3.</t>
    </r>
  </si>
  <si>
    <r>
      <rPr>
        <b/>
        <sz val="10"/>
        <rFont val="Calibri"/>
        <family val="2"/>
        <scheme val="minor"/>
      </rPr>
      <t>Manufacturing energy.</t>
    </r>
    <r>
      <rPr>
        <sz val="10"/>
        <rFont val="Calibri"/>
        <family val="2"/>
        <scheme val="minor"/>
      </rPr>
      <t xml:space="preserve"> Materials are used for major components of the building that are manufactured using a minimum of 33 percent of the primary manufacturing process energy derived from renewable sources, combustible waste sources, or renewable energy credits (RECs).</t>
    </r>
  </si>
  <si>
    <t>1 material</t>
  </si>
  <si>
    <t>1 product</t>
  </si>
  <si>
    <t>2 products</t>
  </si>
  <si>
    <t>3+ products</t>
  </si>
  <si>
    <r>
      <rPr>
        <b/>
        <sz val="10"/>
        <rFont val="Calibri"/>
        <family val="2"/>
        <scheme val="minor"/>
      </rPr>
      <t>Regional materials.</t>
    </r>
    <r>
      <rPr>
        <sz val="10"/>
        <rFont val="Calibri"/>
        <family val="2"/>
        <scheme val="minor"/>
      </rPr>
      <t xml:space="preserve"> Regional materials are used for major elements or components of the building.</t>
    </r>
  </si>
  <si>
    <t>1 type</t>
  </si>
  <si>
    <t>610.1.1</t>
  </si>
  <si>
    <t>610.1.2</t>
  </si>
  <si>
    <t>4 impact measures</t>
  </si>
  <si>
    <t>610.1.2_1</t>
  </si>
  <si>
    <t>610.1.2_2</t>
  </si>
  <si>
    <t>5 impact measures</t>
  </si>
  <si>
    <t>1% - &lt;2%</t>
  </si>
  <si>
    <t>2% - &lt;3%</t>
  </si>
  <si>
    <t>3% - &lt;4%</t>
  </si>
  <si>
    <t>4% - &lt;5%</t>
  </si>
  <si>
    <t>5% - &lt;6%</t>
  </si>
  <si>
    <t>6% - &lt;7%</t>
  </si>
  <si>
    <t>7% - &lt;8%</t>
  </si>
  <si>
    <t>8% - &lt;9%</t>
  </si>
  <si>
    <t>9% - &lt;10%</t>
  </si>
  <si>
    <t>10% or more</t>
  </si>
  <si>
    <r>
      <rPr>
        <b/>
        <sz val="10"/>
        <rFont val="Calibri"/>
        <family val="2"/>
        <scheme val="minor"/>
      </rPr>
      <t>Sustainable products.</t>
    </r>
    <r>
      <rPr>
        <sz val="10"/>
        <rFont val="Calibri"/>
        <family val="2"/>
        <scheme val="minor"/>
      </rPr>
      <t xml:space="preserve"> One or more of the following products are used for at least 30% of the floor or wall area of the entire dwelling unit, as applicable. Certification third-party agency is ISO Guide 65 accredited.
</t>
    </r>
    <r>
      <rPr>
        <b/>
        <u/>
        <sz val="10"/>
        <rFont val="Calibri"/>
        <family val="2"/>
        <scheme val="minor"/>
      </rPr>
      <t>Claim points for all that apply from (1)-(7) below:</t>
    </r>
  </si>
  <si>
    <t>9 points max.</t>
  </si>
  <si>
    <t>50% or more of carpet installed (by square feet) is third-party certified to NSF/ANSI 140.</t>
  </si>
  <si>
    <t>50% or more of resilient flooring installed (by square feet) is third-party certified to NSF/ANSI 332.</t>
  </si>
  <si>
    <t>50% or more of the insulation installed (by square feet) is third-party certified to EcoLogo CCD-016.</t>
  </si>
  <si>
    <t>50% or more of interior wall coverings installed (by square feet) is third-party certified to NSF/ANSI 342.</t>
  </si>
  <si>
    <t>50% or more of the gypsum board installed (by square feet) is third-party certified to ULE ISR 100.</t>
  </si>
  <si>
    <t>50% or more of the door leafs installed (by number of door leafs) is third-party certified to ULE ISR 102.</t>
  </si>
  <si>
    <t>50% or more of the tile installed (by square feet) is third-party certified to ANSI A138.1 Specifications for Sustainable Ceramic Tiles, Glass Tiles and Tile Installation Materials.</t>
  </si>
  <si>
    <r>
      <t xml:space="preserve">Universal design elements. </t>
    </r>
    <r>
      <rPr>
        <sz val="10"/>
        <rFont val="Calibri"/>
        <family val="2"/>
        <scheme val="minor"/>
      </rPr>
      <t>Dwelling incorporates one or more of the following universal design elements:</t>
    </r>
    <r>
      <rPr>
        <b/>
        <sz val="10"/>
        <rFont val="Calibri"/>
        <family val="2"/>
        <scheme val="minor"/>
      </rPr>
      <t xml:space="preserve">
</t>
    </r>
    <r>
      <rPr>
        <b/>
        <u/>
        <sz val="10"/>
        <rFont val="Calibri"/>
        <family val="2"/>
        <scheme val="minor"/>
      </rPr>
      <t>Claim points for all that apply from (1)-(4) below:</t>
    </r>
  </si>
  <si>
    <t>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</si>
  <si>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</si>
  <si>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Minimum 36-inch wide accessible route from the no-step entrance into at least one bedroom which has a minimum 32 inch clear door width.</t>
  </si>
  <si>
    <t>Blocking or equivalent installed in the accessible bathroom walls for future installation of grab bars at commode and bathing fixture, if applicable.</t>
  </si>
  <si>
    <r>
      <rPr>
        <b/>
        <sz val="10"/>
        <color theme="1"/>
        <rFont val="Calibri"/>
        <family val="2"/>
        <scheme val="minor"/>
      </rPr>
      <t>Intent.</t>
    </r>
    <r>
      <rPr>
        <sz val="10"/>
        <color theme="1"/>
        <rFont val="Calibri"/>
        <family val="2"/>
        <scheme val="minor"/>
      </rPr>
      <t xml:space="preserve"> Design and construction practices that minimize the environmental impact of the building materials are incorporated, environmentally efficient building systems and materials are incorporated, and waste generated during construction is reduced.</t>
    </r>
  </si>
  <si>
    <t>606.1_3</t>
  </si>
  <si>
    <t>10%-25% = 3 pts
25%-75% = 4 pts
&gt;75% = 6 pts</t>
  </si>
  <si>
    <t xml:space="preserve">All or a percentage of driveways and parking are aligned with natural topography to reduce cut and fill.
</t>
  </si>
  <si>
    <t>&lt;25% = 2 pts
25%-75% = 4pts
&gt;75% = 6 pts</t>
  </si>
  <si>
    <t>All or a percentage of impervious surfaces are minimized and permeable materials are used for driveways, parking areas, walkways, and patios.</t>
  </si>
  <si>
    <r>
      <rPr>
        <b/>
        <sz val="10"/>
        <color theme="1"/>
        <rFont val="Calibri"/>
        <family val="2"/>
        <scheme val="minor"/>
      </rPr>
      <t>Wildlife habitat</t>
    </r>
    <r>
      <rPr>
        <sz val="10"/>
        <color theme="1"/>
        <rFont val="Calibri"/>
        <family val="2"/>
        <scheme val="minor"/>
      </rPr>
      <t>. Measures are planned that will support wildlife habitat and include at least two of the following:</t>
    </r>
  </si>
  <si>
    <t>Claim points at least 2 from (1)-(4) below:</t>
  </si>
  <si>
    <r>
      <rPr>
        <b/>
        <sz val="10"/>
        <color rgb="FFFF0000"/>
        <rFont val="Calibri"/>
        <family val="2"/>
      </rPr>
      <t>NOTE:</t>
    </r>
    <r>
      <rPr>
        <sz val="10"/>
        <rFont val="Calibri"/>
        <family val="2"/>
      </rPr>
      <t xml:space="preserve"> List alternative means of installing utilities in the assigned Notes area.</t>
    </r>
  </si>
  <si>
    <t>25% - &lt;50% = 4 pts
50% - 75% = 5 pts
&gt;75% = 6 pts</t>
  </si>
  <si>
    <r>
      <rPr>
        <b/>
        <sz val="10"/>
        <color rgb="FFFF0000"/>
        <rFont val="Calibri"/>
        <family val="2"/>
      </rPr>
      <t>NOTE:</t>
    </r>
    <r>
      <rPr>
        <sz val="10"/>
        <rFont val="Calibri"/>
        <family val="2"/>
      </rPr>
      <t xml:space="preserve"> In the assigned Notes area, indicate whether (a), (b), (c), or a combination is provided.</t>
    </r>
  </si>
  <si>
    <r>
      <rPr>
        <b/>
        <sz val="10"/>
        <color rgb="FFFF0000"/>
        <rFont val="Calibri"/>
        <family val="2"/>
      </rPr>
      <t>NOTE:</t>
    </r>
    <r>
      <rPr>
        <sz val="10"/>
        <rFont val="Calibri"/>
        <family val="2"/>
      </rPr>
      <t xml:space="preserve"> In the Notes assigned area, indicate whether (a) or (b) or both are provided.</t>
    </r>
  </si>
  <si>
    <t>Points per table</t>
  </si>
  <si>
    <t>5 pts each</t>
  </si>
  <si>
    <t>2 pts each</t>
  </si>
  <si>
    <t>1 point each</t>
  </si>
  <si>
    <t>Enter number of types of materials or assemblies where at least 90% are pre-finished:</t>
  </si>
  <si>
    <t>Enter number of types of materials or assemblies where at least 50% are pre-finished:</t>
  </si>
  <si>
    <t>Enter number of types of materials/assemblies where at least 35% to &lt;50% are pre-finished:</t>
  </si>
  <si>
    <t>Slab on grade</t>
  </si>
  <si>
    <t>On the Start Here! Tab, you selected this foundation type:</t>
  </si>
  <si>
    <t>1% = 1 point
2% = 2 pts
3% = 3 pts
4% = 4 pts
5% = 5 pts
6% = 6 pts
7% = 7 pts
8% = 8 pts
9%+ = 9 pts</t>
  </si>
  <si>
    <t>9%+</t>
  </si>
  <si>
    <r>
      <rPr>
        <b/>
        <sz val="10"/>
        <color rgb="FFFF0000"/>
        <rFont val="Calibri"/>
        <family val="2"/>
      </rPr>
      <t>NOTE:</t>
    </r>
    <r>
      <rPr>
        <sz val="10"/>
        <rFont val="Calibri"/>
        <family val="2"/>
      </rPr>
      <t xml:space="preserve"> In the assigned Notes area, describe the types of products that comply with 608.1.</t>
    </r>
  </si>
  <si>
    <r>
      <rPr>
        <b/>
        <sz val="10"/>
        <color rgb="FFFF0000"/>
        <rFont val="Calibri"/>
        <family val="2"/>
      </rPr>
      <t>NOTE:</t>
    </r>
    <r>
      <rPr>
        <sz val="10"/>
        <rFont val="Calibri"/>
        <family val="2"/>
      </rPr>
      <t xml:space="preserve"> In the assigned Notes area, list major materials used that comply with 608.1.</t>
    </r>
  </si>
  <si>
    <r>
      <rPr>
        <b/>
        <sz val="10"/>
        <color rgb="FFFF0000"/>
        <rFont val="Calibri"/>
        <family val="2"/>
      </rPr>
      <t>NOTE:</t>
    </r>
    <r>
      <rPr>
        <sz val="10"/>
        <rFont val="Calibri"/>
        <family val="2"/>
      </rPr>
      <t xml:space="preserve"> In the assigned Notes area, list products that comply with 610.1, manufacturers, and ISO registrars. </t>
    </r>
  </si>
  <si>
    <r>
      <rPr>
        <b/>
        <sz val="9"/>
        <rFont val="Calibri"/>
        <family val="2"/>
        <scheme val="minor"/>
      </rPr>
      <t>Life cycle analysis.</t>
    </r>
    <r>
      <rPr>
        <sz val="9"/>
        <rFont val="Calibri"/>
        <family val="2"/>
        <scheme val="minor"/>
      </rPr>
      <t xml:space="preserve"> A life cycle analysis (LCA) tool is used to select environmentally preferable products or assemblies, or an LCA is conducted on the entire building. Points are awarded in accordance with 610.1.1 and 610.1.2. </t>
    </r>
    <r>
      <rPr>
        <b/>
        <sz val="9"/>
        <rFont val="Calibri"/>
        <family val="2"/>
        <scheme val="minor"/>
      </rPr>
      <t>Only one method of analysis or tool may be utilized.</t>
    </r>
    <r>
      <rPr>
        <sz val="9"/>
        <rFont val="Calibri"/>
        <family val="2"/>
        <scheme val="minor"/>
      </rPr>
      <t xml:space="preserve"> A reference service life for the building is to be 60 years for any life cycle analysis tool. Results of the LCA are reported in the manual required in Section 1003.1(1) of this standard in terms of the environmental impacts listed in this practice and it states if operating energy was included in its preparation.</t>
    </r>
  </si>
  <si>
    <r>
      <rPr>
        <b/>
        <sz val="9"/>
        <rFont val="Calibri"/>
        <family val="2"/>
        <scheme val="minor"/>
      </rPr>
      <t>Whole-building life cycle analysis.</t>
    </r>
    <r>
      <rPr>
        <sz val="9"/>
        <rFont val="Calibri"/>
        <family val="2"/>
        <scheme val="minor"/>
      </rPr>
      <t xml:space="preserve"> A whole-building LCA is performed using a life cycle assessment and data compliant with ISO 14044 or other recognized standards.</t>
    </r>
  </si>
  <si>
    <r>
      <rPr>
        <b/>
        <sz val="9"/>
        <rFont val="Calibri"/>
        <family val="2"/>
        <scheme val="minor"/>
      </rPr>
      <t>Life cycle analysis for a product or assembly.</t>
    </r>
    <r>
      <rPr>
        <sz val="9"/>
        <rFont val="Calibri"/>
        <family val="2"/>
        <scheme val="minor"/>
      </rPr>
      <t xml:space="preserve"> An environmentally preferable product or assembly is selected for an application based upon the use of an LCA tool that incorporates data methods compliant with ISO 14044 or other recognized standards that compare the environmental impact of products or assemblies. </t>
    </r>
    <r>
      <rPr>
        <b/>
        <sz val="10"/>
        <rFont val="Calibri"/>
        <family val="2"/>
        <scheme val="minor"/>
      </rPr>
      <t>Claim all that apply from (1) and (2) below:</t>
    </r>
  </si>
  <si>
    <t>No Slabs</t>
  </si>
  <si>
    <t>No habitable or usable space below grade</t>
  </si>
  <si>
    <t>Vented crawlspace</t>
  </si>
  <si>
    <t>Conditioned crawlspace</t>
  </si>
  <si>
    <t>Basement &amp; vented crawlspace</t>
  </si>
  <si>
    <t>Basement &amp; slab on grade</t>
  </si>
  <si>
    <t>No crawlspace</t>
  </si>
  <si>
    <t>No below grade crawlspace walls</t>
  </si>
  <si>
    <r>
      <rPr>
        <b/>
        <sz val="10"/>
        <color rgb="FFFF0000"/>
        <rFont val="Calibri"/>
        <family val="2"/>
      </rPr>
      <t>NOTE:</t>
    </r>
    <r>
      <rPr>
        <sz val="10"/>
        <rFont val="Calibri"/>
        <family val="2"/>
      </rPr>
      <t xml:space="preserve"> If "N/A" is selected, explain why in the assigned Notes area.</t>
    </r>
  </si>
  <si>
    <t>3rd Type:</t>
  </si>
  <si>
    <t>2nd Type:</t>
  </si>
  <si>
    <t>Vegetative wind breaks or channels are designed as appropriate for local conditions to protect the lot and immediate surrounding lots as appropriate for local conditions.</t>
  </si>
  <si>
    <t>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five years after planting.</t>
  </si>
  <si>
    <r>
      <rPr>
        <b/>
        <sz val="10"/>
        <color rgb="FFFF0000"/>
        <rFont val="Calibri"/>
        <family val="2"/>
      </rPr>
      <t xml:space="preserve">NOTE: </t>
    </r>
    <r>
      <rPr>
        <sz val="10"/>
        <rFont val="Calibri"/>
        <family val="2"/>
      </rPr>
      <t xml:space="preserve">Describe materials used in the assigned Notes area. </t>
    </r>
    <r>
      <rPr>
        <i/>
        <sz val="10"/>
        <rFont val="Calibri"/>
        <family val="2"/>
      </rPr>
      <t>Materials, elements, or components awarded points under Section 603.1 shall not be awarded points under Section 603.2.</t>
    </r>
  </si>
  <si>
    <r>
      <rPr>
        <b/>
        <sz val="10"/>
        <color rgb="FFFF0000"/>
        <rFont val="Calibri"/>
        <family val="2"/>
      </rPr>
      <t>NOTE:</t>
    </r>
    <r>
      <rPr>
        <sz val="10"/>
        <rFont val="Calibri"/>
        <family val="2"/>
      </rPr>
      <t xml:space="preserve"> Describe materials used in the assigned Notes area. </t>
    </r>
    <r>
      <rPr>
        <i/>
        <sz val="10"/>
        <rFont val="Calibri"/>
        <family val="2"/>
      </rPr>
      <t>Materials, elements, or components awarded points under Section 603.1 shall not be awarded points under Section 603.2.</t>
    </r>
  </si>
  <si>
    <t>Drop Downs - Chapter 8</t>
  </si>
  <si>
    <t>128 oz max. volume</t>
  </si>
  <si>
    <t>64 oz max. volume</t>
  </si>
  <si>
    <t>32 oz max. volume</t>
  </si>
  <si>
    <t>24 oz max. volume, priming pump installed</t>
  </si>
  <si>
    <t>Formulas - Chapter 8</t>
  </si>
  <si>
    <t>801.2_2</t>
  </si>
  <si>
    <t>&gt;6.0</t>
  </si>
  <si>
    <t>&lt;=6.0</t>
  </si>
  <si>
    <t>1 fixture</t>
  </si>
  <si>
    <t>2 fixtures</t>
  </si>
  <si>
    <t>3 fixtures</t>
  </si>
  <si>
    <t>4+ fixtures</t>
  </si>
  <si>
    <t>801.4_1</t>
  </si>
  <si>
    <t>801.4_2</t>
  </si>
  <si>
    <t>801.4_3</t>
  </si>
  <si>
    <t>1 shutoff</t>
  </si>
  <si>
    <t>2 shutoffs</t>
  </si>
  <si>
    <t>3 shutoffs</t>
  </si>
  <si>
    <t>801.5.1_1</t>
  </si>
  <si>
    <t>1 bath</t>
  </si>
  <si>
    <t>2 baths</t>
  </si>
  <si>
    <t>3+ baths</t>
  </si>
  <si>
    <t>3+ fixtures</t>
  </si>
  <si>
    <t>801.6_1</t>
  </si>
  <si>
    <t>Met - Project eligible for Gold or Emerald</t>
  </si>
  <si>
    <t>Not met - Project eligible for Bronze or Silver only</t>
  </si>
  <si>
    <t>801.6_2</t>
  </si>
  <si>
    <t>801.6_3a</t>
  </si>
  <si>
    <t>10 points</t>
  </si>
  <si>
    <t>1 water closet</t>
  </si>
  <si>
    <t>2 water closets</t>
  </si>
  <si>
    <t>3 water closets</t>
  </si>
  <si>
    <t>4+ water closets</t>
  </si>
  <si>
    <t>Irrigation system</t>
  </si>
  <si>
    <t>Excess water flow automatic shutoff</t>
  </si>
  <si>
    <t>801.8.1</t>
  </si>
  <si>
    <t>Without impermeable water storage</t>
  </si>
  <si>
    <t>50-499 gal. impermeable storage</t>
  </si>
  <si>
    <t>500-2499 gal. impermeable storage</t>
  </si>
  <si>
    <t>2500+ gal. impermeable storage</t>
  </si>
  <si>
    <t>All irrigation demands met by rainwater capture</t>
  </si>
  <si>
    <t>801.8.2</t>
  </si>
  <si>
    <t>1 fixture for partial domestic demand</t>
  </si>
  <si>
    <t>2 fixtures for partial domestic demand</t>
  </si>
  <si>
    <t>3+ fixtures for partial domestic demand</t>
  </si>
  <si>
    <t>Rainwater provides for total domestic demand</t>
  </si>
  <si>
    <t>Table 801.1(1): Maximum Pipe Length (ft.)</t>
  </si>
  <si>
    <t>Main, Branch and Fixture Supply Systems</t>
  </si>
  <si>
    <t>Branch and Fixture Supply from Circulation Loop</t>
  </si>
  <si>
    <t>Nominal Pipe Size (inch)</t>
  </si>
  <si>
    <t>Liquid Ounces per Foot of Length</t>
  </si>
  <si>
    <t>32 ounces (0.25 gallon)</t>
  </si>
  <si>
    <t>64 ounces (0.5 gallon)</t>
  </si>
  <si>
    <t>128 ounces (1 gallon)</t>
  </si>
  <si>
    <t>24 ounces (0.19 gallon)</t>
  </si>
  <si>
    <r>
      <t>1/4</t>
    </r>
    <r>
      <rPr>
        <vertAlign val="superscript"/>
        <sz val="10"/>
        <color theme="1"/>
        <rFont val="Calibri"/>
        <family val="2"/>
        <scheme val="minor"/>
      </rPr>
      <t>b</t>
    </r>
  </si>
  <si>
    <r>
      <t>5/16</t>
    </r>
    <r>
      <rPr>
        <vertAlign val="superscript"/>
        <sz val="10"/>
        <color theme="1"/>
        <rFont val="Calibri"/>
        <family val="2"/>
        <scheme val="minor"/>
      </rPr>
      <t>b</t>
    </r>
  </si>
  <si>
    <r>
      <t>3/8</t>
    </r>
    <r>
      <rPr>
        <vertAlign val="superscript"/>
        <sz val="10"/>
        <color theme="1"/>
        <rFont val="Calibri"/>
        <family val="2"/>
        <scheme val="minor"/>
      </rPr>
      <t>b</t>
    </r>
  </si>
  <si>
    <t>1/2</t>
  </si>
  <si>
    <t>5/8</t>
  </si>
  <si>
    <t>3/4</t>
  </si>
  <si>
    <t>7/8</t>
  </si>
  <si>
    <r>
      <rPr>
        <vertAlign val="superscript"/>
        <sz val="11"/>
        <color theme="1"/>
        <rFont val="Calibri"/>
        <family val="2"/>
        <scheme val="minor"/>
      </rPr>
      <t>a</t>
    </r>
    <r>
      <rPr>
        <sz val="11"/>
        <color theme="1"/>
        <rFont val="Calibri"/>
        <family val="2"/>
        <scheme val="minor"/>
      </rPr>
      <t xml:space="preserve"> Maximum pipe length figures apply when the entire pipe run is one nominal diameter only. Where multiple pipe diameters are used, the combined volume shall not exceed the volume limitation in Section 801.1</t>
    </r>
  </si>
  <si>
    <r>
      <rPr>
        <vertAlign val="superscript"/>
        <sz val="11"/>
        <color theme="1"/>
        <rFont val="Calibri"/>
        <family val="2"/>
        <scheme val="minor"/>
      </rPr>
      <t>b</t>
    </r>
    <r>
      <rPr>
        <sz val="11"/>
        <color theme="1"/>
        <rFont val="Calibri"/>
        <family val="2"/>
        <scheme val="minor"/>
      </rPr>
      <t xml:space="preserve"> The maximum flow rate through 1/4 inch nominal piping shall not exceed 0.5 gpm. The maximum flow rate through 5/16 inch nominal piping shall not exceed 1 gpm. The maximum flow rate through 3/8 inch nominal piping shall not exceed 1.5 gpm.</t>
    </r>
  </si>
  <si>
    <t>Table 801.1(2): Common Hot Water Tubing Internal Volumes</t>
  </si>
  <si>
    <t>OUNCES OF WATER PER FOOT OF TUBE</t>
  </si>
  <si>
    <t>Size Nominal, Inch</t>
  </si>
  <si>
    <t>Copper Type M</t>
  </si>
  <si>
    <t>Copper Type L</t>
  </si>
  <si>
    <t>Copper Type K</t>
  </si>
  <si>
    <t>CPVC CTS SDR 11</t>
  </si>
  <si>
    <t>CPVC SCH 40</t>
  </si>
  <si>
    <t>CPVC SCH 80</t>
  </si>
  <si>
    <t>PE-RT SDR 9</t>
  </si>
  <si>
    <t>Composite ASTM F 1281</t>
  </si>
  <si>
    <t>PEX CTS SDR 9</t>
  </si>
  <si>
    <t>3/8"</t>
  </si>
  <si>
    <t>1/2"</t>
  </si>
  <si>
    <t>3/4"</t>
  </si>
  <si>
    <t>1"</t>
  </si>
  <si>
    <t>1 1/4"</t>
  </si>
  <si>
    <t>1 1/2"</t>
  </si>
  <si>
    <t>2"</t>
  </si>
  <si>
    <t>1001.1_1</t>
  </si>
  <si>
    <t>1001.1_2</t>
  </si>
  <si>
    <t>1001.1_3</t>
  </si>
  <si>
    <t>MET/NOT MET</t>
  </si>
  <si>
    <t>Where storm water management measures are installed on the lot, information on the location, purpose, and upkeep of these measures.</t>
  </si>
  <si>
    <r>
      <rPr>
        <b/>
        <sz val="10"/>
        <color theme="1"/>
        <rFont val="Calibri"/>
        <family val="2"/>
        <scheme val="minor"/>
      </rPr>
      <t>Intent</t>
    </r>
    <r>
      <rPr>
        <sz val="10"/>
        <color theme="1"/>
        <rFont val="Calibri"/>
        <family val="2"/>
        <scheme val="minor"/>
      </rPr>
      <t>. Manuals are provided to the responsible parties (owner, management, tenant, and/or maintenance team) regarding the construction, operation, and maintenance of the building. Paper or digital format manuals are to include information regarding those aspects of the building’s construction, maintenance, and operation that are within the area of responsibilities of the respective recipient. One or more responsible parties are to receive a copy of all documentation for archival purposes.</t>
    </r>
  </si>
  <si>
    <r>
      <rPr>
        <b/>
        <sz val="10"/>
        <rFont val="Calibri"/>
        <family val="2"/>
        <scheme val="minor"/>
      </rPr>
      <t>Intent</t>
    </r>
    <r>
      <rPr>
        <sz val="10"/>
        <rFont val="Calibri"/>
        <family val="2"/>
        <scheme val="minor"/>
      </rPr>
      <t>. Information on the building's use, maintenance, and green components is provided.</t>
    </r>
  </si>
  <si>
    <r>
      <rPr>
        <b/>
        <sz val="10"/>
        <color rgb="FFFF0000"/>
        <rFont val="Calibri"/>
        <family val="2"/>
      </rPr>
      <t>NOTE:</t>
    </r>
    <r>
      <rPr>
        <sz val="10"/>
        <rFont val="Calibri"/>
        <family val="2"/>
      </rPr>
      <t xml:space="preserve"> Practice 1003.3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</si>
  <si>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1003.1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</si>
  <si>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1003.2 is for </t>
    </r>
    <r>
      <rPr>
        <b/>
        <i/>
        <sz val="11"/>
        <color theme="1"/>
        <rFont val="Calibri"/>
        <family val="2"/>
      </rPr>
      <t>multi-unit projects</t>
    </r>
    <r>
      <rPr>
        <sz val="10"/>
        <rFont val="Calibri"/>
        <family val="2"/>
      </rPr>
      <t xml:space="preserve"> only.
Points awarded for both mandatory and non-mandatory items.</t>
    </r>
  </si>
  <si>
    <r>
      <rPr>
        <b/>
        <sz val="10"/>
        <color rgb="FFFF0000"/>
        <rFont val="Calibri"/>
        <family val="2"/>
      </rPr>
      <t>NOTE:</t>
    </r>
    <r>
      <rPr>
        <sz val="10"/>
        <rFont val="Calibri"/>
        <family val="2"/>
      </rPr>
      <t xml:space="preserve"> Practice 1001.1 is for </t>
    </r>
    <r>
      <rPr>
        <b/>
        <i/>
        <sz val="12"/>
        <color theme="1"/>
        <rFont val="Calibri"/>
        <family val="2"/>
      </rPr>
      <t>Single-Family &amp; Two-Family projects</t>
    </r>
    <r>
      <rPr>
        <sz val="10"/>
        <rFont val="Calibri"/>
        <family val="2"/>
      </rPr>
      <t xml:space="preserve"> only.
Points awarded for both mandatory and non-mandatory items.</t>
    </r>
  </si>
  <si>
    <r>
      <rPr>
        <b/>
        <sz val="10"/>
        <color theme="1"/>
        <rFont val="Calibri"/>
        <family val="2"/>
        <scheme val="minor"/>
      </rPr>
      <t>Operations manual</t>
    </r>
    <r>
      <rPr>
        <sz val="10"/>
        <color theme="1"/>
        <rFont val="Calibri"/>
        <family val="2"/>
        <scheme val="minor"/>
      </rPr>
      <t xml:space="preserve">. Operations manuals are created and distributed to the responsible parties in accordance with 1003.0. Between all of the operation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(1)-(10) below:</t>
    </r>
  </si>
  <si>
    <r>
      <rPr>
        <b/>
        <sz val="10"/>
        <color theme="1"/>
        <rFont val="Calibri"/>
        <family val="2"/>
        <scheme val="minor"/>
      </rPr>
      <t>Maintenance manual</t>
    </r>
    <r>
      <rPr>
        <sz val="10"/>
        <color theme="1"/>
        <rFont val="Calibri"/>
        <family val="2"/>
        <scheme val="minor"/>
      </rPr>
      <t xml:space="preserve">. Maintenance manuals are created and distributed to the responsible parties in accordance with 1003.0. Between all of the maintenance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(1)-(9) below:</t>
    </r>
  </si>
  <si>
    <t>Mandatory Totals</t>
  </si>
  <si>
    <t>501.2 Multi-modal transportation. A range of multi-modal transportation choices are promoted by one or more of the following:</t>
  </si>
  <si>
    <r>
      <t xml:space="preserve">501.2(1) </t>
    </r>
    <r>
      <rPr>
        <sz val="10"/>
        <rFont val="Calibri"/>
        <family val="2"/>
        <scheme val="minor"/>
      </rPr>
      <t>A lot is selected within 1/2 mile (805 m) of pedestrian access to a mass transit system or within 5 miles (8046 m) of a mass transit station with provisions for parking.</t>
    </r>
  </si>
  <si>
    <r>
      <t xml:space="preserve">501.2(2) </t>
    </r>
    <r>
      <rPr>
        <sz val="10"/>
        <rFont val="Calibri"/>
        <family val="2"/>
        <scheme val="minor"/>
      </rPr>
      <t>Walkways, street crossings, and entrances designed to promote pedestrian activity are provided. New buildings are connected to existing sidewalks and areas of development.</t>
    </r>
  </si>
  <si>
    <r>
      <t xml:space="preserve">501.2(3) </t>
    </r>
    <r>
      <rPr>
        <sz val="10"/>
        <rFont val="Calibri"/>
        <family val="2"/>
        <scheme val="minor"/>
      </rPr>
      <t>A lot is selected within 1/2 mile (805 m) of 6 or more community resources [e.g., recreational facilities (such as pools, tennis courts, basketball courts), parks, grocery store, post office, place of worship, community center, daycare center, bank, school, restaurant, medical/dental office, laundromat/dry cleaner].</t>
    </r>
  </si>
  <si>
    <r>
      <t xml:space="preserve">501.2(4) </t>
    </r>
    <r>
      <rPr>
        <sz val="10"/>
        <rFont val="Calibri"/>
        <family val="2"/>
        <scheme val="minor"/>
      </rPr>
      <t>Bicycle use is promoted by building on a lot located within a community that has rights-of-way specifically dedicated to bicycle use in the form of paved paths or bicycle lanes or on an infill lot located within 1/2 mile of a bicycle lane designated by the jurisdiction.</t>
    </r>
  </si>
  <si>
    <t>502.1 Project team, mission statement, and goals. A knowledgeable team is established and team member roles are identified with respect to green lot design, preparation, and development. The project’s green goals and objectives are written into a mission statement.</t>
  </si>
  <si>
    <t>503.1 Natural resources. Natural resources are conserved by one or more of the following:</t>
  </si>
  <si>
    <r>
      <t xml:space="preserve">503.1(1) </t>
    </r>
    <r>
      <rPr>
        <sz val="10"/>
        <rFont val="Calibri"/>
        <family val="2"/>
        <scheme val="minor"/>
      </rPr>
      <t>A natural resources inventory is completed under the direction of a qualified professional.</t>
    </r>
  </si>
  <si>
    <r>
      <t xml:space="preserve">503.1(2) </t>
    </r>
    <r>
      <rPr>
        <sz val="10"/>
        <rFont val="Calibri"/>
        <family val="2"/>
        <scheme val="minor"/>
      </rPr>
      <t>A plan is implemented to conserve the elements identified by the resource inventory as high-priority resources.</t>
    </r>
  </si>
  <si>
    <r>
      <t xml:space="preserve">503.1(3) </t>
    </r>
    <r>
      <rPr>
        <sz val="10"/>
        <rFont val="Calibri"/>
        <family val="2"/>
        <scheme val="minor"/>
      </rPr>
      <t>Items listed for protection in the resource inventory plan are protected under the direction of a qualified professional.</t>
    </r>
  </si>
  <si>
    <r>
      <t xml:space="preserve">503.1(4) </t>
    </r>
    <r>
      <rPr>
        <sz val="10"/>
        <rFont val="Calibri"/>
        <family val="2"/>
        <scheme val="minor"/>
      </rPr>
      <t>Basic training in tree or other natural resource protection is provided for the on-site supervisor.</t>
    </r>
  </si>
  <si>
    <r>
      <t xml:space="preserve">503.1(5) </t>
    </r>
    <r>
      <rPr>
        <sz val="10"/>
        <rFont val="Calibri"/>
        <family val="2"/>
        <scheme val="minor"/>
      </rPr>
      <t>All tree pruning on-site is conducted by a Certified Arborist.</t>
    </r>
  </si>
  <si>
    <r>
      <t xml:space="preserve">503.1(6) </t>
    </r>
    <r>
      <rPr>
        <sz val="10"/>
        <rFont val="Calibri"/>
        <family val="2"/>
        <scheme val="minor"/>
      </rPr>
      <t>Ongoing maintenance of vegetation on the lot during construction is in accordance with TCIA A300 or locally accepted best practices.</t>
    </r>
  </si>
  <si>
    <r>
      <t xml:space="preserve">503.1(7) </t>
    </r>
    <r>
      <rPr>
        <sz val="10"/>
        <rFont val="Calibri"/>
        <family val="2"/>
        <scheme val="minor"/>
      </rPr>
      <t>Where a lot adjoins a landscaped common area, a protection plan from construction activities next to the common area is implemented.</t>
    </r>
  </si>
  <si>
    <t>503.2 Slope disturbance. Slope disturbance is minimized by:</t>
  </si>
  <si>
    <r>
      <t xml:space="preserve">503.2(1) </t>
    </r>
    <r>
      <rPr>
        <sz val="10"/>
        <rFont val="Calibri"/>
        <family val="2"/>
        <scheme val="minor"/>
      </rPr>
      <t>The use of terrain adaptive architecture including terracing, retaining walls, landscaping, or other re-stabilization techniques.</t>
    </r>
  </si>
  <si>
    <r>
      <t xml:space="preserve">503.2(2) </t>
    </r>
    <r>
      <rPr>
        <sz val="10"/>
        <rFont val="Calibri"/>
        <family val="2"/>
        <scheme val="minor"/>
      </rPr>
      <t>Hydrological/soil stability study is completed and used to guide the design of all buildings on the site.</t>
    </r>
  </si>
  <si>
    <r>
      <t xml:space="preserve">503.2(3) </t>
    </r>
    <r>
      <rPr>
        <sz val="10"/>
        <rFont val="Calibri"/>
        <family val="2"/>
        <scheme val="minor"/>
      </rPr>
      <t>All or a percentage of driveways and parking are aligned with natural topography to reduce cut and fill.</t>
    </r>
  </si>
  <si>
    <r>
      <t xml:space="preserve">503.2(3)(a) </t>
    </r>
    <r>
      <rPr>
        <sz val="10"/>
        <rFont val="Calibri"/>
        <family val="2"/>
        <scheme val="minor"/>
      </rPr>
      <t>10% to 25%</t>
    </r>
  </si>
  <si>
    <r>
      <t>503.2(3)(b)</t>
    </r>
    <r>
      <rPr>
        <sz val="10"/>
        <rFont val="Calibri"/>
        <family val="2"/>
        <scheme val="minor"/>
      </rPr>
      <t xml:space="preserve"> 25% to 75%</t>
    </r>
  </si>
  <si>
    <r>
      <t>503.2(3)(c)</t>
    </r>
    <r>
      <rPr>
        <sz val="10"/>
        <rFont val="Calibri"/>
        <family val="2"/>
        <scheme val="minor"/>
      </rPr>
      <t xml:space="preserve"> greater than75%</t>
    </r>
  </si>
  <si>
    <r>
      <t xml:space="preserve">503.2(4) </t>
    </r>
    <r>
      <rPr>
        <sz val="10"/>
        <rFont val="Calibri"/>
        <family val="2"/>
        <scheme val="minor"/>
      </rPr>
      <t>Long-term erosion effects are reduced through the design and implementation of terracing, retaining walls, landscaping, or restabilization techniques.</t>
    </r>
  </si>
  <si>
    <r>
      <t xml:space="preserve">503.2(5) </t>
    </r>
    <r>
      <rPr>
        <sz val="10"/>
        <rFont val="Calibri"/>
        <family val="2"/>
        <scheme val="minor"/>
      </rPr>
      <t>Underground parking uses the natural slope for parking entrances.</t>
    </r>
  </si>
  <si>
    <t>503.3 Soil disturbance and erosion. Soil disturbance and erosion are minimized by one or more of the following: (also see Section 504.3)</t>
  </si>
  <si>
    <r>
      <t xml:space="preserve">503.3(1) </t>
    </r>
    <r>
      <rPr>
        <sz val="10"/>
        <rFont val="Calibri"/>
        <family val="2"/>
        <scheme val="minor"/>
      </rPr>
      <t>Construction activities are scheduled to minimize length of time that soils are exposed.</t>
    </r>
  </si>
  <si>
    <r>
      <t xml:space="preserve">503.3(2) </t>
    </r>
    <r>
      <rPr>
        <sz val="10"/>
        <rFont val="Calibri"/>
        <family val="2"/>
        <scheme val="minor"/>
      </rPr>
      <t xml:space="preserve">At least 75% of total length of the utilities on the lot are designed to use one or more alternative means:
    </t>
    </r>
    <r>
      <rPr>
        <b/>
        <sz val="10"/>
        <rFont val="Calibri"/>
        <family val="2"/>
        <scheme val="minor"/>
      </rPr>
      <t xml:space="preserve"> (a)</t>
    </r>
    <r>
      <rPr>
        <sz val="10"/>
        <rFont val="Calibri"/>
        <family val="2"/>
        <scheme val="minor"/>
      </rPr>
      <t xml:space="preserve"> tunneling instead of trenching
     </t>
    </r>
    <r>
      <rPr>
        <b/>
        <sz val="10"/>
        <rFont val="Calibri"/>
        <family val="2"/>
        <scheme val="minor"/>
      </rPr>
      <t>(b)</t>
    </r>
    <r>
      <rPr>
        <sz val="10"/>
        <rFont val="Calibri"/>
        <family val="2"/>
        <scheme val="minor"/>
      </rPr>
      <t xml:space="preserve"> use of smaller (low ground pressure) equipment or geomats to spread the weight of construction equipment
    </t>
    </r>
    <r>
      <rPr>
        <b/>
        <sz val="10"/>
        <rFont val="Calibri"/>
        <family val="2"/>
        <scheme val="minor"/>
      </rPr>
      <t xml:space="preserve"> (c)</t>
    </r>
    <r>
      <rPr>
        <sz val="10"/>
        <rFont val="Calibri"/>
        <family val="2"/>
        <scheme val="minor"/>
      </rPr>
      <t xml:space="preserve"> shared utility trenches or easements
     </t>
    </r>
    <r>
      <rPr>
        <b/>
        <sz val="10"/>
        <rFont val="Calibri"/>
        <family val="2"/>
        <scheme val="minor"/>
      </rPr>
      <t>(d)</t>
    </r>
    <r>
      <rPr>
        <sz val="10"/>
        <rFont val="Calibri"/>
        <family val="2"/>
        <scheme val="minor"/>
      </rPr>
      <t xml:space="preserve"> placement of utilities under paved surfaces instead of yards</t>
    </r>
  </si>
  <si>
    <r>
      <t xml:space="preserve">503.3(3) </t>
    </r>
    <r>
      <rPr>
        <sz val="10"/>
        <rFont val="Calibri"/>
        <family val="2"/>
        <scheme val="minor"/>
      </rPr>
      <t>Limits of clearing and grading are demarcated on the lot plan.</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</si>
  <si>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</si>
  <si>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r>
      <t xml:space="preserve">503.4(1) </t>
    </r>
    <r>
      <rPr>
        <sz val="10"/>
        <rFont val="Calibri"/>
        <family val="2"/>
        <scheme val="minor"/>
      </rPr>
      <t>Natural water and drainage features are preserved and used.</t>
    </r>
  </si>
  <si>
    <r>
      <t xml:space="preserve">503.4(2) </t>
    </r>
    <r>
      <rPr>
        <sz val="10"/>
        <rFont val="Calibri"/>
        <family val="2"/>
        <scheme val="minor"/>
      </rPr>
      <t>Facilities that minimize concentrated flows and simulate flows found in natural hydrology by the use of vegetative swales, french drains, wetlands, drywells, rain gardens, and similar infiltration features.</t>
    </r>
  </si>
  <si>
    <r>
      <t>503.4(3)(a)</t>
    </r>
    <r>
      <rPr>
        <sz val="10"/>
        <rFont val="Calibri"/>
        <family val="2"/>
        <scheme val="minor"/>
      </rPr>
      <t xml:space="preserve"> less than 25%</t>
    </r>
  </si>
  <si>
    <r>
      <t xml:space="preserve">503.4(3)(b) </t>
    </r>
    <r>
      <rPr>
        <sz val="10"/>
        <rFont val="Calibri"/>
        <family val="2"/>
        <scheme val="minor"/>
      </rPr>
      <t>25 to 75%</t>
    </r>
  </si>
  <si>
    <r>
      <t>503.4(3)(c)</t>
    </r>
    <r>
      <rPr>
        <sz val="10"/>
        <rFont val="Calibri"/>
        <family val="2"/>
        <scheme val="minor"/>
      </rPr>
      <t xml:space="preserve"> greater than 75%</t>
    </r>
  </si>
  <si>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site. Invasive plant species are not permitted.</t>
    </r>
  </si>
  <si>
    <r>
      <t>503.4(5)</t>
    </r>
    <r>
      <rPr>
        <sz val="10"/>
        <rFont val="Calibri"/>
        <family val="2"/>
        <scheme val="minor"/>
      </rPr>
      <t xml:space="preserve"> Stormwater management practices that manage rainfall on-site and prevent the off-site discharge from all storms up to and including the volume of the 95th percentile storm event.</t>
    </r>
  </si>
  <si>
    <t>503.5 A landscape plan for the lot is developed to limit water and energy use while preserving or enhancing the natural environment. (Where "front" only or "rear" only plan is implemented, only half of the points [rounding down to a whole number] are awarded for items 1-6)</t>
  </si>
  <si>
    <r>
      <t xml:space="preserve">503.5(1) </t>
    </r>
    <r>
      <rPr>
        <sz val="10"/>
        <rFont val="Calibri"/>
        <family val="2"/>
        <scheme val="minor"/>
      </rPr>
      <t>Where a lot is less than 50% turf, a plan is formulated to restore or enhance natural vegetation that is cleared during construction. Landscaping is phased to coincide with achievement of final grades to ensure denuded areas are quickly vegetated.</t>
    </r>
  </si>
  <si>
    <r>
      <t xml:space="preserve">503.5(2) </t>
    </r>
    <r>
      <rPr>
        <sz val="10"/>
        <rFont val="Calibri"/>
        <family val="2"/>
        <scheme val="minor"/>
      </rPr>
      <t>Turf grass species, other vegetation, and trees are selected and specified on the lot plan that are native or regionally appropriate for local growing conditions.</t>
    </r>
  </si>
  <si>
    <r>
      <t xml:space="preserve">503.5(3) </t>
    </r>
    <r>
      <rPr>
        <sz val="10"/>
        <rFont val="Calibri"/>
        <family val="2"/>
        <scheme val="minor"/>
      </rPr>
      <t>The percentage of turf areas that is designed to be mowed is limited and shown on the lot plan. The percentage is based on the landscaped area of the lot not including the home footprint, hardscape, and any undisturbed natural areas.</t>
    </r>
  </si>
  <si>
    <r>
      <t>503.5(3)(a)</t>
    </r>
    <r>
      <rPr>
        <sz val="10"/>
        <rFont val="Calibri"/>
        <family val="2"/>
        <scheme val="minor"/>
      </rPr>
      <t xml:space="preserve"> 0% or EPA WaterSense Water Budget Tool is used to determine the maximum percentage of turf areas</t>
    </r>
  </si>
  <si>
    <r>
      <t>503.5(3)(b)</t>
    </r>
    <r>
      <rPr>
        <sz val="10"/>
        <rFont val="Calibri"/>
        <family val="2"/>
        <scheme val="minor"/>
      </rPr>
      <t xml:space="preserve"> greater than 0% to less than 20%</t>
    </r>
  </si>
  <si>
    <r>
      <t>503.5(3)(c)</t>
    </r>
    <r>
      <rPr>
        <sz val="10"/>
        <rFont val="Calibri"/>
        <family val="2"/>
        <scheme val="minor"/>
      </rPr>
      <t xml:space="preserve"> 20% to less than 40%</t>
    </r>
  </si>
  <si>
    <r>
      <t>503.5(3)(d)</t>
    </r>
    <r>
      <rPr>
        <sz val="10"/>
        <rFont val="Calibri"/>
        <family val="2"/>
        <scheme val="minor"/>
      </rPr>
      <t xml:space="preserve"> 40% to 60%</t>
    </r>
  </si>
  <si>
    <r>
      <t xml:space="preserve">503.5(4) </t>
    </r>
    <r>
      <rPr>
        <sz val="10"/>
        <rFont val="Calibri"/>
        <family val="2"/>
        <scheme val="minor"/>
      </rPr>
      <t>Plants with similar watering needs are grouped (hydrozoning) and shown on the lot plan.</t>
    </r>
  </si>
  <si>
    <r>
      <t>503.5(5)</t>
    </r>
    <r>
      <rPr>
        <sz val="10"/>
        <rFont val="Calibri"/>
        <family val="2"/>
        <scheme val="minor"/>
      </rPr>
      <t xml:space="preserve"> 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5 years after planting.</t>
    </r>
  </si>
  <si>
    <r>
      <t xml:space="preserve">503.5(6) </t>
    </r>
    <r>
      <rPr>
        <sz val="10"/>
        <rFont val="Calibri"/>
        <family val="2"/>
        <scheme val="minor"/>
      </rPr>
      <t>Vegetative wind breaks or channels are designed to protect the lot and immediate surrounding lots as appropriate for local conditions.</t>
    </r>
  </si>
  <si>
    <r>
      <t xml:space="preserve">503.5(7) </t>
    </r>
    <r>
      <rPr>
        <sz val="10"/>
        <rFont val="Calibri"/>
        <family val="2"/>
        <scheme val="minor"/>
      </rPr>
      <t>On-site (or community generated) tree trimmings or stump grinding of regionally appropriate trees are used on the site to provide protective mulch during construction or for landscaping.</t>
    </r>
  </si>
  <si>
    <r>
      <t xml:space="preserve">503.5(8) </t>
    </r>
    <r>
      <rPr>
        <sz val="10"/>
        <rFont val="Calibri"/>
        <family val="2"/>
        <scheme val="minor"/>
      </rPr>
      <t>An integrated pest management plan is developed to minimize chemical use in pesticides and fertilizers.</t>
    </r>
  </si>
  <si>
    <r>
      <t xml:space="preserve">503.6(1) </t>
    </r>
    <r>
      <rPr>
        <sz val="10"/>
        <rFont val="Calibri"/>
        <family val="2"/>
        <scheme val="minor"/>
      </rPr>
      <t>Plants and gardens that will encourage wildlife, such as bird and butterfly gardens.</t>
    </r>
  </si>
  <si>
    <r>
      <t xml:space="preserve">503.6(2) </t>
    </r>
    <r>
      <rPr>
        <sz val="10"/>
        <rFont val="Calibri"/>
        <family val="2"/>
        <scheme val="minor"/>
      </rPr>
      <t>Inclusion of a certified "backyard wildlife" program.</t>
    </r>
  </si>
  <si>
    <r>
      <t xml:space="preserve">503.6(3) </t>
    </r>
    <r>
      <rPr>
        <sz val="10"/>
        <rFont val="Calibri"/>
        <family val="2"/>
        <scheme val="minor"/>
      </rPr>
      <t>Lots are adjacent to wildlife corridors, fish and game parks, or preserved areas and are designed with regard for this relationship.</t>
    </r>
  </si>
  <si>
    <r>
      <t xml:space="preserve">503.6(4) </t>
    </r>
    <r>
      <rPr>
        <sz val="10"/>
        <rFont val="Calibri"/>
        <family val="2"/>
        <scheme val="minor"/>
      </rPr>
      <t>Outdoor lighting techniques are utilized with regard for wildlife.</t>
    </r>
  </si>
  <si>
    <t>503.7 Environmentally sensitive areas.</t>
  </si>
  <si>
    <r>
      <t xml:space="preserve">503.7(1) </t>
    </r>
    <r>
      <rPr>
        <sz val="10"/>
        <rFont val="Calibri"/>
        <family val="2"/>
        <scheme val="minor"/>
      </rPr>
      <t xml:space="preserve"> The lot does not contain any environmentally sensitive areas that are disturbed by the construction.</t>
    </r>
  </si>
  <si>
    <r>
      <t>503.7(2)</t>
    </r>
    <r>
      <rPr>
        <sz val="10"/>
        <rFont val="Calibri"/>
        <family val="2"/>
        <scheme val="minor"/>
      </rPr>
      <t xml:space="preserve"> Compromised environmentally sensitive areas are mitigated or restored.</t>
    </r>
  </si>
  <si>
    <r>
      <t>504.1 On-site supervision and coordination is provided during clearing, grading, trenching, paving on the lot, and installation of utilities on the lot to ensure that specified green development practices are implemented. (</t>
    </r>
    <r>
      <rPr>
        <b/>
        <i/>
        <sz val="10"/>
        <rFont val="Calibri"/>
        <family val="2"/>
        <scheme val="minor"/>
      </rPr>
      <t>also see Section 503.3</t>
    </r>
    <r>
      <rPr>
        <b/>
        <sz val="10"/>
        <rFont val="Calibri"/>
        <family val="2"/>
        <scheme val="minor"/>
      </rPr>
      <t>)</t>
    </r>
  </si>
  <si>
    <t>504.2 Designated trees and vegetation are preserved by one or more of the following:</t>
  </si>
  <si>
    <r>
      <t>504.2(1)</t>
    </r>
    <r>
      <rPr>
        <sz val="10"/>
        <rFont val="Calibri"/>
        <family val="2"/>
        <scheme val="minor"/>
      </rPr>
      <t xml:space="preserve"> Fencing or equivalent is installed to protect trees and other vegetation.</t>
    </r>
  </si>
  <si>
    <r>
      <t>504.2(2)</t>
    </r>
    <r>
      <rPr>
        <sz val="10"/>
        <rFont val="Calibri"/>
        <family val="2"/>
        <scheme val="minor"/>
      </rPr>
      <t xml:space="preserve"> Trenching, significant changes in grade, and compaction of soil and critical root zones in all "tree save" areas as shown on the lot plan are avoided.</t>
    </r>
  </si>
  <si>
    <r>
      <t>504.2(3)</t>
    </r>
    <r>
      <rPr>
        <sz val="10"/>
        <rFont val="Calibri"/>
        <family val="2"/>
        <scheme val="minor"/>
      </rPr>
      <t xml:space="preserve"> Damage to designated existing trees and vegetation is mitigated during construction through pruning, root pruning, fertilizing, and watering.</t>
    </r>
  </si>
  <si>
    <t>504.3  On-site soil disturbance and erosion are minimized by one or more of the following in accordance with the SWPPP or applicable plan: (also see Section 503.3)</t>
  </si>
  <si>
    <r>
      <t>504.3(1)</t>
    </r>
    <r>
      <rPr>
        <sz val="10"/>
        <rFont val="Calibri"/>
        <family val="2"/>
        <scheme val="minor"/>
      </rPr>
      <t xml:space="preserve"> Sediment and erosion controls are installed on the lot and maintained in accordance with the storm water pollution prevention plan, where required.</t>
    </r>
  </si>
  <si>
    <r>
      <t>504.3(2)</t>
    </r>
    <r>
      <rPr>
        <sz val="10"/>
        <rFont val="Calibri"/>
        <family val="2"/>
        <scheme val="minor"/>
      </rPr>
      <t xml:space="preserve"> Limits of clearing and grading are staked out on the lot.</t>
    </r>
  </si>
  <si>
    <r>
      <t>504.3(3)</t>
    </r>
    <r>
      <rPr>
        <sz val="10"/>
        <rFont val="Calibri"/>
        <family val="2"/>
        <scheme val="minor"/>
      </rPr>
      <t xml:space="preserve"> "No disturbance" zones are created using fencing or flagging to protect vegetation and sensitive areas on the lot from construction activity.</t>
    </r>
  </si>
  <si>
    <r>
      <t>504.3(4)</t>
    </r>
    <r>
      <rPr>
        <sz val="10"/>
        <rFont val="Calibri"/>
        <family val="2"/>
        <scheme val="minor"/>
      </rPr>
      <t xml:space="preserve"> Topsoil from either the lot or the site development is stockpiled and stabilized for later use and used to establish landscape plantings on the lot.</t>
    </r>
  </si>
  <si>
    <r>
      <t>504.3(5)</t>
    </r>
    <r>
      <rPr>
        <sz val="10"/>
        <rFont val="Calibri"/>
        <family val="2"/>
        <scheme val="minor"/>
      </rPr>
      <t xml:space="preserve"> Soil compaction from construction equipment is reduced by distributing the weight of the equipment over a larger area (laying lightweight geogrids, mulch, chipped wood, plywood, OSB, metal plates, or other materials capable of weight distribution in the pathway of the equipment).</t>
    </r>
  </si>
  <si>
    <r>
      <t>504.3(6)</t>
    </r>
    <r>
      <rPr>
        <sz val="10"/>
        <rFont val="Calibri"/>
        <family val="2"/>
        <scheme val="minor"/>
      </rPr>
      <t xml:space="preserve"> Disturbed areas on the lot that are complete or to be left unworked for 21 days or more are stabilized within 14 days using methods as recommended by the EPA, or in the approved storm water pollution prevention plan, where required.</t>
    </r>
  </si>
  <si>
    <r>
      <t>504.3(7)</t>
    </r>
    <r>
      <rPr>
        <sz val="10"/>
        <rFont val="Calibri"/>
        <family val="2"/>
        <scheme val="minor"/>
      </rPr>
      <t xml:space="preserve"> Soil is improved with organic amendments and mulch.</t>
    </r>
  </si>
  <si>
    <r>
      <t>504.3(9)</t>
    </r>
    <r>
      <rPr>
        <sz val="10"/>
        <rFont val="Calibri"/>
        <family val="2"/>
        <scheme val="minor"/>
      </rPr>
      <t xml:space="preserve"> Inspection reports of storm water best management practices are available.</t>
    </r>
  </si>
  <si>
    <t>505.1  Driveways and parking areas. Driveways and parking areas are minimized by one or more of the following:</t>
  </si>
  <si>
    <r>
      <t xml:space="preserve">505.1(1) </t>
    </r>
    <r>
      <rPr>
        <sz val="10"/>
        <rFont val="Calibri"/>
        <family val="2"/>
        <scheme val="minor"/>
      </rPr>
      <t>Off-street parking areas are shared or driveways are shared. Waivers or variances from local development regulations are obtained to implement such practices, if required.</t>
    </r>
  </si>
  <si>
    <r>
      <t xml:space="preserve">505.1(2) </t>
    </r>
    <r>
      <rPr>
        <sz val="10"/>
        <rFont val="Calibri"/>
        <family val="2"/>
        <scheme val="minor"/>
      </rPr>
      <t>In a multi-unit project, parking capacity is not to exceed the local minimum requirements.</t>
    </r>
  </si>
  <si>
    <r>
      <t xml:space="preserve">505.1(3) </t>
    </r>
    <r>
      <rPr>
        <sz val="10"/>
        <rFont val="Calibri"/>
        <family val="2"/>
        <scheme val="minor"/>
      </rPr>
      <t>Structured parking is utilized to reduce the footprint of surface parking areas.</t>
    </r>
  </si>
  <si>
    <r>
      <t xml:space="preserve">505.1(3)(a) </t>
    </r>
    <r>
      <rPr>
        <sz val="10"/>
        <rFont val="Calibri"/>
        <family val="2"/>
        <scheme val="minor"/>
      </rPr>
      <t>25% to less than 50%</t>
    </r>
  </si>
  <si>
    <r>
      <t xml:space="preserve">505.1(3)(b) </t>
    </r>
    <r>
      <rPr>
        <sz val="10"/>
        <rFont val="Calibri"/>
        <family val="2"/>
        <scheme val="minor"/>
      </rPr>
      <t>50% to 75%</t>
    </r>
  </si>
  <si>
    <r>
      <t xml:space="preserve">505.1(3)( c) </t>
    </r>
    <r>
      <rPr>
        <sz val="10"/>
        <rFont val="Calibri"/>
        <family val="2"/>
        <scheme val="minor"/>
      </rPr>
      <t>greater than 75%</t>
    </r>
  </si>
  <si>
    <t>505.2 Heat island effect is mitigated by the following:</t>
  </si>
  <si>
    <r>
      <t xml:space="preserve">505.2(1) Hardscape: Not less than 50 percent of the surface area of the hardscape on the lot meets one or a combination of the following methods.
     (a) </t>
    </r>
    <r>
      <rPr>
        <sz val="10"/>
        <rFont val="Calibri"/>
        <family val="2"/>
        <scheme val="minor"/>
      </rPr>
      <t>Shading of hardscaping: Shade is provided from existing or new vegetation (within five years) or from trellises. Shade of hardscaping is to be measured on the summer solstice at noon.</t>
    </r>
    <r>
      <rPr>
        <b/>
        <sz val="10"/>
        <rFont val="Calibri"/>
        <family val="2"/>
        <scheme val="minor"/>
      </rPr>
      <t xml:space="preserve">
     (b)</t>
    </r>
    <r>
      <rPr>
        <sz val="10"/>
        <rFont val="Calibri"/>
        <family val="2"/>
        <scheme val="minor"/>
      </rPr>
      <t xml:space="preserve">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t>
    </r>
    <r>
      <rPr>
        <b/>
        <sz val="10"/>
        <rFont val="Calibri"/>
        <family val="2"/>
        <scheme val="minor"/>
      </rPr>
      <t xml:space="preserve">
     (c) </t>
    </r>
    <r>
      <rPr>
        <sz val="10"/>
        <rFont val="Calibri"/>
        <family val="2"/>
        <scheme val="minor"/>
      </rPr>
      <t>Permeable hardscaping: Permeable hardscaping materials are installed.</t>
    </r>
  </si>
  <si>
    <r>
      <t xml:space="preserve">505.2(2) Roofs: Not less than 75% of the exposed surface of the roof meets one or a combination of the following methods.
     (a) </t>
    </r>
    <r>
      <rPr>
        <sz val="10"/>
        <rFont val="Calibri"/>
        <family val="2"/>
        <scheme val="minor"/>
      </rPr>
      <t>Minimum initial SRI of 78 for a low-sloped roof (a slope less than or equal to 2:12) and a minimum initial (SRI) of 29 for a steep-sloped roof (a slope of more than 2:12). The SRI shall be calculated in accordance with ASTM E1980. Roof products shall be labeled and certified.</t>
    </r>
    <r>
      <rPr>
        <b/>
        <sz val="10"/>
        <rFont val="Calibri"/>
        <family val="2"/>
        <scheme val="minor"/>
      </rPr>
      <t xml:space="preserve">
     (b) </t>
    </r>
    <r>
      <rPr>
        <sz val="10"/>
        <rFont val="Calibri"/>
        <family val="2"/>
        <scheme val="minor"/>
      </rPr>
      <t>Roof is vegetated using technology capable of withstanding the climate conditions of the jurisdiction and the microclimate conditions of the building site. Invasive plant species are not permitted.</t>
    </r>
  </si>
  <si>
    <t>505.3 Density. The average density on the lot on a net developable area basis is:</t>
  </si>
  <si>
    <r>
      <t xml:space="preserve">505.3(1) </t>
    </r>
    <r>
      <rPr>
        <sz val="10"/>
        <color theme="1"/>
        <rFont val="Calibri"/>
        <family val="2"/>
        <scheme val="minor"/>
      </rPr>
      <t>7 to less than 14 dwelling units per acre (per 4047 m</t>
    </r>
    <r>
      <rPr>
        <vertAlign val="superscript"/>
        <sz val="10"/>
        <color theme="1"/>
        <rFont val="Calibri"/>
        <family val="2"/>
        <scheme val="minor"/>
      </rPr>
      <t>2</t>
    </r>
    <r>
      <rPr>
        <sz val="10"/>
        <color theme="1"/>
        <rFont val="Calibri"/>
        <family val="2"/>
        <scheme val="minor"/>
      </rPr>
      <t>)</t>
    </r>
  </si>
  <si>
    <r>
      <t xml:space="preserve">505.3(2) </t>
    </r>
    <r>
      <rPr>
        <sz val="10"/>
        <color theme="1"/>
        <rFont val="Calibri"/>
        <family val="2"/>
        <scheme val="minor"/>
      </rPr>
      <t>14 to less than 21 dwelling units per acre (per 4047 m</t>
    </r>
    <r>
      <rPr>
        <vertAlign val="superscript"/>
        <sz val="10"/>
        <color theme="1"/>
        <rFont val="Calibri"/>
        <family val="2"/>
        <scheme val="minor"/>
      </rPr>
      <t>2</t>
    </r>
    <r>
      <rPr>
        <sz val="10"/>
        <color theme="1"/>
        <rFont val="Calibri"/>
        <family val="2"/>
        <scheme val="minor"/>
      </rPr>
      <t>)</t>
    </r>
  </si>
  <si>
    <r>
      <t xml:space="preserve">505.3(3) </t>
    </r>
    <r>
      <rPr>
        <sz val="10"/>
        <color theme="1"/>
        <rFont val="Calibri"/>
        <family val="2"/>
        <scheme val="minor"/>
      </rPr>
      <t>21 or greater dwelling units per acre (per 4047 m</t>
    </r>
    <r>
      <rPr>
        <vertAlign val="superscript"/>
        <sz val="10"/>
        <color theme="1"/>
        <rFont val="Calibri"/>
        <family val="2"/>
        <scheme val="minor"/>
      </rPr>
      <t>2</t>
    </r>
    <r>
      <rPr>
        <sz val="10"/>
        <color theme="1"/>
        <rFont val="Calibri"/>
        <family val="2"/>
        <scheme val="minor"/>
      </rPr>
      <t>)</t>
    </r>
  </si>
  <si>
    <t>505.4 Mixed-use development. The lot contains a mixed-use building.</t>
  </si>
  <si>
    <t>505.5 Community garden(s). A portion of the lot is established as a community garden(s), available to residents of the lot, to provide for local food production to residents or area consumers.</t>
  </si>
  <si>
    <t>No tile in wet areas</t>
  </si>
  <si>
    <t>Natural draft furnaces, boilers or water heaters are not located in conditioned spaces, including conditioned crawlspaces. Natural draft furnaces, boilers and water heaters are permitted to be installed within the conditioned spaces if located in a mechanical room that has an outdoor air source, and is otherwise sealed and insulated to separate it from the conditioned space(s).</t>
  </si>
  <si>
    <t>Drop Downs - Chapter 9</t>
  </si>
  <si>
    <t>901.1.1</t>
  </si>
  <si>
    <t>No natural draft</t>
  </si>
  <si>
    <t>Formulas - Chapter 9</t>
  </si>
  <si>
    <r>
      <t xml:space="preserve">The following combustion space heating or water heating equipment is installed within conditioned space:
</t>
    </r>
    <r>
      <rPr>
        <b/>
        <u/>
        <sz val="10"/>
        <color theme="1"/>
        <rFont val="Calibri"/>
        <family val="2"/>
        <scheme val="minor"/>
      </rPr>
      <t>Claim points for all that apply from (1)-(2) below:</t>
    </r>
  </si>
  <si>
    <t>All furnaces or all boilers are power vent or direct vent</t>
  </si>
  <si>
    <t>power vent = 3 pts
direct vent = 5pts</t>
  </si>
  <si>
    <t>901.1.3_1</t>
  </si>
  <si>
    <t>Power vent</t>
  </si>
  <si>
    <t>Direct vent</t>
  </si>
  <si>
    <t>All water heaters are power vent or direct vent</t>
  </si>
  <si>
    <t>901.1.3_2</t>
  </si>
  <si>
    <t>Natural gas and propane fireplaces are direct vented, have permanently fixed glass fronts or gasketed doors, and comply with CSA ANSI Z21.88/CSA 2.33 or CSA ANSI Z21.50b/CSA 2.22b.</t>
  </si>
  <si>
    <t>901.1.6</t>
  </si>
  <si>
    <t>Unconditioned space</t>
  </si>
  <si>
    <t>Conditioned space</t>
  </si>
  <si>
    <t>unconditioned = 2
conditioned = 5</t>
  </si>
  <si>
    <t>Solid fuel-burning appliances.</t>
  </si>
  <si>
    <t>Site-built masonry wood-burning fireplaces are equipped with outside combustion air and a means of sealing the flue and the combustion air outlets to minimize interior air (heat) loss when not in operation.</t>
  </si>
  <si>
    <t>901.2.1_1</t>
  </si>
  <si>
    <t>901.2.1_2</t>
  </si>
  <si>
    <t>901.2.1_3</t>
  </si>
  <si>
    <t>901.2.1_4</t>
  </si>
  <si>
    <t>901.2.1_5</t>
  </si>
  <si>
    <r>
      <rPr>
        <b/>
        <sz val="10"/>
        <color rgb="FFFF0000"/>
        <rFont val="Calibri"/>
        <family val="2"/>
      </rPr>
      <t>NOTE:</t>
    </r>
    <r>
      <rPr>
        <sz val="10"/>
        <rFont val="Calibri"/>
        <family val="2"/>
      </rPr>
      <t xml:space="preserve"> Site-built masonry wood-burning fireplaces must be installed to claim points for 901.2.1(1).
If points are claimed for 901.2.1(1), points cannot be claimed for 901.2.2.</t>
    </r>
  </si>
  <si>
    <r>
      <rPr>
        <b/>
        <sz val="10"/>
        <color rgb="FFFF0000"/>
        <rFont val="Calibri"/>
        <family val="2"/>
      </rPr>
      <t>NOTE:</t>
    </r>
    <r>
      <rPr>
        <sz val="10"/>
        <rFont val="Calibri"/>
        <family val="2"/>
      </rPr>
      <t xml:space="preserve"> Factory-built, wood-burning fireplaces must be installed to claim points for 901.2.1(2).
If points are claimed for 901.2.1(2), points cannot be claimed for 901.2.2.</t>
    </r>
  </si>
  <si>
    <r>
      <rPr>
        <b/>
        <sz val="10"/>
        <color rgb="FFFF0000"/>
        <rFont val="Calibri"/>
        <family val="2"/>
      </rPr>
      <t>NOTE:</t>
    </r>
    <r>
      <rPr>
        <sz val="10"/>
        <rFont val="Calibri"/>
        <family val="2"/>
      </rPr>
      <t xml:space="preserve"> Wood stove &amp; fireplace inserts must be installed to claim points for 901.2.1(3).
If points are claimed for 901.2.1(3), points cannot be claimed for 901.2.2.</t>
    </r>
  </si>
  <si>
    <r>
      <rPr>
        <b/>
        <sz val="10"/>
        <color rgb="FFFF0000"/>
        <rFont val="Calibri"/>
        <family val="2"/>
      </rPr>
      <t>NOTE:</t>
    </r>
    <r>
      <rPr>
        <sz val="10"/>
        <rFont val="Calibri"/>
        <family val="2"/>
      </rPr>
      <t xml:space="preserve"> Pellet stoves &amp; furnaces must be installed to claim points for 901.2.1(4).
If points are claimed for 901.2.1(4), points cannot be claimed for 901.2.2.</t>
    </r>
  </si>
  <si>
    <r>
      <rPr>
        <b/>
        <sz val="10"/>
        <color rgb="FFFF0000"/>
        <rFont val="Calibri"/>
        <family val="2"/>
      </rPr>
      <t>NOTE:</t>
    </r>
    <r>
      <rPr>
        <sz val="10"/>
        <rFont val="Calibri"/>
        <family val="2"/>
      </rPr>
      <t xml:space="preserve"> Masonry heaters must be installed to claim points for 901.2.1(5). 
If points are claimed for 901.2.1(5), points cannot be claimed for 901.2.2.</t>
    </r>
  </si>
  <si>
    <r>
      <rPr>
        <b/>
        <sz val="10"/>
        <color rgb="FFFF0000"/>
        <rFont val="Calibri"/>
        <family val="2"/>
      </rPr>
      <t>NOTE:</t>
    </r>
    <r>
      <rPr>
        <sz val="10"/>
        <rFont val="Calibri"/>
        <family val="2"/>
      </rPr>
      <t xml:space="preserve"> If points are claimed for 901.2.2, points cannot be claimed for 901.2.1(1)-(5).</t>
    </r>
  </si>
  <si>
    <t>Wood stove and fireplace inserts, as defined in UL 1482 Section 3.8, are in accordance with the certification requirements of UL 1482 and are in accordance with the emission requirements of the EPA Certification and the State of Washington WAC 173-433-100(3).</t>
  </si>
  <si>
    <t>901.3_1_a</t>
  </si>
  <si>
    <t>901.3_1_b</t>
  </si>
  <si>
    <t>No attached garage</t>
  </si>
  <si>
    <t>901.4_1</t>
  </si>
  <si>
    <t>901.4_2</t>
  </si>
  <si>
    <t>1 group</t>
  </si>
  <si>
    <t>2 groups</t>
  </si>
  <si>
    <t>3 groups</t>
  </si>
  <si>
    <t>4 groups</t>
  </si>
  <si>
    <t>901.4_3</t>
  </si>
  <si>
    <t>901.4_4</t>
  </si>
  <si>
    <t>4+ groups</t>
  </si>
  <si>
    <t>5+ groups</t>
  </si>
  <si>
    <t>901.4_5</t>
  </si>
  <si>
    <t>3+ groups</t>
  </si>
  <si>
    <t>901.4_6</t>
  </si>
  <si>
    <t>All parts of the cabinet are made of solid wood or non-formaldehyde emitting materials such as metal or glass.</t>
  </si>
  <si>
    <t>The composite wood used in wood cabinets are in accordance with CARB Composite Wood Air Toxic Contaminant Measure Standard or equivalent as certified by a third-party program such as but not limited to, those in Appendix D.</t>
  </si>
  <si>
    <t>composite wood</t>
  </si>
  <si>
    <t>901.6_1</t>
  </si>
  <si>
    <t>See Appendix D</t>
  </si>
  <si>
    <t>Site-applied interior architectural coatings, which are inside the water proofing envelope, are in accordance with one or more of the following:
     (1) Zero VOC as determined by EPA Method 24 (VOC content below the detection limit for the method)
     (2) GreenSeal GS-11 Standard for Paints and Coatings
     (3) CARB Suggested Control Measure for Architectural Coatings (see Table 901.9.1).</t>
  </si>
  <si>
    <t>See Table 901.9.1</t>
  </si>
  <si>
    <t>Architectural coating colorant additive VOC content is in accordance with Table 901.9.2.</t>
  </si>
  <si>
    <t>Table 901.9.2: VOC content limits for colorants</t>
  </si>
  <si>
    <t>Colorant</t>
  </si>
  <si>
    <t>Architectural Coatings, excluding IM Coatings</t>
  </si>
  <si>
    <t>Solvent-Based IM</t>
  </si>
  <si>
    <t>Waterborne IM</t>
  </si>
  <si>
    <t>LIMIT (g/l)</t>
  </si>
  <si>
    <r>
      <rPr>
        <b/>
        <sz val="10"/>
        <color rgb="FFFF0000"/>
        <rFont val="Calibri"/>
        <family val="2"/>
      </rPr>
      <t>NOTE:</t>
    </r>
    <r>
      <rPr>
        <sz val="10"/>
        <rFont val="Calibri"/>
        <family val="2"/>
      </rPr>
      <t xml:space="preserve"> If points are claimed for 901.9.1, points cannot be claimed for 901.9.3.</t>
    </r>
  </si>
  <si>
    <r>
      <rPr>
        <b/>
        <sz val="10"/>
        <color rgb="FFFF0000"/>
        <rFont val="Calibri"/>
        <family val="2"/>
      </rPr>
      <t>NOTE:</t>
    </r>
    <r>
      <rPr>
        <sz val="10"/>
        <rFont val="Calibri"/>
        <family val="2"/>
      </rPr>
      <t xml:space="preserve"> If points are claimed for 901.9.3, points cannot be claimed for 901.9.1.</t>
    </r>
  </si>
  <si>
    <t>GreenSeal GS-36 Adhesives for Commercial Use.</t>
  </si>
  <si>
    <t>SCAQMD Rule 1168 (see Table 901.10(3)), excluding products that are sold in 16 ounce containers or less and are regulated by the California Air Resources Board (CARB) Consumer Products Regulations.</t>
  </si>
  <si>
    <t>901.10</t>
  </si>
  <si>
    <t>GreenSeal GS-36</t>
  </si>
  <si>
    <t>SCAQMD Rule 1168</t>
  </si>
  <si>
    <r>
      <rPr>
        <b/>
        <sz val="10"/>
        <color theme="1"/>
        <rFont val="Calibri"/>
        <family val="2"/>
        <scheme val="minor"/>
      </rPr>
      <t>Carbon monoxide (CO) alarms</t>
    </r>
    <r>
      <rPr>
        <sz val="10"/>
        <color theme="1"/>
        <rFont val="Calibri"/>
        <family val="2"/>
        <scheme val="minor"/>
      </rPr>
      <t>. Where not required by local codes, a carbon monoxide (CO) alarm is installed in a central location outside of each separate sleeping area in the immediate vicinity of the bedrooms. The CO alarm(s) is located in accordance with NFPA 720 and is hard-wired with a battery back-up. The alarm device(s) is certified by a third-party for conformance to either CSA 6.19 or UL 2034.</t>
    </r>
  </si>
  <si>
    <r>
      <rPr>
        <b/>
        <sz val="10"/>
        <color theme="1"/>
        <rFont val="Calibri"/>
        <family val="2"/>
        <scheme val="minor"/>
      </rPr>
      <t>Building entrance pollutants control</t>
    </r>
    <r>
      <rPr>
        <sz val="10"/>
        <color theme="1"/>
        <rFont val="Calibri"/>
        <family val="2"/>
        <scheme val="minor"/>
      </rPr>
      <t>. Pollutants are controlled at all main building entrances by one of the following methods:</t>
    </r>
    <r>
      <rPr>
        <b/>
        <i/>
        <sz val="10"/>
        <color theme="1"/>
        <rFont val="Calibri"/>
        <family val="2"/>
        <scheme val="minor"/>
      </rPr>
      <t xml:space="preserve">
</t>
    </r>
    <r>
      <rPr>
        <b/>
        <u/>
        <sz val="10"/>
        <color theme="1"/>
        <rFont val="Calibri"/>
        <family val="2"/>
        <scheme val="minor"/>
      </rPr>
      <t>Claim points for only one from (1)-(2) below:</t>
    </r>
  </si>
  <si>
    <t>Exterior grilles</t>
  </si>
  <si>
    <t>Interior grilles</t>
  </si>
  <si>
    <r>
      <rPr>
        <b/>
        <sz val="10"/>
        <color rgb="FFFF0000"/>
        <rFont val="Calibri"/>
        <family val="2"/>
      </rPr>
      <t>NOTE:</t>
    </r>
    <r>
      <rPr>
        <sz val="10"/>
        <rFont val="Calibri"/>
        <family val="2"/>
      </rPr>
      <t xml:space="preserve"> Points for 901.14 awarded for </t>
    </r>
    <r>
      <rPr>
        <b/>
        <i/>
        <sz val="11"/>
        <rFont val="Calibri"/>
        <family val="2"/>
      </rPr>
      <t>multi-unit buildings</t>
    </r>
    <r>
      <rPr>
        <sz val="10"/>
        <rFont val="Calibri"/>
        <family val="2"/>
      </rPr>
      <t xml:space="preserve"> only.</t>
    </r>
  </si>
  <si>
    <r>
      <rPr>
        <b/>
        <sz val="10"/>
        <color theme="1"/>
        <rFont val="Calibri"/>
        <family val="2"/>
        <scheme val="minor"/>
      </rPr>
      <t>Intent</t>
    </r>
    <r>
      <rPr>
        <sz val="10"/>
        <color theme="1"/>
        <rFont val="Calibri"/>
        <family val="2"/>
        <scheme val="minor"/>
      </rPr>
      <t>. Pollutants generated in the building are controlled.</t>
    </r>
  </si>
  <si>
    <t>902.1.1_1</t>
  </si>
  <si>
    <t>902.1.1_2</t>
  </si>
  <si>
    <t>No clothes dryer</t>
  </si>
  <si>
    <r>
      <t xml:space="preserve">Bathrooms are vented to the outdoors. The minimum ventilation rate is 50 cfm (23.6 L/s) for intermittent operation or 20 cfm (9.4 L/s) for continuous operation in bathrooms.
</t>
    </r>
    <r>
      <rPr>
        <b/>
        <sz val="10"/>
        <color theme="1"/>
        <rFont val="Calibri"/>
        <family val="2"/>
        <scheme val="minor"/>
      </rPr>
      <t>Points are awarded only if a code-compliant window is provided in addition to mechanical ventilation.</t>
    </r>
  </si>
  <si>
    <t>Bathroom and/or laundry exhaust fan is provided with an automatic timer and/or humidistat.</t>
  </si>
  <si>
    <r>
      <rPr>
        <b/>
        <sz val="10"/>
        <color rgb="FFFF0000"/>
        <rFont val="Calibri"/>
        <family val="2"/>
      </rPr>
      <t>NOTE:</t>
    </r>
    <r>
      <rPr>
        <sz val="10"/>
        <rFont val="Calibri"/>
        <family val="2"/>
      </rPr>
      <t xml:space="preserve"> In the assigned Notes area, indicate whether a timer, humidistat, or both provided.</t>
    </r>
  </si>
  <si>
    <t>1 device = 5pts
2 devices = 7pts
3 devices = 9 pts
4+ devices = 11pts</t>
  </si>
  <si>
    <t>1 device</t>
  </si>
  <si>
    <t>2 devices</t>
  </si>
  <si>
    <t>3 devices</t>
  </si>
  <si>
    <t>4+ devices</t>
  </si>
  <si>
    <t>2 pts per fan</t>
  </si>
  <si>
    <t>3 pts per fan</t>
  </si>
  <si>
    <t>ENERGY STAR (or equivalent) fans operating at or below 1 sone</t>
  </si>
  <si>
    <t>ENERGY STAR® (or equivalent) fans</t>
  </si>
  <si>
    <t>902.1.4_1</t>
  </si>
  <si>
    <t>902.1.4_2</t>
  </si>
  <si>
    <t>1 fan</t>
  </si>
  <si>
    <t>2 fans</t>
  </si>
  <si>
    <t>3 fans</t>
  </si>
  <si>
    <t>4 fans</t>
  </si>
  <si>
    <t>5 fans</t>
  </si>
  <si>
    <t>6+ fans</t>
  </si>
  <si>
    <t>4+ fans</t>
  </si>
  <si>
    <t>902.2.1</t>
  </si>
  <si>
    <r>
      <t xml:space="preserve">One of the following whole building ventilation systems is implemented and is in accordance with the specifications of Appendix B.
</t>
    </r>
    <r>
      <rPr>
        <b/>
        <u/>
        <sz val="10"/>
        <color theme="1"/>
        <rFont val="Calibri"/>
        <family val="2"/>
        <scheme val="minor"/>
      </rPr>
      <t>Mandatory where the maximum air infiltration rate is less than 5 ACH50.</t>
    </r>
  </si>
  <si>
    <t>ready for continuous operation</t>
  </si>
  <si>
    <t>balanced exhaust &amp; supply fans with supply intakes</t>
  </si>
  <si>
    <t>heat-recovery ventilator</t>
  </si>
  <si>
    <t>energy-recovery ventilator</t>
  </si>
  <si>
    <t>N/A - air infiltration rate greater than 5 ACH50</t>
  </si>
  <si>
    <t>Ventilation airflow is tested to achieve the design fan airflow at point of exhaust in accordance with section 902.2.1.</t>
  </si>
  <si>
    <t>MERV filters 8 or greater are installed on central forced air systems and are accessible. Designer or installer is to verify that the HVAC equipment is able to accommodate the greater pressure drop of MERV 8 filters.</t>
  </si>
  <si>
    <r>
      <rPr>
        <b/>
        <sz val="10"/>
        <color theme="1"/>
        <rFont val="Calibri"/>
        <family val="2"/>
        <scheme val="minor"/>
      </rPr>
      <t>Humidity monitoring system</t>
    </r>
    <r>
      <rPr>
        <sz val="10"/>
        <color theme="1"/>
        <rFont val="Calibri"/>
        <family val="2"/>
        <scheme val="minor"/>
      </rPr>
      <t>. 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</si>
  <si>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rPr>
        <b/>
        <sz val="10"/>
        <color theme="1"/>
        <rFont val="Calibri"/>
        <family val="2"/>
        <scheme val="minor"/>
      </rPr>
      <t>Kitchen exhaust.</t>
    </r>
    <r>
      <rPr>
        <sz val="10"/>
        <color theme="1"/>
        <rFont val="Calibri"/>
        <family val="2"/>
        <scheme val="minor"/>
      </rPr>
      <t xml:space="preserve"> Kitchen exhaust unit(s) that equal or exceeds 400 cfm (189 L/s), and make-up air is provided.
</t>
    </r>
  </si>
  <si>
    <r>
      <rPr>
        <b/>
        <sz val="10"/>
        <color theme="1"/>
        <rFont val="Calibri"/>
        <family val="2"/>
        <scheme val="minor"/>
      </rPr>
      <t>Relative humidity</t>
    </r>
    <r>
      <rPr>
        <sz val="10"/>
        <color theme="1"/>
        <rFont val="Calibri"/>
        <family val="2"/>
        <scheme val="minor"/>
      </rPr>
      <t>. In climate zones 1A, 2A, 3A, 4A, and 5A as defined by Figure 6(1), equipment is installed to maintain relative humidity (RH) at or below 60% using one of the following:</t>
    </r>
    <r>
      <rPr>
        <sz val="10"/>
        <color theme="1"/>
        <rFont val="Calibri"/>
        <family val="2"/>
        <scheme val="minor"/>
      </rPr>
      <t xml:space="preserve">
</t>
    </r>
  </si>
  <si>
    <t>central HVAC system with dehumidification mode</t>
  </si>
  <si>
    <t>additional dehumidification system</t>
  </si>
  <si>
    <r>
      <rPr>
        <b/>
        <sz val="10"/>
        <color theme="1"/>
        <rFont val="Calibri"/>
        <family val="2"/>
        <scheme val="minor"/>
      </rPr>
      <t>Duct insulation</t>
    </r>
    <r>
      <rPr>
        <sz val="10"/>
        <color theme="1"/>
        <rFont val="Calibri"/>
        <family val="2"/>
        <scheme val="minor"/>
      </rPr>
      <t>. Ducts are in accordance with one of the following.</t>
    </r>
  </si>
  <si>
    <t>All HVAC ducts, plenums, and trunks are in conditioned space.</t>
  </si>
  <si>
    <t>All HVAC ducts, plenums, and trunks are in conditioned space. All HVAC ducts are insulated to a minimum of R4.</t>
  </si>
  <si>
    <t>Ducts in conditioned space</t>
  </si>
  <si>
    <t>Ducts insulated to at least R4 and in conditioned space</t>
  </si>
  <si>
    <t>Cold water pipes insulated in unconditioned spaces</t>
  </si>
  <si>
    <t>Plumbing not installed in unconditioned spaces</t>
  </si>
  <si>
    <r>
      <rPr>
        <b/>
        <sz val="10"/>
        <color theme="1"/>
        <rFont val="Calibri"/>
        <family val="2"/>
        <scheme val="minor"/>
      </rPr>
      <t>Intent</t>
    </r>
    <r>
      <rPr>
        <sz val="10"/>
        <color theme="1"/>
        <rFont val="Calibri"/>
        <family val="2"/>
        <scheme val="minor"/>
      </rPr>
      <t>. Moisture and moisture effects are controlled.</t>
    </r>
  </si>
  <si>
    <r>
      <rPr>
        <b/>
        <sz val="10"/>
        <color theme="1"/>
        <rFont val="Calibri"/>
        <family val="2"/>
        <scheme val="minor"/>
      </rPr>
      <t>Living space contaminants</t>
    </r>
    <r>
      <rPr>
        <sz val="10"/>
        <color theme="1"/>
        <rFont val="Calibri"/>
        <family val="2"/>
        <scheme val="minor"/>
      </rPr>
      <t>. The living space is sealed to prevent unwanted contaminants.The living space is sealed in accordance with Section 701.4.3.1 to prevent unwanted contaminants.</t>
    </r>
  </si>
  <si>
    <t>Registers covered during construction</t>
  </si>
  <si>
    <t>Not Zone 1</t>
  </si>
  <si>
    <t>902.3_1</t>
  </si>
  <si>
    <t>Passive radon system</t>
  </si>
  <si>
    <t>Active radon system</t>
  </si>
  <si>
    <t>Buildings located in Radon Zone 1 have a radon system installed.</t>
  </si>
  <si>
    <r>
      <rPr>
        <b/>
        <sz val="10"/>
        <rFont val="Calibri"/>
        <family val="2"/>
        <scheme val="minor"/>
      </rPr>
      <t>Intent</t>
    </r>
    <r>
      <rPr>
        <sz val="10"/>
        <rFont val="Calibri"/>
        <family val="2"/>
        <scheme val="minor"/>
      </rPr>
      <t>. Pollutant sources are controlled.</t>
    </r>
  </si>
  <si>
    <t>Registers vacuumed before occupancy</t>
  </si>
  <si>
    <t>Total Project</t>
  </si>
  <si>
    <t>Appendix D: Examples of Third-Party Programs  for Indoor Environmental Quality</t>
  </si>
  <si>
    <t>NGBS Section</t>
  </si>
  <si>
    <t>Example Third-party Certification Programs Compliant with the Corresponding Section</t>
  </si>
  <si>
    <t>901.5 Cabinets</t>
  </si>
  <si>
    <t>Kitchen Cabinet Manufacturers Association (KCMA) Environmental Stewardship Program (ESP)</t>
  </si>
  <si>
    <t>901.6 Carpets</t>
  </si>
  <si>
    <t>Carpet and Rug Institute’s (CRI) Green Label Plus Indoor Air Quality Program</t>
  </si>
  <si>
    <t>901.7 Hard-surface flooring</t>
  </si>
  <si>
    <t>GREENGUARD Environmental Institute Children &amp; Schools Certification Program</t>
  </si>
  <si>
    <t>Resilient Floor Covering Institute’s FloorScore Indoor Air Certification Program</t>
  </si>
  <si>
    <t>901.8 Wall coverings</t>
  </si>
  <si>
    <t>Scientific Certification Systems (SCS) Indoor Advantage Gold Program</t>
  </si>
  <si>
    <t>901.9 Architectural coatings</t>
  </si>
  <si>
    <t>Green Seal-11 Standard for Paints and Coatings</t>
  </si>
  <si>
    <t>EcoLogo CCD-047</t>
  </si>
  <si>
    <t>901.10 Adhesives and sealants</t>
  </si>
  <si>
    <t>GREENGUARD Environmental Institute Children and Schools Certification Program</t>
  </si>
  <si>
    <t>Scientific Certifications Systems (SCS) Indoor Advantage Gold Program</t>
  </si>
  <si>
    <t>Green Seal-36 Standard for Adhesives for Commercial Use</t>
  </si>
  <si>
    <t>901.11 Insulation</t>
  </si>
  <si>
    <t>TABLE D1: Example Third-party Certification Programs</t>
  </si>
  <si>
    <t>TABLE D2: Contact Information for the Example Third-party Certification Programs</t>
  </si>
  <si>
    <t>Third-party Certification Program</t>
  </si>
  <si>
    <t>Contact Information for the Program Administrator</t>
  </si>
  <si>
    <t>Kitchen Cabinet Manufacturers Association
1899 Preston White Drive
Reston, VA 20191
www.kcma.org
(703) 264-1690</t>
  </si>
  <si>
    <t>Carpet and Rug Institute
730 College Drive
Dalton, Georgia 30720
United States of America
http://www.carpet-rug.org
(706) 278-3176</t>
  </si>
  <si>
    <t>GREENGUARD Environmental Institute
2211 Newmarket Parkway, Suite 110
Marietta, GA 30067
http://www.greenguard.org
(800) 427-9681</t>
  </si>
  <si>
    <t>Resilient Floor Covering Institute
115 Broad Street
Suite 201
LaGrange, Georgia 30240
http://www.rfci.com</t>
  </si>
  <si>
    <t>Scientific Certification Systems
2000 Powell Street, Suite 600
Emeryville, California 94608
http://www.scscertified.com
(510) 452-8000</t>
  </si>
  <si>
    <t>Green Seal
1001 Connecticut Avenue, NW
Suite 827
Washington, DC 20036-5525
http://www.greenseal.org/
(202) 872-6400</t>
  </si>
  <si>
    <t>EcoLogo Program
171 Nepean Street, Suite 400
Ottawa, ON, K2P 0B4, CANADA
http://www.ecologo.org /
(800) 478-0399</t>
  </si>
  <si>
    <t>ADHESIVE</t>
  </si>
  <si>
    <t>Indoor carpet adhesives</t>
  </si>
  <si>
    <t>Carpet pad adhesives</t>
  </si>
  <si>
    <t>Outdoor carpet adhesives</t>
  </si>
  <si>
    <t>Wood flooring adhesive</t>
  </si>
  <si>
    <t>Rubber floor adhesives</t>
  </si>
  <si>
    <t>Subfloor adhesives</t>
  </si>
  <si>
    <t>Ceramic tile adhesives</t>
  </si>
  <si>
    <t>VCT and asphalt tile adhesives</t>
  </si>
  <si>
    <t>Dry wall and panel adhesives</t>
  </si>
  <si>
    <t>Cove base adhesives</t>
  </si>
  <si>
    <t>Multipurpose construction adhesives</t>
  </si>
  <si>
    <t>Structural glazing adhesives</t>
  </si>
  <si>
    <t>Single ply roof membrane adhesives</t>
  </si>
  <si>
    <t>Architectural Sealants</t>
  </si>
  <si>
    <t>Modified Bituminous Sealant Primer</t>
  </si>
  <si>
    <t>Other Sealant Primers</t>
  </si>
  <si>
    <t>CPVC solvent cement</t>
  </si>
  <si>
    <t>PVC solvent cement</t>
  </si>
  <si>
    <t>ABS solvent cement</t>
  </si>
  <si>
    <t>Plastic Cement Welding</t>
  </si>
  <si>
    <t>Adhesive Primer for Plastic</t>
  </si>
  <si>
    <t>Contact Adhesive</t>
  </si>
  <si>
    <t>Special Purpose Contact Adhesive</t>
  </si>
  <si>
    <t>Structural Wood Member Adhesive</t>
  </si>
  <si>
    <t>Non Porous Architectural Sealant Primer</t>
  </si>
  <si>
    <t>Porous Architectural Sealant Primer</t>
  </si>
  <si>
    <t>VOC LIMIT (g/l)</t>
  </si>
  <si>
    <r>
      <t>Table 901.10(3): Site Applied Adhesive And Sealants Voc Limits</t>
    </r>
    <r>
      <rPr>
        <b/>
        <vertAlign val="superscript"/>
        <sz val="12"/>
        <color theme="1"/>
        <rFont val="Calibri"/>
        <family val="2"/>
        <scheme val="minor"/>
      </rPr>
      <t>a</t>
    </r>
    <r>
      <rPr>
        <b/>
        <sz val="12"/>
        <color theme="1"/>
        <rFont val="Calibri"/>
        <family val="2"/>
        <scheme val="minor"/>
      </rPr>
      <t>,</t>
    </r>
    <r>
      <rPr>
        <b/>
        <vertAlign val="superscript"/>
        <sz val="12"/>
        <color theme="1"/>
        <rFont val="Calibri"/>
        <family val="2"/>
        <scheme val="minor"/>
      </rPr>
      <t>b</t>
    </r>
  </si>
  <si>
    <r>
      <rPr>
        <vertAlign val="superscript"/>
        <sz val="11"/>
        <color theme="1"/>
        <rFont val="Calibri"/>
        <family val="2"/>
        <scheme val="minor"/>
      </rPr>
      <t>a</t>
    </r>
    <r>
      <rPr>
        <sz val="11"/>
        <color theme="1"/>
        <rFont val="Calibri"/>
        <family val="2"/>
        <scheme val="minor"/>
      </rPr>
      <t xml:space="preserve"> VOC limit less water and less exempt compounds in grams/liter</t>
    </r>
  </si>
  <si>
    <r>
      <rPr>
        <vertAlign val="superscript"/>
        <sz val="11"/>
        <color theme="1"/>
        <rFont val="Calibri"/>
        <family val="2"/>
        <scheme val="minor"/>
      </rPr>
      <t>b</t>
    </r>
    <r>
      <rPr>
        <sz val="11"/>
        <color theme="1"/>
        <rFont val="Calibri"/>
        <family val="2"/>
        <scheme val="minor"/>
      </rPr>
      <t xml:space="preserve"> For low-solid adhesives and sealants, the VOC limit is expressed in grams/liter of material as specified in Rule 1168. For all other adhesives and sealants, the VOC limits are expressed as grams of VOC per liter of adhesive or sealant less water and less exempt compounds as specified in Rule 1168.</t>
    </r>
  </si>
  <si>
    <t>Section 901.9.1: Site-Applied Interior Architectural Coatings</t>
  </si>
  <si>
    <t>See Practice 901.9.1</t>
  </si>
  <si>
    <t>Approved Proucts</t>
  </si>
  <si>
    <t>Dropdowns - Chapter 7</t>
  </si>
  <si>
    <t>Alternative Bronze</t>
  </si>
  <si>
    <t>Performance Path</t>
  </si>
  <si>
    <t>Prescriptive Path</t>
  </si>
  <si>
    <t>701.4.1.1</t>
  </si>
  <si>
    <t>701.4.1.2</t>
  </si>
  <si>
    <t>No duct system installed</t>
  </si>
  <si>
    <t>701.4.2.3</t>
  </si>
  <si>
    <t>All joints, seams and penetrations.</t>
  </si>
  <si>
    <t>Site-built windows, doors and skylights.</t>
  </si>
  <si>
    <t>Openings between window and door assemblies and their respective jambs and framing.</t>
  </si>
  <si>
    <t>Utility penetrations.</t>
  </si>
  <si>
    <t>(f)</t>
  </si>
  <si>
    <t>(g)</t>
  </si>
  <si>
    <t>(h)</t>
  </si>
  <si>
    <t>Dropped ceilings or chases adjacent to the thermal envelope.</t>
  </si>
  <si>
    <t>Knee walls.</t>
  </si>
  <si>
    <t>Walls and ceilings separating a garage from conditioned spaces.</t>
  </si>
  <si>
    <t>Behind tubs and showers on exterior walls.</t>
  </si>
  <si>
    <t>(i)</t>
  </si>
  <si>
    <t>(j)</t>
  </si>
  <si>
    <t>(k)</t>
  </si>
  <si>
    <t>(l)</t>
  </si>
  <si>
    <t>Common walls between dwelling units.</t>
  </si>
  <si>
    <t>Attic access openings.</t>
  </si>
  <si>
    <t>Rim joist junction.</t>
  </si>
  <si>
    <t>Other sources of infiltration.</t>
  </si>
  <si>
    <t>Air barrier and thermal barrier</t>
  </si>
  <si>
    <t>Exterior thermal envelope insulation for framed walls is installed in substantial contact and continuous alignment with building envelope air barrier.
Breaks or joints in the air barrier are filled or repaired.
Air-permeable insulation is not used as a sealing material.
Air-permeable insulation is installed with an air barrier.</t>
  </si>
  <si>
    <t>Ceiling/attic</t>
  </si>
  <si>
    <t>Corners and headers are insulated.
Junction of foundation and sill plate is sealed.</t>
  </si>
  <si>
    <t>Windows and doors</t>
  </si>
  <si>
    <t>Space between window/door jambs and framing is sealed.</t>
  </si>
  <si>
    <t>Rim joists</t>
  </si>
  <si>
    <t>Rim joists are insulated and include an air barrier.</t>
  </si>
  <si>
    <t>Floors (including above-garage and cantilevered floors)</t>
  </si>
  <si>
    <t>Insulation is installed to maintain permanent contact with underside of subfloor decking.
Air barrier is installed at any exposed edge of insulation.</t>
  </si>
  <si>
    <t>Crawl space walls</t>
  </si>
  <si>
    <t>Shafts, penetrations</t>
  </si>
  <si>
    <t>Narrow cavities</t>
  </si>
  <si>
    <t>Batts in narrow cavities are cut to fit, or narrow cavities are filled by sprayed/blown insulation.</t>
  </si>
  <si>
    <t>Garage separation</t>
  </si>
  <si>
    <t>Air sealing is provided between the garage and conditioned spaces.</t>
  </si>
  <si>
    <t>Recessed lighting</t>
  </si>
  <si>
    <t>Plumbing and wiring</t>
  </si>
  <si>
    <t>Air barrier extends behind boxes or air sealed-type boxes are installed.</t>
  </si>
  <si>
    <t>Common wall</t>
  </si>
  <si>
    <t>HVAC register boots</t>
  </si>
  <si>
    <t>HVAC register boots that penetrate building envelope are sealed to subfloor or drywall.</t>
  </si>
  <si>
    <t>Fireplace</t>
  </si>
  <si>
    <t>Fireplace walls include an air barrier.</t>
  </si>
  <si>
    <r>
      <rPr>
        <b/>
        <sz val="10"/>
        <rFont val="Calibri"/>
        <family val="2"/>
        <scheme val="minor"/>
      </rPr>
      <t>Visual inspection option.</t>
    </r>
    <r>
      <rPr>
        <sz val="10"/>
        <rFont val="Calibri"/>
        <family val="2"/>
        <scheme val="minor"/>
      </rPr>
      <t xml:space="preserve"> Building envelope tightness and insulation installation are considered acceptable when the components listed below applicable to the method of construction, are field verified.</t>
    </r>
  </si>
  <si>
    <t>701.4.5</t>
  </si>
  <si>
    <t>702.2.1</t>
  </si>
  <si>
    <t>702.2.2</t>
  </si>
  <si>
    <t>15% to &lt;20%</t>
  </si>
  <si>
    <t>10% to &lt;15%</t>
  </si>
  <si>
    <t>Conditional Dropdowns - Chapter 7</t>
  </si>
  <si>
    <t>5% to &lt;10%</t>
  </si>
  <si>
    <t>20% or more</t>
  </si>
  <si>
    <t>Air barrier in dropped ceiling/soffit is substantially aligned with insulation and any gaps are sealed.
Attic access (except unvented attic), knee wall door, or drop down stair is sealed.</t>
  </si>
  <si>
    <t>Exterior walls</t>
  </si>
  <si>
    <t>Where installed, insulation is permanently attached to walls.
Exposed earth in unvented crawl spaces is covered with Class I vapor retarder with overlapping joints taped.</t>
  </si>
  <si>
    <t>Duct shafts, flue shafts, and utility penetrations opening to the exterior or an unconditioned space are sealed.</t>
  </si>
  <si>
    <t>Recessed light fixtures not installed in the conditioned space are air tight, IC rated, and sealed to drywall.</t>
  </si>
  <si>
    <t>Insulation is placed between the outside and pipes. Batt insulation is cut to fit around wiring and plumbing, or sprayed/blown insulation extends behind piping and wiring.</t>
  </si>
  <si>
    <t>Shower/tub adjacent to exterior wall</t>
  </si>
  <si>
    <t>Showers and tubs adjacent to exterior walls have insulation and an air barrier separation from the exterior.</t>
  </si>
  <si>
    <t>Electrical/phone box in exterior walls</t>
  </si>
  <si>
    <t>Air barrier is installed in common walls between dwelling units.</t>
  </si>
  <si>
    <t>Grade 1</t>
  </si>
  <si>
    <t>Grade 2</t>
  </si>
  <si>
    <t>The insulation installation is graded by a third party and is in accordance with Sections 703.1.2.1, 703.1.2.2, and/or 703.1.2.3, as applicable.</t>
  </si>
  <si>
    <r>
      <t>703.1.2.1</t>
    </r>
    <r>
      <rPr>
        <sz val="10"/>
        <color theme="1"/>
        <rFont val="Calibri"/>
        <family val="2"/>
        <scheme val="minor"/>
      </rPr>
      <t xml:space="preserve"> Grade 1 and Grade 2 insulation installations are in accordance with the following:</t>
    </r>
  </si>
  <si>
    <r>
      <rPr>
        <b/>
        <sz val="10"/>
        <color theme="1"/>
        <rFont val="Calibri"/>
        <family val="2"/>
        <scheme val="minor"/>
      </rPr>
      <t>(1)</t>
    </r>
    <r>
      <rPr>
        <sz val="10"/>
        <color theme="1"/>
        <rFont val="Calibri"/>
        <family val="2"/>
        <scheme val="minor"/>
      </rPr>
      <t xml:space="preserve"> Grading applies to field-installed insulation products.  </t>
    </r>
  </si>
  <si>
    <r>
      <rPr>
        <b/>
        <sz val="10"/>
        <color theme="1"/>
        <rFont val="Calibri"/>
        <family val="2"/>
        <scheme val="minor"/>
      </rPr>
      <t>(2)</t>
    </r>
    <r>
      <rPr>
        <sz val="10"/>
        <color theme="1"/>
        <rFont val="Calibri"/>
        <family val="2"/>
        <scheme val="minor"/>
      </rPr>
      <t xml:space="preserve"> Grading applies to ceilings, walls, floors, band joists, rim joists, conditioned attics basements and crawlspaces, except as specifically noted.</t>
    </r>
  </si>
  <si>
    <r>
      <rPr>
        <b/>
        <sz val="10"/>
        <color theme="1"/>
        <rFont val="Calibri"/>
        <family val="2"/>
        <scheme val="minor"/>
      </rPr>
      <t>(3)</t>
    </r>
    <r>
      <rPr>
        <sz val="10"/>
        <color theme="1"/>
        <rFont val="Calibri"/>
        <family val="2"/>
        <scheme val="minor"/>
      </rPr>
      <t xml:space="preserve"> Inspection is conducted before insulation is covered.</t>
    </r>
  </si>
  <si>
    <r>
      <rPr>
        <b/>
        <sz val="10"/>
        <color theme="1"/>
        <rFont val="Calibri"/>
        <family val="2"/>
        <scheme val="minor"/>
      </rPr>
      <t>(4)</t>
    </r>
    <r>
      <rPr>
        <sz val="10"/>
        <color theme="1"/>
        <rFont val="Calibri"/>
        <family val="2"/>
        <scheme val="minor"/>
      </rPr>
      <t xml:space="preserve"> Air permeable insulation is enclosed on all six sides and is in substantial contact with the sheathing material on one or more sides (interior or exterior) of the cavity. Air permeable insulation in ceilings is not required to be enclosed when the insulation is installed in substantial contact with the surfaces it is intended to insulate.</t>
    </r>
  </si>
  <si>
    <r>
      <t>703.1.2.2</t>
    </r>
    <r>
      <rPr>
        <sz val="10"/>
        <color theme="1"/>
        <rFont val="Calibri"/>
        <family val="2"/>
        <scheme val="minor"/>
      </rPr>
      <t xml:space="preserve"> Grade 1  installation is in accordance with the following: </t>
    </r>
  </si>
  <si>
    <r>
      <rPr>
        <b/>
        <sz val="10"/>
        <color theme="1"/>
        <rFont val="Calibri"/>
        <family val="2"/>
        <scheme val="minor"/>
      </rPr>
      <t>(1)</t>
    </r>
    <r>
      <rPr>
        <sz val="10"/>
        <color theme="1"/>
        <rFont val="Calibri"/>
        <family val="2"/>
        <scheme val="minor"/>
      </rPr>
      <t xml:space="preserve"> Cavity insulation uniformly fills each cavity side-to-side and top-to-bottom, without substantial gaps or voids around obstructions (such as blocking or bridging).</t>
    </r>
  </si>
  <si>
    <r>
      <rPr>
        <b/>
        <sz val="10"/>
        <color theme="1"/>
        <rFont val="Calibri"/>
        <family val="2"/>
        <scheme val="minor"/>
      </rPr>
      <t>(2)</t>
    </r>
    <r>
      <rPr>
        <sz val="10"/>
        <color theme="1"/>
        <rFont val="Calibri"/>
        <family val="2"/>
        <scheme val="minor"/>
      </rPr>
      <t xml:space="preserve"> Cavity insulation compression or incomplete fill amounts to 2 percent or less, presuming the compressed or incomplete areas are a minimum of 70 percent of the intended fill thickness; occasional small gaps are acceptable.</t>
    </r>
  </si>
  <si>
    <r>
      <rPr>
        <b/>
        <sz val="10"/>
        <color theme="1"/>
        <rFont val="Calibri"/>
        <family val="2"/>
        <scheme val="minor"/>
      </rPr>
      <t>(3)</t>
    </r>
    <r>
      <rPr>
        <sz val="10"/>
        <color theme="1"/>
        <rFont val="Calibri"/>
        <family val="2"/>
        <scheme val="minor"/>
      </rPr>
      <t xml:space="preserve"> Exterior rigid insulation has substantial contact with the structural framing members or sheathing materials and is tightly fitted at joints.</t>
    </r>
  </si>
  <si>
    <r>
      <rPr>
        <b/>
        <sz val="10"/>
        <color theme="1"/>
        <rFont val="Calibri"/>
        <family val="2"/>
        <scheme val="minor"/>
      </rPr>
      <t>(4)</t>
    </r>
    <r>
      <rPr>
        <sz val="10"/>
        <color theme="1"/>
        <rFont val="Calibri"/>
        <family val="2"/>
        <scheme val="minor"/>
      </rPr>
      <t xml:space="preserve"> Cavity insulation is split, installed, and/or fitted tightly around wiring and other services.</t>
    </r>
  </si>
  <si>
    <r>
      <rPr>
        <b/>
        <sz val="10"/>
        <color theme="1"/>
        <rFont val="Calibri"/>
        <family val="2"/>
        <scheme val="minor"/>
      </rPr>
      <t>(5)</t>
    </r>
    <r>
      <rPr>
        <sz val="10"/>
        <color theme="1"/>
        <rFont val="Calibri"/>
        <family val="2"/>
        <scheme val="minor"/>
      </rPr>
      <t xml:space="preserve"> Exterior sheathing is not visible from the interior through gaps in the cavity insulation.</t>
    </r>
  </si>
  <si>
    <r>
      <rPr>
        <b/>
        <sz val="10"/>
        <color theme="1"/>
        <rFont val="Calibri"/>
        <family val="2"/>
        <scheme val="minor"/>
      </rPr>
      <t>(6)</t>
    </r>
    <r>
      <rPr>
        <sz val="10"/>
        <color theme="1"/>
        <rFont val="Calibri"/>
        <family val="2"/>
        <scheme val="minor"/>
      </rPr>
      <t xml:space="preserve"> Faced batt insulation is permitted to have side-stapled tabs, provided the tabs are stapled neatly with no buckling, and provided the batt is compressed only at the edges of each cavity, to the depth of the tab itself.</t>
    </r>
  </si>
  <si>
    <r>
      <rPr>
        <b/>
        <sz val="10"/>
        <color theme="1"/>
        <rFont val="Calibri"/>
        <family val="2"/>
        <scheme val="minor"/>
      </rPr>
      <t>(7)</t>
    </r>
    <r>
      <rPr>
        <sz val="10"/>
        <color theme="1"/>
        <rFont val="Calibri"/>
        <family val="2"/>
        <scheme val="minor"/>
      </rPr>
      <t xml:space="preserve"> Where properly installed, ICFs, SIPs, and other wall systems that provide integral insulation are deemed in compliance with the Grade 1 insulation installation requirements.</t>
    </r>
  </si>
  <si>
    <r>
      <rPr>
        <b/>
        <sz val="10"/>
        <color theme="1"/>
        <rFont val="Calibri"/>
        <family val="2"/>
        <scheme val="minor"/>
      </rPr>
      <t>(8)</t>
    </r>
    <r>
      <rPr>
        <sz val="10"/>
        <color theme="1"/>
        <rFont val="Calibri"/>
        <family val="2"/>
        <scheme val="minor"/>
      </rPr>
      <t xml:space="preserve"> Grade 1 insulation meets or exceeds all requirements for Grade 2 insulation.</t>
    </r>
  </si>
  <si>
    <r>
      <t>703.1.2.3</t>
    </r>
    <r>
      <rPr>
        <sz val="10"/>
        <color theme="1"/>
        <rFont val="Calibri"/>
        <family val="2"/>
        <scheme val="minor"/>
      </rPr>
      <t xml:space="preserve"> Grade 2 installation is in accordance with the following: </t>
    </r>
  </si>
  <si>
    <r>
      <rPr>
        <b/>
        <sz val="10"/>
        <color theme="1"/>
        <rFont val="Calibri"/>
        <family val="2"/>
        <scheme val="minor"/>
      </rPr>
      <t>(1)</t>
    </r>
    <r>
      <rPr>
        <sz val="10"/>
        <color theme="1"/>
        <rFont val="Calibri"/>
        <family val="2"/>
        <scheme val="minor"/>
      </rPr>
      <t xml:space="preserve"> A maximum of 2 percent of the surface area of insulation is missing.  Compression or incomplete fill amounts to 10 percent or less, presuming the compressed or incomplete areas are a minimum of 70 percent of the intended fill thickness.</t>
    </r>
  </si>
  <si>
    <r>
      <rPr>
        <b/>
        <sz val="10"/>
        <color theme="1"/>
        <rFont val="Calibri"/>
        <family val="2"/>
        <scheme val="minor"/>
      </rPr>
      <t>(2)</t>
    </r>
    <r>
      <rPr>
        <sz val="10"/>
        <color theme="1"/>
        <rFont val="Calibri"/>
        <family val="2"/>
        <scheme val="minor"/>
      </rPr>
      <t xml:space="preserve"> In unconditioned basements or unconditioned crawlspaces insulation is installed in substantial contact with the subfloor surfaces.</t>
    </r>
  </si>
  <si>
    <r>
      <rPr>
        <b/>
        <sz val="10"/>
        <color theme="1"/>
        <rFont val="Calibri"/>
        <family val="2"/>
        <scheme val="minor"/>
      </rPr>
      <t>(a)</t>
    </r>
    <r>
      <rPr>
        <sz val="10"/>
        <color theme="1"/>
        <rFont val="Calibri"/>
        <family val="2"/>
        <scheme val="minor"/>
      </rPr>
      <t xml:space="preserve"> floor insulation over vented or ambient conditions is enclosed on six sides.</t>
    </r>
  </si>
  <si>
    <r>
      <rPr>
        <b/>
        <sz val="10"/>
        <color theme="1"/>
        <rFont val="Calibri"/>
        <family val="2"/>
        <scheme val="minor"/>
      </rPr>
      <t>(b)</t>
    </r>
    <r>
      <rPr>
        <sz val="10"/>
        <color theme="1"/>
        <rFont val="Calibri"/>
        <family val="2"/>
        <scheme val="minor"/>
      </rPr>
      <t xml:space="preserve"> floor insulation over unconditioned basements is not required to be enclosed on six sides.</t>
    </r>
  </si>
  <si>
    <r>
      <rPr>
        <b/>
        <sz val="10"/>
        <color theme="1"/>
        <rFont val="Calibri"/>
        <family val="2"/>
        <scheme val="minor"/>
      </rPr>
      <t>(3)</t>
    </r>
    <r>
      <rPr>
        <sz val="10"/>
        <color theme="1"/>
        <rFont val="Calibri"/>
        <family val="2"/>
        <scheme val="minor"/>
      </rPr>
      <t xml:space="preserve"> Ceiling insulation is not required to be enclosed when the insulation is installed in substantial contact with the drywall or plywood surfaces it is intended to insulate.</t>
    </r>
  </si>
  <si>
    <r>
      <rPr>
        <b/>
        <sz val="10"/>
        <color theme="1"/>
        <rFont val="Calibri"/>
        <family val="2"/>
        <scheme val="minor"/>
      </rPr>
      <t>(4)</t>
    </r>
    <r>
      <rPr>
        <sz val="10"/>
        <color theme="1"/>
        <rFont val="Calibri"/>
        <family val="2"/>
        <scheme val="minor"/>
      </rPr>
      <t xml:space="preserve"> Eave baffles or equivalent construction is installed to prevent wind intrusion.</t>
    </r>
  </si>
  <si>
    <r>
      <rPr>
        <b/>
        <sz val="10"/>
        <color theme="1"/>
        <rFont val="Calibri"/>
        <family val="2"/>
        <scheme val="minor"/>
      </rPr>
      <t>(5)</t>
    </r>
    <r>
      <rPr>
        <sz val="10"/>
        <color theme="1"/>
        <rFont val="Calibri"/>
        <family val="2"/>
        <scheme val="minor"/>
      </rPr>
      <t xml:space="preserve"> Installation with occasional installation defects is permitted: gaps around wiring, electrical outlets, plumbing and other intrusions; rounded edges or shoulders.</t>
    </r>
  </si>
  <si>
    <t>≥3 inch to &lt;6 inch</t>
  </si>
  <si>
    <t>&gt; 6 inch</t>
  </si>
  <si>
    <t>703.1.5</t>
  </si>
  <si>
    <t>5 = Max Leakage Rate</t>
  </si>
  <si>
    <t>4 = Max Leakage Rate</t>
  </si>
  <si>
    <t>3 = Max Leakage Rate</t>
  </si>
  <si>
    <t>2 = Max Leakage Rate</t>
  </si>
  <si>
    <t>1 = Max Leakage Rate</t>
  </si>
  <si>
    <t>703.1.6</t>
  </si>
  <si>
    <t>703.1.6.1</t>
  </si>
  <si>
    <t>703.1.6.2</t>
  </si>
  <si>
    <t>Table 703.1.6.2(a)</t>
  </si>
  <si>
    <t>Table 703.1.6.2(b)</t>
  </si>
  <si>
    <t>Table 703.1.6.2(c)</t>
  </si>
  <si>
    <t>703.2.2</t>
  </si>
  <si>
    <t>≥ 90% AFUE</t>
  </si>
  <si>
    <t>≥ 92% AFUE</t>
  </si>
  <si>
    <t>≥ 94% AFUE</t>
  </si>
  <si>
    <t>≥ 96% AFUE</t>
  </si>
  <si>
    <t>≥ 98% AFUE</t>
  </si>
  <si>
    <t>≥ 85% AFUE</t>
  </si>
  <si>
    <t>703.2.2(1)</t>
  </si>
  <si>
    <t>703.2.2(2)</t>
  </si>
  <si>
    <t>703.2.2(3)</t>
  </si>
  <si>
    <t>703.2.2(4)</t>
  </si>
  <si>
    <t>Gas Heaters</t>
  </si>
  <si>
    <t>Oil Furnace</t>
  </si>
  <si>
    <t>Gas Boiler</t>
  </si>
  <si>
    <t>Oil Boiler</t>
  </si>
  <si>
    <t>703.2.3</t>
  </si>
  <si>
    <t>9.5 HSPF</t>
  </si>
  <si>
    <t>10.0 HSPF</t>
  </si>
  <si>
    <t>8.2 HSPF</t>
  </si>
  <si>
    <t>9.0 HSPF</t>
  </si>
  <si>
    <t>703.2.4</t>
  </si>
  <si>
    <t>≥ 19+ SEER (12.5 EER)</t>
  </si>
  <si>
    <t>703.2.6</t>
  </si>
  <si>
    <t>14.1 EER 3.3 COP</t>
  </si>
  <si>
    <t>15 EER 3.5 COP</t>
  </si>
  <si>
    <t>16.2 EER 3.6 COP</t>
  </si>
  <si>
    <t>24 EER 4.3 COP</t>
  </si>
  <si>
    <t>28 EER 4.8 COP</t>
  </si>
  <si>
    <t>703.2.8</t>
  </si>
  <si>
    <t>703.3.2</t>
  </si>
  <si>
    <t>703.3.3</t>
  </si>
  <si>
    <t>703.3.4</t>
  </si>
  <si>
    <t>Entirely outside</t>
  </si>
  <si>
    <t>Entirely inside</t>
  </si>
  <si>
    <t>Inside &amp; outside</t>
  </si>
  <si>
    <t>703.4.1</t>
  </si>
  <si>
    <t>EF = 0.67 to &lt;0.80</t>
  </si>
  <si>
    <t>EF ≥0.80</t>
  </si>
  <si>
    <t>EF = 1.5 to &lt;2.0</t>
  </si>
  <si>
    <t>EF = 2.0 to &lt;2.2</t>
  </si>
  <si>
    <t>Electric</t>
  </si>
  <si>
    <t>Heat pump</t>
  </si>
  <si>
    <t>≥50 gallons</t>
  </si>
  <si>
    <t>30 to &lt;50 gallons</t>
  </si>
  <si>
    <t>Gas Table A</t>
  </si>
  <si>
    <t>Gas Table B</t>
  </si>
  <si>
    <t>703.4.1(1)(a)</t>
  </si>
  <si>
    <t>703.4.1(1)(b)</t>
  </si>
  <si>
    <t>703.4.1(2)</t>
  </si>
  <si>
    <t>703.4.1(3)</t>
  </si>
  <si>
    <t>703.4.1(4)</t>
  </si>
  <si>
    <t>703.4.2</t>
  </si>
  <si>
    <t>703.4.5</t>
  </si>
  <si>
    <t>75% as ENERGY STAR</t>
  </si>
  <si>
    <t>95% as ENERGY STAR</t>
  </si>
  <si>
    <t>Refrigerator</t>
  </si>
  <si>
    <t>Dishwasher</t>
  </si>
  <si>
    <t>Section 703.6.1: Sun-tempered design</t>
  </si>
  <si>
    <r>
      <rPr>
        <b/>
        <sz val="10"/>
        <color theme="1"/>
        <rFont val="Calibri"/>
        <family val="2"/>
        <scheme val="minor"/>
      </rPr>
      <t>1.</t>
    </r>
    <r>
      <rPr>
        <sz val="10"/>
        <color theme="1"/>
        <rFont val="Calibri"/>
        <family val="2"/>
        <scheme val="minor"/>
      </rPr>
      <t xml:space="preserve"> The long side (or one side if of equal length) of the building faces within 20 degrees of true south.</t>
    </r>
  </si>
  <si>
    <r>
      <rPr>
        <b/>
        <sz val="10"/>
        <color theme="1"/>
        <rFont val="Calibri"/>
        <family val="2"/>
        <scheme val="minor"/>
      </rPr>
      <t>2.</t>
    </r>
    <r>
      <rPr>
        <sz val="10"/>
        <color theme="1"/>
        <rFont val="Calibri"/>
        <family val="2"/>
        <scheme val="minor"/>
      </rPr>
      <t xml:space="preserve"> Vertical glazing area is between 5 and 7 percent of the gross conditioned floor area on the south face [also see Section 703.6.1(8)].</t>
    </r>
  </si>
  <si>
    <r>
      <rPr>
        <b/>
        <sz val="10"/>
        <color theme="1"/>
        <rFont val="Calibri"/>
        <family val="2"/>
        <scheme val="minor"/>
      </rPr>
      <t>3.</t>
    </r>
    <r>
      <rPr>
        <sz val="10"/>
        <color theme="1"/>
        <rFont val="Calibri"/>
        <family val="2"/>
        <scheme val="minor"/>
      </rPr>
      <t xml:space="preserve"> Vertical glazing area is less than 2 percent of the gross conditioned floor area on the west face, and glazing is ENERGY STAR compliant or equivalent.</t>
    </r>
  </si>
  <si>
    <r>
      <rPr>
        <b/>
        <sz val="10"/>
        <color theme="1"/>
        <rFont val="Calibri"/>
        <family val="2"/>
        <scheme val="minor"/>
      </rPr>
      <t>4.</t>
    </r>
    <r>
      <rPr>
        <sz val="10"/>
        <color theme="1"/>
        <rFont val="Calibri"/>
        <family val="2"/>
        <scheme val="minor"/>
      </rPr>
      <t xml:space="preserve"> Vertical glazing area is less than 4 percent of the gross conditioned floor area on the east face, and glazing is ENERGY STAR compliant or equivalent.</t>
    </r>
  </si>
  <si>
    <r>
      <rPr>
        <b/>
        <sz val="10"/>
        <color theme="1"/>
        <rFont val="Calibri"/>
        <family val="2"/>
        <scheme val="minor"/>
      </rPr>
      <t>5.</t>
    </r>
    <r>
      <rPr>
        <sz val="10"/>
        <color theme="1"/>
        <rFont val="Calibri"/>
        <family val="2"/>
        <scheme val="minor"/>
      </rPr>
      <t xml:space="preserve"> Vertical glazing area is less than 8 percent of the gross conditioned floor area on the north face, and glazing is ENERGY STAR compliant or equivalent.</t>
    </r>
  </si>
  <si>
    <r>
      <rPr>
        <b/>
        <sz val="10"/>
        <color theme="1"/>
        <rFont val="Calibri"/>
        <family val="2"/>
        <scheme val="minor"/>
      </rPr>
      <t>b.</t>
    </r>
    <r>
      <rPr>
        <sz val="10"/>
        <color theme="1"/>
        <rFont val="Calibri"/>
        <family val="2"/>
        <scheme val="minor"/>
      </rPr>
      <t xml:space="preserve"> horizontal skylights are less than 0.5 percent of finished ceiling area</t>
    </r>
  </si>
  <si>
    <r>
      <rPr>
        <b/>
        <sz val="10"/>
        <color theme="1"/>
        <rFont val="Calibri"/>
        <family val="2"/>
        <scheme val="minor"/>
      </rPr>
      <t>c.</t>
    </r>
    <r>
      <rPr>
        <sz val="10"/>
        <color theme="1"/>
        <rFont val="Calibri"/>
        <family val="2"/>
        <scheme val="minor"/>
      </rPr>
      <t xml:space="preserve"> sloped skylights on slopes facing within 45 degrees of true south, east or west are less than 1.5 percent of the finished ceiling area</t>
    </r>
  </si>
  <si>
    <r>
      <rPr>
        <b/>
        <sz val="10"/>
        <color theme="1"/>
        <rFont val="Calibri"/>
        <family val="2"/>
        <scheme val="minor"/>
      </rPr>
      <t xml:space="preserve">7. </t>
    </r>
    <r>
      <rPr>
        <sz val="10"/>
        <color theme="1"/>
        <rFont val="Calibri"/>
        <family val="2"/>
        <scheme val="minor"/>
      </rPr>
      <t>Overhangs or adjustable canopies or awnings or trellises provide shading on south-facing glass for the appropriate climate zone in  accordance with Table 703.6.1(7):</t>
    </r>
  </si>
  <si>
    <r>
      <rPr>
        <b/>
        <sz val="10"/>
        <color theme="1"/>
        <rFont val="Calibri"/>
        <family val="2"/>
        <scheme val="minor"/>
      </rPr>
      <t xml:space="preserve">8. </t>
    </r>
    <r>
      <rPr>
        <sz val="10"/>
        <color theme="1"/>
        <rFont val="Calibri"/>
        <family val="2"/>
        <scheme val="minor"/>
      </rPr>
      <t>The south face windows have a SHGC of 0.40 or higher.</t>
    </r>
  </si>
  <si>
    <r>
      <rPr>
        <b/>
        <sz val="10"/>
        <color theme="1"/>
        <rFont val="Calibri"/>
        <family val="2"/>
        <scheme val="minor"/>
      </rPr>
      <t>9.</t>
    </r>
    <r>
      <rPr>
        <sz val="10"/>
        <color theme="1"/>
        <rFont val="Calibri"/>
        <family val="2"/>
        <scheme val="minor"/>
      </rPr>
      <t xml:space="preserve"> Return air or transfer grilles/ducts are in accordance with Section 704.3.</t>
    </r>
  </si>
  <si>
    <t>Table 703.6.1(7)</t>
  </si>
  <si>
    <t>South-Facing Window Overhang Depth</t>
  </si>
  <si>
    <t>See Practice 703.6.1</t>
  </si>
  <si>
    <t>See Practice 703.6.4</t>
  </si>
  <si>
    <t>Section 703.6.4: Passive solar heating design</t>
  </si>
  <si>
    <t>In addition to the sun-tempered design features in Section 703.6.1, all of the following are implemented:</t>
  </si>
  <si>
    <r>
      <rPr>
        <b/>
        <sz val="10"/>
        <color theme="1"/>
        <rFont val="Calibri"/>
        <family val="2"/>
        <scheme val="minor"/>
      </rPr>
      <t>1.</t>
    </r>
    <r>
      <rPr>
        <sz val="10"/>
        <color theme="1"/>
        <rFont val="Calibri"/>
        <family val="2"/>
        <scheme val="minor"/>
      </rPr>
      <t xml:space="preserve"> Additional glazing, no greater than 12 percent, is permitted on the south wall.  This additional glazing is in accordance with the requirements of Section 703.6.1.</t>
    </r>
  </si>
  <si>
    <r>
      <rPr>
        <b/>
        <sz val="10"/>
        <color theme="1"/>
        <rFont val="Calibri"/>
        <family val="2"/>
        <scheme val="minor"/>
      </rPr>
      <t>2.</t>
    </r>
    <r>
      <rPr>
        <sz val="10"/>
        <color theme="1"/>
        <rFont val="Calibri"/>
        <family val="2"/>
        <scheme val="minor"/>
      </rPr>
      <t xml:space="preserve"> Additional thermal mass for any room with south-facing glazing of more than 7 percent of the finished floor area is provided in accordance with the following:</t>
    </r>
  </si>
  <si>
    <r>
      <rPr>
        <b/>
        <sz val="10"/>
        <color theme="1"/>
        <rFont val="Calibri"/>
        <family val="2"/>
        <scheme val="minor"/>
      </rPr>
      <t>a.</t>
    </r>
    <r>
      <rPr>
        <sz val="10"/>
        <color theme="1"/>
        <rFont val="Calibri"/>
        <family val="2"/>
        <scheme val="minor"/>
      </rPr>
      <t xml:space="preserve"> Thermal mass is solid and a minimum of 3 inches (76 mm) in thickness. Where two thermal mass materials are layered together (e.g., ceramic tile on concrete base) to achieve the appropriate thickness, they are fully adhered to (touching) each other.</t>
    </r>
  </si>
  <si>
    <r>
      <rPr>
        <b/>
        <sz val="10"/>
        <color theme="1"/>
        <rFont val="Calibri"/>
        <family val="2"/>
        <scheme val="minor"/>
      </rPr>
      <t>i.</t>
    </r>
    <r>
      <rPr>
        <sz val="10"/>
        <color theme="1"/>
        <rFont val="Calibri"/>
        <family val="2"/>
        <scheme val="minor"/>
      </rPr>
      <t xml:space="preserve"> Above latitude 35 degrees:  5 square feet (0.465 m2) of thermal mass for every 1 square foot (0.0929 m2) of south-facing glazing.</t>
    </r>
  </si>
  <si>
    <r>
      <rPr>
        <b/>
        <sz val="10"/>
        <color theme="1"/>
        <rFont val="Calibri"/>
        <family val="2"/>
        <scheme val="minor"/>
      </rPr>
      <t>ii.</t>
    </r>
    <r>
      <rPr>
        <sz val="10"/>
        <color theme="1"/>
        <rFont val="Calibri"/>
        <family val="2"/>
        <scheme val="minor"/>
      </rPr>
      <t xml:space="preserve"> Latitude 30 degrees to 35 degrees:  5.5 square feet (0.51 m2) of thermal mass for every 1 square foot (0.0929 m2) of  south-facing glazing.</t>
    </r>
  </si>
  <si>
    <r>
      <rPr>
        <b/>
        <sz val="10"/>
        <color theme="1"/>
        <rFont val="Calibri"/>
        <family val="2"/>
        <scheme val="minor"/>
      </rPr>
      <t>iii.</t>
    </r>
    <r>
      <rPr>
        <sz val="10"/>
        <color theme="1"/>
        <rFont val="Calibri"/>
        <family val="2"/>
        <scheme val="minor"/>
      </rPr>
      <t xml:space="preserve"> Latitude 25 degrees to 30 degrees:  6 square feet (0.557 m2) of thermal mass for every 1 square foot (0.0929 m2) of south-facing glazing.</t>
    </r>
  </si>
  <si>
    <r>
      <rPr>
        <b/>
        <sz val="10"/>
        <color theme="1"/>
        <rFont val="Calibri"/>
        <family val="2"/>
        <scheme val="minor"/>
      </rPr>
      <t>c.</t>
    </r>
    <r>
      <rPr>
        <sz val="10"/>
        <color theme="1"/>
        <rFont val="Calibri"/>
        <family val="2"/>
        <scheme val="minor"/>
      </rPr>
      <t xml:space="preserve"> Thermal mass not directly exposed to sunlight is permitted to be used to achieve thermal mass requirements of Section 703.6.4 (2) based on a ratio of 40 square feet (3.72 m</t>
    </r>
    <r>
      <rPr>
        <vertAlign val="superscript"/>
        <sz val="10"/>
        <color theme="1"/>
        <rFont val="Calibri"/>
        <family val="2"/>
        <scheme val="minor"/>
      </rPr>
      <t>2</t>
    </r>
    <r>
      <rPr>
        <sz val="10"/>
        <color theme="1"/>
        <rFont val="Calibri"/>
        <family val="2"/>
        <scheme val="minor"/>
      </rPr>
      <t>) of thermal mass for every 1 square foot (0.0929 m2) of south-facing glazing.</t>
    </r>
  </si>
  <si>
    <r>
      <rPr>
        <b/>
        <sz val="10"/>
        <color theme="1"/>
        <rFont val="Calibri"/>
        <family val="2"/>
        <scheme val="minor"/>
      </rPr>
      <t>3.</t>
    </r>
    <r>
      <rPr>
        <sz val="10"/>
        <color theme="1"/>
        <rFont val="Calibri"/>
        <family val="2"/>
        <scheme val="minor"/>
      </rPr>
      <t xml:space="preserve"> In addition to return air or transfer grilles/ducts required by Section 703.6.1(9), provisions for forced airflow to adjoining areas are implemented as needed.  </t>
    </r>
  </si>
  <si>
    <t>&lt;50%</t>
  </si>
  <si>
    <t>≥50%</t>
  </si>
  <si>
    <t>705.2_2</t>
  </si>
  <si>
    <t>installed</t>
  </si>
  <si>
    <r>
      <rPr>
        <sz val="10"/>
        <color theme="1"/>
        <rFont val="Calibri"/>
        <family val="2"/>
      </rPr>
      <t>EF ≥</t>
    </r>
    <r>
      <rPr>
        <sz val="10"/>
        <color theme="1"/>
        <rFont val="Calibri"/>
        <family val="2"/>
        <scheme val="minor"/>
      </rPr>
      <t>2.2</t>
    </r>
  </si>
  <si>
    <t>EF ≥0.95</t>
  </si>
  <si>
    <t>TE ≥0.86</t>
  </si>
  <si>
    <r>
      <rPr>
        <sz val="10"/>
        <color theme="1"/>
        <rFont val="Calibri"/>
        <family val="2"/>
      </rPr>
      <t>≥</t>
    </r>
    <r>
      <rPr>
        <sz val="10"/>
        <color theme="1"/>
        <rFont val="Calibri"/>
        <family val="2"/>
        <scheme val="minor"/>
      </rPr>
      <t>SEF 1.3</t>
    </r>
  </si>
  <si>
    <r>
      <rPr>
        <sz val="10"/>
        <color theme="1"/>
        <rFont val="Calibri"/>
        <family val="2"/>
      </rPr>
      <t>≥</t>
    </r>
    <r>
      <rPr>
        <sz val="10"/>
        <color theme="1"/>
        <rFont val="Calibri"/>
        <family val="2"/>
        <scheme val="minor"/>
      </rPr>
      <t>SEF 1.51</t>
    </r>
  </si>
  <si>
    <r>
      <rPr>
        <sz val="10"/>
        <color theme="1"/>
        <rFont val="Calibri"/>
        <family val="2"/>
      </rPr>
      <t>≥</t>
    </r>
    <r>
      <rPr>
        <sz val="10"/>
        <color theme="1"/>
        <rFont val="Calibri"/>
        <family val="2"/>
        <scheme val="minor"/>
      </rPr>
      <t>SEF 1.81</t>
    </r>
  </si>
  <si>
    <r>
      <rPr>
        <sz val="10"/>
        <color theme="1"/>
        <rFont val="Calibri"/>
        <family val="2"/>
      </rPr>
      <t>≥</t>
    </r>
    <r>
      <rPr>
        <sz val="10"/>
        <color theme="1"/>
        <rFont val="Calibri"/>
        <family val="2"/>
        <scheme val="minor"/>
      </rPr>
      <t>SEF 2.31</t>
    </r>
  </si>
  <si>
    <r>
      <rPr>
        <sz val="10"/>
        <color theme="1"/>
        <rFont val="Calibri"/>
        <family val="2"/>
      </rPr>
      <t>≥</t>
    </r>
    <r>
      <rPr>
        <sz val="10"/>
        <color theme="1"/>
        <rFont val="Calibri"/>
        <family val="2"/>
        <scheme val="minor"/>
      </rPr>
      <t>SEF 3.01</t>
    </r>
  </si>
  <si>
    <t>Mandatory Status:</t>
  </si>
  <si>
    <t>Waterless Toilets:</t>
  </si>
  <si>
    <t>701.4.3.2_2</t>
  </si>
  <si>
    <t>Energy Efficiency Requirements</t>
  </si>
  <si>
    <t>Section 703</t>
  </si>
  <si>
    <t>Section 704</t>
  </si>
  <si>
    <t>Section 702</t>
  </si>
  <si>
    <t>=sum</t>
  </si>
  <si>
    <t>EnergyPath</t>
  </si>
  <si>
    <t>Project Performance Status (Bronze, Silver, Gold, Emerald)</t>
  </si>
  <si>
    <t xml:space="preserve">Chapter 10: </t>
  </si>
  <si>
    <t xml:space="preserve">Chapter 9: </t>
  </si>
  <si>
    <t>Chapter 8:</t>
  </si>
  <si>
    <t xml:space="preserve">Chapter 7: </t>
  </si>
  <si>
    <t xml:space="preserve">Chapter 6: </t>
  </si>
  <si>
    <t xml:space="preserve">Chapter 5: </t>
  </si>
  <si>
    <t>All Chapters:</t>
  </si>
  <si>
    <t xml:space="preserve">Project Total: </t>
  </si>
  <si>
    <t>Bronze Min:</t>
  </si>
  <si>
    <t>Silver Min:</t>
  </si>
  <si>
    <t>Gold Min:</t>
  </si>
  <si>
    <t>Emerald Min:</t>
  </si>
  <si>
    <t>=projectValue</t>
  </si>
  <si>
    <t>A cell formatted like this in the Notes area indicates that additional information is required for verification and certification.</t>
  </si>
  <si>
    <t>This indicates a field that is "off limits". A value should not be entered because a special condition has been met (such as Alternative Bronze, Performance or Prescriptive Path in Chapter 7), or not met yet (such as choosing Single-Family or Multi-Unit in the General Project Description above).</t>
  </si>
  <si>
    <t>601.2 Structural systems are designed or construction techniques are implemented that reduce &amp; optimize material usage.</t>
  </si>
  <si>
    <r>
      <rPr>
        <b/>
        <sz val="10"/>
        <rFont val="Calibri"/>
        <family val="2"/>
        <scheme val="minor"/>
      </rPr>
      <t>601.2(1)</t>
    </r>
    <r>
      <rPr>
        <sz val="10"/>
        <rFont val="Calibri"/>
        <family val="2"/>
        <scheme val="minor"/>
      </rPr>
      <t xml:space="preserve"> Minimum structural member or element sizes necessary for strength and stiffness in accordance with advanced framing techniques or structural design standards are selected.</t>
    </r>
  </si>
  <si>
    <r>
      <rPr>
        <b/>
        <sz val="10"/>
        <rFont val="Calibri"/>
        <family val="2"/>
        <scheme val="minor"/>
      </rPr>
      <t>601.2(2)</t>
    </r>
    <r>
      <rPr>
        <sz val="10"/>
        <rFont val="Calibri"/>
        <family val="2"/>
        <scheme val="minor"/>
      </rPr>
      <t xml:space="preserve"> Higher-grade or higher-strength of the same materials than commonly specified for structural elements and components in the building are used and element or component sizes are reduced accordingly.</t>
    </r>
  </si>
  <si>
    <r>
      <rPr>
        <b/>
        <sz val="10"/>
        <rFont val="Calibri"/>
        <family val="2"/>
        <scheme val="minor"/>
      </rPr>
      <t>601.2(3)</t>
    </r>
    <r>
      <rPr>
        <sz val="10"/>
        <rFont val="Calibri"/>
        <family val="2"/>
        <scheme val="minor"/>
      </rPr>
      <t xml:space="preserve"> Performance-based structural design is used to optimize lateral force-resisting systems.</t>
    </r>
  </si>
  <si>
    <t>601.3 Building dimensions and layouts are designed to reduce material cuts &amp; waste. This practice is used for a minimum of 80% of the following areas:</t>
  </si>
  <si>
    <t>601.4 Detailed framing or structural plans, material quantity lists and on-site cut lists for framing, structural materials, and sheathing materials are provided.</t>
  </si>
  <si>
    <r>
      <t xml:space="preserve">601.5 Precut, preassembled, panelized, or precast assemblies are utilized for a minimum of 90% for the following system or building.
</t>
    </r>
    <r>
      <rPr>
        <b/>
        <i/>
        <sz val="10"/>
        <rFont val="Calibri"/>
        <family val="2"/>
        <scheme val="minor"/>
      </rPr>
      <t>Points can be claimed for 601.5(1-3) OR 601.5(4) OR 601.5(5).</t>
    </r>
  </si>
  <si>
    <t>601.6 Stories above grade are stacked, such as in 1½-story, 2-story, or greater structures.  The area of the upper story is a minimum of 50% of the area of the story below, based on areas with a minimum ceiling height of 7 feet (2134 mm).</t>
  </si>
  <si>
    <t>5 points per material or assembly</t>
  </si>
  <si>
    <t>2 points per material or assembly</t>
  </si>
  <si>
    <t>1 point per material or assembly.</t>
  </si>
  <si>
    <t>601.7(1) 90% or more of material</t>
  </si>
  <si>
    <t>601.7(2) 50% to &lt;90% of material</t>
  </si>
  <si>
    <t>601.7(3) 35% to &lt;50% of material</t>
  </si>
  <si>
    <t>602.1.1 Capillary breaks</t>
  </si>
  <si>
    <r>
      <t xml:space="preserve">602.1.1.1 </t>
    </r>
    <r>
      <rPr>
        <sz val="10"/>
        <color theme="1"/>
        <rFont val="Calibri"/>
        <family val="2"/>
      </rPr>
      <t>A capillary break and vapor retarder are installed at concrete slabs in accordance with ICC IRC Sections R506.2.2 and R506.2.3 or ICC IBC Sections 1910 and 1805.4.1.</t>
    </r>
  </si>
  <si>
    <r>
      <t xml:space="preserve">602.1.1.2 </t>
    </r>
    <r>
      <rPr>
        <sz val="10"/>
        <color theme="1"/>
        <rFont val="Calibri"/>
        <family val="2"/>
      </rPr>
      <t>Add a capillary break on footing to prevent moisture migration into foundation wall.</t>
    </r>
  </si>
  <si>
    <r>
      <t>602.1.2</t>
    </r>
    <r>
      <rPr>
        <sz val="10"/>
        <color theme="1"/>
        <rFont val="Calibri"/>
        <family val="2"/>
      </rPr>
      <t xml:space="preserve"> Enhanced foundation waterproofing is installed:
          (1) rubberized coating, or
          (2) drainage mat</t>
    </r>
  </si>
  <si>
    <t>602.1.3 Foundation Drainage</t>
  </si>
  <si>
    <r>
      <t xml:space="preserve">602.1.3.1 </t>
    </r>
    <r>
      <rPr>
        <sz val="10"/>
        <color theme="1"/>
        <rFont val="Calibri"/>
        <family val="2"/>
      </rPr>
      <t>Where required by the ICC IRC or IBC for habitable and usable spaces below grade, exterior drain tile is installed.</t>
    </r>
  </si>
  <si>
    <r>
      <t xml:space="preserve">602.1.3.2 </t>
    </r>
    <r>
      <rPr>
        <sz val="10"/>
        <color theme="1"/>
        <rFont val="Calibri"/>
        <family val="2"/>
      </rPr>
      <t>Interior and exterior foundation perimeter drains are installed and sloped to discharge to daylight, dry well, or sump pit.</t>
    </r>
  </si>
  <si>
    <t>602.1.4 Crawlspaces</t>
  </si>
  <si>
    <r>
      <t xml:space="preserve">602.1.4.1 </t>
    </r>
    <r>
      <rPr>
        <sz val="10"/>
        <color theme="1"/>
        <rFont val="Calibri"/>
        <family val="2"/>
      </rPr>
      <t>Vapor retarder in unconditioned vented crawlspace is in accordance with the following, as applicable. Joints of vapor retarder overlap a minimum of 6 inches (152 mm) and are taped.</t>
    </r>
  </si>
  <si>
    <r>
      <t xml:space="preserve">602.1.4.1(1) </t>
    </r>
    <r>
      <rPr>
        <sz val="10"/>
        <color theme="1"/>
        <rFont val="Calibri"/>
        <family val="2"/>
      </rPr>
      <t>Floors. Minimum 6 mil vapor retarder installed on the crawlspace floor and extended at least 6 inches up the wall and is attached and sealed to the wall.</t>
    </r>
  </si>
  <si>
    <r>
      <t xml:space="preserve">602.1.4.1(2) </t>
    </r>
    <r>
      <rPr>
        <sz val="10"/>
        <color theme="1"/>
        <rFont val="Calibri"/>
        <family val="2"/>
      </rPr>
      <t>Walls. Damp-proof walls are provided below finished grade.</t>
    </r>
  </si>
  <si>
    <r>
      <t xml:space="preserve">602.1.4.2 </t>
    </r>
    <r>
      <rPr>
        <sz val="10"/>
        <color theme="1"/>
        <rFont val="Calibri"/>
        <family val="2"/>
      </rPr>
      <t>Crawlspace that is built as a conditioned area is sealed to prevent outside air infiltration and provided with conditioned air at a rate not less than 0.02 cfm (.009 L/s) per square foot of horizontal area and one of the following is implemented:</t>
    </r>
  </si>
  <si>
    <r>
      <t xml:space="preserve">602.1.4.2(1) </t>
    </r>
    <r>
      <rPr>
        <sz val="10"/>
        <color theme="1"/>
        <rFont val="Calibri"/>
        <family val="2"/>
      </rPr>
      <t>Concrete slab over 6 mil polyethylene or polystyrene sheeting lapped a minimum of 6 inches (152 mm) and taped or sealed at the seams.</t>
    </r>
  </si>
  <si>
    <r>
      <t xml:space="preserve">602.1.4.2(2) </t>
    </r>
    <r>
      <rPr>
        <sz val="10"/>
        <color theme="1"/>
        <rFont val="Calibri"/>
        <family val="2"/>
      </rPr>
      <t>6 mil polyethylene sheeting, lapped a minimum of 6 inches (152 mm), and taped at the seams.</t>
    </r>
  </si>
  <si>
    <r>
      <t xml:space="preserve">602.1.5 </t>
    </r>
    <r>
      <rPr>
        <sz val="10"/>
        <color theme="1"/>
        <rFont val="Calibri"/>
        <family val="2"/>
      </rPr>
      <t>Continuous physical foundation termite barrier used with or without low toxicity treatment is installed in geographical areas that have subterranean termite infestation potential determined.</t>
    </r>
  </si>
  <si>
    <r>
      <t xml:space="preserve">602.1.6 </t>
    </r>
    <r>
      <rPr>
        <sz val="10"/>
        <color theme="1"/>
        <rFont val="Calibri"/>
        <family val="2"/>
      </rPr>
      <t>Termite-resistant materials are used as follows:</t>
    </r>
  </si>
  <si>
    <r>
      <t xml:space="preserve">602.1.6(1) </t>
    </r>
    <r>
      <rPr>
        <sz val="10"/>
        <color theme="1"/>
        <rFont val="Calibri"/>
        <family val="2"/>
      </rPr>
      <t>Areas of slight to moderate termite infestion probability</t>
    </r>
  </si>
  <si>
    <r>
      <t>602.1.6(2)</t>
    </r>
    <r>
      <rPr>
        <sz val="10"/>
        <color theme="1"/>
        <rFont val="Calibri"/>
        <family val="2"/>
      </rPr>
      <t xml:space="preserve"> Areas of moderate to heavy termite infestion probability</t>
    </r>
  </si>
  <si>
    <r>
      <t xml:space="preserve">602.1.6(3) </t>
    </r>
    <r>
      <rPr>
        <sz val="10"/>
        <color theme="1"/>
        <rFont val="Calibri"/>
        <family val="2"/>
      </rPr>
      <t>Areas of very heavy termite infestion probability</t>
    </r>
  </si>
  <si>
    <t>602.1.7 Moisture Control Measures</t>
  </si>
  <si>
    <r>
      <t xml:space="preserve">602.1.7.1 </t>
    </r>
    <r>
      <rPr>
        <sz val="10"/>
        <color theme="1"/>
        <rFont val="Calibri"/>
        <family val="2"/>
      </rPr>
      <t>Moisture control measures are in accordance with the following conditions.</t>
    </r>
  </si>
  <si>
    <r>
      <t xml:space="preserve">602.1.7.1(1) </t>
    </r>
    <r>
      <rPr>
        <sz val="10"/>
        <color theme="1"/>
        <rFont val="Calibri"/>
        <family val="2"/>
      </rPr>
      <t>Building materials with visible mold are not installed or are cleaned or encapsulated prior to concealment and closing.</t>
    </r>
  </si>
  <si>
    <r>
      <t>602.1.7.1(2)</t>
    </r>
    <r>
      <rPr>
        <sz val="10"/>
        <color theme="1"/>
        <rFont val="Calibri"/>
        <family val="2"/>
      </rPr>
      <t xml:space="preserve"> Insulation in cavities is dry in accordance with manufacturer’s installation instructions when enclosed (e.g., with drywall).</t>
    </r>
  </si>
  <si>
    <r>
      <t xml:space="preserve">602.1.7.1(3) </t>
    </r>
    <r>
      <rPr>
        <sz val="10"/>
        <color theme="1"/>
        <rFont val="Calibri"/>
        <family val="2"/>
      </rPr>
      <t>The moisture content of lumber is sampled to ensure it does not exceed 19% prior to the surface and/or wall cavity enclosure.</t>
    </r>
  </si>
  <si>
    <t>Mandatory
2 points if applicable</t>
  </si>
  <si>
    <r>
      <t xml:space="preserve">602.1.7.2 </t>
    </r>
    <r>
      <rPr>
        <sz val="10"/>
        <color theme="1"/>
        <rFont val="Calibri"/>
        <family val="2"/>
      </rPr>
      <t>Moisture content of subfloor, substrate, or concrete slabs is in accordance with the appropriate industry standard for the finish flooring to be applied.</t>
    </r>
  </si>
  <si>
    <r>
      <t xml:space="preserve">602.1.8 </t>
    </r>
    <r>
      <rPr>
        <sz val="10"/>
        <color theme="1"/>
        <rFont val="Calibri"/>
        <family val="2"/>
      </rPr>
      <t>Where required by the ICC IRC or IBC, a water-resistive barrier and/or drainage plane system is installed behind exterior veneer and/or siding.</t>
    </r>
  </si>
  <si>
    <r>
      <t xml:space="preserve">602.1.9 </t>
    </r>
    <r>
      <rPr>
        <sz val="10"/>
        <rFont val="Calibri"/>
        <family val="2"/>
        <scheme val="minor"/>
      </rPr>
      <t>Flashing is provided to minimize water entry into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t>
    </r>
  </si>
  <si>
    <r>
      <t>602.1.9(1)</t>
    </r>
    <r>
      <rPr>
        <sz val="10"/>
        <rFont val="Calibri"/>
        <family val="2"/>
        <scheme val="minor"/>
      </rPr>
      <t xml:space="preserve"> 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</si>
  <si>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r>
      <t>602.1.9(2)</t>
    </r>
    <r>
      <rPr>
        <sz val="10"/>
        <rFont val="Calibri"/>
        <family val="2"/>
        <scheme val="minor"/>
      </rPr>
      <t xml:space="preserve"> All window head and jamb flashing are self-adhered flashing complying with AAMA 711-07.</t>
    </r>
  </si>
  <si>
    <r>
      <t xml:space="preserve">602.1.9(3) </t>
    </r>
    <r>
      <rPr>
        <sz val="10"/>
        <rFont val="Calibri"/>
        <family val="2"/>
        <scheme val="minor"/>
      </rPr>
      <t>Pan flashing is installed at sills of all exterior windows and doors.</t>
    </r>
  </si>
  <si>
    <r>
      <t>602.1.9(4)</t>
    </r>
    <r>
      <rPr>
        <sz val="10"/>
        <rFont val="Calibri"/>
        <family val="2"/>
        <scheme val="minor"/>
      </rPr>
      <t xml:space="preserve"> 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r>
  </si>
  <si>
    <r>
      <t>602.1.9(5)</t>
    </r>
    <r>
      <rPr>
        <sz val="10"/>
        <rFont val="Calibri"/>
        <family val="2"/>
        <scheme val="minor"/>
      </rPr>
      <t xml:space="preserve"> A rainscreen wall design is used for exterior wall assemblies.</t>
    </r>
  </si>
  <si>
    <r>
      <t xml:space="preserve">(a) </t>
    </r>
    <r>
      <rPr>
        <sz val="10"/>
        <rFont val="Calibri"/>
        <family val="2"/>
        <scheme val="minor"/>
      </rPr>
      <t>A system designed with minimum ¼” inch air space exterior to the water-resistive barrier, vented to the exterior at top and bottom of the wall and integrated with flashing details.</t>
    </r>
  </si>
  <si>
    <r>
      <t xml:space="preserve">(b) </t>
    </r>
    <r>
      <rPr>
        <sz val="10"/>
        <rFont val="Calibri"/>
        <family val="2"/>
        <scheme val="minor"/>
      </rPr>
      <t>Either a cladding material or a water-resistive barrier with enhanced drainage, meeting 75% drainage efficiency requirement of ASTM E2273.</t>
    </r>
  </si>
  <si>
    <r>
      <t xml:space="preserve">602.1.9(6) </t>
    </r>
    <r>
      <rPr>
        <sz val="10"/>
        <rFont val="Calibri"/>
        <family val="2"/>
        <scheme val="minor"/>
      </rPr>
      <t>Through wall flashing is installed at transitions between wall cladding materials, or wall construction types.</t>
    </r>
  </si>
  <si>
    <r>
      <t>602.1.9(7)</t>
    </r>
    <r>
      <rPr>
        <sz val="10"/>
        <rFont val="Calibri"/>
        <family val="2"/>
        <scheme val="minor"/>
      </rPr>
      <t xml:space="preserve"> Flashing is installed at expansion joints in stucco walls.</t>
    </r>
  </si>
  <si>
    <t>Above grade plane finished floor area:</t>
  </si>
  <si>
    <t>Total conditioned floor area:</t>
  </si>
  <si>
    <t>County:</t>
  </si>
  <si>
    <t>Visual Inspection Option</t>
  </si>
  <si>
    <t>Testing Option</t>
  </si>
  <si>
    <t>Select the Visual Inspection Option [701.4.3.2(2)] 
OR 
Testing Option [701.4.3.2(1)] &amp; enter expected ACH50</t>
  </si>
  <si>
    <t>Rubberized coating</t>
  </si>
  <si>
    <t>Drainage mat</t>
  </si>
  <si>
    <t>countertops</t>
  </si>
  <si>
    <t>composite trim</t>
  </si>
  <si>
    <t>custom woodwork</t>
  </si>
  <si>
    <t>shelving</t>
  </si>
  <si>
    <r>
      <rPr>
        <b/>
        <sz val="10"/>
        <color rgb="FFFF0000"/>
        <rFont val="Calibri"/>
        <family val="2"/>
      </rPr>
      <t>NOTE:</t>
    </r>
    <r>
      <rPr>
        <sz val="10"/>
        <rFont val="Calibri"/>
        <family val="2"/>
      </rPr>
      <t xml:space="preserve"> Points are rewarded only for buildings that use natural draft combustion space and/or water heating equipment.</t>
    </r>
  </si>
  <si>
    <t>solid wood</t>
  </si>
  <si>
    <t>metal, glass, or non-emitting</t>
  </si>
  <si>
    <t>CDPH/EHLB Method V1.1</t>
  </si>
  <si>
    <t>Met plus window</t>
  </si>
  <si>
    <t>Climate Type:</t>
  </si>
  <si>
    <t>Climate Type</t>
  </si>
  <si>
    <t>Warm-Humid</t>
  </si>
  <si>
    <t>Dry</t>
  </si>
  <si>
    <t>Moist</t>
  </si>
  <si>
    <t>Marine</t>
  </si>
  <si>
    <t>One</t>
  </si>
  <si>
    <t>Two</t>
  </si>
  <si>
    <t>Three</t>
  </si>
  <si>
    <t>Four</t>
  </si>
  <si>
    <t>Five</t>
  </si>
  <si>
    <t>Six</t>
  </si>
  <si>
    <t>Seven</t>
  </si>
  <si>
    <t>Eight</t>
  </si>
  <si>
    <t>Subarctic/Arctic</t>
  </si>
  <si>
    <t>704.5.2.1_1</t>
  </si>
  <si>
    <r>
      <rPr>
        <b/>
        <sz val="10"/>
        <color theme="1"/>
        <rFont val="Calibri"/>
        <family val="2"/>
        <scheme val="minor"/>
      </rPr>
      <t>Hard-surface flooring</t>
    </r>
    <r>
      <rPr>
        <sz val="10"/>
        <color theme="1"/>
        <rFont val="Calibri"/>
        <family val="2"/>
        <scheme val="minor"/>
      </rPr>
      <t>.A minimum of 10 percent of the conditioned floor space has pre-finished hard-surface flooring installed and a minimum of 85 percent of all prefinished installed hard-surface flooring is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
Where post-manufacture coatings or surface applications have not been applied, the following hard surface flooring types are deemed to comply with the emission requirements of this section:
     (a) Ceramic tile flooring
     (b) Organic-free, mineral-based flooring
     (c) Clay masonry flooring
     (d) Concrete masonry flooring
     (e) Concrete flooring
     (f) Metal flooring
     (g) Glass</t>
    </r>
  </si>
  <si>
    <r>
      <rPr>
        <b/>
        <sz val="10"/>
        <color theme="1"/>
        <rFont val="Calibri"/>
        <family val="2"/>
        <scheme val="minor"/>
      </rPr>
      <t>Wall coverings</t>
    </r>
    <r>
      <rPr>
        <sz val="10"/>
        <color theme="1"/>
        <rFont val="Calibri"/>
        <family val="2"/>
        <scheme val="minor"/>
      </rPr>
      <t>. A minimum of 10 percent of the interior wall surfaces are covered and a minimum of 85 percent of wall coverings are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The product is certified by a third-party program accredited to ISO Guide 65, such as, but not limited to, those in Appendix D.</t>
    </r>
  </si>
  <si>
    <t>Site-applied interior architectural coatings, which are inside the water proofing envelope, are in accordance with the emission levels of CDPH/EHLB Standard Method v1.1 , except footnote b in Table 4.1 does not apply (i.e., allowable maximum formaldehyde concentration is 16.5 µg/m3 (13.5 ppb)). Emission levels are determined by a laboratory accredited to ISO/IEC 17025 and the CDPH/EHLB Standard Method v1.1 in its scope of accreditation.  The product is certified by a third-party program accredited to ISO Guide 65, such as, but not limited to, those found in Appendix D.</t>
  </si>
  <si>
    <t>The emission levels are in accordance with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t>
  </si>
  <si>
    <t>2 pts</t>
  </si>
  <si>
    <t>6 pts</t>
  </si>
  <si>
    <t>9 pts</t>
  </si>
  <si>
    <t>10 pts</t>
  </si>
  <si>
    <t>8 pts</t>
  </si>
  <si>
    <t>4 pts</t>
  </si>
  <si>
    <r>
      <t xml:space="preserve">Two or more products with the same intended use are compared based on LCA and the product with at least a 15% average improvement is selected. Number of points awarded is based on the number of environmental impact measures compared.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awarded per product/system comparison.)</t>
    </r>
  </si>
  <si>
    <t>Points per Table 610.1.2(2)</t>
  </si>
  <si>
    <t>15 points for 610.1.1
10 points max. for 610.1.2</t>
  </si>
  <si>
    <t>3pts</t>
  </si>
  <si>
    <t># of product comparisons</t>
  </si>
  <si>
    <t>5+</t>
  </si>
  <si>
    <r>
      <rPr>
        <b/>
        <sz val="9"/>
        <color rgb="FFFF0000"/>
        <rFont val="Calibri"/>
        <family val="2"/>
      </rPr>
      <t>NOTE:</t>
    </r>
    <r>
      <rPr>
        <sz val="9"/>
        <rFont val="Calibri"/>
        <family val="2"/>
      </rPr>
      <t xml:space="preserve"> List products/systems compared &amp; impact measures considered in the assigned Notes area.</t>
    </r>
  </si>
  <si>
    <r>
      <rPr>
        <sz val="9"/>
        <color rgb="FFFF0000"/>
        <rFont val="Calibri"/>
        <family val="2"/>
      </rPr>
      <t>NOTE:</t>
    </r>
    <r>
      <rPr>
        <sz val="9"/>
        <rFont val="Calibri"/>
        <family val="2"/>
      </rPr>
      <t xml:space="preserve"> List assemblies compared &amp; impact measures considered in the assigned Notes area.</t>
    </r>
  </si>
  <si>
    <t>Pick type of landscape plan:</t>
  </si>
  <si>
    <t>0% or WaterSense</t>
  </si>
  <si>
    <t>&gt;0% - &lt;20%</t>
  </si>
  <si>
    <t>20% - &lt;40%</t>
  </si>
  <si>
    <t>40% - 60%</t>
  </si>
  <si>
    <r>
      <rPr>
        <b/>
        <sz val="9"/>
        <color theme="1"/>
        <rFont val="Calibri"/>
        <family val="2"/>
        <scheme val="minor"/>
      </rPr>
      <t>Building assembly LCA.</t>
    </r>
    <r>
      <rPr>
        <sz val="9"/>
        <color theme="1"/>
        <rFont val="Calibri"/>
        <family val="2"/>
        <scheme val="minor"/>
      </rPr>
      <t xml:space="preserve">  A building assembly with improved environmental impact measures compared to an alternative assembly of the same function is selected. The full life cycle, from resource extraction to demolition and disposal (including but not limited to on-site construction, maintenance and replacement, material and product embodied acquisition, and process and transportation energy), is assessed. The assessment includes all structural elements, insulation, and wall coverings of the assembly. The assessment does not include electrical and mechanical equipment and controls, plumbing products, fire detection and alarm systems, elevators, and conveying systems. The following types of building assemblies are eligible for points under this practice:
     (a) exterior walls; (b) roof/ceiling; (c) interior walls or ceilings; (d) intermediate floors
</t>
    </r>
    <r>
      <rPr>
        <b/>
        <sz val="9"/>
        <color theme="1"/>
        <rFont val="Calibri"/>
        <family val="2"/>
        <scheme val="minor"/>
      </rPr>
      <t>Exceptions:</t>
    </r>
    <r>
      <rPr>
        <sz val="9"/>
        <color theme="1"/>
        <rFont val="Calibri"/>
        <family val="2"/>
        <scheme val="minor"/>
      </rPr>
      <t xml:space="preserve"> Electrical and mechanical equipment and controls, plumbing products, fire detection and alarm systems, elevators, and conveying systems are not included in the assessment.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are awarded based on the number types of building assemblies that improve upon environmental impact measures by an average of 15%.)</t>
    </r>
  </si>
  <si>
    <t># of Types of Building Assemblies</t>
  </si>
  <si>
    <t>4 Impact Measures</t>
  </si>
  <si>
    <t>5 Impact Measures</t>
  </si>
  <si>
    <t>3 points</t>
  </si>
  <si>
    <r>
      <t xml:space="preserve">1001.1  A building owner's manual is provided that includes the following conditions, as available and applicable.   </t>
    </r>
    <r>
      <rPr>
        <i/>
        <sz val="10"/>
        <color theme="1"/>
        <rFont val="Calibri"/>
        <family val="2"/>
        <scheme val="minor"/>
      </rPr>
      <t>(Points awarded per two items.  Points awarded for both mandatory and non-mandatory items.)  NOT AVAILABLE FOR MULTI-UNIT BUILDINGS</t>
    </r>
  </si>
  <si>
    <t>1 point per 2 items
including (1)-(3)
MAX = 8</t>
  </si>
  <si>
    <t>1002.1  Building owners are familiarized with the role of occupants in achieving green goals. On-site training is provided to the responsible party(ies) regarding 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t>
  </si>
  <si>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rFont val="Calibri"/>
        <family val="2"/>
        <scheme val="minor"/>
      </rPr>
      <t>NOT AVAILABLE FOR SINGLE-FAMILY DWELLINGS.</t>
    </r>
  </si>
  <si>
    <r>
      <t>1003.0 Intent.</t>
    </r>
    <r>
      <rPr>
        <sz val="10"/>
        <color theme="1"/>
        <rFont val="Calibri"/>
        <family val="2"/>
        <scheme val="minor"/>
      </rPr>
      <t xml:space="preserve">  Manuals are provided to the responsible parties (owner, management, tenant, and/or maintenance team) regarding the construction, operation, and maintenance of the building. Manuals are to include information regarding those aspects of the building's construction, maintenance, and operation that are within the area of responsibilities of the respective recipient. 
</t>
    </r>
    <r>
      <rPr>
        <i/>
        <sz val="10"/>
        <color theme="1"/>
        <rFont val="Calibri"/>
        <family val="2"/>
        <scheme val="minor"/>
      </rPr>
      <t>NOT AVAILABLE FOR SINGLE-FAMILY DWELLINGS.</t>
    </r>
  </si>
  <si>
    <r>
      <t xml:space="preserve">1001.1(1) </t>
    </r>
    <r>
      <rPr>
        <sz val="10"/>
        <rFont val="Calibri"/>
        <family val="2"/>
        <scheme val="minor"/>
      </rPr>
      <t>A green building program certificate or completion document.</t>
    </r>
  </si>
  <si>
    <r>
      <t xml:space="preserve">1001.1(2) </t>
    </r>
    <r>
      <rPr>
        <sz val="10"/>
        <rFont val="Calibri"/>
        <family val="2"/>
        <scheme val="minor"/>
      </rPr>
      <t>List of green building features (can include the national green building checklist).</t>
    </r>
  </si>
  <si>
    <r>
      <t xml:space="preserve">1001.1(4) </t>
    </r>
    <r>
      <rPr>
        <sz val="10"/>
        <rFont val="Calibri"/>
        <family val="2"/>
        <scheme val="minor"/>
      </rPr>
      <t>Maintenance checklist.</t>
    </r>
  </si>
  <si>
    <r>
      <t>1001.1(5)</t>
    </r>
    <r>
      <rPr>
        <sz val="10"/>
        <rFont val="Calibri"/>
        <family val="2"/>
        <scheme val="minor"/>
      </rPr>
      <t xml:space="preserve"> Information on local recycling programs.</t>
    </r>
  </si>
  <si>
    <r>
      <t xml:space="preserve">1001.1(6) </t>
    </r>
    <r>
      <rPr>
        <sz val="10"/>
        <rFont val="Calibri"/>
        <family val="2"/>
        <scheme val="minor"/>
      </rPr>
      <t>Information on available local utility programs that purchase a portion of energy from renewable energy providers.</t>
    </r>
  </si>
  <si>
    <r>
      <t>1001.1(7)</t>
    </r>
    <r>
      <rPr>
        <sz val="10"/>
        <rFont val="Calibri"/>
        <family val="2"/>
        <scheme val="minor"/>
      </rPr>
      <t xml:space="preserve"> Explanation of the benefits of using energy efficient lighting systems (e.g., compact fluorescent light bulbs, LED) in high usage areas.</t>
    </r>
  </si>
  <si>
    <r>
      <t>1001.1(8)</t>
    </r>
    <r>
      <rPr>
        <sz val="10"/>
        <rFont val="Calibri"/>
        <family val="2"/>
        <scheme val="minor"/>
      </rPr>
      <t xml:space="preserve"> A list of practices to conserve water and energy.</t>
    </r>
  </si>
  <si>
    <r>
      <t>1001.1(9)</t>
    </r>
    <r>
      <rPr>
        <sz val="10"/>
        <rFont val="Calibri"/>
        <family val="2"/>
        <scheme val="minor"/>
      </rPr>
      <t xml:space="preserve"> Local public transporation options.</t>
    </r>
  </si>
  <si>
    <r>
      <t>1001.1(10)</t>
    </r>
    <r>
      <rPr>
        <sz val="10"/>
        <rFont val="Calibri"/>
        <family val="2"/>
        <scheme val="minor"/>
      </rPr>
      <t xml:space="preserve"> A diagram showing the location of safety valves and controls for major building systems.</t>
    </r>
  </si>
  <si>
    <r>
      <t>1001.1(11)</t>
    </r>
    <r>
      <rPr>
        <sz val="10"/>
        <rFont val="Calibri"/>
        <family val="2"/>
        <scheme val="minor"/>
      </rPr>
      <t xml:space="preserve"> Where frost-protected shallow foundations are used, owner is informed of precautions.</t>
    </r>
  </si>
  <si>
    <r>
      <t>1001.1(12)</t>
    </r>
    <r>
      <rPr>
        <sz val="10"/>
        <rFont val="Calibri"/>
        <family val="2"/>
        <scheme val="minor"/>
      </rPr>
      <t xml:space="preserve"> List of local service providers that offer regularly scheduled service &amp; maintenance contracts to assure proper performance of equipment &amp; the structure</t>
    </r>
  </si>
  <si>
    <r>
      <t>1001.1(13)</t>
    </r>
    <r>
      <rPr>
        <sz val="10"/>
        <rFont val="Calibri"/>
        <family val="2"/>
        <scheme val="minor"/>
      </rPr>
      <t xml:space="preserve"> Photo record of framing with utilities installed.</t>
    </r>
  </si>
  <si>
    <r>
      <t>1001.1(14)</t>
    </r>
    <r>
      <rPr>
        <sz val="10"/>
        <rFont val="Calibri"/>
        <family val="2"/>
        <scheme val="minor"/>
      </rPr>
      <t xml:space="preserve"> List of common hazardous materials often used around the building and instructions for proper handling and disposal of these materials.</t>
    </r>
  </si>
  <si>
    <r>
      <t>1001.1(15)</t>
    </r>
    <r>
      <rPr>
        <sz val="10"/>
        <rFont val="Calibri"/>
        <family val="2"/>
        <scheme val="minor"/>
      </rPr>
      <t xml:space="preserve"> Information on organic pest control, fertilizers, deicers, and cleaning products.</t>
    </r>
  </si>
  <si>
    <r>
      <t>1001.1(17)</t>
    </r>
    <r>
      <rPr>
        <sz val="10"/>
        <rFont val="Calibri"/>
        <family val="2"/>
        <scheme val="minor"/>
      </rPr>
      <t xml:space="preserve"> Information on methods of maintaining the building's relative humidity in the range of 30% to 60%.</t>
    </r>
  </si>
  <si>
    <r>
      <t>1001.1(18)</t>
    </r>
    <r>
      <rPr>
        <sz val="10"/>
        <rFont val="Calibri"/>
        <family val="2"/>
        <scheme val="minor"/>
      </rPr>
      <t xml:space="preserve"> Instructions for inspecting the building for termite infestation.</t>
    </r>
  </si>
  <si>
    <r>
      <t>1001.1(19)</t>
    </r>
    <r>
      <rPr>
        <sz val="10"/>
        <rFont val="Calibri"/>
        <family val="2"/>
        <scheme val="minor"/>
      </rPr>
      <t xml:space="preserve"> Instructions for maintaining gutters and downspouts and importance of diverting water a minimum of 5 feet away from foundation.</t>
    </r>
  </si>
  <si>
    <r>
      <t>1001.1(20)</t>
    </r>
    <r>
      <rPr>
        <sz val="10"/>
        <rFont val="Calibri"/>
        <family val="2"/>
        <scheme val="minor"/>
      </rPr>
      <t xml:space="preserve"> A narrative detailing the importance of maintenance and operation in retaining the attributes of a green-built building.</t>
    </r>
  </si>
  <si>
    <r>
      <t>1001.1(21)</t>
    </r>
    <r>
      <rPr>
        <sz val="10"/>
        <rFont val="Calibri"/>
        <family val="2"/>
        <scheme val="minor"/>
      </rPr>
      <t xml:space="preserve"> Where storm water management measures are installed on the lot, information on the location, purpose, and upkeep of these measures.</t>
    </r>
  </si>
  <si>
    <r>
      <t xml:space="preserve">1003.1(1) </t>
    </r>
    <r>
      <rPr>
        <sz val="10"/>
        <rFont val="Calibri"/>
        <family val="2"/>
        <scheme val="minor"/>
      </rPr>
      <t>A narrative detailing the importance of constructing a green building, including a list of green building attributes included in the building.</t>
    </r>
  </si>
  <si>
    <r>
      <t>1003.1(2)</t>
    </r>
    <r>
      <rPr>
        <sz val="10"/>
        <rFont val="Calibri"/>
        <family val="2"/>
        <scheme val="minor"/>
      </rPr>
      <t xml:space="preserve"> A local green building program certificate as well as a copy of the National Green Building Standard™ and the individual measures achieved by the building.</t>
    </r>
  </si>
  <si>
    <r>
      <t>1003.1(3)</t>
    </r>
    <r>
      <rPr>
        <sz val="10"/>
        <rFont val="Calibri"/>
        <family val="2"/>
        <scheme val="minor"/>
      </rPr>
      <t xml:space="preserve"> Warranty, operation, and maintenance instructions for all equipment, fixtures, appliances, and finishes.</t>
    </r>
  </si>
  <si>
    <r>
      <t xml:space="preserve">1003.1(4) </t>
    </r>
    <r>
      <rPr>
        <sz val="10"/>
        <rFont val="Calibri"/>
        <family val="2"/>
        <scheme val="minor"/>
      </rPr>
      <t>Record drawings of the building.</t>
    </r>
  </si>
  <si>
    <r>
      <t>1003.1(5)</t>
    </r>
    <r>
      <rPr>
        <sz val="10"/>
        <rFont val="Calibri"/>
        <family val="2"/>
        <scheme val="minor"/>
      </rPr>
      <t xml:space="preserve"> A record drawing of the site including stormwater management plans, utility lines, landscaping with common name &amp; genus/species of plantings.</t>
    </r>
  </si>
  <si>
    <r>
      <t>1003.1(6)</t>
    </r>
    <r>
      <rPr>
        <sz val="10"/>
        <rFont val="Calibri"/>
        <family val="2"/>
        <scheme val="minor"/>
      </rPr>
      <t xml:space="preserve"> A diagram showing the location of safety valves and controls for major building systems.</t>
    </r>
  </si>
  <si>
    <r>
      <t>1003.1(7)</t>
    </r>
    <r>
      <rPr>
        <sz val="10"/>
        <rFont val="Calibri"/>
        <family val="2"/>
        <scheme val="minor"/>
      </rPr>
      <t xml:space="preserve"> A list of the type and wattage of light bulbs installed in light fixtures.</t>
    </r>
  </si>
  <si>
    <r>
      <t>1003.1(8)</t>
    </r>
    <r>
      <rPr>
        <sz val="10"/>
        <rFont val="Calibri"/>
        <family val="2"/>
        <scheme val="minor"/>
      </rPr>
      <t xml:space="preserve"> A photo record of framing with utilities installed. Photos are taken prior to installing insulation and clearly labeled.</t>
    </r>
  </si>
  <si>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r>
      <rPr>
        <b/>
        <sz val="10"/>
        <rFont val="Calibri"/>
        <family val="2"/>
        <scheme val="minor"/>
      </rPr>
      <t xml:space="preserve">
</t>
    </r>
  </si>
  <si>
    <r>
      <t>1003.2(1)</t>
    </r>
    <r>
      <rPr>
        <sz val="10"/>
        <rFont val="Calibri"/>
        <family val="2"/>
        <scheme val="minor"/>
      </rPr>
      <t xml:space="preserve"> A narrative detailing the importance of operating and living in a green building.</t>
    </r>
  </si>
  <si>
    <r>
      <t>1003.2(2)</t>
    </r>
    <r>
      <rPr>
        <sz val="10"/>
        <rFont val="Calibri"/>
        <family val="2"/>
        <scheme val="minor"/>
      </rPr>
      <t xml:space="preserve"> A list of practices to conserve water and energy.</t>
    </r>
  </si>
  <si>
    <r>
      <t>1003.2(3)</t>
    </r>
    <r>
      <rPr>
        <sz val="10"/>
        <rFont val="Calibri"/>
        <family val="2"/>
        <scheme val="minor"/>
      </rPr>
      <t xml:space="preserve"> Information on methods of maintaining the building's relative humidity in the range of 30% to 60%.</t>
    </r>
  </si>
  <si>
    <r>
      <t>1003.2(4)</t>
    </r>
    <r>
      <rPr>
        <sz val="10"/>
        <rFont val="Calibri"/>
        <family val="2"/>
        <scheme val="minor"/>
      </rPr>
      <t xml:space="preserve"> Information on opportunities to purchase renewable energy from local utilities or national green power providers and information on utility and tax incentives for the installation of on-site renewable energy systems.</t>
    </r>
  </si>
  <si>
    <r>
      <t>1003.2(5)</t>
    </r>
    <r>
      <rPr>
        <sz val="10"/>
        <rFont val="Calibri"/>
        <family val="2"/>
        <scheme val="minor"/>
      </rPr>
      <t xml:space="preserve"> Informtation on local and on-site recycling and hazardous waste disposal programs and, if applicable, building recycling and hazardous waste handling and disposal procedures.</t>
    </r>
  </si>
  <si>
    <r>
      <t>1003.2(6)</t>
    </r>
    <r>
      <rPr>
        <sz val="10"/>
        <rFont val="Calibri"/>
        <family val="2"/>
        <scheme val="minor"/>
      </rPr>
      <t xml:space="preserve"> Local public transportation options.</t>
    </r>
  </si>
  <si>
    <r>
      <t>1003.2(7)</t>
    </r>
    <r>
      <rPr>
        <sz val="10"/>
        <rFont val="Calibri"/>
        <family val="2"/>
        <scheme val="minor"/>
      </rPr>
      <t xml:space="preserve"> Explanation of the benefits of using compact fluorescent light bulbs, LEDs, or other high-efficiency lighting.</t>
    </r>
  </si>
  <si>
    <r>
      <t>1003.2(8)</t>
    </r>
    <r>
      <rPr>
        <sz val="10"/>
        <rFont val="Calibri"/>
        <family val="2"/>
        <scheme val="minor"/>
      </rPr>
      <t xml:space="preserve"> Information on native landscape materials and/or those that have low water requirements.</t>
    </r>
  </si>
  <si>
    <r>
      <t>1003.2(9)</t>
    </r>
    <r>
      <rPr>
        <sz val="10"/>
        <rFont val="Calibri"/>
        <family val="2"/>
        <scheme val="minor"/>
      </rPr>
      <t xml:space="preserve"> Information on radon mitigation, if applicableInformation on the radon mitigation system, where applicable.</t>
    </r>
  </si>
  <si>
    <r>
      <t xml:space="preserve">1003.2(10) </t>
    </r>
    <r>
      <rPr>
        <sz val="10"/>
        <rFont val="Calibri"/>
        <family val="2"/>
        <scheme val="minor"/>
      </rPr>
      <t>A procedure for educating tenants in rental properties on the proper use, benefits, and maintenance of green building systems including a maintenance staff notification process for improperly functioning equipment.</t>
    </r>
  </si>
  <si>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</si>
  <si>
    <r>
      <t>1003.3(1)</t>
    </r>
    <r>
      <rPr>
        <sz val="10"/>
        <rFont val="Calibri"/>
        <family val="2"/>
        <scheme val="minor"/>
      </rPr>
      <t xml:space="preserve"> A narrative detailing the importance of maintaining a green building. This narrative is included in all responsible parties' manuals.</t>
    </r>
  </si>
  <si>
    <r>
      <t>1003.3(2)</t>
    </r>
    <r>
      <rPr>
        <sz val="10"/>
        <rFont val="Calibri"/>
        <family val="2"/>
        <scheme val="minor"/>
      </rPr>
      <t xml:space="preserve"> A list of local service providers that offer regularly scheduled service and maintenance contracts to assure proper performance of equipment and the structure.</t>
    </r>
  </si>
  <si>
    <r>
      <t>1003.3(4)</t>
    </r>
    <r>
      <rPr>
        <sz val="10"/>
        <rFont val="Calibri"/>
        <family val="2"/>
        <scheme val="minor"/>
      </rPr>
      <t xml:space="preserve"> List of common hazardous materials often used around the building and instructions for proper handling and disposal of these materials.</t>
    </r>
  </si>
  <si>
    <r>
      <t>1003.3(5)</t>
    </r>
    <r>
      <rPr>
        <sz val="10"/>
        <rFont val="Calibri"/>
        <family val="2"/>
        <scheme val="minor"/>
      </rPr>
      <t xml:space="preserve"> Information on organic pest control, fertilizers, deicers, and cleaning products.</t>
    </r>
  </si>
  <si>
    <r>
      <t>1003.3(6)</t>
    </r>
    <r>
      <rPr>
        <sz val="10"/>
        <rFont val="Calibri"/>
        <family val="2"/>
        <scheme val="minor"/>
      </rPr>
      <t xml:space="preserve">  Instructions for maintaining gutters and downspouts and importance of diverting water a minimum of 5 feet away from foundation.</t>
    </r>
  </si>
  <si>
    <r>
      <t xml:space="preserve">1003.3(7) </t>
    </r>
    <r>
      <rPr>
        <sz val="10"/>
        <rFont val="Calibri"/>
        <family val="2"/>
        <scheme val="minor"/>
      </rPr>
      <t>Instructions for inspecting the building for termite infestation.</t>
    </r>
  </si>
  <si>
    <r>
      <t>1003.3(8)</t>
    </r>
    <r>
      <rPr>
        <sz val="10"/>
        <rFont val="Calibri"/>
        <family val="2"/>
        <scheme val="minor"/>
      </rPr>
      <t xml:space="preserve"> A procedure for rental tenant occupancy turnover that preserves the green features.</t>
    </r>
  </si>
  <si>
    <r>
      <t>1003.3(9)</t>
    </r>
    <r>
      <rPr>
        <sz val="10"/>
        <rFont val="Calibri"/>
        <family val="2"/>
        <scheme val="minor"/>
      </rPr>
      <t xml:space="preserve"> An outline of a formal green building training program for maintenance staff.</t>
    </r>
  </si>
  <si>
    <r>
      <t xml:space="preserve">503.6 Wildlife habitat. Measures are planned that will support wildlife habitat and </t>
    </r>
    <r>
      <rPr>
        <b/>
        <sz val="10"/>
        <color rgb="FFFF0000"/>
        <rFont val="Calibri"/>
        <family val="2"/>
        <scheme val="minor"/>
      </rPr>
      <t>include at least two of the following</t>
    </r>
    <r>
      <rPr>
        <b/>
        <sz val="10"/>
        <rFont val="Calibri"/>
        <family val="2"/>
        <scheme val="minor"/>
      </rPr>
      <t>:</t>
    </r>
  </si>
  <si>
    <r>
      <t>901.1.1</t>
    </r>
    <r>
      <rPr>
        <sz val="10"/>
        <rFont val="Calibri"/>
        <family val="2"/>
        <scheme val="minor"/>
      </rPr>
      <t xml:space="preserve"> Natural draft furnaces, boilers or water heaters are not located in conditioned spaces, including conditioned crawlspaces. Natural draft furnaces, boilers and water heaters are permitted to be installed within the conditioned spaces if located in a mechanical room that has an outdoor air source, and is otherwise sealed and insulated to separate it from the conditioned space(s).</t>
    </r>
  </si>
  <si>
    <r>
      <t xml:space="preserve">901.1.2 </t>
    </r>
    <r>
      <rPr>
        <sz val="10"/>
        <rFont val="Calibri"/>
        <family val="2"/>
        <scheme val="minor"/>
      </rPr>
      <t>Air handling equipment or return ducts are not located in the garage, unless placed in isolated, air-sealed mechanical rooms with an outside air source.</t>
    </r>
  </si>
  <si>
    <r>
      <t>901.1.3</t>
    </r>
    <r>
      <rPr>
        <sz val="10"/>
        <rFont val="Calibri"/>
        <family val="2"/>
        <scheme val="minor"/>
      </rPr>
      <t xml:space="preserve"> The following combustion space heating or water heating equipment is installed within conditioned space:</t>
    </r>
  </si>
  <si>
    <r>
      <t xml:space="preserve">(1)(a) </t>
    </r>
    <r>
      <rPr>
        <sz val="10"/>
        <rFont val="Calibri"/>
        <family val="2"/>
        <scheme val="minor"/>
      </rPr>
      <t>All furnaces or all boilers are power vent</t>
    </r>
  </si>
  <si>
    <r>
      <t xml:space="preserve">(1)(b) </t>
    </r>
    <r>
      <rPr>
        <sz val="10"/>
        <rFont val="Calibri"/>
        <family val="2"/>
        <scheme val="minor"/>
      </rPr>
      <t>All furnaces or all boilers are direct vent</t>
    </r>
  </si>
  <si>
    <r>
      <t>(2)(a)</t>
    </r>
    <r>
      <rPr>
        <sz val="10"/>
        <rFont val="Calibri"/>
        <family val="2"/>
        <scheme val="minor"/>
      </rPr>
      <t xml:space="preserve"> All water heaters are power vent</t>
    </r>
  </si>
  <si>
    <r>
      <t>(2)(b)</t>
    </r>
    <r>
      <rPr>
        <sz val="10"/>
        <rFont val="Calibri"/>
        <family val="2"/>
        <scheme val="minor"/>
      </rPr>
      <t xml:space="preserve"> All water heaters are direct vent</t>
    </r>
  </si>
  <si>
    <r>
      <t>901.1.4</t>
    </r>
    <r>
      <rPr>
        <sz val="10"/>
        <rFont val="Calibri"/>
        <family val="2"/>
        <scheme val="minor"/>
      </rPr>
      <t xml:space="preserve"> 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r>
  </si>
  <si>
    <r>
      <t>901.1.5</t>
    </r>
    <r>
      <rPr>
        <sz val="10"/>
        <rFont val="Calibri"/>
        <family val="2"/>
        <scheme val="minor"/>
      </rPr>
      <t xml:space="preserve"> Natural gas and propane fireplaces are direct vented, have permanently fixed glass fronts or gasketed doors, and comply with CSA ANSI Z21.88/CSA 2.33 or CSA ANSI Z21.50b/CSA 2.22b.</t>
    </r>
  </si>
  <si>
    <r>
      <t>901.1.6</t>
    </r>
    <r>
      <rPr>
        <sz val="10"/>
        <rFont val="Calibri"/>
        <family val="2"/>
        <scheme val="minor"/>
      </rPr>
      <t xml:space="preserve"> Heat pump air handler is installed in conditioned or unconditioned space.</t>
    </r>
  </si>
  <si>
    <r>
      <rPr>
        <b/>
        <sz val="10"/>
        <rFont val="Calibri"/>
        <family val="2"/>
        <scheme val="minor"/>
      </rPr>
      <t>(1)</t>
    </r>
    <r>
      <rPr>
        <sz val="10"/>
        <rFont val="Calibri"/>
        <family val="2"/>
        <scheme val="minor"/>
      </rPr>
      <t xml:space="preserve"> Unconditioned space</t>
    </r>
  </si>
  <si>
    <r>
      <rPr>
        <b/>
        <sz val="10"/>
        <rFont val="Calibri"/>
        <family val="2"/>
        <scheme val="minor"/>
      </rPr>
      <t>(2)</t>
    </r>
    <r>
      <rPr>
        <sz val="10"/>
        <rFont val="Calibri"/>
        <family val="2"/>
        <scheme val="minor"/>
      </rPr>
      <t xml:space="preserve"> Conditioned space</t>
    </r>
  </si>
  <si>
    <t>901.2  Solid fuel-burning appliances.</t>
  </si>
  <si>
    <r>
      <t>901.2.1</t>
    </r>
    <r>
      <rPr>
        <sz val="10"/>
        <rFont val="Calibri"/>
        <family val="2"/>
        <scheme val="minor"/>
      </rPr>
      <t xml:space="preserve"> Solid fuel-burning fireplaces, inserts, stoves and heaters are code compliant and are in accordance with the following requirements:</t>
    </r>
  </si>
  <si>
    <r>
      <t>901.2.1(1)</t>
    </r>
    <r>
      <rPr>
        <sz val="10"/>
        <rFont val="Calibri"/>
        <family val="2"/>
        <scheme val="minor"/>
      </rPr>
      <t xml:space="preserve"> Site-built masonry wood-burning fireplaces are equipped with outside combustion air and a means of sealing the flue and the combustion air outlets to minimize interior air (heat) loss when not in operation.</t>
    </r>
  </si>
  <si>
    <t>Mandatory
4 points if applicable</t>
  </si>
  <si>
    <r>
      <t>901.2.1(2)</t>
    </r>
    <r>
      <rPr>
        <sz val="10"/>
        <rFont val="Calibri"/>
        <family val="2"/>
        <scheme val="minor"/>
      </rPr>
      <t xml:space="preserve"> Factory-built, wood-burning fireplaces are in accordance with the certification requirements of UL 127 and are EPA certified.</t>
    </r>
  </si>
  <si>
    <t>Mandatory
6 points if applicable</t>
  </si>
  <si>
    <r>
      <t xml:space="preserve">901.2.1(3) </t>
    </r>
    <r>
      <rPr>
        <sz val="10"/>
        <rFont val="Calibri"/>
        <family val="2"/>
        <scheme val="minor"/>
      </rPr>
      <t>Wood stove and fireplace inserts, as defined in UL 1482 Section 3.8, are in accordance with the certification requirements of UL 1482 and are in accordance with the emission requirements of the EPA Certification and the State of Washington WAC 173-433-100(3).</t>
    </r>
  </si>
  <si>
    <r>
      <t>901.2.1(4)</t>
    </r>
    <r>
      <rPr>
        <sz val="10"/>
        <rFont val="Calibri"/>
        <family val="2"/>
        <scheme val="minor"/>
      </rPr>
      <t xml:space="preserve"> Pellet (biomass) stoves and furnaces are in accordance with the requirements of ASTM E1509 or are EPA certified.</t>
    </r>
  </si>
  <si>
    <r>
      <t>901.2.1(5)</t>
    </r>
    <r>
      <rPr>
        <sz val="10"/>
        <rFont val="Calibri"/>
        <family val="2"/>
        <scheme val="minor"/>
      </rPr>
      <t xml:space="preserve"> Masonry heaters are in accordance with the definitions in ASTM E1602 and ICC IBC, Section 2112.1.</t>
    </r>
  </si>
  <si>
    <r>
      <t>901.2.2</t>
    </r>
    <r>
      <rPr>
        <sz val="10"/>
        <rFont val="Calibri"/>
        <family val="2"/>
        <scheme val="minor"/>
      </rPr>
      <t xml:space="preserve"> Fireplaces, wood stoves, pellet stoves, or masonry heaters are not installed.</t>
    </r>
  </si>
  <si>
    <r>
      <t>901.3(1)(a)</t>
    </r>
    <r>
      <rPr>
        <sz val="10"/>
        <rFont val="Calibri"/>
        <family val="2"/>
        <scheme val="minor"/>
      </rPr>
      <t xml:space="preserve"> Where installed in the common wall between the attached garage and conditioned space, the door is tightly sealed and gasketed.</t>
    </r>
  </si>
  <si>
    <r>
      <t>901.3(1)(b)</t>
    </r>
    <r>
      <rPr>
        <sz val="10"/>
        <rFont val="Calibri"/>
        <family val="2"/>
        <scheme val="minor"/>
      </rPr>
      <t xml:space="preserve"> A continuous air barrier is provided between walls and ceilings separating the garage space from the conditioned living spaces.</t>
    </r>
  </si>
  <si>
    <r>
      <t>901.3(1)(c)</t>
    </r>
    <r>
      <rPr>
        <sz val="10"/>
        <rFont val="Calibri"/>
        <family val="2"/>
        <scheme val="minor"/>
      </rPr>
      <t xml:space="preserve"> For one- and two-family dwelling units,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t>
    </r>
  </si>
  <si>
    <r>
      <t>901.3(2)</t>
    </r>
    <r>
      <rPr>
        <sz val="10"/>
        <rFont val="Calibri"/>
        <family val="2"/>
        <scheme val="minor"/>
      </rPr>
      <t xml:space="preserve"> A carport is installed, the garage is detached from the building, or no garage is installed.</t>
    </r>
  </si>
  <si>
    <r>
      <t xml:space="preserve">901.4(1) </t>
    </r>
    <r>
      <rPr>
        <sz val="10"/>
        <rFont val="Calibri"/>
        <family val="2"/>
        <scheme val="minor"/>
      </rPr>
      <t>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t>
    </r>
  </si>
  <si>
    <r>
      <t xml:space="preserve">901.4(2)-(6) Wood materials. </t>
    </r>
    <r>
      <rPr>
        <sz val="10"/>
        <rFont val="Calibri"/>
        <family val="2"/>
        <scheme val="minor"/>
      </rPr>
      <t>A minimum of 85% of material within a product group (i.e., wood structural panels, countertops, composite trim/doors, custom woodwork, and/or component closet shelving) is manufactured in accordance with the following:</t>
    </r>
  </si>
  <si>
    <t>10 points maximum</t>
  </si>
  <si>
    <r>
      <t>901.4(2)</t>
    </r>
    <r>
      <rPr>
        <sz val="10"/>
        <rFont val="Calibri"/>
        <family val="2"/>
        <scheme val="minor"/>
      </rPr>
      <t xml:space="preserve"> Particleboard and MDF (medium density fiberboard) is manufactured and labeled in accordance with CPA A208.1 and CPA A208.2, respectively.</t>
    </r>
  </si>
  <si>
    <r>
      <t>901.4(4)</t>
    </r>
    <r>
      <rPr>
        <sz val="10"/>
        <rFont val="Calibri"/>
        <family val="2"/>
        <scheme val="minor"/>
      </rPr>
      <t xml:space="preserve"> Particleboard, MDF, or hardwood plywood is in accordance with CPA 2.</t>
    </r>
  </si>
  <si>
    <r>
      <t>901.4(5)</t>
    </r>
    <r>
      <rPr>
        <sz val="10"/>
        <rFont val="Calibri"/>
        <family val="2"/>
        <scheme val="minor"/>
      </rPr>
      <t xml:space="preserve"> Composite wood or agrifiber panel products contain no added urea-formaldehyde or are in accordance with the CARB Composite Wood Air Toxic Contaminant Measure Standard.</t>
    </r>
  </si>
  <si>
    <r>
      <t>901.4(6)</t>
    </r>
    <r>
      <rPr>
        <sz val="10"/>
        <rFont val="Calibri"/>
        <family val="2"/>
        <scheme val="minor"/>
      </rPr>
      <t xml:space="preserve"> Non-emitting products.</t>
    </r>
  </si>
  <si>
    <r>
      <t>901.4(3)</t>
    </r>
    <r>
      <rPr>
        <sz val="10"/>
        <rFont val="Calibri"/>
        <family val="2"/>
        <scheme val="minor"/>
      </rPr>
      <t xml:space="preserve"> Hardwood plywood in accordance w/ HPVA HP-1 &amp; HUD Title 24, Part 3280.</t>
    </r>
  </si>
  <si>
    <r>
      <t>901.5</t>
    </r>
    <r>
      <rPr>
        <sz val="10"/>
        <rFont val="Calibri"/>
        <family val="2"/>
        <scheme val="minor"/>
      </rPr>
      <t xml:space="preserve"> </t>
    </r>
    <r>
      <rPr>
        <b/>
        <sz val="10"/>
        <rFont val="Calibri"/>
        <family val="2"/>
        <scheme val="minor"/>
      </rPr>
      <t>Cabinets.</t>
    </r>
    <r>
      <rPr>
        <sz val="10"/>
        <rFont val="Calibri"/>
        <family val="2"/>
        <scheme val="minor"/>
      </rPr>
      <t xml:space="preserve"> A minimum of 85 percent of installed cabinets are in accordance with one or any combination of the following.</t>
    </r>
  </si>
  <si>
    <r>
      <t xml:space="preserve">(1) </t>
    </r>
    <r>
      <rPr>
        <sz val="10"/>
        <rFont val="Calibri"/>
        <family val="2"/>
        <scheme val="minor"/>
      </rPr>
      <t>All parts of the cabinet are made of solid wood or non-formaldehyde emitting materials such as metal or glass.</t>
    </r>
  </si>
  <si>
    <r>
      <t xml:space="preserve">(2) </t>
    </r>
    <r>
      <rPr>
        <sz val="10"/>
        <rFont val="Calibri"/>
        <family val="2"/>
        <scheme val="minor"/>
      </rPr>
      <t>The composite wood used in wood cabinets are in accordance with CARB Composite Wood Air Toxic Contaminant Measure Standard or equivalent as certified by a third-party program such as but not limited to, those in Appendix D.</t>
    </r>
  </si>
  <si>
    <r>
      <t>901.6 Carpets.</t>
    </r>
    <r>
      <rPr>
        <sz val="10"/>
        <rFont val="Calibri"/>
        <family val="2"/>
        <scheme val="minor"/>
      </rPr>
      <t xml:space="preserve"> Carpets are in accordance with the following:</t>
    </r>
  </si>
  <si>
    <r>
      <t>901.6(1)</t>
    </r>
    <r>
      <rPr>
        <sz val="10"/>
        <rFont val="Calibri"/>
        <family val="2"/>
        <scheme val="minor"/>
      </rPr>
      <t xml:space="preserve"> Wall-to-wall carpeting is not installed adjacent to water closets and bathing fixtures.</t>
    </r>
  </si>
  <si>
    <r>
      <t xml:space="preserve">901.6(2)(a) </t>
    </r>
    <r>
      <rPr>
        <sz val="10"/>
        <rFont val="Calibri"/>
        <family val="2"/>
        <scheme val="minor"/>
      </rPr>
      <t>Carpet in accordance with the emission levels of CDPH/EHLB Standard Method v1.1.</t>
    </r>
  </si>
  <si>
    <r>
      <t>901.6(2)(b)</t>
    </r>
    <r>
      <rPr>
        <sz val="10"/>
        <rFont val="Calibri"/>
        <family val="2"/>
        <scheme val="minor"/>
      </rPr>
      <t xml:space="preserve"> Carpet adhesives in accordance with the emission levels of CDPH/EHLB Standard Method v1.1.</t>
    </r>
  </si>
  <si>
    <r>
      <t xml:space="preserve">901.7 Hard-surface flooring. </t>
    </r>
    <r>
      <rPr>
        <sz val="10"/>
        <rFont val="Calibri"/>
        <family val="2"/>
        <scheme val="minor"/>
      </rPr>
      <t>Minimum of 10% of the conditioned floor space has pre-finished hard-surface flooring installed &amp; a minimum of 85% of all prefinished installed hard-surface flooring is in accordance with the emission concentration limits of CDPH/EHLB Standard Method v1.1.</t>
    </r>
  </si>
  <si>
    <r>
      <t xml:space="preserve">901.8 Wall coverings. </t>
    </r>
    <r>
      <rPr>
        <sz val="10"/>
        <rFont val="Calibri"/>
        <family val="2"/>
        <scheme val="minor"/>
      </rPr>
      <t>Minimum of 10% of the interior wall surfaces are covered &amp; a minimum of 85% of wall coverings are in accordance with the emission concentration limits of CDPH/EHLB Standard Method v1.1.</t>
    </r>
  </si>
  <si>
    <r>
      <t xml:space="preserve">901.9 Architectural coatings. </t>
    </r>
    <r>
      <rPr>
        <sz val="10"/>
        <rFont val="Calibri"/>
        <family val="2"/>
        <scheme val="minor"/>
      </rPr>
      <t>A minimum of 85% of the architectural coatings are in accordance with either Section 901.9.1 or Section 901.9.3, not both. A minimum of 85% of architectural colorants are in accordance with Section 901.9.2.</t>
    </r>
  </si>
  <si>
    <r>
      <t>901.9.1</t>
    </r>
    <r>
      <rPr>
        <sz val="10"/>
        <rFont val="Calibri"/>
        <family val="2"/>
        <scheme val="minor"/>
      </rPr>
      <t xml:space="preserve"> Site-applied interior architectural coatings, which are inside the water proofing envelope, are in accordance with one or more of the following:
     (1) Zero VOC as determined by EPA Method 24
     (2) GreenSeal GS-11 Standard for Paints and Coatings
     (3) CARB Suggested Control Measure for Architectural Coatings</t>
    </r>
  </si>
  <si>
    <r>
      <t>901.9.2</t>
    </r>
    <r>
      <rPr>
        <sz val="10"/>
        <rFont val="Calibri"/>
        <family val="2"/>
        <scheme val="minor"/>
      </rPr>
      <t xml:space="preserve"> Architectural coating colorant additive VOC content is in accordance with Table 901.9.2.</t>
    </r>
  </si>
  <si>
    <r>
      <t>901.9.3</t>
    </r>
    <r>
      <rPr>
        <sz val="10"/>
        <rFont val="Calibri"/>
        <family val="2"/>
        <scheme val="minor"/>
      </rPr>
      <t xml:space="preserve">  Site-applied interior architectural coatings, which are inside the water proofing envelope, are in accordance with the emission levels of CDPH/EHLB Standard Method v1.1.</t>
    </r>
  </si>
  <si>
    <r>
      <t xml:space="preserve">901.10  Adhesives and sealants. </t>
    </r>
    <r>
      <rPr>
        <sz val="10"/>
        <rFont val="Calibri"/>
        <family val="2"/>
        <scheme val="minor"/>
      </rPr>
      <t>Interior low-VOC adhesives and sealants located inside the water proofing envelope: A minimum of 85% of site-applied products used within the interior of the building are in accordance with one of the following, as applicable.</t>
    </r>
  </si>
  <si>
    <r>
      <t>901.10(1)</t>
    </r>
    <r>
      <rPr>
        <sz val="10"/>
        <rFont val="Calibri"/>
        <family val="2"/>
        <scheme val="minor"/>
      </rPr>
      <t xml:space="preserve"> CDPH/EHLB Method V1.1</t>
    </r>
  </si>
  <si>
    <r>
      <t>901.10(2)</t>
    </r>
    <r>
      <rPr>
        <sz val="10"/>
        <rFont val="Calibri"/>
        <family val="2"/>
        <scheme val="minor"/>
      </rPr>
      <t xml:space="preserve"> GreenSeal GS-36</t>
    </r>
  </si>
  <si>
    <r>
      <t>901.10(3)</t>
    </r>
    <r>
      <rPr>
        <sz val="10"/>
        <rFont val="Calibri"/>
        <family val="2"/>
        <scheme val="minor"/>
      </rPr>
      <t xml:space="preserve"> SCAQMD Rule 1168</t>
    </r>
  </si>
  <si>
    <t>24 oz max supply to fixture &amp; 128 oz max in circ. loop</t>
  </si>
  <si>
    <r>
      <rPr>
        <b/>
        <sz val="10"/>
        <color theme="1"/>
        <rFont val="Calibri"/>
        <family val="2"/>
        <scheme val="minor"/>
      </rPr>
      <t>Landscape plan.</t>
    </r>
    <r>
      <rPr>
        <sz val="10"/>
        <color theme="1"/>
        <rFont val="Calibri"/>
        <family val="2"/>
        <scheme val="minor"/>
      </rPr>
      <t xml:space="preserve"> A landscape plan for the lot is developed to limit water and energy use while preserving or enhancing the natural environment.
</t>
    </r>
    <r>
      <rPr>
        <i/>
        <sz val="10"/>
        <color theme="1"/>
        <rFont val="Calibri"/>
        <family val="2"/>
        <scheme val="minor"/>
      </rPr>
      <t>Points must be taken in 503.5(1), 503.5(2), 503.5(3), or 503.5(4) to claim points for 801.6.5(3).</t>
    </r>
    <r>
      <rPr>
        <sz val="10"/>
        <color theme="1"/>
        <rFont val="Calibri"/>
        <family val="2"/>
        <scheme val="minor"/>
      </rPr>
      <t xml:space="preserve">
</t>
    </r>
    <r>
      <rPr>
        <b/>
        <u/>
        <sz val="10"/>
        <color theme="1"/>
        <rFont val="Calibri"/>
        <family val="2"/>
        <scheme val="minor"/>
      </rPr>
      <t>Claim points for all that apply from (1)-(8) below:</t>
    </r>
  </si>
  <si>
    <t>Enter # of comparions with 4 impact measures:</t>
  </si>
  <si>
    <t>Enter # of comparions with 5 impact measures:</t>
  </si>
  <si>
    <r>
      <t xml:space="preserve">901.11 Insulation. </t>
    </r>
    <r>
      <rPr>
        <sz val="10"/>
        <rFont val="Calibri"/>
        <family val="2"/>
        <scheme val="minor"/>
      </rPr>
      <t>Emissions of 85 percent of wall, ceiling, and floor insulation materials are in accordance with the emission levels of CDPH/EHLB Standard Method v1.1 except footnote b in Table 4.1 does not apply (i.e., allowable maximum formaldehyde concentration is 16.5 µg/m3 (13.5 ppb)).</t>
    </r>
  </si>
  <si>
    <r>
      <t xml:space="preserve">901.12 Carbon monoxide (CO) alarms. </t>
    </r>
    <r>
      <rPr>
        <sz val="10"/>
        <rFont val="Calibri"/>
        <family val="2"/>
        <scheme val="minor"/>
      </rPr>
      <t>Where not required by local codes, a carbon monoxide (CO) alarm is installed in a central location outside of each separate sleeping area in the immediate vicinity of the bedrooms.</t>
    </r>
  </si>
  <si>
    <r>
      <t xml:space="preserve">901.13 Building entrance pollutants control. </t>
    </r>
    <r>
      <rPr>
        <sz val="10"/>
        <rFont val="Calibri"/>
        <family val="2"/>
        <scheme val="minor"/>
      </rPr>
      <t>Pollutants are controlled at all main building entrances.</t>
    </r>
  </si>
  <si>
    <r>
      <t xml:space="preserve">902.0 Intent. </t>
    </r>
    <r>
      <rPr>
        <sz val="10"/>
        <rFont val="Calibri"/>
        <family val="2"/>
        <scheme val="minor"/>
      </rPr>
      <t>Pollutants generated in the building are controlled.</t>
    </r>
  </si>
  <si>
    <r>
      <t>902.1.2(4)</t>
    </r>
    <r>
      <rPr>
        <sz val="10"/>
        <rFont val="Calibri"/>
        <family val="2"/>
        <scheme val="minor"/>
      </rPr>
      <t xml:space="preserve"> 4 or more automatic timer/humidistat devices installed</t>
    </r>
  </si>
  <si>
    <r>
      <t>902.1.2(3)</t>
    </r>
    <r>
      <rPr>
        <sz val="10"/>
        <rFont val="Calibri"/>
        <family val="2"/>
        <scheme val="minor"/>
      </rPr>
      <t xml:space="preserve"> 3 automatic timer/humidistat devices installed</t>
    </r>
  </si>
  <si>
    <r>
      <t>902.1.3</t>
    </r>
    <r>
      <rPr>
        <sz val="10"/>
        <rFont val="Calibri"/>
        <family val="2"/>
        <scheme val="minor"/>
      </rPr>
      <t xml:space="preserve"> 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r>
  </si>
  <si>
    <r>
      <t>902.2.1(1)</t>
    </r>
    <r>
      <rPr>
        <sz val="10"/>
        <rFont val="Calibri"/>
        <family val="2"/>
        <scheme val="minor"/>
      </rPr>
      <t xml:space="preserve"> Exhaust or supply fan(s) ready for continuous operation and with appropriately labeled controls.</t>
    </r>
  </si>
  <si>
    <r>
      <t xml:space="preserve">902.2.1(2) </t>
    </r>
    <r>
      <rPr>
        <sz val="10"/>
        <rFont val="Calibri"/>
        <family val="2"/>
        <scheme val="minor"/>
      </rPr>
      <t>Balanced exhaust and supply fans with supply intakes located in accordance with the manufacturer's guidelines to not introduce polluted air back into the building.</t>
    </r>
  </si>
  <si>
    <r>
      <t>902.2.1(3)</t>
    </r>
    <r>
      <rPr>
        <sz val="10"/>
        <rFont val="Calibri"/>
        <family val="2"/>
        <scheme val="minor"/>
      </rPr>
      <t xml:space="preserve"> Heat-recovery ventilator</t>
    </r>
  </si>
  <si>
    <r>
      <t>902.2.1(4)</t>
    </r>
    <r>
      <rPr>
        <sz val="10"/>
        <rFont val="Calibri"/>
        <family val="2"/>
        <scheme val="minor"/>
      </rPr>
      <t xml:space="preserve"> Energy-recovery ventilator</t>
    </r>
  </si>
  <si>
    <t>Mandatory where the maximum air infiltration rate is less than 5 ACH50.</t>
  </si>
  <si>
    <r>
      <t>902.2.2</t>
    </r>
    <r>
      <rPr>
        <sz val="10"/>
        <rFont val="Calibri"/>
        <family val="2"/>
        <scheme val="minor"/>
      </rPr>
      <t xml:space="preserve"> Ventilation airflow is tested to achieve the design fan airflow at point of exhaust in accordance with section 902.2.1.</t>
    </r>
  </si>
  <si>
    <r>
      <t>902.2.3</t>
    </r>
    <r>
      <rPr>
        <sz val="10"/>
        <rFont val="Calibri"/>
        <family val="2"/>
        <scheme val="minor"/>
      </rPr>
      <t xml:space="preserve"> MERV filters 8 or greater are installed on central forced air systems and are accessible. Designer or installer is to verify that the HVAC equipment is able to accommodate the greater pressure drop of MERV 8 filters.</t>
    </r>
  </si>
  <si>
    <r>
      <t xml:space="preserve">902.4(1) </t>
    </r>
    <r>
      <rPr>
        <sz val="10"/>
        <rFont val="Calibri"/>
        <family val="2"/>
        <scheme val="minor"/>
      </rPr>
      <t>HVAC supply registers (boots), return grilles, and rough-ins are covered during construction activities to prevent dust and other pollutants from entering the system.</t>
    </r>
  </si>
  <si>
    <r>
      <t xml:space="preserve">902.4(2) </t>
    </r>
    <r>
      <rPr>
        <sz val="10"/>
        <rFont val="Calibri"/>
        <family val="2"/>
        <scheme val="minor"/>
      </rPr>
      <t>Prior to owner occupancy, HVAC supply registers (boots), return grilles, and duct terminations are inspected and vacuumed. In addition, the coils are inspected and cleaned and the filter is replaced if necessary.</t>
    </r>
  </si>
  <si>
    <r>
      <t xml:space="preserve">902.6 Living space contaminants. </t>
    </r>
    <r>
      <rPr>
        <sz val="10"/>
        <rFont val="Calibri"/>
        <family val="2"/>
        <scheme val="minor"/>
      </rPr>
      <t>The living space is sealed to prevent unwanted contaminants.The living space is sealed in accordance with Section 701.4.3.1 to prevent unwanted contaminants.</t>
    </r>
  </si>
  <si>
    <r>
      <t xml:space="preserve">903.1.1 </t>
    </r>
    <r>
      <rPr>
        <sz val="10"/>
        <rFont val="Calibri"/>
        <family val="2"/>
        <scheme val="minor"/>
      </rPr>
      <t>Cold water pipes in unconditioned spaces are insulated to a minimum of R-4 with pipe insulation or other covering that adequately prevents condensation.</t>
    </r>
  </si>
  <si>
    <t>903.1 Plumbing</t>
  </si>
  <si>
    <r>
      <t xml:space="preserve">903.1.2 </t>
    </r>
    <r>
      <rPr>
        <sz val="10"/>
        <rFont val="Calibri"/>
        <family val="2"/>
        <scheme val="minor"/>
      </rPr>
      <t>Plumbing is not installed in unconditioned spaces.</t>
    </r>
  </si>
  <si>
    <r>
      <t xml:space="preserve">903.2 Duct insulation. </t>
    </r>
    <r>
      <rPr>
        <sz val="10"/>
        <rFont val="Calibri"/>
        <family val="2"/>
        <scheme val="minor"/>
      </rPr>
      <t>Ducts are in accordance with one of the following.</t>
    </r>
  </si>
  <si>
    <r>
      <t>903.2(1)</t>
    </r>
    <r>
      <rPr>
        <sz val="10"/>
        <rFont val="Calibri"/>
        <family val="2"/>
        <scheme val="minor"/>
      </rPr>
      <t xml:space="preserve">  All HVAC ducts, plenums, and trunks are in conditioned space.</t>
    </r>
  </si>
  <si>
    <r>
      <t>903.2(2)</t>
    </r>
    <r>
      <rPr>
        <sz val="10"/>
        <rFont val="Calibri"/>
        <family val="2"/>
        <scheme val="minor"/>
      </rPr>
      <t xml:space="preserve"> All HVAC ducts, plenums, and trunks are in conditioned space. All HVAC ducts are insulated to a minimum of R4.</t>
    </r>
  </si>
  <si>
    <r>
      <t>903.3 Relative humidity.</t>
    </r>
    <r>
      <rPr>
        <sz val="10"/>
        <rFont val="Calibri"/>
        <family val="2"/>
        <scheme val="minor"/>
      </rPr>
      <t xml:space="preserve"> In climate zones 1A, 2A, 3A, 4A, and 5A as defined by Figure 6(1), equipment is installed to maintain relative humidity (RH) at or below 60% using one of the following:</t>
    </r>
  </si>
  <si>
    <r>
      <t>903.3(1)</t>
    </r>
    <r>
      <rPr>
        <sz val="10"/>
        <rFont val="Calibri"/>
        <family val="2"/>
        <scheme val="minor"/>
      </rPr>
      <t xml:space="preserve"> Additional dehumidification system(s)</t>
    </r>
  </si>
  <si>
    <r>
      <t xml:space="preserve">903.3(2) </t>
    </r>
    <r>
      <rPr>
        <sz val="10"/>
        <rFont val="Calibri"/>
        <family val="2"/>
        <scheme val="minor"/>
      </rPr>
      <t>Central HVAC system equipped with additional controls to operate in dehumidification mode</t>
    </r>
  </si>
  <si>
    <r>
      <t xml:space="preserve">904.1   Humidity monitoring system. </t>
    </r>
    <r>
      <rPr>
        <sz val="10"/>
        <rFont val="Calibri"/>
        <family val="2"/>
        <scheme val="minor"/>
      </rPr>
      <t>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</si>
  <si>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t xml:space="preserve">904.2   Kitchen exhaust. </t>
    </r>
    <r>
      <rPr>
        <sz val="10"/>
        <rFont val="Calibri"/>
        <family val="2"/>
        <scheme val="minor"/>
      </rPr>
      <t xml:space="preserve">Kitchen exhaust unit(s) that equal or exceeds 400 cfm (189 L/s), and make-up air is provided.
</t>
    </r>
  </si>
  <si>
    <t>Point per 
Table 601.6</t>
  </si>
  <si>
    <r>
      <t xml:space="preserve">602.1.10 </t>
    </r>
    <r>
      <rPr>
        <sz val="10"/>
        <rFont val="Calibri"/>
        <family val="2"/>
        <scheme val="minor"/>
      </rPr>
      <t>Entries at exterior door assemblies are covered</t>
    </r>
  </si>
  <si>
    <r>
      <t xml:space="preserve">602.1.11 </t>
    </r>
    <r>
      <rPr>
        <sz val="10"/>
        <rFont val="Calibri"/>
        <family val="2"/>
        <scheme val="minor"/>
      </rPr>
      <t>Tile backing materials installed under tiled surfaces in wet areas are in accordance with ASTM C1178, C1278, C1288, or C1325.</t>
    </r>
  </si>
  <si>
    <r>
      <t xml:space="preserve">602.1.12 </t>
    </r>
    <r>
      <rPr>
        <sz val="10"/>
        <rFont val="Calibri"/>
        <family val="2"/>
        <scheme val="minor"/>
      </rPr>
      <t>Roof overhangs are provided over a minimum of 90% of exterior walls to protect the building envelope.</t>
    </r>
  </si>
  <si>
    <r>
      <t xml:space="preserve">602.1.13 </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</si>
  <si>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r>
      <t xml:space="preserve">602.1.14 </t>
    </r>
    <r>
      <rPr>
        <sz val="10"/>
        <rFont val="Calibri"/>
        <family val="2"/>
        <scheme val="minor"/>
      </rPr>
      <t>Architectural features that increase the potential for water intrusion are avoided.</t>
    </r>
  </si>
  <si>
    <t>Mandatory
1 point if applicable</t>
  </si>
  <si>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the following:
     </t>
    </r>
  </si>
  <si>
    <r>
      <t xml:space="preserve">(1) </t>
    </r>
    <r>
      <rPr>
        <sz val="10"/>
        <rFont val="Calibri"/>
        <family val="2"/>
        <scheme val="minor"/>
      </rPr>
      <t>products accordance with the ENERGY STAR® cool roof certification or equivalent</t>
    </r>
  </si>
  <si>
    <r>
      <t xml:space="preserve">(2) </t>
    </r>
    <r>
      <rPr>
        <sz val="10"/>
        <rFont val="Calibri"/>
        <family val="2"/>
        <scheme val="minor"/>
      </rPr>
      <t>a vegetated roof system</t>
    </r>
  </si>
  <si>
    <r>
      <t xml:space="preserve">(3) </t>
    </r>
    <r>
      <rPr>
        <sz val="10"/>
        <rFont val="Calibri"/>
        <family val="2"/>
        <scheme val="minor"/>
      </rPr>
      <t>Both</t>
    </r>
  </si>
  <si>
    <r>
      <t xml:space="preserve">602.3 </t>
    </r>
    <r>
      <rPr>
        <sz val="10"/>
        <rFont val="Calibri"/>
        <family val="2"/>
        <scheme val="minor"/>
      </rPr>
      <t>A gutter and downspout system or splash blocks and effective grading are provided to carry water a minimum of 5 feet (1524 mm) away from perimeter foundation walls.</t>
    </r>
  </si>
  <si>
    <r>
      <t xml:space="preserve">602.4.1 </t>
    </r>
    <r>
      <rPr>
        <sz val="10"/>
        <rFont val="Calibri"/>
        <family val="2"/>
        <scheme val="minor"/>
      </rPr>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t>
    </r>
  </si>
  <si>
    <t>The final grade is sloped away from the edge of the building at a minimum slope of 5%.</t>
  </si>
  <si>
    <r>
      <t>602.4.2</t>
    </r>
    <r>
      <rPr>
        <sz val="10"/>
        <rFont val="Calibri"/>
        <family val="2"/>
        <scheme val="minor"/>
      </rPr>
      <t xml:space="preserve"> The final grade is sloped away from the edge of the building at a minimum slope of 5%.</t>
    </r>
  </si>
  <si>
    <r>
      <t xml:space="preserve">602.4.3 </t>
    </r>
    <r>
      <rPr>
        <sz val="10"/>
        <rFont val="Calibri"/>
        <family val="2"/>
        <scheme val="minor"/>
      </rPr>
      <t>Water is directed to drains or swales to ensure drainage away from the structure.</t>
    </r>
  </si>
  <si>
    <r>
      <t xml:space="preserve">603.1 </t>
    </r>
    <r>
      <rPr>
        <sz val="10"/>
        <rFont val="Calibri"/>
        <family val="2"/>
        <scheme val="minor"/>
      </rPr>
      <t>Existing buildings and structures are reused, modified, or deconstructed in lieu of demolition.</t>
    </r>
    <r>
      <rPr>
        <b/>
        <sz val="10"/>
        <rFont val="Calibri"/>
        <family val="2"/>
        <scheme val="minor"/>
      </rPr>
      <t xml:space="preserve">  </t>
    </r>
    <r>
      <rPr>
        <b/>
        <i/>
        <sz val="10"/>
        <rFont val="Calibri"/>
        <family val="2"/>
        <scheme val="minor"/>
      </rPr>
      <t>(1 point per 200 ft² reused)</t>
    </r>
  </si>
  <si>
    <r>
      <t xml:space="preserve">603.2 </t>
    </r>
    <r>
      <rPr>
        <sz val="10"/>
        <rFont val="Calibri"/>
        <family val="2"/>
        <scheme val="minor"/>
      </rPr>
      <t>Reclaimed and/or salvaged materials and components are used. The total material value and labor cost of salvaged materials is equal to or exceeds 1 percent of the total construction cost.</t>
    </r>
    <r>
      <rPr>
        <b/>
        <sz val="10"/>
        <rFont val="Calibri"/>
        <family val="2"/>
        <scheme val="minor"/>
      </rPr>
      <t xml:space="preserve">  </t>
    </r>
    <r>
      <rPr>
        <b/>
        <i/>
        <sz val="10"/>
        <rFont val="Calibri"/>
        <family val="2"/>
        <scheme val="minor"/>
      </rPr>
      <t>(Points awarded per 1% of salvaged materials used based on the total construction cost.)</t>
    </r>
  </si>
  <si>
    <r>
      <t xml:space="preserve">603.3 </t>
    </r>
    <r>
      <rPr>
        <sz val="10"/>
        <rFont val="Calibri"/>
        <family val="2"/>
        <scheme val="minor"/>
      </rPr>
      <t>Facilitation for sorting and reuse of scrap building material (e.g., provide a central storage area or dedicated bins).</t>
    </r>
  </si>
  <si>
    <r>
      <rPr>
        <b/>
        <sz val="10"/>
        <rFont val="Calibri"/>
        <family val="2"/>
        <scheme val="minor"/>
      </rPr>
      <t>604.1.1</t>
    </r>
    <r>
      <rPr>
        <sz val="10"/>
        <rFont val="Calibri"/>
        <family val="2"/>
        <scheme val="minor"/>
      </rPr>
      <t xml:space="preserve"> Building materials w/ recycled content are used.  (MINOR Components)</t>
    </r>
  </si>
  <si>
    <r>
      <rPr>
        <b/>
        <sz val="10"/>
        <rFont val="Calibri"/>
        <family val="2"/>
        <scheme val="minor"/>
      </rPr>
      <t>604.1.2</t>
    </r>
    <r>
      <rPr>
        <sz val="10"/>
        <rFont val="Calibri"/>
        <family val="2"/>
        <scheme val="minor"/>
      </rPr>
      <t xml:space="preserve"> Building materials w/ recycled content are used.  (MAJOR Components)</t>
    </r>
  </si>
  <si>
    <r>
      <t xml:space="preserve">605.1 </t>
    </r>
    <r>
      <rPr>
        <sz val="10"/>
        <rFont val="Calibri"/>
        <family val="2"/>
        <scheme val="minor"/>
      </rPr>
      <t>A construction waste management plan is developed, posted at the jobsite, and implemented with a goal of recycling or salvaging a minimum of 50% (by weight) of construction waste.</t>
    </r>
  </si>
  <si>
    <r>
      <t xml:space="preserve">605.2 </t>
    </r>
    <r>
      <rPr>
        <sz val="10"/>
        <rFont val="Calibri"/>
        <family val="2"/>
        <scheme val="minor"/>
      </rPr>
      <t>On-site recycling of 50% by weight of C&amp; D waste (e.g., grinding/application for soil amendment).</t>
    </r>
  </si>
  <si>
    <r>
      <t xml:space="preserve">605.3 </t>
    </r>
    <r>
      <rPr>
        <sz val="10"/>
        <rFont val="Calibri"/>
        <family val="2"/>
        <scheme val="minor"/>
      </rPr>
      <t>Construction materials (e.g., wood, cardboard, metals, drywall, plastic, asphalt roofing shingles, or concrete) are recycled offsite.</t>
    </r>
    <r>
      <rPr>
        <b/>
        <sz val="10"/>
        <rFont val="Calibri"/>
        <family val="2"/>
        <scheme val="minor"/>
      </rPr>
      <t/>
    </r>
  </si>
  <si>
    <t>two types @ 0.5% of material cost</t>
  </si>
  <si>
    <t>two types @ 1% of material cost</t>
  </si>
  <si>
    <t>each additional material at 0.5%</t>
  </si>
  <si>
    <t>1 per type</t>
  </si>
  <si>
    <r>
      <t xml:space="preserve">606.1 </t>
    </r>
    <r>
      <rPr>
        <sz val="10"/>
        <rFont val="Calibri"/>
        <family val="2"/>
        <scheme val="minor"/>
      </rPr>
      <t>Biobased products are used.</t>
    </r>
  </si>
  <si>
    <r>
      <t xml:space="preserve">601.7 </t>
    </r>
    <r>
      <rPr>
        <sz val="10"/>
        <rFont val="Calibri"/>
        <family val="2"/>
        <scheme val="minor"/>
      </rPr>
      <t>Building materials/assemblies do not require additional site applied material for finishing.</t>
    </r>
    <r>
      <rPr>
        <b/>
        <sz val="10"/>
        <rFont val="Calibri"/>
        <family val="2"/>
        <scheme val="minor"/>
      </rPr>
      <t xml:space="preserve">  </t>
    </r>
  </si>
  <si>
    <r>
      <t xml:space="preserve">601.8 </t>
    </r>
    <r>
      <rPr>
        <sz val="10"/>
        <rFont val="Calibri"/>
        <family val="2"/>
        <scheme val="minor"/>
      </rPr>
      <t>Frost-protected shallow foundations, pier and pad foundations, post foundations, etc.</t>
    </r>
  </si>
  <si>
    <r>
      <t xml:space="preserve">601.9 </t>
    </r>
    <r>
      <rPr>
        <sz val="10"/>
        <rFont val="Calibri"/>
        <family val="2"/>
        <scheme val="minor"/>
      </rPr>
      <t>Adobe, concrete, log, earth systems provide sufficient structural and thermal characteristics (&gt;75% of the exterior wall area )</t>
    </r>
  </si>
  <si>
    <r>
      <t xml:space="preserve">606.2 </t>
    </r>
    <r>
      <rPr>
        <sz val="10"/>
        <rFont val="Calibri"/>
        <family val="2"/>
        <scheme val="minor"/>
      </rPr>
      <t>Wood or wood-based product types are certified to the requirements of a recognized product program:</t>
    </r>
  </si>
  <si>
    <t>2 materials</t>
  </si>
  <si>
    <t>3 materials</t>
  </si>
  <si>
    <r>
      <t xml:space="preserve">606.3 </t>
    </r>
    <r>
      <rPr>
        <sz val="10"/>
        <rFont val="Calibri"/>
        <family val="2"/>
        <scheme val="minor"/>
      </rPr>
      <t>Materials used for major components are manufactured using a min. of 33% of the primary manufacturing process energy from renewable sources, combustible waste sources, or renewable energy credits (RECs).</t>
    </r>
  </si>
  <si>
    <t>3+ materials</t>
  </si>
  <si>
    <r>
      <t xml:space="preserve">607.1(1) </t>
    </r>
    <r>
      <rPr>
        <sz val="10"/>
        <rFont val="Calibri"/>
        <family val="2"/>
        <scheme val="minor"/>
      </rPr>
      <t>A built-in collection space in each kitchen and an aggregation/pick-up space in a garage, covered outdoor space, or other area for recycling containers.</t>
    </r>
  </si>
  <si>
    <r>
      <t xml:space="preserve">607.1(2) </t>
    </r>
    <r>
      <rPr>
        <sz val="10"/>
        <rFont val="Calibri"/>
        <family val="2"/>
        <scheme val="minor"/>
      </rPr>
      <t>Compost facility provided on-site.</t>
    </r>
  </si>
  <si>
    <r>
      <t xml:space="preserve">607.2 </t>
    </r>
    <r>
      <rPr>
        <sz val="10"/>
        <rFont val="Calibri"/>
        <family val="2"/>
        <scheme val="minor"/>
      </rPr>
      <t>A minimum of one food waste disposer is installed at the primary kitchen sink.</t>
    </r>
  </si>
  <si>
    <r>
      <t xml:space="preserve">608.1 </t>
    </r>
    <r>
      <rPr>
        <sz val="10"/>
        <rFont val="Calibri"/>
        <family val="2"/>
        <scheme val="minor"/>
      </rPr>
      <t>Products containing fewer materials are used to achieve the same end-use requirements as conventional products, including but not limited to:
     (1) lighter, thinner brick with bed depth &lt; 3 inches and/or brick with coring &gt; 25%
     (2) engineered wood or engineered steel products
     (3) roof or floor trusses</t>
    </r>
  </si>
  <si>
    <r>
      <t xml:space="preserve">609.1 </t>
    </r>
    <r>
      <rPr>
        <sz val="10"/>
        <rFont val="Calibri"/>
        <family val="2"/>
        <scheme val="minor"/>
      </rPr>
      <t>Regional materials are used for major elements or components of the building.</t>
    </r>
  </si>
  <si>
    <r>
      <t xml:space="preserve">610.1  </t>
    </r>
    <r>
      <rPr>
        <sz val="10"/>
        <rFont val="Calibri"/>
        <family val="2"/>
        <scheme val="minor"/>
      </rPr>
      <t>A life cycle analysis (LCA) tool is used to select environmentally preferable products or assemblies, or an LCA is conducted on the entire building.</t>
    </r>
  </si>
  <si>
    <r>
      <t xml:space="preserve">610.1.1 </t>
    </r>
    <r>
      <rPr>
        <sz val="10"/>
        <rFont val="Calibri"/>
        <family val="2"/>
        <scheme val="minor"/>
      </rPr>
      <t>A whole-building LCA is performed using a life cycle assessment and data compliant with ISO 14044 or other recognized standards.</t>
    </r>
  </si>
  <si>
    <r>
      <t xml:space="preserve">610.1.2 </t>
    </r>
    <r>
      <rPr>
        <sz val="10"/>
        <rFont val="Calibri"/>
        <family val="2"/>
        <scheme val="minor"/>
      </rPr>
      <t>An environmentally preferable product or assembly is selected for an application based upon the use of an LCA tool that incorporates data methods compliant with ISO 14044 or other recognized standards that compare the environmental impact of products or assemblies.</t>
    </r>
  </si>
  <si>
    <r>
      <t xml:space="preserve">610.1.2(1) </t>
    </r>
    <r>
      <rPr>
        <sz val="10"/>
        <rFont val="Calibri"/>
        <family val="2"/>
        <scheme val="minor"/>
      </rPr>
      <t>Two or more products with the same intended use are compared based on LCA and the product with at least a 15% average improvement is selected. Number of points awarded is based on the number of environmental impact measures compared.</t>
    </r>
  </si>
  <si>
    <t>611 INNOVATIVE PRACTICES</t>
  </si>
  <si>
    <t>610 LIFE CYCLE ANALYSIS</t>
  </si>
  <si>
    <t>609 REGIONAL MATERIALS</t>
  </si>
  <si>
    <t>607 - Recycling</t>
  </si>
  <si>
    <t>608 RESOURCE-EFFICIENT MATERIALS</t>
  </si>
  <si>
    <t>607 RECYCLING &amp; WASTE REDUCTION</t>
  </si>
  <si>
    <r>
      <t xml:space="preserve">611.1  </t>
    </r>
    <r>
      <rPr>
        <sz val="10"/>
        <rFont val="Calibri"/>
        <family val="2"/>
        <scheme val="minor"/>
      </rPr>
      <t>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</si>
  <si>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10+%</t>
  </si>
  <si>
    <r>
      <t xml:space="preserve">611.2  </t>
    </r>
    <r>
      <rPr>
        <sz val="10"/>
        <rFont val="Calibri"/>
        <family val="2"/>
        <scheme val="minor"/>
      </rPr>
      <t>One or more of the following products are used for at least 30% of the floor or wall area of the entire dwelling unit, as applicable. Certification third-party agency is ISO Guide 65 accredited.</t>
    </r>
  </si>
  <si>
    <t>(1) 50% or more of carpet installed (by square feet) is third-party certified to NSF/ANSI 140.</t>
  </si>
  <si>
    <t>(2) 50% or more of resilient flooring installed (by square feet) is third-party certified to NSF/ANSI 332.</t>
  </si>
  <si>
    <t>(3) 50% or more of the insulation installed (by square feet) is third-party certified to EcoLogo CCD-016.</t>
  </si>
  <si>
    <t>(4) 50% or more of interior wall coverings installed (by square feet) is third-party certified to NSF/ANSI 342.</t>
  </si>
  <si>
    <t>(5) 50% or more of the gypsum board installed (by square feet) is third-party certified to ULE ISR 100.</t>
  </si>
  <si>
    <t>(6) 50% or more of the door leafs installed (by number of door leafs) is third-party certified to ULE ISR 102.</t>
  </si>
  <si>
    <t>(7) 50% or more of the tile installed (by square feet) is third-party certified to ANSI A138.1 Specifications for Sustainable Ceramic Tiles, Glass Tiles and Tile Installation Materials.</t>
  </si>
  <si>
    <r>
      <t>611.3  Universal design elements.</t>
    </r>
    <r>
      <rPr>
        <sz val="10"/>
        <rFont val="Calibri"/>
        <family val="2"/>
        <scheme val="minor"/>
      </rPr>
      <t xml:space="preserve"> Dwelling incorporates one or more of the following universal design elements.</t>
    </r>
  </si>
  <si>
    <t>(1) 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</si>
  <si>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(2) 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</si>
  <si>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(3) Minimum 36-inch wide accessible route from the no-step entrance into at least one bedroom which has a minimum 32 inch clear door width.</t>
  </si>
  <si>
    <t>(4) Blocking or equivalent installed in the accessible bathroom walls for future installation of grab bars at commode and bathing fixture, if applicable.</t>
  </si>
  <si>
    <t>Select # of impact measures in LCA for exterior walls:</t>
  </si>
  <si>
    <t>Select # of impact measures in LCA for roof/ceilings:</t>
  </si>
  <si>
    <t>Select # of impact measures in LCA for intermediate floors:</t>
  </si>
  <si>
    <t>Select # of impact measures in LCA for interior walls or ceilings:</t>
  </si>
  <si>
    <t>4 measures</t>
  </si>
  <si>
    <t>5 measures</t>
  </si>
  <si>
    <t># of comparions with 4 impact measures:</t>
  </si>
  <si>
    <t># of comparions with 5 impact measures:</t>
  </si>
  <si>
    <r>
      <t>610.1.2(2) Building assembly LCA.</t>
    </r>
    <r>
      <rPr>
        <sz val="10"/>
        <rFont val="Calibri"/>
        <family val="2"/>
        <scheme val="minor"/>
      </rPr>
      <t xml:space="preserve">  A building assembly with improved environmental impact measures compared to an alternative assembly of the same function is selected.</t>
    </r>
  </si>
  <si>
    <t># of impact measures in LCA for exterior walls:</t>
  </si>
  <si>
    <t># of impact measures in LCA for roof/ceilings:</t>
  </si>
  <si>
    <t># of impact measures in LCA for interior walls or ceilings:</t>
  </si>
  <si>
    <t># of impact measures in LCA for intermediate floors:</t>
  </si>
  <si>
    <r>
      <t>701.4.2.1</t>
    </r>
    <r>
      <rPr>
        <sz val="10"/>
        <rFont val="Calibri"/>
        <family val="2"/>
        <scheme val="minor"/>
      </rPr>
      <t xml:space="preserve">  Ducts are air sealed with materials in conformance with UL 181A or UL 181B specifications</t>
    </r>
  </si>
  <si>
    <r>
      <t>701.4.2.3</t>
    </r>
    <r>
      <rPr>
        <sz val="10"/>
        <rFont val="Calibri"/>
        <family val="2"/>
        <scheme val="minor"/>
      </rPr>
      <t xml:space="preserve">  Duct system is sized and designed in accordance with ACCA Manual D or equivalent</t>
    </r>
  </si>
  <si>
    <r>
      <t xml:space="preserve">701.4.3.1 Building Thermal Envelope. </t>
    </r>
    <r>
      <rPr>
        <sz val="10"/>
        <rFont val="Calibri"/>
        <family val="2"/>
        <scheme val="minor"/>
      </rPr>
      <t>The building thermal envelope is durably sealed to limit infiltration.</t>
    </r>
  </si>
  <si>
    <r>
      <t xml:space="preserve">701.4.3.2 Air sealing and insulation. </t>
    </r>
    <r>
      <rPr>
        <sz val="10"/>
        <rFont val="Calibri"/>
        <family val="2"/>
        <scheme val="minor"/>
      </rPr>
      <t>Grade 3 insulation installation is not permitted. The compliance of the building envelope air tightness and insulation installation is demonstrated in accordance with Section 701.4.3.2(1) or 701.4.3.2(2).</t>
    </r>
  </si>
  <si>
    <r>
      <t xml:space="preserve">701.4.3.2(1) Testing option. </t>
    </r>
    <r>
      <rPr>
        <sz val="10"/>
        <rFont val="Calibri"/>
        <family val="2"/>
        <scheme val="minor"/>
      </rPr>
      <t>Building envelope tightness and insulation installation is considered acceptable when air leakage is less than seven air changes per hour (ACH) when tested with a blower door at a pressure of 33.5 psf (50 Pa).</t>
    </r>
  </si>
  <si>
    <r>
      <t xml:space="preserve">701.4.3.2(2) Visual inspection option. </t>
    </r>
    <r>
      <rPr>
        <sz val="10"/>
        <rFont val="Calibri"/>
        <family val="2"/>
        <scheme val="minor"/>
      </rPr>
      <t>Building envelope tightness and insulation installation are considered acceptable when the components listed below applicable to the method of construction, are field verified.</t>
    </r>
  </si>
  <si>
    <r>
      <t>701.4.4</t>
    </r>
    <r>
      <rPr>
        <sz val="10"/>
        <rFont val="Calibri"/>
        <family val="2"/>
        <scheme val="minor"/>
      </rPr>
      <t xml:space="preserve">  </t>
    </r>
    <r>
      <rPr>
        <b/>
        <sz val="10"/>
        <rFont val="Calibri"/>
        <family val="2"/>
        <scheme val="minor"/>
      </rPr>
      <t xml:space="preserve">High-efficacy lighting. </t>
    </r>
    <r>
      <rPr>
        <sz val="10"/>
        <rFont val="Calibri"/>
        <family val="2"/>
        <scheme val="minor"/>
      </rPr>
      <t>A minimum of 50% of the total hard-wired lighting fixtures, or the bulbs in those fixtures, qualify as high efficacy or equivalent.</t>
    </r>
  </si>
  <si>
    <r>
      <t>701.4.3.4</t>
    </r>
    <r>
      <rPr>
        <sz val="10"/>
        <rFont val="Calibri"/>
        <family val="2"/>
        <scheme val="minor"/>
      </rPr>
      <t xml:space="preserve">  </t>
    </r>
    <r>
      <rPr>
        <b/>
        <sz val="10"/>
        <rFont val="Calibri"/>
        <family val="2"/>
        <scheme val="minor"/>
      </rPr>
      <t xml:space="preserve">Recessed lighting. </t>
    </r>
    <r>
      <rPr>
        <sz val="10"/>
        <rFont val="Calibri"/>
        <family val="2"/>
        <scheme val="minor"/>
      </rPr>
      <t>Recessed luminaires installed in the building thermal envelope are sealed to limit air leakage between conditioned and unconditioned spaces.</t>
    </r>
  </si>
  <si>
    <r>
      <t>701.4.3.3</t>
    </r>
    <r>
      <rPr>
        <sz val="10"/>
        <rFont val="Calibri"/>
        <family val="2"/>
        <scheme val="minor"/>
      </rPr>
      <t xml:space="preserve">  </t>
    </r>
    <r>
      <rPr>
        <b/>
        <sz val="10"/>
        <rFont val="Calibri"/>
        <family val="2"/>
        <scheme val="minor"/>
      </rPr>
      <t xml:space="preserve">Fenestration air leakage. </t>
    </r>
    <r>
      <rPr>
        <sz val="10"/>
        <rFont val="Calibri"/>
        <family val="2"/>
        <scheme val="minor"/>
      </rPr>
      <t>Windows, skylights and sliding glass doors have an air infiltration rate of no more than 0.3 cfm per square foot (1.5 L/s/m2), and swinging doors no more than 0.5 cfm per square foot (2.6 L/s/m2).</t>
    </r>
  </si>
  <si>
    <r>
      <t>701.4.5</t>
    </r>
    <r>
      <rPr>
        <sz val="10"/>
        <rFont val="Calibri"/>
        <family val="2"/>
        <scheme val="minor"/>
      </rPr>
      <t xml:space="preserve">  </t>
    </r>
    <r>
      <rPr>
        <b/>
        <sz val="10"/>
        <rFont val="Calibri"/>
        <family val="2"/>
        <scheme val="minor"/>
      </rPr>
      <t>Boiler supply piping.</t>
    </r>
    <r>
      <rPr>
        <sz val="10"/>
        <rFont val="Calibri"/>
        <family val="2"/>
        <scheme val="minor"/>
      </rPr>
      <t xml:space="preserve"> Boiler supply piping in unconditioned space is insulated.</t>
    </r>
  </si>
  <si>
    <t>≥ 14 SEER (11.5 EER)</t>
  </si>
  <si>
    <t>≥ 15 SEER (12.5 EER)</t>
  </si>
  <si>
    <t>≥ 17 SEER (12.5 EER)</t>
  </si>
  <si>
    <r>
      <t>602.1.10(1)</t>
    </r>
    <r>
      <rPr>
        <sz val="10"/>
        <rFont val="Calibri"/>
        <family val="2"/>
        <scheme val="minor"/>
      </rPr>
      <t xml:space="preserve"> 1 exterior door</t>
    </r>
  </si>
  <si>
    <r>
      <t>602.1.10(2)</t>
    </r>
    <r>
      <rPr>
        <sz val="10"/>
        <rFont val="Calibri"/>
        <family val="2"/>
        <scheme val="minor"/>
      </rPr>
      <t xml:space="preserve"> 2 exterior doors </t>
    </r>
  </si>
  <si>
    <r>
      <t xml:space="preserve">602.1.10(3) </t>
    </r>
    <r>
      <rPr>
        <sz val="10"/>
        <rFont val="Calibri"/>
        <family val="2"/>
        <scheme val="minor"/>
      </rPr>
      <t>3 or more exterior doors</t>
    </r>
  </si>
  <si>
    <r>
      <t>602.1.14(1)</t>
    </r>
    <r>
      <rPr>
        <sz val="10"/>
        <rFont val="Calibri"/>
        <family val="2"/>
        <scheme val="minor"/>
      </rPr>
      <t xml:space="preserve"> No roof configurations that create horizontal valleys in roof design.</t>
    </r>
  </si>
  <si>
    <r>
      <t>602.1.14(2)</t>
    </r>
    <r>
      <rPr>
        <sz val="10"/>
        <rFont val="Calibri"/>
        <family val="2"/>
        <scheme val="minor"/>
      </rPr>
      <t xml:space="preserve"> No recessed windows and architectural features that trap water on horizontal surfaces.</t>
    </r>
  </si>
  <si>
    <r>
      <t xml:space="preserve">602.1.14(3) </t>
    </r>
    <r>
      <rPr>
        <sz val="10"/>
        <rFont val="Calibri"/>
        <family val="2"/>
        <scheme val="minor"/>
      </rPr>
      <t>All horizontal ledgers are sloped away to provide gravity drainage as appropriate for the application.</t>
    </r>
  </si>
  <si>
    <t>Section 801.1: Indoor hot water usage</t>
  </si>
  <si>
    <t>See Practice 801.1</t>
  </si>
  <si>
    <t>See Practice 602.1.5</t>
  </si>
  <si>
    <t>See Practice 602.1.6</t>
  </si>
  <si>
    <t>See 602.1.12</t>
  </si>
  <si>
    <t>See Practice 901.5(2)</t>
  </si>
  <si>
    <t>See 903.3</t>
  </si>
  <si>
    <t>Figure 9(1): EPA Map of Radon Zones</t>
  </si>
  <si>
    <t>See Practice 902.3</t>
  </si>
  <si>
    <t>See Practice 902.2.1</t>
  </si>
  <si>
    <t>See Practice 901.11</t>
  </si>
  <si>
    <t>See Practice 901.10</t>
  </si>
  <si>
    <t>See Practice 901.9.3</t>
  </si>
  <si>
    <t>See Practice 901.8</t>
  </si>
  <si>
    <t>See Practice 901.7</t>
  </si>
  <si>
    <t>See Practice 901.6(2)</t>
  </si>
  <si>
    <t>Local Energy Code:</t>
  </si>
  <si>
    <t>Local Building Code:</t>
  </si>
  <si>
    <t>Local Energy Code</t>
  </si>
  <si>
    <t>2003 IECC</t>
  </si>
  <si>
    <t>2006 IECC</t>
  </si>
  <si>
    <t>2009 IECC</t>
  </si>
  <si>
    <t>2012 IECC</t>
  </si>
  <si>
    <t>Local Building Code</t>
  </si>
  <si>
    <t>2003 IRC</t>
  </si>
  <si>
    <t>2006 IRC</t>
  </si>
  <si>
    <t>2009 IRC</t>
  </si>
  <si>
    <t>2012 IRC</t>
  </si>
  <si>
    <t>2003 IBC</t>
  </si>
  <si>
    <t>2006 IBC</t>
  </si>
  <si>
    <t>2009 IBC</t>
  </si>
  <si>
    <t>2012 IBC</t>
  </si>
  <si>
    <t>Ductless:</t>
  </si>
  <si>
    <t>Radiant/Hydronic:</t>
  </si>
  <si>
    <t>Slab + crawlspace</t>
  </si>
  <si>
    <t>Electricity</t>
  </si>
  <si>
    <t>No regional history of ice dams</t>
  </si>
  <si>
    <t>No horizontal ledgers</t>
  </si>
  <si>
    <t>Fiberglass</t>
  </si>
  <si>
    <t>Cellulose &amp; Rigid Foam</t>
  </si>
  <si>
    <t>SIP</t>
  </si>
  <si>
    <t>Spray &amp; Rigid Foam</t>
  </si>
  <si>
    <t>HERS Index (if available):</t>
  </si>
  <si>
    <t>s.f./unit</t>
  </si>
  <si>
    <t xml:space="preserve">This is an indication to enter a value.  </t>
  </si>
  <si>
    <t xml:space="preserve"> The slightly darker blue cells have a drop down list for choosing the input value.</t>
  </si>
  <si>
    <t>This indicates a Mandatory input.</t>
  </si>
  <si>
    <t>This indicates scoring tool logic has been violated somehow. Check all instructions and warnings, make sure multiple values have not been chosen when only one is required, and do not enter data in fields marked as "off limits".  Look for notes or other nearby information to identify the cause of the problem.</t>
  </si>
  <si>
    <t>This indicates an area for personal notes in the Notes area.                   If the note is preceded with an asterisk (*), the area will be highlighted.</t>
  </si>
  <si>
    <t>The Notes column allows for personal comments. If more room is needed to enter text in a Notes field, expand the row height. This column must be used when a practice requires additional information.   Putting an * as the first character of a note will cause it to highlight a different color as a reminder to pay attention to the note.</t>
  </si>
  <si>
    <t>2 story bldg</t>
  </si>
  <si>
    <t>3 story bldg</t>
  </si>
  <si>
    <t>4+ story bldg</t>
  </si>
  <si>
    <t>No Duct System</t>
  </si>
  <si>
    <t>No Recessed Fixtures</t>
  </si>
  <si>
    <t>No Boiler</t>
  </si>
  <si>
    <t>Not Performance</t>
  </si>
  <si>
    <t xml:space="preserve">Calculate per ANSI Z765.  For a multi-unit building, use a weighted average of the individual unit sizes. 
</t>
  </si>
  <si>
    <t>Project Information</t>
  </si>
  <si>
    <t>Met - Zone 1 passive system</t>
  </si>
  <si>
    <t>Met - Zone 1 active system</t>
  </si>
  <si>
    <t>Points Awarded</t>
  </si>
  <si>
    <t>Designer Notes</t>
  </si>
  <si>
    <t>Verification Notes</t>
  </si>
  <si>
    <t>Project ID</t>
  </si>
  <si>
    <t>Fiberglass &amp; Rigid Foam</t>
  </si>
  <si>
    <t>Report Type</t>
  </si>
  <si>
    <t>Report Status</t>
  </si>
  <si>
    <t>&gt;=15%</t>
  </si>
  <si>
    <t>&gt;=30%</t>
  </si>
  <si>
    <t>&gt;=40%</t>
  </si>
  <si>
    <t>&gt;=50%</t>
  </si>
  <si>
    <t>902.2.1 test below</t>
  </si>
  <si>
    <t>Max=9</t>
  </si>
  <si>
    <t xml:space="preserve">VERIFICATION REPORT - NATIONAL GREEN BUILDING STANDARD </t>
  </si>
  <si>
    <t>Not primary heat source</t>
  </si>
  <si>
    <t>age of report</t>
  </si>
  <si>
    <t>days old</t>
  </si>
  <si>
    <t>Leak detection system with automatic shutoff</t>
  </si>
  <si>
    <t>Building Type:</t>
  </si>
  <si>
    <t xml:space="preserve">Certification Level - As Designed </t>
  </si>
  <si>
    <t>Sign Off After ROUGH Inspection</t>
  </si>
  <si>
    <t>Designer Report Claimed</t>
  </si>
  <si>
    <t>Points Verified at Rough</t>
  </si>
  <si>
    <t xml:space="preserve">Points Needed For </t>
  </si>
  <si>
    <t>BRONZE</t>
  </si>
  <si>
    <t>SILVER</t>
  </si>
  <si>
    <t>GOLD</t>
  </si>
  <si>
    <t>EMERALD</t>
  </si>
  <si>
    <t>Email:</t>
  </si>
  <si>
    <t>Builder Rep. Signature (Optional)</t>
  </si>
  <si>
    <t>Name</t>
  </si>
  <si>
    <t>Phone:</t>
  </si>
  <si>
    <t>Verifier Comments &amp; Sign Off</t>
  </si>
  <si>
    <t>Email</t>
  </si>
  <si>
    <t>Verifier Signature</t>
  </si>
  <si>
    <t>Verification Report</t>
  </si>
  <si>
    <t>Chapter 7 Totals</t>
  </si>
  <si>
    <t>Chapter 8 Totals</t>
  </si>
  <si>
    <t>BUILDING TOTAL</t>
  </si>
  <si>
    <t>Total Points Verified</t>
  </si>
  <si>
    <t>Verification Report Items</t>
  </si>
  <si>
    <t>Enter above grade conditioned Square footage:</t>
  </si>
  <si>
    <t>Status</t>
  </si>
  <si>
    <t>Ch 6</t>
  </si>
  <si>
    <t>Ch 7</t>
  </si>
  <si>
    <t>ch 10</t>
  </si>
  <si>
    <t>ch 9</t>
  </si>
  <si>
    <r>
      <t xml:space="preserve">505.4 Mixed-use development. </t>
    </r>
    <r>
      <rPr>
        <b/>
        <sz val="10"/>
        <color rgb="FFFF0000"/>
        <rFont val="Calibri"/>
        <family val="2"/>
        <scheme val="minor"/>
      </rPr>
      <t>The lot</t>
    </r>
    <r>
      <rPr>
        <b/>
        <sz val="10"/>
        <color theme="1"/>
        <rFont val="Calibri"/>
        <family val="2"/>
        <scheme val="minor"/>
      </rPr>
      <t xml:space="preserve"> contains a mixed-use building.</t>
    </r>
  </si>
  <si>
    <r>
      <t xml:space="preserve">505.5 Community garden(s). A portion of </t>
    </r>
    <r>
      <rPr>
        <b/>
        <sz val="10"/>
        <color rgb="FFFF0000"/>
        <rFont val="Calibri"/>
        <family val="2"/>
        <scheme val="minor"/>
      </rPr>
      <t>the lot</t>
    </r>
    <r>
      <rPr>
        <b/>
        <sz val="10"/>
        <color theme="1"/>
        <rFont val="Calibri"/>
        <family val="2"/>
        <scheme val="minor"/>
      </rPr>
      <t xml:space="preserve"> is established as a community garden(s), available to residents of the lot, to provide for local food production to residents or area consumers.</t>
    </r>
  </si>
  <si>
    <r>
      <t xml:space="preserve">503.5(8) </t>
    </r>
    <r>
      <rPr>
        <sz val="10"/>
        <rFont val="Calibri"/>
        <family val="2"/>
        <scheme val="minor"/>
      </rPr>
      <t xml:space="preserve">An </t>
    </r>
    <r>
      <rPr>
        <sz val="10"/>
        <color rgb="FFFF0000"/>
        <rFont val="Calibri"/>
        <family val="2"/>
        <scheme val="minor"/>
      </rPr>
      <t>integrated</t>
    </r>
    <r>
      <rPr>
        <sz val="10"/>
        <rFont val="Calibri"/>
        <family val="2"/>
        <scheme val="minor"/>
      </rPr>
      <t xml:space="preserve"> pest management plan is developed to minimize chemical use in pesticides and fertilizers.</t>
    </r>
  </si>
  <si>
    <t>505.2(1) Hardscape: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</si>
  <si>
    <t>Status points</t>
  </si>
  <si>
    <t>R &amp; F</t>
  </si>
  <si>
    <t>Explain</t>
  </si>
  <si>
    <t>logic 1</t>
  </si>
  <si>
    <t>logic 2</t>
  </si>
  <si>
    <t>logic3</t>
  </si>
  <si>
    <t>Level Achived</t>
  </si>
  <si>
    <t>5 points each</t>
  </si>
  <si>
    <t>2 points each</t>
  </si>
  <si>
    <t>Mandatory, if extends below grade</t>
  </si>
  <si>
    <r>
      <t xml:space="preserve">608.1 </t>
    </r>
    <r>
      <rPr>
        <sz val="10"/>
        <rFont val="Calibri"/>
        <family val="2"/>
        <scheme val="minor"/>
      </rPr>
      <t>Products containing fewer materials are used to achieve the same end-use requirements as conventional products, including but not limited to:
     (1) lighter, thinner brick &lt; 3 inches and/or brick with coring &gt; 25%
     (2) engineered wood or engineered steel products
     (3) roof or floor trusses</t>
    </r>
  </si>
  <si>
    <t>15 points max for 610.1</t>
  </si>
  <si>
    <r>
      <t xml:space="preserve">601.6(1) </t>
    </r>
    <r>
      <rPr>
        <sz val="10"/>
        <rFont val="Calibri"/>
        <family val="2"/>
        <scheme val="minor"/>
      </rPr>
      <t>2 story house</t>
    </r>
  </si>
  <si>
    <r>
      <t xml:space="preserve">601.6(2) </t>
    </r>
    <r>
      <rPr>
        <sz val="10"/>
        <rFont val="Calibri"/>
        <family val="2"/>
        <scheme val="minor"/>
      </rPr>
      <t>3 story house</t>
    </r>
  </si>
  <si>
    <r>
      <t xml:space="preserve">601.6(3) </t>
    </r>
    <r>
      <rPr>
        <sz val="10"/>
        <rFont val="Calibri"/>
        <family val="2"/>
        <scheme val="minor"/>
      </rPr>
      <t>4 or more  stories</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</si>
  <si>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</si>
  <si>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t>505.1  Driveways and parking areas are minimized by one or more of the following:</t>
  </si>
  <si>
    <r>
      <t xml:space="preserve">601.6 Stories above grade are stacked, such as in 1½-story, 2-story, or greater structures.  </t>
    </r>
    <r>
      <rPr>
        <b/>
        <sz val="10"/>
        <color rgb="FFFF0000"/>
        <rFont val="Calibri"/>
        <family val="2"/>
        <scheme val="minor"/>
      </rPr>
      <t>The area of the upper story is a minimum of 50% of the area of the story below, based on areas with a minimum ceiling height of 7 feet (2134 mm).</t>
    </r>
  </si>
  <si>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
     </t>
    </r>
  </si>
  <si>
    <r>
      <rPr>
        <b/>
        <sz val="10"/>
        <rFont val="Calibri"/>
        <family val="2"/>
        <scheme val="minor"/>
      </rPr>
      <t>604.1.2</t>
    </r>
    <r>
      <rPr>
        <sz val="10"/>
        <rFont val="Calibri"/>
        <family val="2"/>
        <scheme val="minor"/>
      </rPr>
      <t xml:space="preserve"> Building materials w/ recycled content are used for two </t>
    </r>
    <r>
      <rPr>
        <sz val="10"/>
        <color rgb="FFFF0000"/>
        <rFont val="Calibri"/>
        <family val="2"/>
        <scheme val="minor"/>
      </rPr>
      <t>MAJOR</t>
    </r>
    <r>
      <rPr>
        <sz val="10"/>
        <rFont val="Calibri"/>
        <family val="2"/>
        <scheme val="minor"/>
      </rPr>
      <t xml:space="preserve"> Components.  </t>
    </r>
    <r>
      <rPr>
        <sz val="10"/>
        <color rgb="FFFF0000"/>
        <rFont val="Calibri"/>
        <family val="2"/>
        <scheme val="minor"/>
      </rPr>
      <t>Points only awarded for one pair.</t>
    </r>
  </si>
  <si>
    <r>
      <rPr>
        <b/>
        <sz val="10"/>
        <rFont val="Calibri"/>
        <family val="2"/>
        <scheme val="minor"/>
      </rPr>
      <t>604.1.1</t>
    </r>
    <r>
      <rPr>
        <sz val="10"/>
        <rFont val="Calibri"/>
        <family val="2"/>
        <scheme val="minor"/>
      </rPr>
      <t xml:space="preserve"> Building materials w/ recycled content are used for two </t>
    </r>
    <r>
      <rPr>
        <sz val="10"/>
        <color rgb="FFFF0000"/>
        <rFont val="Calibri"/>
        <family val="2"/>
        <scheme val="minor"/>
      </rPr>
      <t>MINOR</t>
    </r>
    <r>
      <rPr>
        <sz val="10"/>
        <rFont val="Calibri"/>
        <family val="2"/>
        <scheme val="minor"/>
      </rPr>
      <t xml:space="preserve"> Components. </t>
    </r>
    <r>
      <rPr>
        <sz val="10"/>
        <color rgb="FFFF0000"/>
        <rFont val="Calibri"/>
        <family val="2"/>
        <scheme val="minor"/>
      </rPr>
      <t>Points only awarded for one pair.</t>
    </r>
  </si>
  <si>
    <r>
      <t xml:space="preserve">610.1  </t>
    </r>
    <r>
      <rPr>
        <sz val="10"/>
        <rFont val="Calibri"/>
        <family val="2"/>
        <scheme val="minor"/>
      </rPr>
      <t xml:space="preserve">A life cycle analysis (LCA) tool is </t>
    </r>
    <r>
      <rPr>
        <sz val="10"/>
        <color rgb="FFFF0000"/>
        <rFont val="Calibri"/>
        <family val="2"/>
        <scheme val="minor"/>
      </rPr>
      <t>used to select</t>
    </r>
    <r>
      <rPr>
        <sz val="10"/>
        <rFont val="Calibri"/>
        <family val="2"/>
        <scheme val="minor"/>
      </rPr>
      <t xml:space="preserve"> environmentally preferable products or assemblies, or an LCA is conducted on the entire building.</t>
    </r>
  </si>
  <si>
    <r>
      <t xml:space="preserve">610.1.1 </t>
    </r>
    <r>
      <rPr>
        <sz val="10"/>
        <rFont val="Calibri"/>
        <family val="2"/>
        <scheme val="minor"/>
      </rPr>
      <t xml:space="preserve">A whole-building LCA is performed using a life cycle assessment and data compliant with </t>
    </r>
    <r>
      <rPr>
        <sz val="10"/>
        <color rgb="FFFF0000"/>
        <rFont val="Calibri"/>
        <family val="2"/>
        <scheme val="minor"/>
      </rPr>
      <t>ISO 14044</t>
    </r>
    <r>
      <rPr>
        <sz val="10"/>
        <rFont val="Calibri"/>
        <family val="2"/>
        <scheme val="minor"/>
      </rPr>
      <t xml:space="preserve"> or other recognized standards.</t>
    </r>
  </si>
  <si>
    <t>10 points max.
for 610.1.2(1) &amp; (2)</t>
  </si>
  <si>
    <t>Points per Table 610.1.2(1)</t>
  </si>
  <si>
    <t>MAX = 10
Points per Table 610.1.2(1)</t>
  </si>
  <si>
    <t>MAX = 10
Points per Table 610.1.2(2)</t>
  </si>
  <si>
    <r>
      <t xml:space="preserve">610.1.2 </t>
    </r>
    <r>
      <rPr>
        <sz val="10"/>
        <rFont val="Calibri"/>
        <family val="2"/>
        <scheme val="minor"/>
      </rPr>
      <t xml:space="preserve">An environmentally preferable product or assembly is selected for an application based upon the use of an LCA tool that incorporates data methods compliant with </t>
    </r>
    <r>
      <rPr>
        <sz val="10"/>
        <color rgb="FFFF0000"/>
        <rFont val="Calibri"/>
        <family val="2"/>
        <scheme val="minor"/>
      </rPr>
      <t>ISO 14044</t>
    </r>
    <r>
      <rPr>
        <sz val="10"/>
        <rFont val="Calibri"/>
        <family val="2"/>
        <scheme val="minor"/>
      </rPr>
      <t xml:space="preserve"> or other recognized standards that compare the environmental impact of products or assemblies. 
</t>
    </r>
  </si>
  <si>
    <r>
      <t xml:space="preserve">610.1.2.1 </t>
    </r>
    <r>
      <rPr>
        <sz val="10"/>
        <color rgb="FFFF0000"/>
        <rFont val="Calibri"/>
        <family val="2"/>
        <scheme val="minor"/>
      </rPr>
      <t>Two or more products</t>
    </r>
    <r>
      <rPr>
        <sz val="10"/>
        <rFont val="Calibri"/>
        <family val="2"/>
        <scheme val="minor"/>
      </rPr>
      <t xml:space="preserve"> with the same intended use are compared based on LCA and the product with </t>
    </r>
    <r>
      <rPr>
        <sz val="10"/>
        <color rgb="FFFF0000"/>
        <rFont val="Calibri"/>
        <family val="2"/>
        <scheme val="minor"/>
      </rPr>
      <t>at least a 15% average improvement is selected</t>
    </r>
    <r>
      <rPr>
        <sz val="10"/>
        <rFont val="Calibri"/>
        <family val="2"/>
        <scheme val="minor"/>
      </rPr>
      <t>. Number of points awarded is based on the number of environmental impact measures compared.
                                                                                                          Points per Table 610.1.2.1</t>
    </r>
  </si>
  <si>
    <r>
      <t>610.1.2.2 Building assembly LCA.</t>
    </r>
    <r>
      <rPr>
        <sz val="10"/>
        <rFont val="Calibri"/>
        <family val="2"/>
        <scheme val="minor"/>
      </rPr>
      <t xml:space="preserve">  A building assembly with improved environmental impact measures compared to an alternative assembly of the same function is </t>
    </r>
    <r>
      <rPr>
        <sz val="10"/>
        <color rgb="FFFF0000"/>
        <rFont val="Calibri"/>
        <family val="2"/>
        <scheme val="minor"/>
      </rPr>
      <t>selected</t>
    </r>
    <r>
      <rPr>
        <sz val="10"/>
        <rFont val="Calibri"/>
        <family val="2"/>
        <scheme val="minor"/>
      </rPr>
      <t>.                           Points per Table 610.1.2.2.</t>
    </r>
  </si>
  <si>
    <t>Verfication Report</t>
  </si>
  <si>
    <t>V Report610.1.2.2</t>
  </si>
  <si>
    <t xml:space="preserve">Mandatory, if there is a conditioned crawlspace </t>
  </si>
  <si>
    <t>No conditioned crawlspace</t>
  </si>
  <si>
    <t>Mandatory, if conditioned crawlspace</t>
  </si>
  <si>
    <r>
      <t xml:space="preserve">611.1  </t>
    </r>
    <r>
      <rPr>
        <sz val="10"/>
        <rFont val="Calibri"/>
        <family val="2"/>
        <scheme val="minor"/>
      </rPr>
      <t xml:space="preserve">Product manufacturer's operations and business practices include environmental management system concepts, and the production facility is ISO 14001 certified or equivalent.  The aggregate value of building products from </t>
    </r>
    <r>
      <rPr>
        <sz val="10"/>
        <color rgb="FFFF0000"/>
        <rFont val="Calibri"/>
        <family val="2"/>
        <scheme val="minor"/>
      </rPr>
      <t>ISO 14001 certified</t>
    </r>
    <r>
      <rPr>
        <sz val="10"/>
        <rFont val="Calibri"/>
        <family val="2"/>
        <scheme val="minor"/>
      </rPr>
      <t xml:space="preserve"> or equivalent production facilities is 1% or more of the estimated total building materials cost. 
                                                                         1 point per 1% of total building material cost </t>
    </r>
    <r>
      <rPr>
        <sz val="10"/>
        <color rgb="FFFF0000"/>
        <rFont val="Calibri"/>
        <family val="2"/>
        <scheme val="minor"/>
      </rPr>
      <t>MAX=10</t>
    </r>
  </si>
  <si>
    <t>Rough</t>
  </si>
  <si>
    <t>505.3 The average density on the lot on a net developable area basis is:</t>
  </si>
  <si>
    <r>
      <t>504.3  On-site soil disturbance and erosion are minimized by one or more of the following in accordance with the SWPPP or applicable plan:</t>
    </r>
    <r>
      <rPr>
        <sz val="10"/>
        <rFont val="Calibri"/>
        <family val="2"/>
        <scheme val="minor"/>
      </rPr>
      <t xml:space="preserve"> (also see Section 503.3)</t>
    </r>
  </si>
  <si>
    <r>
      <t xml:space="preserve">502.1 Project team, mission statement, and goals. A knowledgeable team is established and team member roles are identified with respect to green lot design, preparation, and development. The project’s green goals and objectives </t>
    </r>
    <r>
      <rPr>
        <b/>
        <sz val="10"/>
        <color rgb="FFFF0000"/>
        <rFont val="Calibri"/>
        <family val="2"/>
        <scheme val="minor"/>
      </rPr>
      <t>for the lot are written</t>
    </r>
    <r>
      <rPr>
        <b/>
        <sz val="10"/>
        <rFont val="Calibri"/>
        <family val="2"/>
        <scheme val="minor"/>
      </rPr>
      <t xml:space="preserve"> into a mission statement.</t>
    </r>
  </si>
  <si>
    <r>
      <t xml:space="preserve">609.1 </t>
    </r>
    <r>
      <rPr>
        <sz val="10"/>
        <rFont val="Calibri"/>
        <family val="2"/>
        <scheme val="minor"/>
      </rPr>
      <t xml:space="preserve">Regional materials are used for </t>
    </r>
    <r>
      <rPr>
        <sz val="10"/>
        <color rgb="FFFF0000"/>
        <rFont val="Calibri"/>
        <family val="2"/>
        <scheme val="minor"/>
      </rPr>
      <t>major elements</t>
    </r>
    <r>
      <rPr>
        <sz val="10"/>
        <rFont val="Calibri"/>
        <family val="2"/>
        <scheme val="minor"/>
      </rPr>
      <t xml:space="preserve"> or components of the building.   2 points per material.</t>
    </r>
  </si>
  <si>
    <r>
      <t xml:space="preserve">MAX=10
</t>
    </r>
    <r>
      <rPr>
        <sz val="10"/>
        <color theme="1"/>
        <rFont val="Calibri"/>
        <family val="2"/>
        <scheme val="minor"/>
      </rPr>
      <t>2 points per material.</t>
    </r>
  </si>
  <si>
    <r>
      <t xml:space="preserve">MAX=9
</t>
    </r>
    <r>
      <rPr>
        <sz val="10"/>
        <color theme="1"/>
        <rFont val="Calibri"/>
        <family val="2"/>
        <scheme val="minor"/>
      </rPr>
      <t>3 points per product</t>
    </r>
  </si>
  <si>
    <t>MAX=10</t>
  </si>
  <si>
    <t>Final</t>
  </si>
  <si>
    <r>
      <t xml:space="preserve">701.4.3.2(1) Testing option. </t>
    </r>
    <r>
      <rPr>
        <sz val="10"/>
        <rFont val="Calibri"/>
        <family val="2"/>
        <scheme val="minor"/>
      </rPr>
      <t xml:space="preserve">Building envelope tightness and insulation installation is considered acceptable when air leakage is </t>
    </r>
    <r>
      <rPr>
        <sz val="10"/>
        <color rgb="FFFF0000"/>
        <rFont val="Calibri"/>
        <family val="2"/>
        <scheme val="minor"/>
      </rPr>
      <t>less than seven air changes per hour</t>
    </r>
    <r>
      <rPr>
        <sz val="10"/>
        <rFont val="Calibri"/>
        <family val="2"/>
        <scheme val="minor"/>
      </rPr>
      <t xml:space="preserve"> (ACH) when tested with a blower door at a pressure of 33.5 psf (50 Pa).</t>
    </r>
  </si>
  <si>
    <t>CZ</t>
  </si>
  <si>
    <t>CZword</t>
  </si>
  <si>
    <t>for 703.1.1</t>
  </si>
  <si>
    <t>0-5%</t>
  </si>
  <si>
    <t>5-10%</t>
  </si>
  <si>
    <t>10-15%</t>
  </si>
  <si>
    <t>15-20%</t>
  </si>
  <si>
    <t>&gt;20%</t>
  </si>
  <si>
    <t>VCZword</t>
  </si>
  <si>
    <t>for 703.1.3</t>
  </si>
  <si>
    <t>3-6inches</t>
  </si>
  <si>
    <t>&gt;6 inches</t>
  </si>
  <si>
    <t>VCZmass</t>
  </si>
  <si>
    <t>for 703.1.4</t>
  </si>
  <si>
    <t>VCZradiant</t>
  </si>
  <si>
    <t>for 703.1.5</t>
  </si>
  <si>
    <t>VCZACH50</t>
  </si>
  <si>
    <t>Table a</t>
  </si>
  <si>
    <t>Table b</t>
  </si>
  <si>
    <t>Table c</t>
  </si>
  <si>
    <t>U-value</t>
  </si>
  <si>
    <t>TDD U</t>
  </si>
  <si>
    <t>TDD SHGC</t>
  </si>
  <si>
    <t>Points avail</t>
  </si>
  <si>
    <t>Meets?</t>
  </si>
  <si>
    <t>table lookup row =</t>
  </si>
  <si>
    <t>VCZ</t>
  </si>
  <si>
    <t>703.2.2 Points</t>
  </si>
  <si>
    <t>Heat pump heating</t>
  </si>
  <si>
    <t>Cooling Eff</t>
  </si>
  <si>
    <t>≥ 21+ SEER</t>
  </si>
  <si>
    <t>VCz</t>
  </si>
  <si>
    <t>Ground Source</t>
  </si>
  <si>
    <t>outside</t>
  </si>
  <si>
    <t>inside</t>
  </si>
  <si>
    <t>both</t>
  </si>
  <si>
    <t>ductwork</t>
  </si>
  <si>
    <t>water heater</t>
  </si>
  <si>
    <t>gas</t>
  </si>
  <si>
    <t>gas &gt;75</t>
  </si>
  <si>
    <t>electric</t>
  </si>
  <si>
    <t>oil</t>
  </si>
  <si>
    <t>gas ef&gt;.8</t>
  </si>
  <si>
    <t>heatpump1.5</t>
  </si>
  <si>
    <t>heatpump 2.0</t>
  </si>
  <si>
    <t>heatpump 2.2</t>
  </si>
  <si>
    <t>Desuperheater</t>
  </si>
  <si>
    <t>solarwater heater</t>
  </si>
  <si>
    <t>SEF 1.3</t>
  </si>
  <si>
    <t>SEF 1.51</t>
  </si>
  <si>
    <t>SEF 1.81</t>
  </si>
  <si>
    <t>SEF 2.31</t>
  </si>
  <si>
    <t>SEF 3.01</t>
  </si>
  <si>
    <t>lighting</t>
  </si>
  <si>
    <t>705.3 appliance count</t>
  </si>
  <si>
    <t>logic 4</t>
  </si>
  <si>
    <t>VERIFICATION REPORT - NATIONAL GREEN BUILDING STANDARD ICC700-2012</t>
  </si>
  <si>
    <t>Enter # of ES fams</t>
  </si>
  <si>
    <t>Enter # of ES fans @ 1 sone</t>
  </si>
  <si>
    <r>
      <t xml:space="preserve">902.3(2)(a) </t>
    </r>
    <r>
      <rPr>
        <sz val="10"/>
        <rFont val="Calibri"/>
        <family val="2"/>
        <scheme val="minor"/>
      </rPr>
      <t>passive or active radon system for zone 2</t>
    </r>
  </si>
  <si>
    <t xml:space="preserve">Enter Radon Zone </t>
  </si>
  <si>
    <r>
      <t>903.3 Relative humidity.</t>
    </r>
    <r>
      <rPr>
        <sz val="10"/>
        <rFont val="Calibri"/>
        <family val="2"/>
        <scheme val="minor"/>
      </rPr>
      <t xml:space="preserve"> </t>
    </r>
    <r>
      <rPr>
        <sz val="10"/>
        <color rgb="FFFF0000"/>
        <rFont val="Calibri"/>
        <family val="2"/>
        <scheme val="minor"/>
      </rPr>
      <t>In climate zones 1A, 2A, 3A, 4A, and 5A</t>
    </r>
    <r>
      <rPr>
        <sz val="10"/>
        <rFont val="Calibri"/>
        <family val="2"/>
        <scheme val="minor"/>
      </rPr>
      <t xml:space="preserve"> as defined by Figure 6(1), equipment is installed to maintain relative humidity (RH) at or below 60% using one of the following:</t>
    </r>
  </si>
  <si>
    <t>1001.1 count</t>
  </si>
  <si>
    <t>sum</t>
  </si>
  <si>
    <r>
      <t xml:space="preserve">1001.1  A building owner's manual is provided that includes the following conditions, as available and applicable.   </t>
    </r>
    <r>
      <rPr>
        <i/>
        <sz val="10"/>
        <color theme="1"/>
        <rFont val="Calibri"/>
        <family val="2"/>
        <scheme val="minor"/>
      </rPr>
      <t xml:space="preserve">(Points awarded per two items.  Points awarded for both mandatory and non-mandatory items.)  </t>
    </r>
    <r>
      <rPr>
        <i/>
        <sz val="10"/>
        <color rgb="FFFF0000"/>
        <rFont val="Calibri"/>
        <family val="2"/>
        <scheme val="minor"/>
      </rPr>
      <t>NOT AVAILABLE FOR MULTI-UNIT BUILDINGS</t>
    </r>
  </si>
  <si>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color rgb="FFFF0000"/>
        <rFont val="Calibri"/>
        <family val="2"/>
        <scheme val="minor"/>
      </rPr>
      <t>NOT AVAILABLE FOR SINGLE-FAMILY DWELLINGS.</t>
    </r>
  </si>
  <si>
    <t>1 point per 2 items
MAX = 4</t>
  </si>
  <si>
    <t>1003.1 Count</t>
  </si>
  <si>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color rgb="FFFF0000"/>
        <rFont val="Calibri"/>
        <family val="2"/>
        <scheme val="minor"/>
      </rPr>
      <t>NOT AVAILABLE FOR SINGLE-FAMILY DWELLINGS.</t>
    </r>
    <r>
      <rPr>
        <b/>
        <sz val="10"/>
        <rFont val="Calibri"/>
        <family val="2"/>
        <scheme val="minor"/>
      </rPr>
      <t xml:space="preserve">
</t>
    </r>
  </si>
  <si>
    <t>1 point per 2 items
including (1)-(3)</t>
  </si>
  <si>
    <t>1 point per 2 items
including 1003.3(1)</t>
  </si>
  <si>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t>
    </r>
    <r>
      <rPr>
        <b/>
        <sz val="10"/>
        <color rgb="FFFF0000"/>
        <rFont val="Calibri"/>
        <family val="2"/>
        <scheme val="minor"/>
      </rPr>
      <t xml:space="preserve">
</t>
    </r>
    <r>
      <rPr>
        <i/>
        <sz val="10"/>
        <color rgb="FFFF0000"/>
        <rFont val="Calibri"/>
        <family val="2"/>
        <scheme val="minor"/>
      </rPr>
      <t>NOT AVAILABLE FOR SINGLE-FAMILY DWELLINGS.</t>
    </r>
  </si>
  <si>
    <t>1003.2 Count</t>
  </si>
  <si>
    <r>
      <t xml:space="preserve">701.4.3.2(2) Visual inspection option. </t>
    </r>
    <r>
      <rPr>
        <sz val="10"/>
        <rFont val="Calibri"/>
        <family val="2"/>
        <scheme val="minor"/>
      </rPr>
      <t xml:space="preserve">Building envelope tightness and insulation installation are considered acceptable when the components listed below applicable to the method of construction, are field verified. </t>
    </r>
    <r>
      <rPr>
        <sz val="10"/>
        <color rgb="FFFF0000"/>
        <rFont val="Calibri"/>
        <family val="2"/>
        <scheme val="minor"/>
      </rPr>
      <t xml:space="preserve"> See details in chapter 7.</t>
    </r>
  </si>
  <si>
    <r>
      <t xml:space="preserve">902.4 </t>
    </r>
    <r>
      <rPr>
        <b/>
        <sz val="10"/>
        <color rgb="FFFF0000"/>
        <rFont val="Calibri"/>
        <family val="2"/>
        <scheme val="minor"/>
      </rPr>
      <t>One</t>
    </r>
    <r>
      <rPr>
        <b/>
        <sz val="10"/>
        <rFont val="Calibri"/>
        <family val="2"/>
        <scheme val="minor"/>
      </rPr>
      <t xml:space="preserve"> of the following HVAC system protection measures is performed. </t>
    </r>
  </si>
  <si>
    <t>Vlevel</t>
  </si>
  <si>
    <t>Total Verified</t>
  </si>
  <si>
    <r>
      <t>606.2(1) At least</t>
    </r>
    <r>
      <rPr>
        <sz val="10"/>
        <rFont val="Calibri"/>
        <family val="2"/>
        <scheme val="minor"/>
      </rPr>
      <t xml:space="preserve"> 2 certified products used for minor elements
ATFS, CSA Z809, FSC, PEFC, SFI</t>
    </r>
  </si>
  <si>
    <r>
      <t xml:space="preserve">606.2(2) </t>
    </r>
    <r>
      <rPr>
        <sz val="10"/>
        <rFont val="Calibri"/>
        <family val="2"/>
        <scheme val="minor"/>
      </rPr>
      <t>At least 2 certified products used for major elements
ATFS, CSA Z809, FSC, PEFC, SFI</t>
    </r>
  </si>
  <si>
    <t>Print Pratices w/ points</t>
  </si>
  <si>
    <t>Inspection Sequence</t>
  </si>
  <si>
    <r>
      <t>503.7(2)</t>
    </r>
    <r>
      <rPr>
        <sz val="10"/>
        <rFont val="Calibri"/>
        <family val="2"/>
        <scheme val="minor"/>
      </rPr>
      <t xml:space="preserve"> Compromised sensitive areas are mitigated or restored.</t>
    </r>
  </si>
  <si>
    <t>RF</t>
  </si>
  <si>
    <t>R</t>
  </si>
  <si>
    <t>F</t>
  </si>
  <si>
    <r>
      <t>504.3(4)</t>
    </r>
    <r>
      <rPr>
        <sz val="10"/>
        <rFont val="Calibri"/>
        <family val="2"/>
        <scheme val="minor"/>
      </rPr>
      <t xml:space="preserve"> Topsoil from either the lot or the site development is stockpiled </t>
    </r>
    <r>
      <rPr>
        <sz val="10"/>
        <color rgb="FFFF0000"/>
        <rFont val="Calibri"/>
        <family val="2"/>
        <scheme val="minor"/>
      </rPr>
      <t>and stabilized</t>
    </r>
    <r>
      <rPr>
        <sz val="10"/>
        <rFont val="Calibri"/>
        <family val="2"/>
        <scheme val="minor"/>
      </rPr>
      <t xml:space="preserve"> for later use and used to establish landscape plantings on the lot.</t>
    </r>
  </si>
  <si>
    <r>
      <t>504.3(6)</t>
    </r>
    <r>
      <rPr>
        <sz val="10"/>
        <rFont val="Calibri"/>
        <family val="2"/>
        <scheme val="minor"/>
      </rPr>
      <t xml:space="preserve"> Disturbed areas on the lot that are complete or to be left unworked for 21 days or more </t>
    </r>
    <r>
      <rPr>
        <sz val="10"/>
        <color rgb="FFFF0000"/>
        <rFont val="Calibri"/>
        <family val="2"/>
        <scheme val="minor"/>
      </rPr>
      <t>are stabilized within 14 days</t>
    </r>
    <r>
      <rPr>
        <sz val="10"/>
        <rFont val="Calibri"/>
        <family val="2"/>
        <scheme val="minor"/>
      </rPr>
      <t xml:space="preserve"> using methods as recommended by the EPA, or in the approved storm water pollution prevention plan, where required.</t>
    </r>
  </si>
  <si>
    <t>P</t>
  </si>
  <si>
    <r>
      <t>902.3(1)</t>
    </r>
    <r>
      <rPr>
        <sz val="10"/>
        <rFont val="Calibri"/>
        <family val="2"/>
        <scheme val="minor"/>
      </rPr>
      <t xml:space="preserve"> Buildings located in Zone 1 - radon mitgation system installed</t>
    </r>
  </si>
  <si>
    <t>Date
Format (mm/dd/yyyy)</t>
  </si>
  <si>
    <t>Sign Off After FINAL Inspection</t>
  </si>
  <si>
    <t>Points Verified at Rough or Final</t>
  </si>
  <si>
    <t xml:space="preserve">Builder Rep. Signature </t>
  </si>
  <si>
    <t>Date (mm/dd/yyyy)</t>
  </si>
  <si>
    <t>I authorize delivery of the certificate via:</t>
  </si>
  <si>
    <t>Expected Level</t>
  </si>
  <si>
    <t>I certify that to the best of my knowledge, based on documentation presented to me and inspections completed by me, the items noted in this verification report are in conformance with ICC-700 and the guidance in the Verifier's Resource Guide.  My company did not supply product or participate in the physical construction of this project.</t>
  </si>
  <si>
    <t>I hereby disclose that the services provided by my company related to this home were:</t>
  </si>
  <si>
    <t>Other sevices as disclosed to the right</t>
  </si>
  <si>
    <t>Hydrological/soil stability study is completed and used to guide the design of all buildings on the lot.</t>
  </si>
  <si>
    <r>
      <rPr>
        <b/>
        <sz val="10"/>
        <rFont val="Calibri"/>
        <family val="2"/>
        <scheme val="minor"/>
      </rPr>
      <t xml:space="preserve">Slope disturbance. </t>
    </r>
    <r>
      <rPr>
        <sz val="10"/>
        <rFont val="Calibri"/>
        <family val="2"/>
        <scheme val="minor"/>
      </rPr>
      <t xml:space="preserve">Slope disturbance is minimized by one or more of the following:
</t>
    </r>
    <r>
      <rPr>
        <b/>
        <u/>
        <sz val="10"/>
        <rFont val="Calibri"/>
        <family val="2"/>
        <scheme val="minor"/>
      </rPr>
      <t>Claim points for all that apply from (1)-(5) below:</t>
    </r>
  </si>
  <si>
    <t>Soil is improved with organic amendments or mulch.</t>
  </si>
  <si>
    <r>
      <rPr>
        <b/>
        <sz val="10"/>
        <color theme="1"/>
        <rFont val="Calibri"/>
        <family val="2"/>
        <scheme val="minor"/>
      </rPr>
      <t>Heat island mitigation.</t>
    </r>
    <r>
      <rPr>
        <sz val="10"/>
        <color theme="1"/>
        <rFont val="Calibri"/>
        <family val="2"/>
        <scheme val="minor"/>
      </rPr>
      <t xml:space="preserve"> Heat island effect is mitigated byone or more of the following.</t>
    </r>
  </si>
  <si>
    <t>Max=13</t>
  </si>
  <si>
    <r>
      <t xml:space="preserve">Moisture control measures are in accordance with the following:
</t>
    </r>
    <r>
      <rPr>
        <b/>
        <u/>
        <sz val="10"/>
        <color theme="1"/>
        <rFont val="Calibri"/>
        <family val="2"/>
        <scheme val="minor"/>
      </rPr>
      <t>Claim points for all that apply from (1)-(3) below:</t>
    </r>
  </si>
  <si>
    <t>Electric heat pump air handler is installed in conditioned or unconditioned space.</t>
  </si>
  <si>
    <t>Hardwood plywood in accordance with HPVA HP-1.</t>
  </si>
  <si>
    <t>(1)</t>
  </si>
  <si>
    <t>(2)</t>
  </si>
  <si>
    <r>
      <t>Non-smoking areas.</t>
    </r>
    <r>
      <rPr>
        <sz val="10"/>
        <color theme="1"/>
        <rFont val="Arial"/>
        <family val="2"/>
      </rPr>
      <t xml:space="preserve"> Environmental tobacco smoke is minimized by one or more of the following:</t>
    </r>
  </si>
  <si>
    <t>All interior common areas of a multi-unit building are designated as non-smoking areas with posted signage.</t>
  </si>
  <si>
    <t>Exterior smoking areas of a multi-unit building are designated with posted signage and located a minimum of 25 feet from entries, outdoor air intakes, and operable windows.</t>
  </si>
  <si>
    <r>
      <rPr>
        <b/>
        <sz val="10"/>
        <rFont val="Calibri"/>
        <family val="2"/>
        <scheme val="minor"/>
      </rPr>
      <t>901.14</t>
    </r>
    <r>
      <rPr>
        <sz val="10"/>
        <rFont val="Calibri"/>
        <family val="2"/>
        <scheme val="minor"/>
      </rPr>
      <t xml:space="preserve"> Non-smoking areas. Environmental tobacco smoke is minimized by one or more of the following:</t>
    </r>
  </si>
  <si>
    <t>(1) All interior common areas of a multi-unit building are designated as non-smoking areas with posted signage.</t>
  </si>
  <si>
    <t>(2) Exterior smoking areas of a multi-unit building are designated with posted signage and located a minimum of 25 feet from entries, outdoor air intakes, and operable windows.</t>
  </si>
  <si>
    <r>
      <t xml:space="preserve">901.14 Non-smoking areas. </t>
    </r>
    <r>
      <rPr>
        <sz val="10"/>
        <rFont val="Calibri"/>
        <family val="2"/>
        <scheme val="minor"/>
      </rPr>
      <t>Environmental tobacco smoke is minimized by one or more of the following:</t>
    </r>
  </si>
  <si>
    <t>Buildings located in Radon Zone 2 or Zone 3</t>
  </si>
  <si>
    <t>Points awarded per 2 items.
Max=8
The three mandatory items must be selected.</t>
  </si>
  <si>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lot. Invasive plant species are not permitted.</t>
    </r>
  </si>
  <si>
    <r>
      <t>503.4(5)</t>
    </r>
    <r>
      <rPr>
        <sz val="10"/>
        <rFont val="Calibri"/>
        <family val="2"/>
        <scheme val="minor"/>
      </rPr>
      <t xml:space="preserve"> Stormwater management practices that manage rainfall on-lot and prevent the off-lot discharge from all storms up to and including the volume of the 95th percentile storm event.</t>
    </r>
  </si>
  <si>
    <r>
      <t xml:space="preserve">503.2(2) </t>
    </r>
    <r>
      <rPr>
        <sz val="10"/>
        <rFont val="Calibri"/>
        <family val="2"/>
        <scheme val="minor"/>
      </rPr>
      <t>Hydrological/soil stability study is completed and used to guide the design of all buildings on the lot.</t>
    </r>
  </si>
  <si>
    <r>
      <t>504.3(7)</t>
    </r>
    <r>
      <rPr>
        <sz val="10"/>
        <rFont val="Calibri"/>
        <family val="2"/>
        <scheme val="minor"/>
      </rPr>
      <t xml:space="preserve"> Soil is improved with organic amendments or mulch.</t>
    </r>
  </si>
  <si>
    <r>
      <t>602.1.9(1)</t>
    </r>
    <r>
      <rPr>
        <sz val="10"/>
        <rFont val="Calibri"/>
        <family val="2"/>
        <scheme val="minor"/>
      </rPr>
      <t xml:space="preserve"> Flashing is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</si>
  <si>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t>pts703.1.3</t>
  </si>
  <si>
    <t>@ROUGH</t>
  </si>
  <si>
    <t>@FINAL</t>
  </si>
  <si>
    <t>© 2013 Home Innovation Research Labs, Inc.</t>
  </si>
  <si>
    <t>This spreadsheet is designed for Excel 2007 and Excel 2010</t>
  </si>
  <si>
    <t>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t>
  </si>
  <si>
    <t xml:space="preserve">Verifier to email this Excel Workbook ,  photo and scan and email signature page to VerificationReport@homeinnovation.com .
</t>
  </si>
  <si>
    <t>NA</t>
  </si>
  <si>
    <r>
      <t xml:space="preserve">701.4.3.2 Air sealing and insulation. </t>
    </r>
    <r>
      <rPr>
        <sz val="10"/>
        <rFont val="Calibri"/>
        <family val="2"/>
        <scheme val="minor"/>
      </rPr>
      <t>The compliance of the building envelope air tightness and insulation installation is demonstrated in accordance with Section 701.4.3.2(1) or 701.4.3.2(2).</t>
    </r>
  </si>
  <si>
    <r>
      <t xml:space="preserve">This workbook allows you to score your new single-family or multi-unit green building projects to the ICC 700-2012 National Green Building Standard™. Use of the NGBS Scoring workbook is the required entry point for National Green Building Certification. This workbook is intended to be used in conjunction with the publications </t>
    </r>
    <r>
      <rPr>
        <i/>
        <sz val="11"/>
        <color theme="1"/>
        <rFont val="Calibri"/>
        <family val="2"/>
        <scheme val="minor"/>
      </rPr>
      <t>ICC 700-2012 National Green Building Standard™</t>
    </r>
    <r>
      <rPr>
        <sz val="11"/>
        <color theme="1"/>
        <rFont val="Calibri"/>
        <family val="2"/>
        <scheme val="minor"/>
      </rPr>
      <t xml:space="preserve"> and </t>
    </r>
    <r>
      <rPr>
        <i/>
        <sz val="11"/>
        <color theme="1"/>
        <rFont val="Calibri"/>
        <family val="2"/>
        <scheme val="minor"/>
      </rPr>
      <t>National Green Building Standard Commentary™</t>
    </r>
    <r>
      <rPr>
        <sz val="11"/>
        <color theme="1"/>
        <rFont val="Calibri"/>
        <family val="2"/>
        <scheme val="minor"/>
      </rPr>
      <t xml:space="preserve">.  </t>
    </r>
    <r>
      <rPr>
        <b/>
        <sz val="11"/>
        <color theme="1"/>
        <rFont val="Calibri"/>
        <family val="2"/>
        <scheme val="minor"/>
      </rPr>
      <t xml:space="preserve">Please read the Instructions found below the Project Information.  </t>
    </r>
    <r>
      <rPr>
        <b/>
        <sz val="11"/>
        <color rgb="FFFF0000"/>
        <rFont val="Calibri"/>
        <family val="2"/>
        <scheme val="minor"/>
      </rPr>
      <t>Excel 2007 or 2010 is required!</t>
    </r>
  </si>
  <si>
    <r>
      <t xml:space="preserve">503.5(1) </t>
    </r>
    <r>
      <rPr>
        <sz val="10"/>
        <rFont val="Calibri"/>
        <family val="2"/>
        <scheme val="minor"/>
      </rPr>
      <t>Where a</t>
    </r>
    <r>
      <rPr>
        <sz val="10"/>
        <color rgb="FFFF0000"/>
        <rFont val="Calibri"/>
        <family val="2"/>
        <scheme val="minor"/>
      </rPr>
      <t xml:space="preserve"> lot is less than 50% turf</t>
    </r>
    <r>
      <rPr>
        <sz val="10"/>
        <rFont val="Calibri"/>
        <family val="2"/>
        <scheme val="minor"/>
      </rPr>
      <t xml:space="preserve">, a plan is formulated to restore or enhance natural vegetation that is cleared during construction. Landscaping is phased to coincide with achievement of final grades to ensure denuded areas are </t>
    </r>
    <r>
      <rPr>
        <sz val="10"/>
        <color rgb="FFFF0000"/>
        <rFont val="Calibri"/>
        <family val="2"/>
        <scheme val="minor"/>
      </rPr>
      <t>quickly vegetated</t>
    </r>
    <r>
      <rPr>
        <sz val="10"/>
        <rFont val="Calibri"/>
        <family val="2"/>
        <scheme val="minor"/>
      </rPr>
      <t>.</t>
    </r>
  </si>
  <si>
    <t>I certify to the best of my knowledge all practices in this verification report have been properly met during the construction of this building.  By signing this, I am requesting that the verifier submit this report/building for consideration of a certificate for certification to the National Green Building Standard under the National Green Building Certification Program.  I understand that the final certification level will be based on results of the rough and final inspections after review by Home Innovation.</t>
  </si>
  <si>
    <t>Table 901.9.1</t>
  </si>
  <si>
    <r>
      <t>VOC Content Limits For Architectural Coatings</t>
    </r>
    <r>
      <rPr>
        <b/>
        <vertAlign val="superscript"/>
        <sz val="10"/>
        <color theme="1"/>
        <rFont val="Arial"/>
        <family val="2"/>
      </rPr>
      <t>c,d,e</t>
    </r>
  </si>
  <si>
    <t>Coating Category</t>
  </si>
  <si>
    <r>
      <t>LIMIT</t>
    </r>
    <r>
      <rPr>
        <b/>
        <vertAlign val="superscript"/>
        <sz val="9"/>
        <color theme="1"/>
        <rFont val="Arial"/>
        <family val="2"/>
      </rPr>
      <t xml:space="preserve">a </t>
    </r>
  </si>
  <si>
    <t>(g/l)</t>
  </si>
  <si>
    <t>Flat Coatings</t>
  </si>
  <si>
    <t>Non-flat Coatings</t>
  </si>
  <si>
    <t>Non-flat - High Gloss Coatings</t>
  </si>
  <si>
    <t>Specialty Coatings:</t>
  </si>
  <si>
    <t>Aluminum Roof Coatings</t>
  </si>
  <si>
    <t>Basement Specialty Coatings</t>
  </si>
  <si>
    <t>Bituminous Roof Coatings</t>
  </si>
  <si>
    <t>Bituminous Roof Primers</t>
  </si>
  <si>
    <t>Bond Breakers</t>
  </si>
  <si>
    <t>Concrete Curing Compounds</t>
  </si>
  <si>
    <t>Concrete/Masonry Sealers</t>
  </si>
  <si>
    <t>Driveway Sealers</t>
  </si>
  <si>
    <t>Dry Fog Coatings</t>
  </si>
  <si>
    <t>Faux Finishing Coatings</t>
  </si>
  <si>
    <t>Fire Resistive Coatings</t>
  </si>
  <si>
    <t>Floor Coatings</t>
  </si>
  <si>
    <t>Form-Release Compounds</t>
  </si>
  <si>
    <t>Graphic Arts Coatings (Sign Paints)</t>
  </si>
  <si>
    <t>High Temperature Coatings</t>
  </si>
  <si>
    <t>Industrial Maintenance Coatings</t>
  </si>
  <si>
    <t>Low Solids Coatings</t>
  </si>
  <si>
    <r>
      <t>120</t>
    </r>
    <r>
      <rPr>
        <vertAlign val="superscript"/>
        <sz val="9"/>
        <color theme="1"/>
        <rFont val="Arial"/>
        <family val="2"/>
      </rPr>
      <t>b</t>
    </r>
  </si>
  <si>
    <t>Magnesite Cement Coatings</t>
  </si>
  <si>
    <t>Mastic Texture Coatings</t>
  </si>
  <si>
    <t>Metallic Pigmented Coatings</t>
  </si>
  <si>
    <t>Multi-Color Coatings</t>
  </si>
  <si>
    <t>Pre-Treatment Wash Primers</t>
  </si>
  <si>
    <t>Primers, Sealers, and Undercoaters</t>
  </si>
  <si>
    <t>Reactive Penetrating Sealers</t>
  </si>
  <si>
    <t>Recycled Coatings</t>
  </si>
  <si>
    <t>Roof Coatings</t>
  </si>
  <si>
    <t>Rust Preventative Coatings</t>
  </si>
  <si>
    <t>Shellacs, Clear</t>
  </si>
  <si>
    <t>Shellacs, Opaque</t>
  </si>
  <si>
    <t>Specialty Primers, Sealers, and Undercoaters</t>
  </si>
  <si>
    <t>Stains</t>
  </si>
  <si>
    <t>Stone Consolidants</t>
  </si>
  <si>
    <t>Swimming Pool Coatings</t>
  </si>
  <si>
    <t>Traffic Marking Coatings</t>
  </si>
  <si>
    <t>Tub and Tile Refinish Coatings</t>
  </si>
  <si>
    <t>Waterproofing Membranes</t>
  </si>
  <si>
    <t>Wood Coatings</t>
  </si>
  <si>
    <t>Wood Preservatives</t>
  </si>
  <si>
    <t>Zinc-Rich Primers</t>
  </si>
  <si>
    <r>
      <t xml:space="preserve">a. Limits are expressed as </t>
    </r>
    <r>
      <rPr>
        <i/>
        <sz val="9"/>
        <color theme="1"/>
        <rFont val="Arial"/>
        <family val="2"/>
      </rPr>
      <t>VOC</t>
    </r>
    <r>
      <rPr>
        <sz val="9"/>
        <color theme="1"/>
        <rFont val="Arial"/>
        <family val="2"/>
      </rPr>
      <t xml:space="preserve"> Regulatory (except as noted), thinned to the manufacturer’s maximum thinning recommendation, excluding any colorant added to tint bases.</t>
    </r>
  </si>
  <si>
    <t xml:space="preserve">d. Values in this table are derived from those specified by the California Air Resources Board, Architectural Coatings Suggested Control Measure, February 1, 2008.  </t>
  </si>
  <si>
    <r>
      <t xml:space="preserve">      b. Limit is expressed as </t>
    </r>
    <r>
      <rPr>
        <i/>
        <sz val="9"/>
        <color theme="1"/>
        <rFont val="Arial"/>
        <family val="2"/>
      </rPr>
      <t>VOC</t>
    </r>
    <r>
      <rPr>
        <sz val="9"/>
        <color theme="1"/>
        <rFont val="Arial"/>
        <family val="2"/>
      </rPr>
      <t xml:space="preserve"> actual.</t>
    </r>
  </si>
  <si>
    <t xml:space="preserve">      c. The specified limits remain in effect unless revised limits are listed in subsequent columns in the table.</t>
  </si>
  <si>
    <r>
      <t xml:space="preserve">      e. Table 901.9.1 architectural coating regulatory category and </t>
    </r>
    <r>
      <rPr>
        <i/>
        <sz val="9"/>
        <color theme="1"/>
        <rFont val="Arial"/>
        <family val="2"/>
      </rPr>
      <t>VOC</t>
    </r>
    <r>
      <rPr>
        <sz val="9"/>
        <color theme="1"/>
        <rFont val="Arial"/>
        <family val="2"/>
      </rPr>
      <t xml:space="preserve"> content compliance determination shall conform to the California Air Resources Board </t>
    </r>
    <r>
      <rPr>
        <i/>
        <sz val="9"/>
        <color theme="1"/>
        <rFont val="Arial"/>
        <family val="2"/>
      </rPr>
      <t xml:space="preserve">Suggested Control Measure for Architectural Coatings </t>
    </r>
    <r>
      <rPr>
        <sz val="9"/>
        <color theme="1"/>
        <rFont val="Arial"/>
        <family val="2"/>
      </rPr>
      <t>dated February 1, 2008.</t>
    </r>
  </si>
  <si>
    <t>See Table 901.10(3)</t>
  </si>
  <si>
    <t>This section applies to the lot and changes to the lot due to remodeling of an existing building.</t>
  </si>
  <si>
    <t>11.501 - Lot Selection</t>
  </si>
  <si>
    <t>11.501.2</t>
  </si>
  <si>
    <t xml:space="preserve">The building is located within one-half mile (805 m) of pedestrian access to a mass transit system or within five miles (8046 m) of a mass transit station with provisions for parking.
</t>
  </si>
  <si>
    <t>The building is located  within one-half mile (805 m) of six or more community resources [e.g., recreational facilities (such as pools, tennis courts, basketball courts), parks, grocery store, post office, place of worship, community center, daycare center, bank, school, restaurant, medical/dental office, laundromat/dry cleaner].</t>
  </si>
  <si>
    <t>The building is on a lot located within a community that has rights-of-way specifically dedicated to bicycle use in the form of paved paths or bicycle lanes or on an infill lot located within 1/2 mile of a bicycle lane designated by the jurisdiction.</t>
  </si>
  <si>
    <t>11.502 - Project Team, Mission Statement, and Goals</t>
  </si>
  <si>
    <t>11.502.1</t>
  </si>
  <si>
    <t>11.503 - Lot Design</t>
  </si>
  <si>
    <t>11.503.1</t>
  </si>
  <si>
    <t>Where a lot adjoins a landscaped common area, a protection plan from remodeling activities next to the common area is implemented.</t>
  </si>
  <si>
    <t>11.503.2</t>
  </si>
  <si>
    <t>11.503.3</t>
  </si>
  <si>
    <t>Remodeling construction activities are scheduled to minimize length of time that soils are exposed.</t>
  </si>
  <si>
    <t>11.503.4</t>
  </si>
  <si>
    <t>11.503.5</t>
  </si>
  <si>
    <t>Site- or community-generated tree trimmings or stump grinding of regionally appropriate trees are used on the site to provide protective mulch during construction or for landscaping.</t>
  </si>
  <si>
    <t>11.503.6</t>
  </si>
  <si>
    <t>11.503.7</t>
  </si>
  <si>
    <t>The lot does not contain any environmentally sensitive areas that are disturbed by the remodeling.</t>
  </si>
  <si>
    <t>Environmentally sensitive areas compromised during remodeling are mitigated or restored.</t>
  </si>
  <si>
    <t>11.504 - Lot Construction</t>
  </si>
  <si>
    <r>
      <rPr>
        <b/>
        <sz val="10"/>
        <color rgb="FFFF0000"/>
        <rFont val="Calibri"/>
        <family val="2"/>
        <scheme val="minor"/>
      </rPr>
      <t>NOTE:</t>
    </r>
    <r>
      <rPr>
        <sz val="10"/>
        <rFont val="Calibri"/>
        <family val="2"/>
        <scheme val="minor"/>
      </rPr>
      <t xml:space="preserve"> Points must be taken in 11.503.3 to claim points in 11.504.1. (Also see Section 11.504.3.) </t>
    </r>
  </si>
  <si>
    <t>11.504.1</t>
  </si>
  <si>
    <t>11.504.2</t>
  </si>
  <si>
    <t>11.504.3</t>
  </si>
  <si>
    <r>
      <rPr>
        <b/>
        <sz val="10"/>
        <color theme="1"/>
        <rFont val="Calibri"/>
        <family val="2"/>
        <scheme val="minor"/>
      </rPr>
      <t>Soil disturbance and erosion implementation</t>
    </r>
    <r>
      <rPr>
        <sz val="10"/>
        <color theme="1"/>
        <rFont val="Calibri"/>
        <family val="2"/>
        <scheme val="minor"/>
      </rPr>
      <t xml:space="preserve">. On-site soil disturbance and erosion are minimized by one or more of the following in accordance with the SWPPP or applicable plan: (also see Section 11.503.3)
</t>
    </r>
    <r>
      <rPr>
        <b/>
        <u/>
        <sz val="10"/>
        <color theme="1"/>
        <rFont val="Calibri"/>
        <family val="2"/>
        <scheme val="minor"/>
      </rPr>
      <t>Claim points for all that apply from (1)-(9) below:</t>
    </r>
  </si>
  <si>
    <t>11.505 - Innovative Practices</t>
  </si>
  <si>
    <t>11.505.2</t>
  </si>
  <si>
    <r>
      <rPr>
        <b/>
        <sz val="10"/>
        <rFont val="Calibri"/>
        <family val="2"/>
        <scheme val="minor"/>
      </rPr>
      <t>Conditioned floor area.</t>
    </r>
    <r>
      <rPr>
        <sz val="10"/>
        <rFont val="Calibri"/>
        <family val="2"/>
        <scheme val="minor"/>
      </rPr>
      <t xml:space="preserve"> Finished floor area of a dwelling unit after the remodeling is limited.  Finished floor area is calculated in accordance with NAHBRC Z765.  Only the finished floor area for stories above grade plane is included in the calculation.  
</t>
    </r>
    <r>
      <rPr>
        <b/>
        <sz val="10"/>
        <color rgb="FF7030A0"/>
        <rFont val="Calibri"/>
        <family val="2"/>
        <scheme val="minor"/>
      </rPr>
      <t>For a multi-unit building, use a weighted average of the individual unit sizes in qualifying for available points.</t>
    </r>
    <r>
      <rPr>
        <b/>
        <i/>
        <sz val="10"/>
        <rFont val="Calibri"/>
        <family val="2"/>
        <scheme val="minor"/>
      </rPr>
      <t xml:space="preserve">
</t>
    </r>
    <r>
      <rPr>
        <b/>
        <u/>
        <sz val="10"/>
        <rFont val="Calibri"/>
        <family val="2"/>
        <scheme val="minor"/>
      </rPr>
      <t>Claim points for only one from (1)-(4) below:</t>
    </r>
  </si>
  <si>
    <r>
      <rPr>
        <b/>
        <sz val="10"/>
        <rFont val="Calibri"/>
        <family val="2"/>
        <scheme val="minor"/>
      </rPr>
      <t>Foundations.</t>
    </r>
    <r>
      <rPr>
        <sz val="10"/>
        <rFont val="Calibri"/>
        <family val="2"/>
        <scheme val="minor"/>
      </rPr>
      <t xml:space="preserve"> A foundation system that minimizes soil disturbance, excavation quantities and material usage, such as frost-protected shallow foundations, isolated pier and pad foundations, deep foundations, post foundations, or helical piles is selected, designed, and constructed. The foundation is used on 25 percent or more of the building footprint after the remodel. </t>
    </r>
  </si>
  <si>
    <t xml:space="preserve">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
These practices are not mandatory for existing building elements without apparent moisture problem. </t>
  </si>
  <si>
    <r>
      <t>Tile backing materials</t>
    </r>
    <r>
      <rPr>
        <sz val="10"/>
        <color theme="1"/>
        <rFont val="Calibri"/>
        <family val="2"/>
        <scheme val="minor"/>
      </rPr>
      <t xml:space="preserve">. Tile backing materials installed under tiled surfaces in wet areas are in accordance with ASTM C1178, C1278, C1288, or C1325.  </t>
    </r>
    <r>
      <rPr>
        <b/>
        <sz val="10"/>
        <color theme="1"/>
        <rFont val="Calibri"/>
        <family val="2"/>
        <scheme val="minor"/>
      </rPr>
      <t>This practice is not mandatory for existing tile surfaces without apparent moisture problem.</t>
    </r>
  </si>
  <si>
    <r>
      <rPr>
        <b/>
        <sz val="10"/>
        <rFont val="Calibri"/>
        <family val="2"/>
        <scheme val="minor"/>
      </rPr>
      <t>Salvaged materials.</t>
    </r>
    <r>
      <rPr>
        <sz val="10"/>
        <rFont val="Calibri"/>
        <family val="2"/>
        <scheme val="minor"/>
      </rPr>
      <t xml:space="preserve"> Reclaimed and/or salvaged materials and components are used. The total material value and labor cost of salvaged materials is equal to or exceeds 1 percent of the total construction cost.
</t>
    </r>
    <r>
      <rPr>
        <b/>
        <sz val="10"/>
        <rFont val="Calibri"/>
        <family val="2"/>
        <scheme val="minor"/>
      </rPr>
      <t>Points awarded per 1% of salvaged materials used based on the total construction cost.  Materials, elements, or components awarded points under Section 11.603.1 shall not be awarded points under Section 11.603.2.)</t>
    </r>
  </si>
  <si>
    <r>
      <rPr>
        <b/>
        <sz val="10"/>
        <color theme="1"/>
        <rFont val="Calibri"/>
        <family val="2"/>
        <scheme val="minor"/>
      </rPr>
      <t>Intent.</t>
    </r>
    <r>
      <rPr>
        <sz val="10"/>
        <color theme="1"/>
        <rFont val="Calibri"/>
        <family val="2"/>
        <scheme val="minor"/>
      </rPr>
      <t xml:space="preserve"> Waste generated during construction is recycled. All waste classified as hazardous shall be properly handled and disposed.
</t>
    </r>
  </si>
  <si>
    <r>
      <t xml:space="preserve">Hazardous Waste  </t>
    </r>
    <r>
      <rPr>
        <sz val="10"/>
        <color theme="1"/>
        <rFont val="Arial"/>
        <family val="2"/>
      </rPr>
      <t>The construction waste management plan shall include information on the proper handling and disposal of hazardous waste. All hazardous waste is properly handled and disposed.</t>
    </r>
  </si>
  <si>
    <r>
      <rPr>
        <b/>
        <sz val="10"/>
        <color theme="1"/>
        <rFont val="Calibri"/>
        <family val="2"/>
        <scheme val="minor"/>
      </rPr>
      <t xml:space="preserve">Interior architectural coatings. </t>
    </r>
    <r>
      <rPr>
        <sz val="10"/>
        <color theme="1"/>
        <rFont val="Calibri"/>
        <family val="2"/>
        <scheme val="minor"/>
      </rPr>
      <t xml:space="preserve">A minimum of 85 percent of </t>
    </r>
    <r>
      <rPr>
        <sz val="10"/>
        <color rgb="FFFF0000"/>
        <rFont val="Calibri"/>
        <family val="2"/>
        <scheme val="minor"/>
      </rPr>
      <t xml:space="preserve">newly applied </t>
    </r>
    <r>
      <rPr>
        <sz val="10"/>
        <color theme="1"/>
        <rFont val="Calibri"/>
        <family val="2"/>
        <scheme val="minor"/>
      </rPr>
      <t xml:space="preserve">interior architectural coatings are in accordance with either Section 11.901.9.1 or Section 11.901.9.3, not both. A minimum of 85 percent of architectural colorants are in accordance with Section 11.901.9.2. </t>
    </r>
  </si>
  <si>
    <t>11.901.9.4</t>
  </si>
  <si>
    <r>
      <rPr>
        <b/>
        <sz val="10"/>
        <color theme="1"/>
        <rFont val="Calibri"/>
        <family val="2"/>
        <scheme val="minor"/>
      </rPr>
      <t>Adhesives and sealants</t>
    </r>
    <r>
      <rPr>
        <sz val="10"/>
        <color theme="1"/>
        <rFont val="Calibri"/>
        <family val="2"/>
        <scheme val="minor"/>
      </rPr>
      <t xml:space="preserve">. Interior low-VOC adhesives and sealants located inside the water proofing envelope  :A minimum of 85 percent of </t>
    </r>
    <r>
      <rPr>
        <sz val="10"/>
        <color rgb="FFFF0000"/>
        <rFont val="Calibri"/>
        <family val="2"/>
        <scheme val="minor"/>
      </rPr>
      <t>newly applied</t>
    </r>
    <r>
      <rPr>
        <sz val="10"/>
        <color theme="1"/>
        <rFont val="Calibri"/>
        <family val="2"/>
        <scheme val="minor"/>
      </rPr>
      <t xml:space="preserve"> site-applied products used within the interior of the building are in accordance with one of the following, as applicable. 
</t>
    </r>
    <r>
      <rPr>
        <b/>
        <sz val="10"/>
        <color theme="1"/>
        <rFont val="Calibri"/>
        <family val="2"/>
        <scheme val="minor"/>
      </rPr>
      <t>Claim points for only one from (1)-(3) below:</t>
    </r>
  </si>
  <si>
    <r>
      <t>Insulation</t>
    </r>
    <r>
      <rPr>
        <sz val="10"/>
        <color theme="1"/>
        <rFont val="Calibri"/>
        <family val="2"/>
        <scheme val="minor"/>
      </rPr>
      <t xml:space="preserve">. Emissions of 85 percent of </t>
    </r>
    <r>
      <rPr>
        <sz val="10"/>
        <color rgb="FFFF0000"/>
        <rFont val="Calibri"/>
        <family val="2"/>
        <scheme val="minor"/>
      </rPr>
      <t xml:space="preserve">newly installed </t>
    </r>
    <r>
      <rPr>
        <sz val="10"/>
        <color theme="1"/>
        <rFont val="Calibri"/>
        <family val="2"/>
        <scheme val="minor"/>
      </rPr>
      <t xml:space="preserve">wall, ceiling, and floor insulation materials are in accordance with the emission levels of CDPH/EHLB Standard Method v1.1, footnote b in Table 4.1 does not apply. (i.e. maximum allowable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in Appendix D.  </t>
    </r>
  </si>
  <si>
    <t>11.901.15</t>
  </si>
  <si>
    <t>Tested &amp; passed</t>
  </si>
  <si>
    <r>
      <t xml:space="preserve">Product manufacturer’s manuals or product data sheet for </t>
    </r>
    <r>
      <rPr>
        <sz val="10"/>
        <color rgb="FFFF0000"/>
        <rFont val="Calibri"/>
        <family val="2"/>
        <scheme val="minor"/>
      </rPr>
      <t>newly installed</t>
    </r>
    <r>
      <rPr>
        <sz val="10"/>
        <color theme="1"/>
        <rFont val="Calibri"/>
        <family val="2"/>
        <scheme val="minor"/>
      </rPr>
      <t xml:space="preserve"> major equipment, fixtures, and appliances. If product data sheet is in the building owners’ manual, manufacturer’s manual may be attached to the appliance in lieu of inclusion in the building owners’ manual.</t>
    </r>
  </si>
  <si>
    <t>For buildings originally built before 1978, the EPA publications “Reducing Lead Hazards When Remodeling Your Home” and “Abestos in Your Home: A Homeowners Guide”.</t>
  </si>
  <si>
    <r>
      <rPr>
        <b/>
        <sz val="10"/>
        <color theme="1"/>
        <rFont val="Calibri"/>
        <family val="2"/>
        <scheme val="minor"/>
      </rPr>
      <t>Training of building owners.</t>
    </r>
    <r>
      <rPr>
        <sz val="10"/>
        <color theme="1"/>
        <rFont val="Calibri"/>
        <family val="2"/>
        <scheme val="minor"/>
      </rPr>
      <t xml:space="preserve"> Building owners are familiarized with the role of occupants in achieving green goals. On-site training is provided to the responsible party(ies) regarding </t>
    </r>
    <r>
      <rPr>
        <sz val="10"/>
        <color rgb="FFFF0000"/>
        <rFont val="Calibri"/>
        <family val="2"/>
        <scheme val="minor"/>
      </rPr>
      <t xml:space="preserve">newly installed </t>
    </r>
    <r>
      <rPr>
        <sz val="10"/>
        <color theme="1"/>
        <rFont val="Calibri"/>
        <family val="2"/>
        <scheme val="minor"/>
      </rPr>
      <t xml:space="preserve">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
</t>
    </r>
  </si>
  <si>
    <r>
      <t xml:space="preserve">The </t>
    </r>
    <r>
      <rPr>
        <sz val="10"/>
        <color rgb="FFFF0000"/>
        <rFont val="Calibri"/>
        <family val="2"/>
        <scheme val="minor"/>
      </rPr>
      <t>new</t>
    </r>
    <r>
      <rPr>
        <sz val="10"/>
        <color theme="1"/>
        <rFont val="Calibri"/>
        <family val="2"/>
        <scheme val="minor"/>
      </rPr>
      <t xml:space="preserve"> utilities on the lot are designed to use one or more alternative means:
    (a) tunneling instead of trenching
    (b) use of smaller (low ground pressure) equipment or geomats to spread the weight of construction equipment
    (c) shared utility trenches or easements
    (d) placement of utilities under paved surfaces instead of yards</t>
    </r>
  </si>
  <si>
    <r>
      <t xml:space="preserve">Limits of </t>
    </r>
    <r>
      <rPr>
        <sz val="10"/>
        <color rgb="FFFF0000"/>
        <rFont val="Calibri"/>
        <family val="2"/>
        <scheme val="minor"/>
      </rPr>
      <t>new</t>
    </r>
    <r>
      <rPr>
        <sz val="10"/>
        <color theme="1"/>
        <rFont val="Calibri"/>
        <family val="2"/>
        <scheme val="minor"/>
      </rPr>
      <t xml:space="preserve"> clearing and grading are demarcated on the lot plan.</t>
    </r>
  </si>
  <si>
    <r>
      <rPr>
        <b/>
        <sz val="14"/>
        <color theme="1"/>
        <rFont val="Calibri"/>
        <family val="2"/>
        <scheme val="minor"/>
      </rPr>
      <t>NGBS Scoring for Whole Building Renovation (Chapter 11)</t>
    </r>
    <r>
      <rPr>
        <b/>
        <sz val="11"/>
        <color theme="1"/>
        <rFont val="Calibri"/>
        <family val="2"/>
        <scheme val="minor"/>
      </rPr>
      <t xml:space="preserve">
ICC 700-2012 National Green Building Standard™</t>
    </r>
  </si>
  <si>
    <r>
      <rPr>
        <b/>
        <sz val="14"/>
        <color theme="1"/>
        <rFont val="Calibri"/>
        <family val="2"/>
        <scheme val="minor"/>
      </rPr>
      <t xml:space="preserve">NGBS Scoring for Whole Building Renovation (Chapter 11)
</t>
    </r>
    <r>
      <rPr>
        <b/>
        <sz val="11"/>
        <color theme="1"/>
        <rFont val="Calibri"/>
        <family val="2"/>
        <scheme val="minor"/>
      </rPr>
      <t>ICC 700-2012 National Green Building Standard™</t>
    </r>
  </si>
  <si>
    <r>
      <rPr>
        <b/>
        <sz val="14"/>
        <color theme="1"/>
        <rFont val="Calibri"/>
        <family val="2"/>
      </rPr>
      <t>NGBS Scoring for Whole Building Renovation (Chapter 11)</t>
    </r>
    <r>
      <rPr>
        <b/>
        <sz val="9"/>
        <color theme="1"/>
        <rFont val="Calibri"/>
        <family val="2"/>
      </rPr>
      <t xml:space="preserve">
</t>
    </r>
    <r>
      <rPr>
        <b/>
        <sz val="11"/>
        <color theme="1"/>
        <rFont val="Calibri"/>
        <family val="2"/>
      </rPr>
      <t>ICC 700-2012 National Green Building Standard™</t>
    </r>
  </si>
  <si>
    <r>
      <rPr>
        <b/>
        <sz val="14"/>
        <color theme="1"/>
        <rFont val="Calibri"/>
        <family val="2"/>
        <scheme val="minor"/>
      </rPr>
      <t>NGBS Scoring for Whole Building Renovation (Chapter 11)</t>
    </r>
    <r>
      <rPr>
        <sz val="11"/>
        <color theme="1"/>
        <rFont val="Calibri"/>
        <family val="2"/>
        <scheme val="minor"/>
      </rPr>
      <t xml:space="preserve">
</t>
    </r>
    <r>
      <rPr>
        <b/>
        <sz val="11"/>
        <color theme="1"/>
        <rFont val="Calibri"/>
        <family val="2"/>
        <scheme val="minor"/>
      </rPr>
      <t>ICC 700-2008 National Green Building Standard™</t>
    </r>
  </si>
  <si>
    <r>
      <rPr>
        <b/>
        <sz val="14"/>
        <color theme="1"/>
        <rFont val="Calibri"/>
        <family val="2"/>
        <scheme val="minor"/>
      </rPr>
      <t>NGBS Scoring for Whole Building Renovation (Chapter 11)</t>
    </r>
    <r>
      <rPr>
        <b/>
        <sz val="11"/>
        <color theme="1"/>
        <rFont val="Calibri"/>
        <family val="2"/>
        <scheme val="minor"/>
      </rPr>
      <t xml:space="preserve">
ICC 700-2008 National Green Building Standard™</t>
    </r>
  </si>
  <si>
    <r>
      <rPr>
        <b/>
        <sz val="10"/>
        <rFont val="Calibri"/>
        <family val="2"/>
        <scheme val="minor"/>
      </rPr>
      <t xml:space="preserve">Material usage.  </t>
    </r>
    <r>
      <rPr>
        <sz val="10"/>
        <color rgb="FFFF0000"/>
        <rFont val="Calibri"/>
        <family val="2"/>
        <scheme val="minor"/>
      </rPr>
      <t>Newly installed</t>
    </r>
    <r>
      <rPr>
        <sz val="10"/>
        <rFont val="Calibri"/>
        <family val="2"/>
        <scheme val="minor"/>
      </rPr>
      <t xml:space="preserve"> structural systems are designed or construction techniques are implemented that reduce and optimize material usage.  
</t>
    </r>
    <r>
      <rPr>
        <b/>
        <u/>
        <sz val="10"/>
        <rFont val="Calibri"/>
        <family val="2"/>
        <scheme val="minor"/>
      </rPr>
      <t>Claim points for all that apply from (1)-(3) below:</t>
    </r>
  </si>
  <si>
    <r>
      <rPr>
        <b/>
        <sz val="10"/>
        <rFont val="Calibri"/>
        <family val="2"/>
        <scheme val="minor"/>
      </rPr>
      <t>Building dimensions and layouts.</t>
    </r>
    <r>
      <rPr>
        <sz val="10"/>
        <rFont val="Calibri"/>
        <family val="2"/>
        <scheme val="minor"/>
      </rPr>
      <t xml:space="preserve"> Building dimensions and layouts are designed to reduce material cuts &amp; waste. This practice is used for a minimum of 80% of the newly installed areas. </t>
    </r>
    <r>
      <rPr>
        <b/>
        <sz val="10"/>
        <rFont val="Calibri"/>
        <family val="2"/>
        <scheme val="minor"/>
      </rPr>
      <t xml:space="preserve"> (Points awarded only when the</t>
    </r>
    <r>
      <rPr>
        <b/>
        <sz val="10"/>
        <color rgb="FFFF0000"/>
        <rFont val="Calibri"/>
        <family val="2"/>
        <scheme val="minor"/>
      </rPr>
      <t xml:space="preserve"> newly installed </t>
    </r>
    <r>
      <rPr>
        <b/>
        <sz val="10"/>
        <rFont val="Calibri"/>
        <family val="2"/>
        <scheme val="minor"/>
      </rPr>
      <t xml:space="preserve">area of the building comprises at least 25 percent of the total area of that element of the building after the remodel)  </t>
    </r>
    <r>
      <rPr>
        <sz val="10"/>
        <rFont val="Calibri"/>
        <family val="2"/>
        <scheme val="minor"/>
      </rPr>
      <t xml:space="preserve">
</t>
    </r>
    <r>
      <rPr>
        <b/>
        <u/>
        <sz val="10"/>
        <rFont val="Calibri"/>
        <family val="2"/>
        <scheme val="minor"/>
      </rPr>
      <t>Claim points for all that apply from (1)-(5) below:</t>
    </r>
  </si>
  <si>
    <r>
      <rPr>
        <b/>
        <sz val="10"/>
        <rFont val="Calibri"/>
        <family val="2"/>
        <scheme val="minor"/>
      </rPr>
      <t>Framing and structural plans.</t>
    </r>
    <r>
      <rPr>
        <sz val="10"/>
        <rFont val="Calibri"/>
        <family val="2"/>
        <scheme val="minor"/>
      </rPr>
      <t xml:space="preserve"> Detailed framing or structural plans, material quantity lists and on-site cut lists for</t>
    </r>
    <r>
      <rPr>
        <sz val="10"/>
        <color rgb="FFFF0000"/>
        <rFont val="Calibri"/>
        <family val="2"/>
        <scheme val="minor"/>
      </rPr>
      <t xml:space="preserve"> newly installed</t>
    </r>
    <r>
      <rPr>
        <sz val="10"/>
        <rFont val="Calibri"/>
        <family val="2"/>
        <scheme val="minor"/>
      </rPr>
      <t xml:space="preserve"> framing, structural materials, and sheathing materials are provided.</t>
    </r>
  </si>
  <si>
    <r>
      <rPr>
        <b/>
        <sz val="10"/>
        <rFont val="Calibri"/>
        <family val="2"/>
        <scheme val="minor"/>
      </rPr>
      <t>Prefabricated components.</t>
    </r>
    <r>
      <rPr>
        <sz val="10"/>
        <rFont val="Calibri"/>
        <family val="2"/>
        <scheme val="minor"/>
      </rPr>
      <t xml:space="preserve"> Precut, preassembled, panelized, or precast assemblies are utilized for a minimum of 90% for the following system or building.  (</t>
    </r>
    <r>
      <rPr>
        <b/>
        <sz val="10"/>
        <rFont val="Calibri"/>
        <family val="2"/>
        <scheme val="minor"/>
      </rPr>
      <t xml:space="preserve">Points awarded only when the </t>
    </r>
    <r>
      <rPr>
        <b/>
        <sz val="10"/>
        <color rgb="FFFF0000"/>
        <rFont val="Calibri"/>
        <family val="2"/>
        <scheme val="minor"/>
      </rPr>
      <t xml:space="preserve">newly installed </t>
    </r>
    <r>
      <rPr>
        <b/>
        <sz val="10"/>
        <rFont val="Calibri"/>
        <family val="2"/>
        <scheme val="minor"/>
      </rPr>
      <t>system comprises at least 25 percent of the total area of that system of the building after the remodel)</t>
    </r>
  </si>
  <si>
    <r>
      <t xml:space="preserve">A capillary break to prevent moisture migration into foundation wall is provided between the footing and the foundation wall on all </t>
    </r>
    <r>
      <rPr>
        <sz val="10"/>
        <color rgb="FFFF0000"/>
        <rFont val="Calibri"/>
        <family val="2"/>
        <scheme val="minor"/>
      </rPr>
      <t>new</t>
    </r>
    <r>
      <rPr>
        <sz val="10"/>
        <color theme="1"/>
        <rFont val="Calibri"/>
        <family val="2"/>
        <scheme val="minor"/>
      </rPr>
      <t xml:space="preserve"> foundations, and on not less than 25 percent of the total length of the foundation after the remodel.</t>
    </r>
  </si>
  <si>
    <r>
      <t xml:space="preserve">Interior and exterior foundation perimeter drains are installed and sloped to discharge to daylight, dry well, or sump pit on all </t>
    </r>
    <r>
      <rPr>
        <sz val="10"/>
        <color rgb="FFFF0000"/>
        <rFont val="Calibri"/>
        <family val="2"/>
        <scheme val="minor"/>
      </rPr>
      <t xml:space="preserve">new </t>
    </r>
    <r>
      <rPr>
        <sz val="10"/>
        <rFont val="Calibri"/>
        <family val="2"/>
        <scheme val="minor"/>
      </rPr>
      <t xml:space="preserve">foundations </t>
    </r>
    <r>
      <rPr>
        <sz val="10"/>
        <color rgb="FFFF0000"/>
        <rFont val="Calibri"/>
        <family val="2"/>
        <scheme val="minor"/>
      </rPr>
      <t>and not less than 25 percent of the total length of the foundation after the remodel</t>
    </r>
    <r>
      <rPr>
        <sz val="10"/>
        <rFont val="Calibri"/>
        <family val="2"/>
        <scheme val="minor"/>
      </rPr>
      <t>.</t>
    </r>
  </si>
  <si>
    <r>
      <rPr>
        <b/>
        <sz val="10"/>
        <rFont val="Calibri"/>
        <family val="2"/>
        <scheme val="minor"/>
      </rPr>
      <t xml:space="preserve">Foundation Waterproofing.  </t>
    </r>
    <r>
      <rPr>
        <sz val="10"/>
        <rFont val="Calibri"/>
        <family val="2"/>
        <scheme val="minor"/>
      </rPr>
      <t xml:space="preserve">Enhanced foundation waterproofing is installed on all </t>
    </r>
    <r>
      <rPr>
        <sz val="10"/>
        <color rgb="FFFF0000"/>
        <rFont val="Calibri"/>
        <family val="2"/>
        <scheme val="minor"/>
      </rPr>
      <t xml:space="preserve">new </t>
    </r>
    <r>
      <rPr>
        <sz val="10"/>
        <rFont val="Calibri"/>
        <family val="2"/>
        <scheme val="minor"/>
      </rPr>
      <t xml:space="preserve">foundations, </t>
    </r>
    <r>
      <rPr>
        <sz val="10"/>
        <color rgb="FFFF0000"/>
        <rFont val="Calibri"/>
        <family val="2"/>
        <scheme val="minor"/>
      </rPr>
      <t>and on not less than 25 percent of the total length of the foundation after the remodel using one or both of the following:</t>
    </r>
    <r>
      <rPr>
        <sz val="10"/>
        <rFont val="Calibri"/>
        <family val="2"/>
        <scheme val="minor"/>
      </rPr>
      <t xml:space="preserve">
     (1) rubberized coating, or
     (2) drainage mat</t>
    </r>
  </si>
  <si>
    <r>
      <t xml:space="preserve">Vapor retarder for all </t>
    </r>
    <r>
      <rPr>
        <sz val="10"/>
        <color rgb="FFFF0000"/>
        <rFont val="Calibri"/>
        <family val="2"/>
        <scheme val="minor"/>
      </rPr>
      <t>new</t>
    </r>
    <r>
      <rPr>
        <sz val="10"/>
        <color theme="1"/>
        <rFont val="Calibri"/>
        <family val="2"/>
        <scheme val="minor"/>
      </rPr>
      <t xml:space="preserve"> unconditioned vented crawlspace foundations </t>
    </r>
    <r>
      <rPr>
        <sz val="10"/>
        <color rgb="FFFF0000"/>
        <rFont val="Calibri"/>
        <family val="2"/>
        <scheme val="minor"/>
      </rPr>
      <t>and not less than 25 percent of the total area after the remodel</t>
    </r>
    <r>
      <rPr>
        <sz val="10"/>
        <color theme="1"/>
        <rFont val="Calibri"/>
        <family val="2"/>
        <scheme val="minor"/>
      </rPr>
      <t xml:space="preserve"> is in accordance with the following, as applicable. Joints of vapor retarder overlap a minimum of 6 inches (152 mm) and are taped.</t>
    </r>
  </si>
  <si>
    <r>
      <t xml:space="preserve">For all </t>
    </r>
    <r>
      <rPr>
        <sz val="10"/>
        <color rgb="FFFF0000"/>
        <rFont val="Calibri"/>
        <family val="2"/>
        <scheme val="minor"/>
      </rPr>
      <t>new</t>
    </r>
    <r>
      <rPr>
        <sz val="10"/>
        <color theme="1"/>
        <rFont val="Calibri"/>
        <family val="2"/>
        <scheme val="minor"/>
      </rPr>
      <t xml:space="preserve"> foundations </t>
    </r>
    <r>
      <rPr>
        <sz val="10"/>
        <color rgb="FFFF0000"/>
        <rFont val="Calibri"/>
        <family val="2"/>
        <scheme val="minor"/>
      </rPr>
      <t>and not less than 25 percent of the total area</t>
    </r>
    <r>
      <rPr>
        <sz val="10"/>
        <color theme="1"/>
        <rFont val="Calibri"/>
        <family val="2"/>
        <scheme val="minor"/>
      </rPr>
      <t xml:space="preserve"> of the crawlspace after the remodel, crawlspace that is built as a conditioned area is sealed to prevent outside air infiltration and provided with conditioned air at a rate not less than 0.02 cfm (.009 L/s) per square foot of horizontal area and one of the following is implemented:</t>
    </r>
  </si>
  <si>
    <r>
      <rPr>
        <b/>
        <sz val="10"/>
        <rFont val="Calibri"/>
        <family val="2"/>
        <scheme val="minor"/>
      </rPr>
      <t>Water-resistive barrier.</t>
    </r>
    <r>
      <rPr>
        <sz val="10"/>
        <rFont val="Calibri"/>
        <family val="2"/>
        <scheme val="minor"/>
      </rPr>
      <t xml:space="preserve"> Where required by the ICC IRC or IBC, a water-resistive barrier and/or drainage plane system is installed behind </t>
    </r>
    <r>
      <rPr>
        <sz val="10"/>
        <color rgb="FFFF0000"/>
        <rFont val="Calibri"/>
        <family val="2"/>
        <scheme val="minor"/>
      </rPr>
      <t>newly installed</t>
    </r>
    <r>
      <rPr>
        <sz val="10"/>
        <rFont val="Calibri"/>
        <family val="2"/>
        <scheme val="minor"/>
      </rPr>
      <t xml:space="preserve"> exterior veneer and/or siding </t>
    </r>
    <r>
      <rPr>
        <sz val="10"/>
        <color rgb="FFFF0000"/>
        <rFont val="Calibri"/>
        <family val="2"/>
        <scheme val="minor"/>
      </rPr>
      <t>and where there is evidence of a moisture problem</t>
    </r>
    <r>
      <rPr>
        <sz val="10"/>
        <rFont val="Calibri"/>
        <family val="2"/>
        <scheme val="minor"/>
      </rPr>
      <t xml:space="preserve">.  </t>
    </r>
  </si>
  <si>
    <r>
      <t xml:space="preserve">A capillary break and vapor retarder are installed at concrete slabs in accordance with ICC IRC Sections R506.2.2 and R506.2.3 or ICC IBC Sections 1910 and 1805.4.1.  </t>
    </r>
    <r>
      <rPr>
        <b/>
        <sz val="10"/>
        <color theme="1"/>
        <rFont val="Calibri"/>
        <family val="2"/>
        <scheme val="minor"/>
      </rPr>
      <t xml:space="preserve">This practice is not mandatory for existing slabs without apparent moisture problem. </t>
    </r>
    <r>
      <rPr>
        <sz val="10"/>
        <color theme="1"/>
        <rFont val="Calibri"/>
        <family val="2"/>
        <scheme val="minor"/>
      </rPr>
      <t xml:space="preserve">
    </t>
    </r>
  </si>
  <si>
    <t>No Moisture issues with existing slabs</t>
  </si>
  <si>
    <r>
      <t xml:space="preserve">Where required by the ICC IRC or IBC for habitable and usable spaces below grade, exterior drain tile is installed.  </t>
    </r>
    <r>
      <rPr>
        <b/>
        <sz val="10"/>
        <rFont val="Calibri"/>
        <family val="2"/>
        <scheme val="minor"/>
      </rPr>
      <t xml:space="preserve">This practice is not mandatory for existing space without apparent moisture problem. </t>
    </r>
  </si>
  <si>
    <t>No moisture issues with existing space</t>
  </si>
  <si>
    <r>
      <t xml:space="preserve">Walls. Damp-proof walls are provided below finished grade.  </t>
    </r>
    <r>
      <rPr>
        <b/>
        <sz val="10"/>
        <color theme="1"/>
        <rFont val="Calibri"/>
        <family val="2"/>
        <scheme val="minor"/>
      </rPr>
      <t xml:space="preserve">This practice is not mandatory for existing walls without apparent moisture problem. </t>
    </r>
  </si>
  <si>
    <t>No moisture issue with existing walls</t>
  </si>
  <si>
    <r>
      <t xml:space="preserve">6 mil polyethylene sheeting, lapped a minimum of 6 inches (152 mm), and taped at the seams.  </t>
    </r>
    <r>
      <rPr>
        <b/>
        <sz val="10"/>
        <color theme="1"/>
        <rFont val="Calibri"/>
        <family val="2"/>
        <scheme val="minor"/>
      </rPr>
      <t xml:space="preserve">This practice is not mandatory for existing foundations without apparent moisture problem. </t>
    </r>
    <r>
      <rPr>
        <sz val="10"/>
        <color theme="1"/>
        <rFont val="Calibri"/>
        <family val="2"/>
        <scheme val="minor"/>
      </rPr>
      <t xml:space="preserve">
</t>
    </r>
  </si>
  <si>
    <t>No moisture issues with existing crawlspace</t>
  </si>
  <si>
    <t>No newly installed cladding</t>
  </si>
  <si>
    <t>No existing cladding with mositure issues</t>
  </si>
  <si>
    <t>No issues with existing tile</t>
  </si>
  <si>
    <r>
      <rPr>
        <sz val="10"/>
        <color rgb="FFFF0000"/>
        <rFont val="Calibri"/>
        <family val="2"/>
        <scheme val="minor"/>
      </rPr>
      <t xml:space="preserve">Newly installed </t>
    </r>
    <r>
      <rPr>
        <sz val="10"/>
        <color indexed="8"/>
        <rFont val="Calibri"/>
        <family val="2"/>
        <scheme val="minor"/>
      </rPr>
      <t>gas-fired fireplaces and direct heating equipment is listed and is installed in accordance with the NFPA 54,ICC IFG, or the applicable local gas appliance installation code. Gas-fired fireplaces and direct heating equipment are vented to the outdoors.</t>
    </r>
  </si>
  <si>
    <r>
      <rPr>
        <sz val="10"/>
        <color rgb="FFFF0000"/>
        <rFont val="Calibri"/>
        <family val="2"/>
        <scheme val="minor"/>
      </rPr>
      <t>Newly installed</t>
    </r>
    <r>
      <rPr>
        <sz val="10"/>
        <color theme="1"/>
        <rFont val="Calibri"/>
        <family val="2"/>
        <scheme val="minor"/>
      </rPr>
      <t xml:space="preserve"> solid fuel-burning fireplaces, inserts, stoves and heaters are code compliant and are in accordance with the following requirements: </t>
    </r>
  </si>
  <si>
    <r>
      <rPr>
        <sz val="10"/>
        <color rgb="FFFF0000"/>
        <rFont val="Calibri"/>
        <family val="2"/>
        <scheme val="minor"/>
      </rPr>
      <t>Newly installed</t>
    </r>
    <r>
      <rPr>
        <sz val="10"/>
        <color theme="1"/>
        <rFont val="Calibri"/>
        <family val="2"/>
        <scheme val="minor"/>
      </rPr>
      <t xml:space="preserve"> 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  </t>
    </r>
    <r>
      <rPr>
        <sz val="10"/>
        <color rgb="FFFF0000"/>
        <rFont val="Calibri"/>
        <family val="2"/>
        <scheme val="minor"/>
      </rPr>
      <t>NOTE: IF N/A IS SELECTED, PLEASE ENTER EXPLANATION IN THE Notes COLUMN.</t>
    </r>
  </si>
  <si>
    <r>
      <t>Wood materials</t>
    </r>
    <r>
      <rPr>
        <sz val="10"/>
        <color theme="1"/>
        <rFont val="Calibri"/>
        <family val="2"/>
        <scheme val="minor"/>
      </rPr>
      <t xml:space="preserve">. A minimum of 85 percent of </t>
    </r>
    <r>
      <rPr>
        <sz val="10"/>
        <color rgb="FFFF0000"/>
        <rFont val="Calibri"/>
        <family val="2"/>
        <scheme val="minor"/>
      </rPr>
      <t>newly installed</t>
    </r>
    <r>
      <rPr>
        <sz val="10"/>
        <color theme="1"/>
        <rFont val="Calibri"/>
        <family val="2"/>
        <scheme val="minor"/>
      </rPr>
      <t xml:space="preserve"> material within a product group (i.e., wood structural panels, countertops, composite trim/doors, custom woodwork, and/or component closet shelving) is manufactured in accordance with the following:</t>
    </r>
    <r>
      <rPr>
        <b/>
        <u/>
        <sz val="10"/>
        <color theme="1"/>
        <rFont val="Calibri"/>
        <family val="2"/>
        <scheme val="minor"/>
      </rPr>
      <t xml:space="preserve"> Select a product group only once.</t>
    </r>
  </si>
  <si>
    <r>
      <t>Cabinets</t>
    </r>
    <r>
      <rPr>
        <sz val="10"/>
        <color theme="1"/>
        <rFont val="Calibri"/>
        <family val="2"/>
        <scheme val="minor"/>
      </rPr>
      <t xml:space="preserve">.A minimum of 85 percent of </t>
    </r>
    <r>
      <rPr>
        <sz val="10"/>
        <color rgb="FFFF0000"/>
        <rFont val="Calibri"/>
        <family val="2"/>
        <scheme val="minor"/>
      </rPr>
      <t>newly installed</t>
    </r>
    <r>
      <rPr>
        <sz val="10"/>
        <color theme="1"/>
        <rFont val="Calibri"/>
        <family val="2"/>
        <scheme val="minor"/>
      </rPr>
      <t xml:space="preserve">  cabinets are in accordance with one or both of the following:  
(</t>
    </r>
    <r>
      <rPr>
        <i/>
        <sz val="10"/>
        <color theme="1"/>
        <rFont val="Calibri"/>
        <family val="2"/>
        <scheme val="minor"/>
      </rPr>
      <t>Where more than one of the following practices is used, points are awarded based on the practice with the fewest number of points.</t>
    </r>
    <r>
      <rPr>
        <sz val="10"/>
        <color theme="1"/>
        <rFont val="Calibri"/>
        <family val="2"/>
        <scheme val="minor"/>
      </rPr>
      <t xml:space="preserve">)
</t>
    </r>
    <r>
      <rPr>
        <b/>
        <u/>
        <sz val="10"/>
        <color theme="1"/>
        <rFont val="Calibri"/>
        <family val="2"/>
        <scheme val="minor"/>
      </rPr>
      <t>Claim points for only one from (1)-(2) below:</t>
    </r>
  </si>
  <si>
    <r>
      <rPr>
        <sz val="10"/>
        <color rgb="FFFF0000"/>
        <rFont val="Calibri"/>
        <family val="2"/>
        <scheme val="minor"/>
      </rPr>
      <t>Newly installed</t>
    </r>
    <r>
      <rPr>
        <sz val="10"/>
        <color theme="1"/>
        <rFont val="Calibri"/>
        <family val="2"/>
        <scheme val="minor"/>
      </rPr>
      <t xml:space="preserve"> carpet area is at least 10 percent of the conditioned floor space and a minimum of 85 percent of newly installed carpet area and carpet cushion (padding) are in accordance with the emission levels of CDPH/EHLB Standard Method v1.1, footnote b in Table 4.1 does not apply. (i.e. maximum allowable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in Appendix D.
</t>
    </r>
    <r>
      <rPr>
        <b/>
        <u/>
        <sz val="10"/>
        <color theme="1"/>
        <rFont val="Calibri"/>
        <family val="2"/>
        <scheme val="minor"/>
      </rPr>
      <t>Claim points for all that apply from (a)-(b) below:</t>
    </r>
  </si>
  <si>
    <t>No new gas fireplace or heating equipment</t>
  </si>
  <si>
    <t>No new factory-built wood-burning fireplace</t>
  </si>
  <si>
    <t>No new wood stove or fireplace inserts</t>
  </si>
  <si>
    <t>No new pellet stove or furnace</t>
  </si>
  <si>
    <t>No new masonry heater</t>
  </si>
  <si>
    <t>No new site built wood burning</t>
  </si>
  <si>
    <t>No new structural panels</t>
  </si>
  <si>
    <r>
      <rPr>
        <sz val="10"/>
        <color rgb="FFFF0000"/>
        <rFont val="Calibri"/>
        <family val="2"/>
      </rPr>
      <t>When the building is occupied</t>
    </r>
    <r>
      <rPr>
        <sz val="10"/>
        <rFont val="Calibri"/>
        <family val="2"/>
      </rPr>
      <t xml:space="preserve"> during the remodel, a minimum of 85 percent of the </t>
    </r>
    <r>
      <rPr>
        <sz val="10"/>
        <color rgb="FFFF0000"/>
        <rFont val="Calibri"/>
        <family val="2"/>
      </rPr>
      <t>newly applied</t>
    </r>
    <r>
      <rPr>
        <sz val="10"/>
        <rFont val="Calibri"/>
        <family val="2"/>
      </rPr>
      <t xml:space="preserve"> interior architectural coatings are in accordance with either 11.901.9.1 or 11.901.9.3.</t>
    </r>
  </si>
  <si>
    <r>
      <rPr>
        <b/>
        <sz val="10"/>
        <rFont val="Calibri"/>
        <family val="2"/>
      </rPr>
      <t>Lead-safe work practices.</t>
    </r>
    <r>
      <rPr>
        <sz val="10"/>
        <rFont val="Calibri"/>
        <family val="2"/>
      </rPr>
      <t xml:space="preserve"> </t>
    </r>
    <r>
      <rPr>
        <sz val="10"/>
        <color rgb="FFFF0000"/>
        <rFont val="Calibri"/>
        <family val="2"/>
      </rPr>
      <t>For buildings constructed before 1978</t>
    </r>
    <r>
      <rPr>
        <sz val="10"/>
        <rFont val="Calibri"/>
        <family val="2"/>
      </rPr>
      <t>, lead-safe work practices are used during the remodeling.</t>
    </r>
  </si>
  <si>
    <t>No envelope exposure</t>
  </si>
  <si>
    <r>
      <rPr>
        <b/>
        <sz val="10"/>
        <rFont val="Calibri"/>
        <family val="2"/>
        <scheme val="minor"/>
      </rPr>
      <t>HVAC system sizing.</t>
    </r>
    <r>
      <rPr>
        <sz val="10"/>
        <color rgb="FFFF0000"/>
        <rFont val="Calibri"/>
        <family val="2"/>
        <scheme val="minor"/>
      </rPr>
      <t xml:space="preserve"> Newly installed or modified</t>
    </r>
    <r>
      <rPr>
        <sz val="10"/>
        <rFont val="Calibri"/>
        <family val="2"/>
        <scheme val="minor"/>
      </rPr>
      <t xml:space="preserve"> space heating and cooling system is sized according to heating and cooling loads calculated using ACCA Manual J, or equivalent. New Equipment is selected using ACCA Manual S or equivalent.</t>
    </r>
  </si>
  <si>
    <t>No new/modified equipment</t>
  </si>
  <si>
    <r>
      <rPr>
        <b/>
        <sz val="10"/>
        <rFont val="Calibri"/>
        <family val="2"/>
        <scheme val="minor"/>
      </rPr>
      <t>Radiant and hydronic space heating.</t>
    </r>
    <r>
      <rPr>
        <sz val="10"/>
        <rFont val="Calibri"/>
        <family val="2"/>
        <scheme val="minor"/>
      </rPr>
      <t xml:space="preserve"> Where installed as a primary heat source in the building, </t>
    </r>
    <r>
      <rPr>
        <sz val="10"/>
        <color rgb="FFFF0000"/>
        <rFont val="Calibri"/>
        <family val="2"/>
        <scheme val="minor"/>
      </rPr>
      <t xml:space="preserve">new </t>
    </r>
    <r>
      <rPr>
        <sz val="10"/>
        <rFont val="Calibri"/>
        <family val="2"/>
        <scheme val="minor"/>
      </rPr>
      <t xml:space="preserve">radiant or hydronic space heating system is designed using industry-approved guidelines and standards (e.g., ACCA Manual J, AHRI I=B=R, ANSI/ACCA 5 QI-2010, or an accredited design professional’s and manufacturer’s recommendations). </t>
    </r>
  </si>
  <si>
    <t>No new radiant heat</t>
  </si>
  <si>
    <r>
      <rPr>
        <b/>
        <sz val="10"/>
        <rFont val="Calibri"/>
        <family val="2"/>
        <scheme val="minor"/>
      </rPr>
      <t>Duct air sealing.</t>
    </r>
    <r>
      <rPr>
        <sz val="10"/>
        <rFont val="Calibri"/>
        <family val="2"/>
        <scheme val="minor"/>
      </rPr>
      <t xml:space="preserve"> </t>
    </r>
    <r>
      <rPr>
        <sz val="10"/>
        <color rgb="FFFF0000"/>
        <rFont val="Calibri"/>
        <family val="2"/>
        <scheme val="minor"/>
      </rPr>
      <t xml:space="preserve">Newly installed, modified, or ducts that are exposed </t>
    </r>
    <r>
      <rPr>
        <sz val="10"/>
        <rFont val="Calibri"/>
        <family val="2"/>
        <scheme val="minor"/>
      </rPr>
      <t>during the remodel are air sealed. All duct sealing materials are in conformance with UL 181A or UL 181B specifications and are installed in accordance with manufacturer’s instructions.</t>
    </r>
  </si>
  <si>
    <t>No new, modified, or exposed ducts</t>
  </si>
  <si>
    <r>
      <rPr>
        <b/>
        <sz val="10"/>
        <rFont val="Calibri"/>
        <family val="2"/>
        <scheme val="minor"/>
      </rPr>
      <t>Supply ducts.</t>
    </r>
    <r>
      <rPr>
        <sz val="10"/>
        <rFont val="Calibri"/>
        <family val="2"/>
        <scheme val="minor"/>
      </rPr>
      <t xml:space="preserve"> Building cavities are not used as supply ducts. </t>
    </r>
    <r>
      <rPr>
        <sz val="10"/>
        <color rgb="FFFF0000"/>
        <rFont val="Calibri"/>
        <family val="2"/>
        <scheme val="minor"/>
      </rPr>
      <t>Existing</t>
    </r>
    <r>
      <rPr>
        <sz val="10"/>
        <rFont val="Calibri"/>
        <family val="2"/>
        <scheme val="minor"/>
      </rPr>
      <t xml:space="preserve"> building cavities currently used as supply ducts </t>
    </r>
    <r>
      <rPr>
        <sz val="10"/>
        <color rgb="FFFF0000"/>
        <rFont val="Calibri"/>
        <family val="2"/>
        <scheme val="minor"/>
      </rPr>
      <t>exposed during the remodel</t>
    </r>
    <r>
      <rPr>
        <sz val="10"/>
        <rFont val="Calibri"/>
        <family val="2"/>
        <scheme val="minor"/>
      </rPr>
      <t xml:space="preserve"> are lined.</t>
    </r>
  </si>
  <si>
    <t>No building cavity ducts exposed.</t>
  </si>
  <si>
    <r>
      <rPr>
        <b/>
        <sz val="10"/>
        <rFont val="Calibri"/>
        <family val="2"/>
        <scheme val="minor"/>
      </rPr>
      <t>Duct system sizing.</t>
    </r>
    <r>
      <rPr>
        <sz val="10"/>
        <rFont val="Calibri"/>
        <family val="2"/>
        <scheme val="minor"/>
      </rPr>
      <t xml:space="preserve"> </t>
    </r>
    <r>
      <rPr>
        <sz val="10"/>
        <color rgb="FFFF0000"/>
        <rFont val="Calibri"/>
        <family val="2"/>
        <scheme val="minor"/>
      </rPr>
      <t xml:space="preserve">New or modified </t>
    </r>
    <r>
      <rPr>
        <sz val="10"/>
        <rFont val="Calibri"/>
        <family val="2"/>
        <scheme val="minor"/>
      </rPr>
      <t>duct system is sized and designed in accordance with ACCA Manual D or equivalent.</t>
    </r>
  </si>
  <si>
    <t>No new or modified ducts</t>
  </si>
  <si>
    <r>
      <rPr>
        <b/>
        <sz val="10"/>
        <rFont val="Calibri"/>
        <family val="2"/>
        <scheme val="minor"/>
      </rPr>
      <t>Building Thermal Envelope.</t>
    </r>
    <r>
      <rPr>
        <sz val="10"/>
        <rFont val="Calibri"/>
        <family val="2"/>
        <scheme val="minor"/>
      </rPr>
      <t xml:space="preserve"> The building thermal envelope </t>
    </r>
    <r>
      <rPr>
        <sz val="10"/>
        <color rgb="FFFF0000"/>
        <rFont val="Calibri"/>
        <family val="2"/>
        <scheme val="minor"/>
      </rPr>
      <t xml:space="preserve">exposed or created </t>
    </r>
    <r>
      <rPr>
        <sz val="10"/>
        <rFont val="Calibri"/>
        <family val="2"/>
        <scheme val="minor"/>
      </rPr>
      <t>during the remodel is durably sealed to limit infiltration. The sealing methods between dissimilar materials allow for differential expansion and contraction. The following are caulked, gasketed, weather-stripped or otherwise sealed with an air barrier material, suitable film or solid material:</t>
    </r>
  </si>
  <si>
    <t>No envelope exposed or created</t>
  </si>
  <si>
    <r>
      <rPr>
        <b/>
        <sz val="10"/>
        <rFont val="Calibri"/>
        <family val="2"/>
        <scheme val="minor"/>
      </rPr>
      <t>Fenestration air leakage.</t>
    </r>
    <r>
      <rPr>
        <sz val="10"/>
        <rFont val="Calibri"/>
        <family val="2"/>
        <scheme val="minor"/>
      </rPr>
      <t xml:space="preserve"> </t>
    </r>
    <r>
      <rPr>
        <sz val="10"/>
        <color rgb="FFFF0000"/>
        <rFont val="Calibri"/>
        <family val="2"/>
        <scheme val="minor"/>
      </rPr>
      <t xml:space="preserve">Newly installed </t>
    </r>
    <r>
      <rPr>
        <sz val="10"/>
        <rFont val="Calibri"/>
        <family val="2"/>
        <scheme val="minor"/>
      </rPr>
      <t xml:space="preserve">windows, skylights and sliding glass doors have an air infiltration rate of no more than 0.3 cfm per square foot (1.5 L/s/m2), and swinging doors no more than 0.5 cfm per square foot (2.6 L/s/ m2), when tested in accordance with NFRC 400 or AAMA/WDMA/CSA 101/I.S.2/A440 by an accredited, independent laboratory and listed and labeled. This practice does not apply to site-built windows, skylights, and doors.
</t>
    </r>
    <r>
      <rPr>
        <b/>
        <sz val="10"/>
        <rFont val="Calibri"/>
        <family val="2"/>
        <scheme val="minor"/>
      </rPr>
      <t>Exception:</t>
    </r>
    <r>
      <rPr>
        <sz val="10"/>
        <rFont val="Calibri"/>
        <family val="2"/>
        <scheme val="minor"/>
      </rPr>
      <t xml:space="preserve"> Site-built windows, skylights and doors.</t>
    </r>
  </si>
  <si>
    <t>No new fenestration</t>
  </si>
  <si>
    <r>
      <rPr>
        <b/>
        <sz val="10"/>
        <rFont val="Calibri"/>
        <family val="2"/>
        <scheme val="minor"/>
      </rPr>
      <t>Recessed lighting.</t>
    </r>
    <r>
      <rPr>
        <sz val="10"/>
        <rFont val="Calibri"/>
        <family val="2"/>
        <scheme val="minor"/>
      </rPr>
      <t xml:space="preserve"> </t>
    </r>
    <r>
      <rPr>
        <sz val="10"/>
        <color rgb="FFFF0000"/>
        <rFont val="Calibri"/>
        <family val="2"/>
        <scheme val="minor"/>
      </rPr>
      <t>Newly installed</t>
    </r>
    <r>
      <rPr>
        <sz val="10"/>
        <rFont val="Calibri"/>
        <family val="2"/>
        <scheme val="minor"/>
      </rPr>
      <t xml:space="preserve"> recessed luminaires installed in the building thermal envelope are sealed to limit air leakage between conditioned and unconditioned spaces. All recessed luminaires are IC-rated and labeled as meeting ASTM E 283 when tested at 1.57 psf (75 Pa) pressure differential with no more than 2.0 cfm (0.944 L/s) of air movement from the conditioned space to the ceiling cavity. All recessed luminaires are sealed with a gasket or caulk between the housing and the interior of the wall or ceiling covering. </t>
    </r>
  </si>
  <si>
    <t>No new recessed fixtures</t>
  </si>
  <si>
    <r>
      <rPr>
        <b/>
        <sz val="10"/>
        <rFont val="Calibri"/>
        <family val="2"/>
        <scheme val="minor"/>
      </rPr>
      <t>High-efficacy lighting.</t>
    </r>
    <r>
      <rPr>
        <sz val="10"/>
        <rFont val="Calibri"/>
        <family val="2"/>
        <scheme val="minor"/>
      </rPr>
      <t xml:space="preserve"> A minimum of 50 percent of the </t>
    </r>
    <r>
      <rPr>
        <sz val="10"/>
        <color rgb="FFFF0000"/>
        <rFont val="Calibri"/>
        <family val="2"/>
        <scheme val="minor"/>
      </rPr>
      <t>newly installed</t>
    </r>
    <r>
      <rPr>
        <sz val="10"/>
        <rFont val="Calibri"/>
        <family val="2"/>
        <scheme val="minor"/>
      </rPr>
      <t xml:space="preserve"> hard-wired lighting fixtures, or the bulbs in those fixtures, qualify as high efficacy or equivalent.</t>
    </r>
  </si>
  <si>
    <t>No new hard wired fixtures</t>
  </si>
  <si>
    <r>
      <rPr>
        <b/>
        <sz val="10"/>
        <rFont val="Calibri"/>
        <family val="2"/>
        <scheme val="minor"/>
      </rPr>
      <t>Boiler supply piping.</t>
    </r>
    <r>
      <rPr>
        <sz val="10"/>
        <rFont val="Calibri"/>
        <family val="2"/>
        <scheme val="minor"/>
      </rPr>
      <t xml:space="preserve"> Boiler supply piping in unconditioned space that</t>
    </r>
    <r>
      <rPr>
        <sz val="10"/>
        <color rgb="FFFF0000"/>
        <rFont val="Calibri"/>
        <family val="2"/>
        <scheme val="minor"/>
      </rPr>
      <t xml:space="preserve"> is accessible</t>
    </r>
    <r>
      <rPr>
        <sz val="10"/>
        <rFont val="Calibri"/>
        <family val="2"/>
        <scheme val="minor"/>
      </rPr>
      <t xml:space="preserve"> during the remodel is insulated.</t>
    </r>
  </si>
  <si>
    <t>No accessible piping</t>
  </si>
  <si>
    <t>Cost of Heating Energy</t>
  </si>
  <si>
    <t>Cost of Cooling Energy</t>
  </si>
  <si>
    <t>Cost of Water Heating Energy</t>
  </si>
  <si>
    <t>Cost of Energy for Lighting</t>
  </si>
  <si>
    <t>Cost of Energy for Appliances</t>
  </si>
  <si>
    <t>Miscellaneous Energy Cost (other)</t>
  </si>
  <si>
    <t xml:space="preserve">Percent Reduction in Energy </t>
  </si>
  <si>
    <t>Conditioned area AFTER remodel  (ft2)</t>
  </si>
  <si>
    <t>Conditioned area BEFORE remodel  (ft2)</t>
  </si>
  <si>
    <t>Energy Analysis Before Remodel (Annual Basis)</t>
  </si>
  <si>
    <t>Energy Analysis After Remodel (Annual Basis)</t>
  </si>
  <si>
    <t xml:space="preserve"> Indoor and Outdoor Water Use Reduction</t>
  </si>
  <si>
    <t xml:space="preserve">305.3.5 Energy efficiency. The energy efficiency rating level shall be based on the reduction in energy consumption resulting from the remodel in accordance with Table 305.3.35.
Table 305.3.3 5 Energy Rating Level Thresholds
 Rating Level                                                        Bronze                Silver             Gold                    Emerald
Reduction in energy consumption                        15%                25%              35%                        45%
305.3.5.1 Energy consumption reduction. The reduction in energy consumption resulting from the remodel shall be based on the estimated annual energy cost savings as determined by a third-party energy audit and analysis or utility consumption data. The reduction shall be the percentage difference between the consumption per square foot before and after the remodel calculated as follows:
[(consumption per square foot before remodel - consumption per square foot after remodel)/consumption per square foot before remodel]*100%
The occupancy and life style assumed and the method of making the energy consumption estimates shall be the same for estimates before and after the remodel. The building configuration for the after-remodel estimate shall include any additions to the building or other changes to the configuration of the conditioned space. For multi-unit buildings, the energy consumption shall be based on the entire building including all dwelling units and common areas.
</t>
  </si>
  <si>
    <t>11.701 - Minimum Energy Efficiency Requirements</t>
  </si>
  <si>
    <t>11.701.4</t>
  </si>
  <si>
    <t>11.701.4.1</t>
  </si>
  <si>
    <t>11.701.4.1.1</t>
  </si>
  <si>
    <t>11.701.4.1.2</t>
  </si>
  <si>
    <t>11.701.4.2</t>
  </si>
  <si>
    <t>11.701.4.2.1</t>
  </si>
  <si>
    <t>11.701.4.2.2</t>
  </si>
  <si>
    <t>11.701.4.2.3</t>
  </si>
  <si>
    <t>11.701.4.3</t>
  </si>
  <si>
    <t>11.701.4.3.1</t>
  </si>
  <si>
    <t>11.701.4.3.2</t>
  </si>
  <si>
    <t>11.701.4.3.3</t>
  </si>
  <si>
    <t>11.701.4.3.4</t>
  </si>
  <si>
    <t>11.701.4.4</t>
  </si>
  <si>
    <t>11.701.4.5</t>
  </si>
  <si>
    <t>Energy Consumption Analysis  (305.3.5)</t>
  </si>
  <si>
    <t>Input</t>
  </si>
  <si>
    <t>%</t>
  </si>
  <si>
    <t>Level Achieved</t>
  </si>
  <si>
    <t xml:space="preserve">305.3.6 Water efficiency. The water efficiency rating level shall be based on the reduction in water consumption resulting from the remodel in accordance with Table 305.3.46. 
Table 305.3.4 6 Water Rating Level Thresholds
 Rating Level
 Bronze Silver Gold Emerald
Reduction in water consumption 20%  30%  40% 50%
305.3.6.1 Water consumption reduction. Water consumption shall be based on the estimated annual use as determined by audit and analysis or use of utility consumption data. The reduction shall be the percentage difference between the consumption before and after the remodel calculated as follows:
[(consumption before remodel - consumption after remodel)/consumption before remodel]*100%
The occupancy and life style assumed and the method of making the water consumption estimates shall be the same for estimates before and after the remodel. The building configuration for the after-remodel estimate shall include any changes to the configuration of the building such as additions or new points of water use. For multi-unit buildings, the water consumption shall be based on the entire building including all dwelling units and common areas.
</t>
  </si>
  <si>
    <t xml:space="preserve">The following provides general guidane for estimating the water usage before and after the remodel.  Different analysis is permitted if it is justified.  </t>
  </si>
  <si>
    <t>BEFORE REMODEL</t>
  </si>
  <si>
    <t>Interior Water Usage</t>
  </si>
  <si>
    <t>Fixture</t>
  </si>
  <si>
    <t>Kitchen</t>
  </si>
  <si>
    <t>Sink faucet</t>
  </si>
  <si>
    <t>Bathroom #1</t>
  </si>
  <si>
    <t>toilet</t>
  </si>
  <si>
    <t>shower</t>
  </si>
  <si>
    <t>sink #1</t>
  </si>
  <si>
    <t>sink #2</t>
  </si>
  <si>
    <t>tub</t>
  </si>
  <si>
    <t>Bathroom #2</t>
  </si>
  <si>
    <t># of uses per week</t>
  </si>
  <si>
    <t>gallons per use</t>
  </si>
  <si>
    <t>Gallons per week</t>
  </si>
  <si>
    <t>flow rate (gpm or gpf)</t>
  </si>
  <si>
    <t>Outdoor Water Usage</t>
  </si>
  <si>
    <t>Front Yard irrigation</t>
  </si>
  <si>
    <t>Back yard irrigation</t>
  </si>
  <si>
    <t>Hose Bib #1</t>
  </si>
  <si>
    <t>Hose Bib #2</t>
  </si>
  <si>
    <t># months per year</t>
  </si>
  <si>
    <t>AFTER REMODEL</t>
  </si>
  <si>
    <t>TOTAL ESTIMATED USAGE</t>
  </si>
  <si>
    <t>ESTIMATED REDUCTION IN WATER USAGE</t>
  </si>
  <si>
    <t>11.505.1</t>
  </si>
  <si>
    <t>11.505.3</t>
  </si>
  <si>
    <t>11.505.4</t>
  </si>
  <si>
    <t>11.505.5</t>
  </si>
  <si>
    <t>11.601 - Quality of Construction Materials and Waste</t>
  </si>
  <si>
    <t>11.601.1</t>
  </si>
  <si>
    <t>11.601.2</t>
  </si>
  <si>
    <t>11.601.3</t>
  </si>
  <si>
    <t>11.601.4</t>
  </si>
  <si>
    <t>11.601.5</t>
  </si>
  <si>
    <t>11.601.6</t>
  </si>
  <si>
    <t>11.601.7</t>
  </si>
  <si>
    <t>11.601.8</t>
  </si>
  <si>
    <t>11.601.9</t>
  </si>
  <si>
    <t>11.602 - Enhanced Durability and Reduced Maintenance</t>
  </si>
  <si>
    <t>11.602.1</t>
  </si>
  <si>
    <t>11.602.1.1</t>
  </si>
  <si>
    <t>11.602.1.1.1</t>
  </si>
  <si>
    <t>11.602.1.1.2</t>
  </si>
  <si>
    <t>11.602.1.2</t>
  </si>
  <si>
    <t>11.602.1.3</t>
  </si>
  <si>
    <t>11.602.1.3.1</t>
  </si>
  <si>
    <t>11.602.1.3.2</t>
  </si>
  <si>
    <t>11.602.1.4</t>
  </si>
  <si>
    <t>11.602.1.4.1</t>
  </si>
  <si>
    <t>11.602.1.4.2</t>
  </si>
  <si>
    <t>11.602.1.5</t>
  </si>
  <si>
    <t>11.602.1.6</t>
  </si>
  <si>
    <t>11.602.1.7</t>
  </si>
  <si>
    <t>11.602.1.7.1</t>
  </si>
  <si>
    <t>11.602.1.7.2</t>
  </si>
  <si>
    <t>11.602.1.8</t>
  </si>
  <si>
    <t>11.602.1.9</t>
  </si>
  <si>
    <t>11.602.1.10</t>
  </si>
  <si>
    <t>11.602.1.11</t>
  </si>
  <si>
    <t>11.602.1.12</t>
  </si>
  <si>
    <t>11.602.1.13</t>
  </si>
  <si>
    <t>11.602.1.14</t>
  </si>
  <si>
    <t>11.602.2</t>
  </si>
  <si>
    <t>11.602.3</t>
  </si>
  <si>
    <t>11.602.4</t>
  </si>
  <si>
    <t>11.602.4.1</t>
  </si>
  <si>
    <t>11.602.4.2</t>
  </si>
  <si>
    <t>11.602.4.3</t>
  </si>
  <si>
    <t>11.603 - Reused or Salvaged Materials</t>
  </si>
  <si>
    <t>11.603.1</t>
  </si>
  <si>
    <t>11.603.2</t>
  </si>
  <si>
    <t>11.603.3</t>
  </si>
  <si>
    <t>11.604 - Recycled-Content Building Materials</t>
  </si>
  <si>
    <t>11.604.1</t>
  </si>
  <si>
    <t>11.604.1.1</t>
  </si>
  <si>
    <t>11.604.1.2</t>
  </si>
  <si>
    <t>11.605 - Recycled Construction Waste</t>
  </si>
  <si>
    <t>11.605.1</t>
  </si>
  <si>
    <t>11.605.2</t>
  </si>
  <si>
    <t>11.605.3</t>
  </si>
  <si>
    <t>11.605.4</t>
  </si>
  <si>
    <t>11.606 - Renewable Materials</t>
  </si>
  <si>
    <t>11.606.1</t>
  </si>
  <si>
    <t>11.606.2</t>
  </si>
  <si>
    <t>11.607.1</t>
  </si>
  <si>
    <t>11.607.2</t>
  </si>
  <si>
    <t>11.608 - Resource-Efficient Materials</t>
  </si>
  <si>
    <t>11.608.1</t>
  </si>
  <si>
    <t>11.609 - Regional Materials</t>
  </si>
  <si>
    <t>11.609.1</t>
  </si>
  <si>
    <t>11.610 - Life Cycle Analysis</t>
  </si>
  <si>
    <t>11.610.1</t>
  </si>
  <si>
    <t>11.610.1.1</t>
  </si>
  <si>
    <t>11.610.1.2</t>
  </si>
  <si>
    <t>11.611 - Innovative Practices</t>
  </si>
  <si>
    <t>11.611.1</t>
  </si>
  <si>
    <t>11.611.2</t>
  </si>
  <si>
    <t>11.611.3</t>
  </si>
  <si>
    <t>11.901 - Pollutant Source Control</t>
  </si>
  <si>
    <t>11.901.1</t>
  </si>
  <si>
    <t>11.901.1.1</t>
  </si>
  <si>
    <t>11.901.1.2</t>
  </si>
  <si>
    <t>11.901.1.3</t>
  </si>
  <si>
    <t>11.901.1.4</t>
  </si>
  <si>
    <t>11.901.1.5</t>
  </si>
  <si>
    <t>11.901.1.6</t>
  </si>
  <si>
    <t>11.901.2</t>
  </si>
  <si>
    <t>11.901.2.1</t>
  </si>
  <si>
    <t>11.901.2.2</t>
  </si>
  <si>
    <t>11.901.3</t>
  </si>
  <si>
    <t>11.901.4</t>
  </si>
  <si>
    <t>11.901.5</t>
  </si>
  <si>
    <t>11.901.6</t>
  </si>
  <si>
    <t>11.901.8</t>
  </si>
  <si>
    <t>11.901.9</t>
  </si>
  <si>
    <t>11.901.9.1</t>
  </si>
  <si>
    <t>11.901.9.2</t>
  </si>
  <si>
    <t>11.901.9.3</t>
  </si>
  <si>
    <t>11.901.10</t>
  </si>
  <si>
    <t>11.901.11</t>
  </si>
  <si>
    <t>11.901.12</t>
  </si>
  <si>
    <t>11.901.13</t>
  </si>
  <si>
    <t>11.901.14</t>
  </si>
  <si>
    <t>11.902 - Pollutant Control</t>
  </si>
  <si>
    <t>11.902.1</t>
  </si>
  <si>
    <t>11.902.1.1</t>
  </si>
  <si>
    <t>11.902.1.2</t>
  </si>
  <si>
    <t>11.902.1.3</t>
  </si>
  <si>
    <t>11.902.1.4</t>
  </si>
  <si>
    <t>11.902.2</t>
  </si>
  <si>
    <t>11.902.2.1</t>
  </si>
  <si>
    <t>11.902.2.2</t>
  </si>
  <si>
    <t>11.902.2.3</t>
  </si>
  <si>
    <t>11.902.3</t>
  </si>
  <si>
    <t>11.902.4</t>
  </si>
  <si>
    <t>11.902.5</t>
  </si>
  <si>
    <t>11.902.6</t>
  </si>
  <si>
    <t>11.903 - Moisture Management: Vapor, Rainwater, Plumbing, HVAC</t>
  </si>
  <si>
    <t>11.903.1</t>
  </si>
  <si>
    <t>11.903.1.1</t>
  </si>
  <si>
    <t>11.903.1.2</t>
  </si>
  <si>
    <t>11.903.2</t>
  </si>
  <si>
    <t>11.903.3</t>
  </si>
  <si>
    <t>11.904 - Innovative Practices</t>
  </si>
  <si>
    <t>11.904.1</t>
  </si>
  <si>
    <t>11.904.2</t>
  </si>
  <si>
    <t>11.1001 - Building Owners' Manual for One- and Two-Family Dwellings</t>
  </si>
  <si>
    <t>11.1001.1</t>
  </si>
  <si>
    <t>11.1002 - Training of Building Owners on Operation and Maintenance for One- and Two-Family Dwellings and Multi-Unit Buildings</t>
  </si>
  <si>
    <t>11.1002.1</t>
  </si>
  <si>
    <t>11.1003 - Construction, Operation, and Maintenance Manuals and Training for Multi-Unit Buildings</t>
  </si>
  <si>
    <t>11.1003.0</t>
  </si>
  <si>
    <t>11.1003.1</t>
  </si>
  <si>
    <t>11.1003.2</t>
  </si>
  <si>
    <t>11.1003.3</t>
  </si>
  <si>
    <t>Heating Energy</t>
  </si>
  <si>
    <t>Cooling Energy</t>
  </si>
  <si>
    <t>Water Heating Energy</t>
  </si>
  <si>
    <t>Energy for Lighting</t>
  </si>
  <si>
    <t>Energy for Appliances</t>
  </si>
  <si>
    <t>Miscellaneous Energy</t>
  </si>
  <si>
    <t>Mbtu</t>
  </si>
  <si>
    <t>$</t>
  </si>
  <si>
    <t>Total</t>
  </si>
  <si>
    <t>Per Square foot</t>
  </si>
  <si>
    <t>% Reduction</t>
  </si>
  <si>
    <t>`</t>
  </si>
  <si>
    <t>All Mandatory Requirements</t>
  </si>
  <si>
    <t>Water Use After Remodeling</t>
  </si>
  <si>
    <r>
      <t xml:space="preserve">WATER USE </t>
    </r>
    <r>
      <rPr>
        <b/>
        <sz val="12"/>
        <rFont val="Calibri"/>
        <family val="2"/>
      </rPr>
      <t>BEFORE</t>
    </r>
    <r>
      <rPr>
        <b/>
        <sz val="11"/>
        <rFont val="Calibri"/>
        <family val="2"/>
      </rPr>
      <t xml:space="preserve"> REMODEL</t>
    </r>
  </si>
  <si>
    <t>% REDUCTION =</t>
  </si>
  <si>
    <r>
      <rPr>
        <sz val="10"/>
        <color rgb="FFFF0000"/>
        <rFont val="Calibri"/>
        <family val="2"/>
        <scheme val="minor"/>
      </rPr>
      <t>Newly installed</t>
    </r>
    <r>
      <rPr>
        <sz val="10"/>
        <color theme="1"/>
        <rFont val="Calibri"/>
        <family val="2"/>
        <scheme val="minor"/>
      </rPr>
      <t xml:space="preserve"> insulation or insulation </t>
    </r>
    <r>
      <rPr>
        <sz val="10"/>
        <color rgb="FFFF0000"/>
        <rFont val="Calibri"/>
        <family val="2"/>
        <scheme val="minor"/>
      </rPr>
      <t xml:space="preserve">exposed during the remodel </t>
    </r>
    <r>
      <rPr>
        <sz val="10"/>
        <color theme="1"/>
        <rFont val="Calibri"/>
        <family val="2"/>
        <scheme val="minor"/>
      </rPr>
      <t xml:space="preserve"> is dry in accordance with manufacturer’s installation instructions when enclosed (e.g., with drywall).</t>
    </r>
  </si>
  <si>
    <t>Energy Reduction</t>
  </si>
  <si>
    <t>% Reduction Claimed</t>
  </si>
  <si>
    <t>Water Usage Reduction</t>
  </si>
  <si>
    <r>
      <t xml:space="preserve">1001.1(3) </t>
    </r>
    <r>
      <rPr>
        <sz val="10"/>
        <rFont val="Calibri"/>
        <family val="2"/>
        <scheme val="minor"/>
      </rPr>
      <t xml:space="preserve">Product manufacturer's manuals or product data sheet for </t>
    </r>
    <r>
      <rPr>
        <sz val="10"/>
        <color rgb="FFFF0000"/>
        <rFont val="Calibri"/>
        <family val="2"/>
        <scheme val="minor"/>
      </rPr>
      <t>newly  installed</t>
    </r>
    <r>
      <rPr>
        <sz val="10"/>
        <rFont val="Calibri"/>
        <family val="2"/>
        <scheme val="minor"/>
      </rPr>
      <t xml:space="preserve"> major equipment, fixtures, and appliances.</t>
    </r>
  </si>
  <si>
    <r>
      <t>503.3(1) Remodeling c</t>
    </r>
    <r>
      <rPr>
        <sz val="10"/>
        <rFont val="Calibri"/>
        <family val="2"/>
        <scheme val="minor"/>
      </rPr>
      <t>onstruction activities are scheduled to minimize length of time that soils are exposed.</t>
    </r>
  </si>
  <si>
    <r>
      <t>503.3(2)</t>
    </r>
    <r>
      <rPr>
        <b/>
        <sz val="10"/>
        <color rgb="FFFF0000"/>
        <rFont val="Calibri"/>
        <family val="2"/>
        <scheme val="minor"/>
      </rPr>
      <t>New</t>
    </r>
    <r>
      <rPr>
        <sz val="10"/>
        <rFont val="Calibri"/>
        <family val="2"/>
        <scheme val="minor"/>
      </rPr>
      <t xml:space="preserve"> utilities on the lot are designed to use one or more alternative means:
    </t>
    </r>
    <r>
      <rPr>
        <b/>
        <sz val="10"/>
        <rFont val="Calibri"/>
        <family val="2"/>
        <scheme val="minor"/>
      </rPr>
      <t xml:space="preserve"> (a)</t>
    </r>
    <r>
      <rPr>
        <sz val="10"/>
        <rFont val="Calibri"/>
        <family val="2"/>
        <scheme val="minor"/>
      </rPr>
      <t xml:space="preserve"> tunneling instead of trenching
     </t>
    </r>
    <r>
      <rPr>
        <b/>
        <sz val="10"/>
        <rFont val="Calibri"/>
        <family val="2"/>
        <scheme val="minor"/>
      </rPr>
      <t>(b)</t>
    </r>
    <r>
      <rPr>
        <sz val="10"/>
        <rFont val="Calibri"/>
        <family val="2"/>
        <scheme val="minor"/>
      </rPr>
      <t xml:space="preserve"> use of smaller (low ground pressure) equipment or geomats to spread the weight of construction equipment
    </t>
    </r>
    <r>
      <rPr>
        <b/>
        <sz val="10"/>
        <rFont val="Calibri"/>
        <family val="2"/>
        <scheme val="minor"/>
      </rPr>
      <t xml:space="preserve"> (c)</t>
    </r>
    <r>
      <rPr>
        <sz val="10"/>
        <rFont val="Calibri"/>
        <family val="2"/>
        <scheme val="minor"/>
      </rPr>
      <t xml:space="preserve"> shared utility trenches or easements
     </t>
    </r>
    <r>
      <rPr>
        <b/>
        <sz val="10"/>
        <rFont val="Calibri"/>
        <family val="2"/>
        <scheme val="minor"/>
      </rPr>
      <t>(d)</t>
    </r>
    <r>
      <rPr>
        <sz val="10"/>
        <rFont val="Calibri"/>
        <family val="2"/>
        <scheme val="minor"/>
      </rPr>
      <t xml:space="preserve"> placement of utilities under paved surfaces instead of yards</t>
    </r>
  </si>
  <si>
    <r>
      <t>504.3(8)</t>
    </r>
    <r>
      <rPr>
        <sz val="10"/>
        <rFont val="Calibri"/>
        <family val="2"/>
        <scheme val="minor"/>
      </rPr>
      <t xml:space="preserve"> </t>
    </r>
    <r>
      <rPr>
        <sz val="10"/>
        <color rgb="FFFF0000"/>
        <rFont val="Calibri"/>
        <family val="2"/>
        <scheme val="minor"/>
      </rPr>
      <t>New</t>
    </r>
    <r>
      <rPr>
        <sz val="10"/>
        <rFont val="Calibri"/>
        <family val="2"/>
        <scheme val="minor"/>
      </rPr>
      <t xml:space="preserve"> utilities on the lot are installed using one or more alternative means (e.g., tunneling instead of trenching, use of smaller equipment, use of low ground pressure equipment, use of geomats, shared utility trenches or easements).</t>
    </r>
  </si>
  <si>
    <r>
      <rPr>
        <sz val="10"/>
        <color rgb="FFFF0000"/>
        <rFont val="Calibri"/>
        <family val="2"/>
        <scheme val="minor"/>
      </rPr>
      <t>New</t>
    </r>
    <r>
      <rPr>
        <sz val="10"/>
        <color theme="1"/>
        <rFont val="Calibri"/>
        <family val="2"/>
        <scheme val="minor"/>
      </rPr>
      <t xml:space="preserve"> utilities on the lot are installed using one or more alternative means (e.g., tunneling instead of trenching, use of smaller equipment, use of low ground pressure equipment, use of geomats, shared utility trenches or easements).</t>
    </r>
  </si>
  <si>
    <r>
      <rPr>
        <b/>
        <sz val="10"/>
        <rFont val="Calibri"/>
        <family val="2"/>
        <scheme val="minor"/>
      </rPr>
      <t>601.2(1)</t>
    </r>
    <r>
      <rPr>
        <sz val="10"/>
        <rFont val="Calibri"/>
        <family val="2"/>
        <scheme val="minor"/>
      </rPr>
      <t xml:space="preserve"> </t>
    </r>
    <r>
      <rPr>
        <sz val="10"/>
        <color rgb="FFFF0000"/>
        <rFont val="Calibri"/>
        <family val="2"/>
        <scheme val="minor"/>
      </rPr>
      <t xml:space="preserve">Newly installed </t>
    </r>
    <r>
      <rPr>
        <sz val="10"/>
        <rFont val="Calibri"/>
        <family val="2"/>
        <scheme val="minor"/>
      </rPr>
      <t>structural systems are designed or construction techniques are implemented that reduce and optimize material usag</t>
    </r>
  </si>
  <si>
    <r>
      <t xml:space="preserve">601.3 Building dimensions and layouts. Building dimensions and layouts are designed to reduce material cuts &amp; waste. This practice is used for a minimum of 80% of the newly installed areas.  (Points awarded only when the </t>
    </r>
    <r>
      <rPr>
        <b/>
        <sz val="10"/>
        <color rgb="FFFF0000"/>
        <rFont val="Calibri"/>
        <family val="2"/>
        <scheme val="minor"/>
      </rPr>
      <t xml:space="preserve">newly installed </t>
    </r>
    <r>
      <rPr>
        <b/>
        <sz val="10"/>
        <rFont val="Calibri"/>
        <family val="2"/>
        <scheme val="minor"/>
      </rPr>
      <t xml:space="preserve">area of the building comprises at least 25 percent of the total area of that element of the building after the remodel)  </t>
    </r>
  </si>
  <si>
    <r>
      <t xml:space="preserve">601.4 Framing and structural plans. Detailed framing or structural plans, material quantity lists and on-site cut lists for </t>
    </r>
    <r>
      <rPr>
        <b/>
        <sz val="10"/>
        <color rgb="FFFF0000"/>
        <rFont val="Calibri"/>
        <family val="2"/>
        <scheme val="minor"/>
      </rPr>
      <t>newly installed</t>
    </r>
    <r>
      <rPr>
        <b/>
        <sz val="10"/>
        <rFont val="Calibri"/>
        <family val="2"/>
        <scheme val="minor"/>
      </rPr>
      <t xml:space="preserve"> framing, structural materials, and sheathing materials are provided.</t>
    </r>
  </si>
  <si>
    <r>
      <t xml:space="preserve">601.5 Prefabricated components. Precut, preassembled, panelized, or precast assemblies are utilized for a minimum of 90% for the following system or building.  (Points awarded only when the </t>
    </r>
    <r>
      <rPr>
        <b/>
        <sz val="10"/>
        <color rgb="FFFF0000"/>
        <rFont val="Calibri"/>
        <family val="2"/>
        <scheme val="minor"/>
      </rPr>
      <t xml:space="preserve">newly installed </t>
    </r>
    <r>
      <rPr>
        <b/>
        <sz val="10"/>
        <rFont val="Calibri"/>
        <family val="2"/>
        <scheme val="minor"/>
      </rPr>
      <t xml:space="preserve">system comprises at least 25 percent of the total area of that system of the building after the remodel)  </t>
    </r>
    <r>
      <rPr>
        <sz val="10"/>
        <rFont val="Calibri"/>
        <family val="2"/>
        <scheme val="minor"/>
      </rPr>
      <t>Points can be claimed for 601.5(1-3) OR 601.5(4) OR 601.5(5).</t>
    </r>
  </si>
  <si>
    <r>
      <t>602.1.2</t>
    </r>
    <r>
      <rPr>
        <sz val="10"/>
        <color theme="1"/>
        <rFont val="Calibri"/>
        <family val="2"/>
      </rPr>
      <t xml:space="preserve">Enhanced foundation waterproofing is installed on all </t>
    </r>
    <r>
      <rPr>
        <sz val="10"/>
        <color rgb="FFFF0000"/>
        <rFont val="Calibri"/>
        <family val="2"/>
      </rPr>
      <t>new</t>
    </r>
    <r>
      <rPr>
        <sz val="10"/>
        <color theme="1"/>
        <rFont val="Calibri"/>
        <family val="2"/>
      </rPr>
      <t xml:space="preserve"> foundations, </t>
    </r>
    <r>
      <rPr>
        <sz val="10"/>
        <color rgb="FFFF0000"/>
        <rFont val="Calibri"/>
        <family val="2"/>
      </rPr>
      <t xml:space="preserve">and on not less than 25 percent of the total length of the foundation after the remodel </t>
    </r>
    <r>
      <rPr>
        <sz val="10"/>
        <color theme="1"/>
        <rFont val="Calibri"/>
        <family val="2"/>
      </rPr>
      <t>using one or both of the following:
          (1) rubberized coating, or
          (2) drainage mat</t>
    </r>
  </si>
  <si>
    <r>
      <t xml:space="preserve">602.1.1.2 </t>
    </r>
    <r>
      <rPr>
        <sz val="10"/>
        <color theme="1"/>
        <rFont val="Calibri"/>
        <family val="2"/>
      </rPr>
      <t>A capillary break to prevent moisture migration into foundation wall is provided between the footing and the foundation wall on all</t>
    </r>
    <r>
      <rPr>
        <sz val="10"/>
        <color rgb="FFFF0000"/>
        <rFont val="Calibri"/>
        <family val="2"/>
      </rPr>
      <t xml:space="preserve"> new</t>
    </r>
    <r>
      <rPr>
        <sz val="10"/>
        <color theme="1"/>
        <rFont val="Calibri"/>
        <family val="2"/>
      </rPr>
      <t xml:space="preserve"> foundations, </t>
    </r>
    <r>
      <rPr>
        <sz val="10"/>
        <color rgb="FFFF0000"/>
        <rFont val="Calibri"/>
        <family val="2"/>
      </rPr>
      <t>and on not less than 25 percent of the total length of the foundation after the remodel.</t>
    </r>
  </si>
  <si>
    <r>
      <t xml:space="preserve">602.1.3.2 </t>
    </r>
    <r>
      <rPr>
        <sz val="10"/>
        <color theme="1"/>
        <rFont val="Calibri"/>
        <family val="2"/>
      </rPr>
      <t xml:space="preserve">Interior and exterior foundation perimeter drains are installed and sloped to discharge to daylight, dry well, or sump pit on all </t>
    </r>
    <r>
      <rPr>
        <sz val="10"/>
        <color rgb="FFFF0000"/>
        <rFont val="Calibri"/>
        <family val="2"/>
      </rPr>
      <t>new</t>
    </r>
    <r>
      <rPr>
        <sz val="10"/>
        <color theme="1"/>
        <rFont val="Calibri"/>
        <family val="2"/>
      </rPr>
      <t xml:space="preserve"> foundations </t>
    </r>
    <r>
      <rPr>
        <sz val="10"/>
        <color rgb="FFFF0000"/>
        <rFont val="Calibri"/>
        <family val="2"/>
      </rPr>
      <t>and not less than 25 percent of the total length of the foundation after the remodel.</t>
    </r>
  </si>
  <si>
    <r>
      <t xml:space="preserve">602.1.3.1 </t>
    </r>
    <r>
      <rPr>
        <sz val="10"/>
        <color theme="1"/>
        <rFont val="Calibri"/>
        <family val="2"/>
      </rPr>
      <t xml:space="preserve">Where required by the ICC IRC or IBC for habitable and usable spaces below grade, exterior drain tile is installed.  </t>
    </r>
    <r>
      <rPr>
        <sz val="10"/>
        <color rgb="FFFF0000"/>
        <rFont val="Calibri"/>
        <family val="2"/>
      </rPr>
      <t xml:space="preserve">This practice is not mandatory for existing space without apparent moisture problem. </t>
    </r>
  </si>
  <si>
    <r>
      <t xml:space="preserve">602.1.4.1(2) </t>
    </r>
    <r>
      <rPr>
        <sz val="10"/>
        <color theme="1"/>
        <rFont val="Calibri"/>
        <family val="2"/>
      </rPr>
      <t xml:space="preserve">Walls. Damp-proof walls are provided below finished grade.  </t>
    </r>
    <r>
      <rPr>
        <sz val="10"/>
        <color rgb="FFFF0000"/>
        <rFont val="Calibri"/>
        <family val="2"/>
      </rPr>
      <t xml:space="preserve">This practice is not mandatory for existing walls without apparent moisture problem. </t>
    </r>
  </si>
  <si>
    <r>
      <t xml:space="preserve">602.1.4.2 </t>
    </r>
    <r>
      <rPr>
        <sz val="10"/>
        <color theme="1"/>
        <rFont val="Calibri"/>
        <family val="2"/>
      </rPr>
      <t xml:space="preserve">For all </t>
    </r>
    <r>
      <rPr>
        <sz val="10"/>
        <color rgb="FFFF0000"/>
        <rFont val="Calibri"/>
        <family val="2"/>
      </rPr>
      <t>new</t>
    </r>
    <r>
      <rPr>
        <sz val="10"/>
        <color theme="1"/>
        <rFont val="Calibri"/>
        <family val="2"/>
      </rPr>
      <t xml:space="preserve"> foundations </t>
    </r>
    <r>
      <rPr>
        <sz val="10"/>
        <color rgb="FFFF0000"/>
        <rFont val="Calibri"/>
        <family val="2"/>
      </rPr>
      <t>and not less than 25 percent of the total area of the crawlspace after the remodel</t>
    </r>
    <r>
      <rPr>
        <sz val="10"/>
        <color theme="1"/>
        <rFont val="Calibri"/>
        <family val="2"/>
      </rPr>
      <t>, crawlspace that is built as a conditioned area is sealed to prevent outside air infiltration and provided with conditioned air at a rate not less than 0.02 cfm (.009 L/s) per square foot of horizontal area and one of the following is implemented:</t>
    </r>
  </si>
  <si>
    <r>
      <t>602.1.7.1(2)</t>
    </r>
    <r>
      <rPr>
        <sz val="10"/>
        <color theme="1"/>
        <rFont val="Calibri"/>
        <family val="2"/>
      </rPr>
      <t xml:space="preserve"> </t>
    </r>
    <r>
      <rPr>
        <sz val="10"/>
        <color rgb="FFFF0000"/>
        <rFont val="Calibri"/>
        <family val="2"/>
      </rPr>
      <t>Newly installed insulation or insulation exposed</t>
    </r>
    <r>
      <rPr>
        <sz val="10"/>
        <color theme="1"/>
        <rFont val="Calibri"/>
        <family val="2"/>
      </rPr>
      <t xml:space="preserve"> during the remodel  is dry in accordance with manufacturer’s installation instructions when enclosed (e.g., with drywall).</t>
    </r>
  </si>
  <si>
    <r>
      <t xml:space="preserve">602.1.7.1(3) </t>
    </r>
    <r>
      <rPr>
        <sz val="10"/>
        <color theme="1"/>
        <rFont val="Calibri"/>
        <family val="2"/>
      </rPr>
      <t xml:space="preserve">The moisture content of lumber of </t>
    </r>
    <r>
      <rPr>
        <sz val="10"/>
        <color rgb="FFFF0000"/>
        <rFont val="Calibri"/>
        <family val="2"/>
      </rPr>
      <t>new or exposed wall cavitities</t>
    </r>
    <r>
      <rPr>
        <sz val="10"/>
        <color theme="1"/>
        <rFont val="Calibri"/>
        <family val="2"/>
      </rPr>
      <t xml:space="preserve"> is sampled to ensure it does not exceed 19% prior to the surface and/or wall cavity enclosure.</t>
    </r>
  </si>
  <si>
    <r>
      <t xml:space="preserve">The moisture content of lumber of </t>
    </r>
    <r>
      <rPr>
        <sz val="10"/>
        <color rgb="FFFF0000"/>
        <rFont val="Calibri"/>
        <family val="2"/>
        <scheme val="minor"/>
      </rPr>
      <t>newly installed or exposed</t>
    </r>
    <r>
      <rPr>
        <sz val="10"/>
        <color theme="1"/>
        <rFont val="Calibri"/>
        <family val="2"/>
        <scheme val="minor"/>
      </rPr>
      <t xml:space="preserve"> wall cavities is sampled to ensure it does not exceed 19% prior to the surface and/or wall cavity enclosure.</t>
    </r>
  </si>
  <si>
    <r>
      <t xml:space="preserve">602.1.7.2 </t>
    </r>
    <r>
      <rPr>
        <sz val="10"/>
        <color theme="1"/>
        <rFont val="Calibri"/>
        <family val="2"/>
      </rPr>
      <t xml:space="preserve">Moisture content of subfloor, substrate, or concrete slabs is in accordance with the appropriate industry standard for </t>
    </r>
    <r>
      <rPr>
        <sz val="10"/>
        <color rgb="FFFF0000"/>
        <rFont val="Calibri"/>
        <family val="2"/>
      </rPr>
      <t>new</t>
    </r>
    <r>
      <rPr>
        <sz val="10"/>
        <color theme="1"/>
        <rFont val="Calibri"/>
        <family val="2"/>
      </rPr>
      <t xml:space="preserve"> finish flooring to be applied.</t>
    </r>
  </si>
  <si>
    <r>
      <t xml:space="preserve">Moisture content of subfloor, substrate, or concrete slabs is in accordance with the appropriate industry standard for </t>
    </r>
    <r>
      <rPr>
        <sz val="10"/>
        <color rgb="FFFF0000"/>
        <rFont val="Calibri"/>
        <family val="2"/>
        <scheme val="minor"/>
      </rPr>
      <t>new</t>
    </r>
    <r>
      <rPr>
        <sz val="10"/>
        <color theme="1"/>
        <rFont val="Calibri"/>
        <family val="2"/>
        <scheme val="minor"/>
      </rPr>
      <t xml:space="preserve"> finish flooring to be applied.</t>
    </r>
  </si>
  <si>
    <r>
      <t xml:space="preserve">602.1.8Where required by the ICC IRC or IBC, a water-resistive barrier and/or drainage plane system is installed behind </t>
    </r>
    <r>
      <rPr>
        <b/>
        <sz val="10"/>
        <color rgb="FFFF0000"/>
        <rFont val="Calibri"/>
        <family val="2"/>
      </rPr>
      <t>newly installed</t>
    </r>
    <r>
      <rPr>
        <b/>
        <sz val="10"/>
        <color theme="1"/>
        <rFont val="Calibri"/>
        <family val="2"/>
      </rPr>
      <t xml:space="preserve"> exterior veneer </t>
    </r>
    <r>
      <rPr>
        <b/>
        <sz val="10"/>
        <color rgb="FFFF0000"/>
        <rFont val="Calibri"/>
        <family val="2"/>
      </rPr>
      <t>and/or siding and where there is evidence of a moisture problem</t>
    </r>
    <r>
      <rPr>
        <b/>
        <sz val="10"/>
        <color theme="1"/>
        <rFont val="Calibri"/>
        <family val="2"/>
      </rPr>
      <t xml:space="preserve">.  </t>
    </r>
  </si>
  <si>
    <r>
      <t xml:space="preserve">602.1.9 </t>
    </r>
    <r>
      <rPr>
        <sz val="10"/>
        <rFont val="Calibri"/>
        <family val="2"/>
        <scheme val="minor"/>
      </rPr>
      <t xml:space="preserve">Flashing is provided to minimize water entry into wall and roof assemblies and to direct water to exterior surfaces or exterior water-resistive barriers for drainage. </t>
    </r>
    <r>
      <rPr>
        <sz val="10"/>
        <color rgb="FFFF0000"/>
        <rFont val="Calibri"/>
        <family val="2"/>
        <scheme val="minor"/>
      </rPr>
      <t>Flashing details are provided in the construction documents</t>
    </r>
    <r>
      <rPr>
        <sz val="10"/>
        <rFont val="Calibri"/>
        <family val="2"/>
        <scheme val="minor"/>
      </rPr>
      <t xml:space="preserve"> and are in accordance with the fenestration manufacturer’s instructions, the flashing manufacturer’s instructions, or as detailed by a registered design professional.   Points awarded only when practices (2)-(7) are implemented </t>
    </r>
    <r>
      <rPr>
        <sz val="10"/>
        <color rgb="FFFF0000"/>
        <rFont val="Calibri"/>
        <family val="2"/>
        <scheme val="minor"/>
      </rPr>
      <t>in all newly installed construction and not less than 25 percent of the applicable building elements for the entire building after the remodel.</t>
    </r>
  </si>
  <si>
    <r>
      <t xml:space="preserve">605.1 The construction waste management plan shall include information on the proper handling and disposal of hazardous waste. </t>
    </r>
    <r>
      <rPr>
        <b/>
        <sz val="10"/>
        <color rgb="FFFF0000"/>
        <rFont val="Calibri"/>
        <family val="2"/>
        <scheme val="minor"/>
      </rPr>
      <t>All hazardous waste is properly handled and disposed.</t>
    </r>
  </si>
  <si>
    <r>
      <t xml:space="preserve">605.2 </t>
    </r>
    <r>
      <rPr>
        <sz val="10"/>
        <rFont val="Calibri"/>
        <family val="2"/>
        <scheme val="minor"/>
      </rPr>
      <t>Construction waste management plan. A construction waste management plan is developed, posted at the jobsite, and implemented with a goal of recycling or salvaging a minimum of 50 percent (by weight) of construction waste.</t>
    </r>
  </si>
  <si>
    <t>605.3  On-site recycling. On-site recycling measures following applicable regulations and codes are implemented, such as the following:
     (a) Materials are ground or otherwise safely applied on-site as soil amendment or fill. A minimum of 50 percent (by weight) of construction and land-clearing waste is diverted from landfill.
     (b) Alternative compliance methods approved by the Adopting Entity.
     (c) Compatible untreated biomass material (lumber, posts, beams etc.) are set aside for combustion if a solid fuel burning appliance as per Section 901.2.1(2) will be available for on-site renewable energy.</t>
  </si>
  <si>
    <r>
      <t xml:space="preserve">605.4 </t>
    </r>
    <r>
      <rPr>
        <sz val="10"/>
        <rFont val="Calibri"/>
        <family val="2"/>
        <scheme val="minor"/>
      </rPr>
      <t>Construction materials (e.g., wood, cardboard, metals, drywall, plastic, asphalt roofing shingles, or concrete) are recycled offsite.</t>
    </r>
    <r>
      <rPr>
        <b/>
        <sz val="10"/>
        <rFont val="Calibri"/>
        <family val="2"/>
        <scheme val="minor"/>
      </rPr>
      <t/>
    </r>
  </si>
  <si>
    <r>
      <t xml:space="preserve">NGBS Scoring for </t>
    </r>
    <r>
      <rPr>
        <b/>
        <sz val="14"/>
        <color rgb="FFFF0000"/>
        <rFont val="Calibri"/>
        <family val="2"/>
        <scheme val="minor"/>
      </rPr>
      <t>Whole Building Renovation</t>
    </r>
    <r>
      <rPr>
        <b/>
        <sz val="14"/>
        <color theme="1"/>
        <rFont val="Calibri"/>
        <family val="2"/>
        <scheme val="minor"/>
      </rPr>
      <t xml:space="preserve"> (Chapter 11)
</t>
    </r>
    <r>
      <rPr>
        <b/>
        <sz val="11"/>
        <color theme="1"/>
        <rFont val="Calibri"/>
        <family val="2"/>
        <scheme val="minor"/>
      </rPr>
      <t>ICC 700-2012 National Green Building Standard™</t>
    </r>
  </si>
  <si>
    <r>
      <t>701.4.1.1</t>
    </r>
    <r>
      <rPr>
        <sz val="10"/>
        <rFont val="Calibri"/>
        <family val="2"/>
        <scheme val="minor"/>
      </rPr>
      <t xml:space="preserve">  </t>
    </r>
    <r>
      <rPr>
        <sz val="10"/>
        <color rgb="FFFF0000"/>
        <rFont val="Calibri"/>
        <family val="2"/>
        <scheme val="minor"/>
      </rPr>
      <t>Newly installed or modified</t>
    </r>
    <r>
      <rPr>
        <sz val="10"/>
        <rFont val="Calibri"/>
        <family val="2"/>
        <scheme val="minor"/>
      </rPr>
      <t xml:space="preserve"> space heating and cooling system is sized according to heating and cooling loads calculated using ACCA Manual J, or equivalent. New Equipment is selected using ACCA Manual S or equivalent.</t>
    </r>
  </si>
  <si>
    <r>
      <t>701.4.1.2</t>
    </r>
    <r>
      <rPr>
        <sz val="10"/>
        <rFont val="Calibri"/>
        <family val="2"/>
        <scheme val="minor"/>
      </rPr>
      <t xml:space="preserve"> Where installed as a primary heat source in the building,</t>
    </r>
    <r>
      <rPr>
        <sz val="10"/>
        <color rgb="FFFF0000"/>
        <rFont val="Calibri"/>
        <family val="2"/>
        <scheme val="minor"/>
      </rPr>
      <t xml:space="preserve"> new </t>
    </r>
    <r>
      <rPr>
        <sz val="10"/>
        <rFont val="Calibri"/>
        <family val="2"/>
        <scheme val="minor"/>
      </rPr>
      <t xml:space="preserve">radiant or hydronic space heating system is designed using industry-approved guidelines and standards (e.g., ACCA Manual J, AHRI I=B=R, ANSI/ACCA 5 QI-2010, or an accredited design professional’s and manufacturer’s recommendations). </t>
    </r>
  </si>
  <si>
    <r>
      <t>701.4.2.1</t>
    </r>
    <r>
      <rPr>
        <sz val="10"/>
        <rFont val="Calibri"/>
        <family val="2"/>
        <scheme val="minor"/>
      </rPr>
      <t xml:space="preserve">  </t>
    </r>
    <r>
      <rPr>
        <sz val="10"/>
        <color rgb="FFFF0000"/>
        <rFont val="Calibri"/>
        <family val="2"/>
        <scheme val="minor"/>
      </rPr>
      <t>Newly installed, modified, or ducts that are exposed</t>
    </r>
    <r>
      <rPr>
        <sz val="10"/>
        <rFont val="Calibri"/>
        <family val="2"/>
        <scheme val="minor"/>
      </rPr>
      <t xml:space="preserve"> during the remodel are air sealed. All duct sealing materials are in conformance with UL 181A or UL 181B specifications and are installed in accordance with manufacturer’s instructions.</t>
    </r>
  </si>
  <si>
    <r>
      <t>701.4.2.2</t>
    </r>
    <r>
      <rPr>
        <sz val="10"/>
        <rFont val="Calibri"/>
        <family val="2"/>
        <scheme val="minor"/>
      </rPr>
      <t xml:space="preserve">  Building cavities are not used as supply ducts. </t>
    </r>
    <r>
      <rPr>
        <sz val="10"/>
        <color rgb="FFFF0000"/>
        <rFont val="Calibri"/>
        <family val="2"/>
        <scheme val="minor"/>
      </rPr>
      <t xml:space="preserve">Existing </t>
    </r>
    <r>
      <rPr>
        <sz val="10"/>
        <rFont val="Calibri"/>
        <family val="2"/>
        <scheme val="minor"/>
      </rPr>
      <t xml:space="preserve">building cavities currently used as supply ducts </t>
    </r>
    <r>
      <rPr>
        <sz val="10"/>
        <color rgb="FFFF0000"/>
        <rFont val="Calibri"/>
        <family val="2"/>
        <scheme val="minor"/>
      </rPr>
      <t>exposed</t>
    </r>
    <r>
      <rPr>
        <sz val="10"/>
        <rFont val="Calibri"/>
        <family val="2"/>
        <scheme val="minor"/>
      </rPr>
      <t xml:space="preserve"> during the remodel are lined.</t>
    </r>
  </si>
  <si>
    <r>
      <t>701.4.2.3</t>
    </r>
    <r>
      <rPr>
        <sz val="10"/>
        <rFont val="Calibri"/>
        <family val="2"/>
        <scheme val="minor"/>
      </rPr>
      <t xml:space="preserve">  </t>
    </r>
    <r>
      <rPr>
        <sz val="10"/>
        <color rgb="FFFF0000"/>
        <rFont val="Calibri"/>
        <family val="2"/>
        <scheme val="minor"/>
      </rPr>
      <t xml:space="preserve">New or modified </t>
    </r>
    <r>
      <rPr>
        <sz val="10"/>
        <rFont val="Calibri"/>
        <family val="2"/>
        <scheme val="minor"/>
      </rPr>
      <t>duct system is sized and designed in accordance with ACCA Manual D or equivalent.</t>
    </r>
  </si>
  <si>
    <r>
      <t>701.4.3.1 The building thermal envelope</t>
    </r>
    <r>
      <rPr>
        <b/>
        <sz val="10"/>
        <color rgb="FFFF0000"/>
        <rFont val="Calibri"/>
        <family val="2"/>
        <scheme val="minor"/>
      </rPr>
      <t xml:space="preserve"> exposed or created</t>
    </r>
    <r>
      <rPr>
        <b/>
        <sz val="10"/>
        <rFont val="Calibri"/>
        <family val="2"/>
        <scheme val="minor"/>
      </rPr>
      <t xml:space="preserve"> during the remodel is durably sealed to limit infiltration. The sealing methods between dissimilar materials allow for differential expansion and contraction. The following are caulked, gasketed, weather-stripped or otherwise sealed with an air barrier material, suitable film or solid material:</t>
    </r>
    <r>
      <rPr>
        <sz val="10"/>
        <color rgb="FFFF0000"/>
        <rFont val="Calibri"/>
        <family val="2"/>
        <scheme val="minor"/>
      </rPr>
      <t xml:space="preserve"> See details in chapter sheet.</t>
    </r>
  </si>
  <si>
    <r>
      <t xml:space="preserve">701.4.3.2 Air sealing and insulation. Grade 3 insulation installation is not permitted for </t>
    </r>
    <r>
      <rPr>
        <b/>
        <sz val="10"/>
        <color rgb="FFFF0000"/>
        <rFont val="Calibri"/>
        <family val="2"/>
        <scheme val="minor"/>
      </rPr>
      <t>newly installed or exposed</t>
    </r>
    <r>
      <rPr>
        <b/>
        <sz val="10"/>
        <rFont val="Calibri"/>
        <family val="2"/>
        <scheme val="minor"/>
      </rPr>
      <t xml:space="preserve"> insulation.</t>
    </r>
  </si>
  <si>
    <r>
      <rPr>
        <b/>
        <sz val="10"/>
        <rFont val="Calibri"/>
        <family val="2"/>
        <scheme val="minor"/>
      </rPr>
      <t>Air sealing and insulation.</t>
    </r>
    <r>
      <rPr>
        <sz val="10"/>
        <rFont val="Calibri"/>
        <family val="2"/>
        <scheme val="minor"/>
      </rPr>
      <t xml:space="preserve"> Grade 3 insulation installation is not permitted for </t>
    </r>
    <r>
      <rPr>
        <sz val="10"/>
        <color rgb="FFFF0000"/>
        <rFont val="Calibri"/>
        <family val="2"/>
        <scheme val="minor"/>
      </rPr>
      <t>newly installed or exposed</t>
    </r>
    <r>
      <rPr>
        <sz val="10"/>
        <rFont val="Calibri"/>
        <family val="2"/>
        <scheme val="minor"/>
      </rPr>
      <t xml:space="preserve"> insulation. The compliance of the building envelope air tightness and insulation installation is demonstrated in accordance with Section 701.4.3.2(1) or 701.4.3.2(2).</t>
    </r>
  </si>
  <si>
    <r>
      <t>701.4.3.3</t>
    </r>
    <r>
      <rPr>
        <sz val="10"/>
        <rFont val="Calibri"/>
        <family val="2"/>
        <scheme val="minor"/>
      </rPr>
      <t xml:space="preserve">  </t>
    </r>
    <r>
      <rPr>
        <b/>
        <sz val="10"/>
        <rFont val="Calibri"/>
        <family val="2"/>
        <scheme val="minor"/>
      </rPr>
      <t xml:space="preserve">Fenestration air leakage. </t>
    </r>
    <r>
      <rPr>
        <b/>
        <sz val="10"/>
        <color rgb="FFFF0000"/>
        <rFont val="Calibri"/>
        <family val="2"/>
        <scheme val="minor"/>
      </rPr>
      <t>Newly installed</t>
    </r>
    <r>
      <rPr>
        <b/>
        <sz val="10"/>
        <rFont val="Calibri"/>
        <family val="2"/>
        <scheme val="minor"/>
      </rPr>
      <t xml:space="preserve"> w</t>
    </r>
    <r>
      <rPr>
        <sz val="10"/>
        <rFont val="Calibri"/>
        <family val="2"/>
        <scheme val="minor"/>
      </rPr>
      <t>indows, skylights and sliding glass doors have an air infiltration rate of no more than 0.3 cfm per square foot (1.5 L/s/m2), and swinging doors no more than 0.5 cfm per square foot (2.6 L/s/m2).</t>
    </r>
  </si>
  <si>
    <r>
      <t>701.4.3.4</t>
    </r>
    <r>
      <rPr>
        <sz val="10"/>
        <rFont val="Calibri"/>
        <family val="2"/>
        <scheme val="minor"/>
      </rPr>
      <t xml:space="preserve">  </t>
    </r>
    <r>
      <rPr>
        <b/>
        <sz val="10"/>
        <rFont val="Calibri"/>
        <family val="2"/>
        <scheme val="minor"/>
      </rPr>
      <t xml:space="preserve">Recessed lighting. </t>
    </r>
    <r>
      <rPr>
        <sz val="10"/>
        <color rgb="FFFF0000"/>
        <rFont val="Calibri"/>
        <family val="2"/>
        <scheme val="minor"/>
      </rPr>
      <t>Newly installed</t>
    </r>
    <r>
      <rPr>
        <sz val="10"/>
        <rFont val="Calibri"/>
        <family val="2"/>
        <scheme val="minor"/>
      </rPr>
      <t xml:space="preserve"> recessed luminaires installed in the building thermal envelope are sealed to limit air leakage between conditioned and unconditioned spaces. All </t>
    </r>
    <r>
      <rPr>
        <sz val="10"/>
        <color rgb="FFFF0000"/>
        <rFont val="Calibri"/>
        <family val="2"/>
        <scheme val="minor"/>
      </rPr>
      <t>newly installed</t>
    </r>
    <r>
      <rPr>
        <sz val="10"/>
        <rFont val="Calibri"/>
        <family val="2"/>
        <scheme val="minor"/>
      </rPr>
      <t xml:space="preserve"> recessed luminaires are IC-rated and labeled as meeting ASTM E 283 when tested at 1.57 psf (75 Pa) pressure differential with no more than 2.0 cfm (0.944 L/s) of air movement from the conditioned space to the ceiling cavity. All recessed luminaires are sealed with a gasket or caulk between the housing and the interior of the wall or ceiling covering. </t>
    </r>
  </si>
  <si>
    <r>
      <t>701.4.4</t>
    </r>
    <r>
      <rPr>
        <sz val="10"/>
        <rFont val="Calibri"/>
        <family val="2"/>
        <scheme val="minor"/>
      </rPr>
      <t xml:space="preserve">  </t>
    </r>
    <r>
      <rPr>
        <b/>
        <sz val="10"/>
        <rFont val="Calibri"/>
        <family val="2"/>
        <scheme val="minor"/>
      </rPr>
      <t xml:space="preserve">High-efficacy lighting. </t>
    </r>
    <r>
      <rPr>
        <sz val="10"/>
        <rFont val="Calibri"/>
        <family val="2"/>
        <scheme val="minor"/>
      </rPr>
      <t xml:space="preserve">A minimum of 50% of the </t>
    </r>
    <r>
      <rPr>
        <sz val="10"/>
        <color rgb="FFFF0000"/>
        <rFont val="Calibri"/>
        <family val="2"/>
        <scheme val="minor"/>
      </rPr>
      <t>newly installed</t>
    </r>
    <r>
      <rPr>
        <sz val="10"/>
        <rFont val="Calibri"/>
        <family val="2"/>
        <scheme val="minor"/>
      </rPr>
      <t xml:space="preserve">  hard-wired lighting fixtures, or the bulbs in those fixtures, qualify as high efficacy or equivalent.</t>
    </r>
  </si>
  <si>
    <r>
      <t>701.4.5</t>
    </r>
    <r>
      <rPr>
        <sz val="10"/>
        <rFont val="Calibri"/>
        <family val="2"/>
        <scheme val="minor"/>
      </rPr>
      <t xml:space="preserve">  </t>
    </r>
    <r>
      <rPr>
        <b/>
        <sz val="10"/>
        <rFont val="Calibri"/>
        <family val="2"/>
        <scheme val="minor"/>
      </rPr>
      <t>Boiler supply piping.</t>
    </r>
    <r>
      <rPr>
        <sz val="10"/>
        <rFont val="Calibri"/>
        <family val="2"/>
        <scheme val="minor"/>
      </rPr>
      <t xml:space="preserve"> Boiler supply piping in unconditioned space that is </t>
    </r>
    <r>
      <rPr>
        <sz val="10"/>
        <color rgb="FFFF0000"/>
        <rFont val="Calibri"/>
        <family val="2"/>
        <scheme val="minor"/>
      </rPr>
      <t xml:space="preserve">accessible </t>
    </r>
    <r>
      <rPr>
        <sz val="10"/>
        <rFont val="Calibri"/>
        <family val="2"/>
        <scheme val="minor"/>
      </rPr>
      <t>during the remodel is insulated.</t>
    </r>
  </si>
  <si>
    <r>
      <t>901.1.4</t>
    </r>
    <r>
      <rPr>
        <sz val="10"/>
        <rFont val="Calibri"/>
        <family val="2"/>
        <scheme val="minor"/>
      </rPr>
      <t xml:space="preserve"> </t>
    </r>
    <r>
      <rPr>
        <sz val="10"/>
        <color rgb="FFFF0000"/>
        <rFont val="Calibri"/>
        <family val="2"/>
        <scheme val="minor"/>
      </rPr>
      <t>Newly installed</t>
    </r>
    <r>
      <rPr>
        <sz val="10"/>
        <rFont val="Calibri"/>
        <family val="2"/>
        <scheme val="minor"/>
      </rPr>
      <t xml:space="preserve"> 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r>
  </si>
  <si>
    <r>
      <t>901.2.1</t>
    </r>
    <r>
      <rPr>
        <sz val="10"/>
        <rFont val="Calibri"/>
        <family val="2"/>
        <scheme val="minor"/>
      </rPr>
      <t xml:space="preserve"> </t>
    </r>
    <r>
      <rPr>
        <sz val="10"/>
        <color rgb="FFFF0000"/>
        <rFont val="Calibri"/>
        <family val="2"/>
        <scheme val="minor"/>
      </rPr>
      <t>Newly installed</t>
    </r>
    <r>
      <rPr>
        <sz val="10"/>
        <rFont val="Calibri"/>
        <family val="2"/>
        <scheme val="minor"/>
      </rPr>
      <t xml:space="preserve"> solid fuel-burning fireplaces, inserts, stoves and heaters are code compliant and are in accordance with the following requirements:</t>
    </r>
  </si>
  <si>
    <r>
      <t xml:space="preserve">901.4(1) </t>
    </r>
    <r>
      <rPr>
        <b/>
        <sz val="10"/>
        <color rgb="FFFF0000"/>
        <rFont val="Calibri"/>
        <family val="2"/>
        <scheme val="minor"/>
      </rPr>
      <t>Newly installed</t>
    </r>
    <r>
      <rPr>
        <b/>
        <sz val="10"/>
        <rFont val="Calibri"/>
        <family val="2"/>
        <scheme val="minor"/>
      </rPr>
      <t xml:space="preserve"> s</t>
    </r>
    <r>
      <rPr>
        <sz val="10"/>
        <rFont val="Calibri"/>
        <family val="2"/>
        <scheme val="minor"/>
      </rPr>
      <t>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t>
    </r>
  </si>
  <si>
    <r>
      <t xml:space="preserve">901.4(2)-(6) Wood materials. </t>
    </r>
    <r>
      <rPr>
        <sz val="10"/>
        <rFont val="Calibri"/>
        <family val="2"/>
        <scheme val="minor"/>
      </rPr>
      <t xml:space="preserve">A minimum of 85% of </t>
    </r>
    <r>
      <rPr>
        <sz val="10"/>
        <color rgb="FFFF0000"/>
        <rFont val="Calibri"/>
        <family val="2"/>
        <scheme val="minor"/>
      </rPr>
      <t>newly installed</t>
    </r>
    <r>
      <rPr>
        <sz val="10"/>
        <rFont val="Calibri"/>
        <family val="2"/>
        <scheme val="minor"/>
      </rPr>
      <t xml:space="preserve"> material within a product group (i.e., wood structural panels, countertops, composite trim/doors, custom woodwork, and/or component closet shelving) is manufactured in accordance with the following:</t>
    </r>
  </si>
  <si>
    <r>
      <t>901.5</t>
    </r>
    <r>
      <rPr>
        <sz val="10"/>
        <rFont val="Calibri"/>
        <family val="2"/>
        <scheme val="minor"/>
      </rPr>
      <t xml:space="preserve"> </t>
    </r>
    <r>
      <rPr>
        <b/>
        <sz val="10"/>
        <rFont val="Calibri"/>
        <family val="2"/>
        <scheme val="minor"/>
      </rPr>
      <t>Cabinets.</t>
    </r>
    <r>
      <rPr>
        <sz val="10"/>
        <rFont val="Calibri"/>
        <family val="2"/>
        <scheme val="minor"/>
      </rPr>
      <t xml:space="preserve"> A minimum of 85 % of </t>
    </r>
    <r>
      <rPr>
        <sz val="10"/>
        <color rgb="FFFF0000"/>
        <rFont val="Calibri"/>
        <family val="2"/>
        <scheme val="minor"/>
      </rPr>
      <t>newly installed</t>
    </r>
    <r>
      <rPr>
        <sz val="10"/>
        <rFont val="Calibri"/>
        <family val="2"/>
        <scheme val="minor"/>
      </rPr>
      <t xml:space="preserve"> of installed cabinets are in accordance with one or any combination of the following.</t>
    </r>
  </si>
  <si>
    <r>
      <t>901.6(2)(b)</t>
    </r>
    <r>
      <rPr>
        <sz val="10"/>
        <rFont val="Calibri"/>
        <family val="2"/>
        <scheme val="minor"/>
      </rPr>
      <t xml:space="preserve"> </t>
    </r>
    <r>
      <rPr>
        <sz val="10"/>
        <color rgb="FFFF0000"/>
        <rFont val="Calibri"/>
        <family val="2"/>
        <scheme val="minor"/>
      </rPr>
      <t>Newly installed</t>
    </r>
    <r>
      <rPr>
        <sz val="10"/>
        <rFont val="Calibri"/>
        <family val="2"/>
        <scheme val="minor"/>
      </rPr>
      <t xml:space="preserve"> carpet cushion in accordance with 901.6(2)(a)</t>
    </r>
  </si>
  <si>
    <r>
      <t xml:space="preserve">901.6(2)(a) </t>
    </r>
    <r>
      <rPr>
        <sz val="10"/>
        <color rgb="FFFF0000"/>
        <rFont val="Calibri"/>
        <family val="2"/>
        <scheme val="minor"/>
      </rPr>
      <t xml:space="preserve">Newly installed </t>
    </r>
    <r>
      <rPr>
        <sz val="10"/>
        <rFont val="Calibri"/>
        <family val="2"/>
        <scheme val="minor"/>
      </rPr>
      <t>carpet  is at least 10 percent of the conditioned floor space and a minimum of 85 percent of newly installed carpet area and carpet cushion (padding) are in accordance with the emission levels of CDPH/EHLB Standard Method v1.1, footnote b in Table 4.1 does not apply. (i.e. maximum allowable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in Appendix D.
Claim points for all that apply from (a)-(b) below:.</t>
    </r>
  </si>
  <si>
    <t>901.7 A minimum of 10 percent of the conditioned floor space has pre-finished hard-surface flooring installed and a minimum of 85 percent of all prefinished installed hard-surface flooring is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
Where post-manufacture coatings or surface applications have not been applied, the following hard surface flooring types are deemed to comply with the emission requirements of this section:
     (a) Ceramic tile flooring
     (b) Organic-free, mineral-based flooring
     (c) Clay masonry flooring
     (d) Concrete masonry flooring
     (e) Concrete flooring
     (f) Metal flooring
     (g) Glass</t>
  </si>
  <si>
    <t>901.8 A minimum of 10 percent of the interior wall surfaces are covered and a minimum of 85 percent of wall coverings are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The product is certified by a third-party program accredited to ISO Guide 65, such as, but not limited to, those in Appendix D.</t>
  </si>
  <si>
    <r>
      <t xml:space="preserve">901.9 Architectural coatings. </t>
    </r>
    <r>
      <rPr>
        <sz val="10"/>
        <rFont val="Calibri"/>
        <family val="2"/>
        <scheme val="minor"/>
      </rPr>
      <t xml:space="preserve">A minimum of 85 percent of </t>
    </r>
    <r>
      <rPr>
        <sz val="10"/>
        <color rgb="FFFF0000"/>
        <rFont val="Calibri"/>
        <family val="2"/>
        <scheme val="minor"/>
      </rPr>
      <t>newly applied</t>
    </r>
    <r>
      <rPr>
        <sz val="10"/>
        <rFont val="Calibri"/>
        <family val="2"/>
        <scheme val="minor"/>
      </rPr>
      <t xml:space="preserve"> interior architectural coatings are in accordance with either Section 11.901.9.1 or Section 11.901.9.3, not both. A minimum of 85 percent of architectural colorants are in accordance with Section 11.901.9.2. </t>
    </r>
  </si>
  <si>
    <r>
      <t xml:space="preserve">11.901.9.4 </t>
    </r>
    <r>
      <rPr>
        <sz val="10"/>
        <color rgb="FFFF0000"/>
        <rFont val="Calibri"/>
        <family val="2"/>
        <scheme val="minor"/>
      </rPr>
      <t xml:space="preserve">When the building is occupied </t>
    </r>
    <r>
      <rPr>
        <sz val="10"/>
        <rFont val="Calibri"/>
        <family val="2"/>
        <scheme val="minor"/>
      </rPr>
      <t>during the remodel, a minimum of 85 percent of the newly applied interior architectural coatings are in accordance with either 11.901.9.1 or 11.901.9.3.</t>
    </r>
  </si>
  <si>
    <t>Sum of CH9 mandatory</t>
  </si>
  <si>
    <r>
      <t xml:space="preserve">901.10  Adhesives and sealants. Interior low-VOC adhesives and sealants located inside the water proofing envelope: A minimum of 85 percent of </t>
    </r>
    <r>
      <rPr>
        <b/>
        <sz val="10"/>
        <color rgb="FFFF0000"/>
        <rFont val="Calibri"/>
        <family val="2"/>
        <scheme val="minor"/>
      </rPr>
      <t>newly applied</t>
    </r>
    <r>
      <rPr>
        <b/>
        <sz val="10"/>
        <rFont val="Calibri"/>
        <family val="2"/>
        <scheme val="minor"/>
      </rPr>
      <t xml:space="preserve"> site-applied products used within the interior of the building are in accordance with one of the following, as applicable. </t>
    </r>
  </si>
  <si>
    <r>
      <t xml:space="preserve">901.11Insulation. Emissions of 85 percent of </t>
    </r>
    <r>
      <rPr>
        <b/>
        <sz val="10"/>
        <color rgb="FFFF0000"/>
        <rFont val="Calibri"/>
        <family val="2"/>
        <scheme val="minor"/>
      </rPr>
      <t>newly installed</t>
    </r>
    <r>
      <rPr>
        <b/>
        <sz val="10"/>
        <rFont val="Calibri"/>
        <family val="2"/>
        <scheme val="minor"/>
      </rPr>
      <t xml:space="preserve"> wall, ceiling, and floor insulation materials are in accordance with the emission levels of CDPH/EHLB Standard Method v1.1, footnote b in Table 4.1 does not apply. (i.e. maximum allowable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in Appendix D.  </t>
    </r>
  </si>
  <si>
    <r>
      <t>Lead-safe work practices. For buildings</t>
    </r>
    <r>
      <rPr>
        <sz val="10"/>
        <color rgb="FFFF0000"/>
        <rFont val="Calibri"/>
        <family val="2"/>
        <scheme val="minor"/>
      </rPr>
      <t xml:space="preserve"> constructed before 1978</t>
    </r>
    <r>
      <rPr>
        <sz val="10"/>
        <rFont val="Calibri"/>
        <family val="2"/>
        <scheme val="minor"/>
      </rPr>
      <t>, lead-safe work practices are used during the remodeling.</t>
    </r>
  </si>
  <si>
    <r>
      <t xml:space="preserve">Radon control. Radon control measures are in accordance with ICC IRC Appendix F. Radon zones are defined in Figure 9(1). </t>
    </r>
    <r>
      <rPr>
        <b/>
        <sz val="10"/>
        <color rgb="FFFF0000"/>
        <rFont val="Calibri"/>
        <family val="2"/>
        <scheme val="minor"/>
      </rPr>
      <t>This practice is not mandatory if the existing building has been tested for radon and is accordance with federal and local acceptable limits.</t>
    </r>
  </si>
  <si>
    <r>
      <t xml:space="preserve">1001.1(3) </t>
    </r>
    <r>
      <rPr>
        <sz val="10"/>
        <rFont val="Calibri"/>
        <family val="2"/>
        <scheme val="minor"/>
      </rPr>
      <t xml:space="preserve">Product manufacturer's manuals or product data sheet for </t>
    </r>
    <r>
      <rPr>
        <sz val="10"/>
        <color rgb="FFFF0000"/>
        <rFont val="Calibri"/>
        <family val="2"/>
        <scheme val="minor"/>
      </rPr>
      <t>newly installed</t>
    </r>
    <r>
      <rPr>
        <sz val="10"/>
        <rFont val="Calibri"/>
        <family val="2"/>
        <scheme val="minor"/>
      </rPr>
      <t xml:space="preserve"> major equipment, fixtures, and appliances.</t>
    </r>
  </si>
  <si>
    <t>Points Approved at Rough</t>
  </si>
  <si>
    <t>Level Achived based on Pratice Points Earned</t>
  </si>
  <si>
    <t>Builder Comments &amp; Sign Off (optional)</t>
  </si>
  <si>
    <t>I have personally verified by inspection and/or document review the green practices for which I have awarded points during this rough inspection on this building following the guidance in the Verifiers Resource Guide.  I have also estabished the appropriate energy and water usage for the "Before Remodel" condition as noted in this report.  My company is not supplying product or participating in the physical construction of this project.</t>
  </si>
  <si>
    <t>Total Points Approved for Green Practices</t>
  </si>
  <si>
    <t>Describe the scope of the remodeling project:</t>
  </si>
  <si>
    <t>Remodeler Comments &amp; Sign Off</t>
  </si>
  <si>
    <t>Verifier to email this Excel Workbook ,  photo and scan and email signature page to VerificationReport@homeinnovation.com 
Also send a copy of the RemRate or EnergyGauge reports used to establish the "Before" and "After" energy usage.</t>
  </si>
  <si>
    <t>Conditioned Area (ft2)</t>
  </si>
  <si>
    <r>
      <t xml:space="preserve">                                                                                                                               Energy Analysis </t>
    </r>
    <r>
      <rPr>
        <b/>
        <sz val="12"/>
        <color theme="1"/>
        <rFont val="Calibri"/>
        <family val="2"/>
      </rPr>
      <t>AFTER</t>
    </r>
    <r>
      <rPr>
        <b/>
        <sz val="11"/>
        <color theme="1"/>
        <rFont val="Calibri"/>
        <family val="2"/>
      </rPr>
      <t xml:space="preserve"> Remodel (Annual Basis)</t>
    </r>
  </si>
  <si>
    <r>
      <t xml:space="preserve">                                                                                                                                  Energy Analysis </t>
    </r>
    <r>
      <rPr>
        <b/>
        <sz val="12"/>
        <color theme="1"/>
        <rFont val="Calibri"/>
        <family val="2"/>
      </rPr>
      <t>BEFORE</t>
    </r>
    <r>
      <rPr>
        <b/>
        <sz val="11"/>
        <color theme="1"/>
        <rFont val="Calibri"/>
        <family val="2"/>
      </rPr>
      <t xml:space="preserve"> Remodel (Annual Basis)</t>
    </r>
  </si>
  <si>
    <t>-</t>
  </si>
  <si>
    <t>Points Available</t>
  </si>
  <si>
    <t>Products</t>
  </si>
  <si>
    <r>
      <rPr>
        <b/>
        <sz val="10"/>
        <rFont val="Calibri"/>
        <family val="2"/>
        <scheme val="minor"/>
      </rPr>
      <t>NGBS Scoring for Whole Building Renovation (Chapter 11)</t>
    </r>
    <r>
      <rPr>
        <sz val="10"/>
        <rFont val="MS Sans Serif"/>
        <family val="2"/>
      </rPr>
      <t xml:space="preserve">
</t>
    </r>
    <r>
      <rPr>
        <b/>
        <sz val="10"/>
        <rFont val="Calibri"/>
        <family val="2"/>
        <scheme val="minor"/>
      </rPr>
      <t>ICC 700-2012 National Green Building Standard™</t>
    </r>
  </si>
  <si>
    <t>Go to http://www.homeinnovation.com/greenscoring to download the latest version of the NGBS Scoring for Rennovation spreadsheet.</t>
  </si>
  <si>
    <r>
      <rPr>
        <b/>
        <sz val="9"/>
        <color theme="1"/>
        <rFont val="Calibri"/>
        <family val="2"/>
        <scheme val="minor"/>
      </rPr>
      <t>NGBS Scoring for Whole Building Renovation (Chapter 11)</t>
    </r>
    <r>
      <rPr>
        <sz val="9"/>
        <color theme="1"/>
        <rFont val="Calibri"/>
        <family val="2"/>
        <scheme val="minor"/>
      </rPr>
      <t xml:space="preserve">
</t>
    </r>
    <r>
      <rPr>
        <b/>
        <sz val="9"/>
        <color theme="1"/>
        <rFont val="Calibri"/>
        <family val="2"/>
        <scheme val="minor"/>
      </rPr>
      <t>ICC 700-2012 National Green Building Standard™</t>
    </r>
  </si>
  <si>
    <r>
      <rPr>
        <b/>
        <sz val="9"/>
        <rFont val="Calibri"/>
        <family val="2"/>
        <scheme val="minor"/>
      </rPr>
      <t>NGBS Scoring for Whole Building Renovation (Chapter 11)</t>
    </r>
    <r>
      <rPr>
        <sz val="9"/>
        <rFont val="Calibri"/>
        <family val="2"/>
        <scheme val="minor"/>
      </rPr>
      <t xml:space="preserve">
</t>
    </r>
    <r>
      <rPr>
        <b/>
        <sz val="9"/>
        <rFont val="Calibri"/>
        <family val="2"/>
        <scheme val="minor"/>
      </rPr>
      <t>ICC 700-2012 National Green Building Standard™</t>
    </r>
  </si>
  <si>
    <r>
      <rPr>
        <b/>
        <sz val="9"/>
        <color theme="1"/>
        <rFont val="Calibri"/>
        <family val="2"/>
        <scheme val="minor"/>
      </rPr>
      <t>NGBS Scoring for Whole Building Renovation (Chapter 11)</t>
    </r>
    <r>
      <rPr>
        <sz val="9"/>
        <color theme="1"/>
        <rFont val="Calibri"/>
        <family val="2"/>
        <scheme val="minor"/>
      </rPr>
      <t xml:space="preserve">
</t>
    </r>
    <r>
      <rPr>
        <b/>
        <sz val="9"/>
        <color theme="1"/>
        <rFont val="Calibri"/>
        <family val="2"/>
        <scheme val="minor"/>
      </rPr>
      <t>ICC 700-2012National Green Building Standard™</t>
    </r>
  </si>
  <si>
    <r>
      <t xml:space="preserve">NGBS Verification for </t>
    </r>
    <r>
      <rPr>
        <b/>
        <sz val="11"/>
        <color rgb="FFFF0000"/>
        <rFont val="Calibri"/>
        <family val="2"/>
        <scheme val="minor"/>
      </rPr>
      <t>Whole Building Renovation</t>
    </r>
    <r>
      <rPr>
        <b/>
        <sz val="11"/>
        <color theme="1"/>
        <rFont val="Calibri"/>
        <family val="2"/>
        <scheme val="minor"/>
      </rPr>
      <t xml:space="preserve"> (Chapter 11)
ICC 700-2012 National Green Building Standard™</t>
    </r>
  </si>
  <si>
    <r>
      <t xml:space="preserve">For </t>
    </r>
    <r>
      <rPr>
        <sz val="10"/>
        <color rgb="FFFF0000"/>
        <rFont val="Calibri"/>
        <family val="2"/>
        <scheme val="minor"/>
      </rPr>
      <t>one- and two-family dwelling units</t>
    </r>
    <r>
      <rPr>
        <sz val="10"/>
        <color theme="1"/>
        <rFont val="Calibri"/>
        <family val="2"/>
        <scheme val="minor"/>
      </rPr>
      <t>,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 For ducted exhaust fans, the fan airflow rating and duct sizing are in accordance with Appendix A.</t>
    </r>
  </si>
  <si>
    <r>
      <t xml:space="preserve">602.1.12 </t>
    </r>
    <r>
      <rPr>
        <sz val="10"/>
        <rFont val="Calibri"/>
        <family val="2"/>
        <scheme val="minor"/>
      </rPr>
      <t xml:space="preserve">Roof overhangs for </t>
    </r>
    <r>
      <rPr>
        <sz val="10"/>
        <color rgb="FFFF0000"/>
        <rFont val="Calibri"/>
        <family val="2"/>
        <scheme val="minor"/>
      </rPr>
      <t>one &amp; two story building</t>
    </r>
    <r>
      <rPr>
        <sz val="10"/>
        <rFont val="Calibri"/>
        <family val="2"/>
        <scheme val="minor"/>
      </rPr>
      <t xml:space="preserve">s are provided </t>
    </r>
    <r>
      <rPr>
        <sz val="10"/>
        <color rgb="FFFF0000"/>
        <rFont val="Calibri"/>
        <family val="2"/>
        <scheme val="minor"/>
      </rPr>
      <t>per Table 601.12</t>
    </r>
    <r>
      <rPr>
        <sz val="10"/>
        <rFont val="Calibri"/>
        <family val="2"/>
        <scheme val="minor"/>
      </rPr>
      <t xml:space="preserve"> over a minimum of 90% of exterior walls to protect the building envelope.</t>
    </r>
  </si>
  <si>
    <t>R2.01</t>
  </si>
  <si>
    <t>Initial release</t>
  </si>
  <si>
    <t>Filling out the fields in the General Project Description and Detailed Project Information sections BEFORE starting to score a project is strongly recommended. This information will aid in decision making throughout the tool, and will be used by verifiers and the Home Innovation during the certification process.</t>
  </si>
  <si>
    <t>Start Time
Format
(xx:yy AM)</t>
  </si>
  <si>
    <t>End Time
Format
(xx:yy AM)</t>
  </si>
  <si>
    <r>
      <rPr>
        <b/>
        <sz val="10"/>
        <rFont val="Calibri"/>
        <family val="2"/>
        <scheme val="minor"/>
      </rPr>
      <t>Flashing.</t>
    </r>
    <r>
      <rPr>
        <sz val="10"/>
        <rFont val="Calibri"/>
        <family val="2"/>
        <scheme val="minor"/>
      </rPr>
      <t xml:space="preserve"> Flashing is provided to minimize water entry into </t>
    </r>
    <r>
      <rPr>
        <sz val="10"/>
        <color rgb="FFFF0000"/>
        <rFont val="Calibri"/>
        <family val="2"/>
        <scheme val="minor"/>
      </rPr>
      <t>new</t>
    </r>
    <r>
      <rPr>
        <sz val="10"/>
        <rFont val="Calibri"/>
        <family val="2"/>
        <scheme val="minor"/>
      </rPr>
      <t xml:space="preserve">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  Points awarded only when practices (2)-(7) are implemented </t>
    </r>
    <r>
      <rPr>
        <sz val="10"/>
        <color rgb="FFFF0000"/>
        <rFont val="Calibri"/>
        <family val="2"/>
        <scheme val="minor"/>
      </rPr>
      <t>in all newly installed construction and not less than 25 percent of the applicable building elements for the entire building after the remodel</t>
    </r>
    <r>
      <rPr>
        <sz val="10"/>
        <rFont val="Calibri"/>
        <family val="2"/>
        <scheme val="minor"/>
      </rPr>
      <t>.</t>
    </r>
  </si>
  <si>
    <t>Per FT2</t>
  </si>
  <si>
    <t>Bathroom #3</t>
  </si>
  <si>
    <t xml:space="preserve"> -</t>
  </si>
  <si>
    <t>R2.02</t>
  </si>
  <si>
    <t>1003.3 Count</t>
  </si>
  <si>
    <t>Particleboard, MDF, or hardwood plywood is in accordance with CPA 4.</t>
  </si>
  <si>
    <r>
      <t>901.4(4)</t>
    </r>
    <r>
      <rPr>
        <sz val="10"/>
        <rFont val="Calibri"/>
        <family val="2"/>
        <scheme val="minor"/>
      </rPr>
      <t xml:space="preserve"> Particleboard, MDF, or hardwood plywood is in accordance with CPA 4.</t>
    </r>
  </si>
  <si>
    <t>deleted point minimums for chapters 6,9,10; minor updates to keep consistenct with updates to new construction.</t>
  </si>
  <si>
    <r>
      <t>Testing option.</t>
    </r>
    <r>
      <rPr>
        <sz val="10"/>
        <rFont val="Calibri"/>
        <family val="2"/>
        <scheme val="minor"/>
      </rPr>
      <t xml:space="preserve"> Building envelope tightness and insulation installation is considered acceptable when air leakage is less than seven air changes per hour (ACH) when tested with a blower door at a pressure of 50 Pa. Testing is conducted after rough-in and after installation of penetrations of the building envelope, including penetrations for utilities, plumbing, electrical, ventilation and combustion appliances. Testing is conducted under the following conditions:
(a) Exterior windows and doors, fireplace and stove doors are closed, but not sealed;
(b) Dampers are closed, but not sealed, including exhaust, intake, makeup air, backdraft and flue dampers;
(c) Interior doors are open;
(d) Exterior openings for continuous ventilation systems and heat recovery ventilators are closed and sealed;
(e) Heating and cooling system(s) is turned off;
(f)  HVAC duct terminations are not sealed; and
(g) Supply and return registers are not sealed.</t>
    </r>
  </si>
  <si>
    <t>"1 = OK,  0=mandatory not met'"</t>
  </si>
  <si>
    <t>corrected water usage summation formlas</t>
  </si>
  <si>
    <t>Annualized Gallons Per Week</t>
  </si>
  <si>
    <r>
      <t xml:space="preserve">Certificate should be sent to:
</t>
    </r>
    <r>
      <rPr>
        <i/>
        <sz val="9"/>
        <color theme="0" tint="-0.499984740745262"/>
        <rFont val="Calibri"/>
        <family val="2"/>
        <scheme val="minor"/>
      </rPr>
      <t>(Certificates are only sent to the Builder/Developer)</t>
    </r>
  </si>
  <si>
    <t xml:space="preserve"> </t>
  </si>
  <si>
    <t>R2.04</t>
  </si>
  <si>
    <t xml:space="preserve">Adjusted Verification Rpt tab to pull from Start Here! Tab. </t>
  </si>
  <si>
    <t>R2.05</t>
  </si>
  <si>
    <t xml:space="preserve">Adjusted formulas for 902.3 Radon </t>
  </si>
  <si>
    <t>R2.06</t>
  </si>
  <si>
    <t>Corrected 'Building Total' and 'Total Points Verified' ranges on the 'Verification Rpt' tab to pull in additional cells</t>
  </si>
  <si>
    <t>PRJEPKDMnz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</si>
</sst>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409]mmmm\ d\,\ yyyy;@"/>
    <numFmt numFmtId="166" formatCode="0.0"/>
    <numFmt numFmtId="167" formatCode="&quot;(&quot;#&quot;)&quot;"/>
    <numFmt numFmtId="168" formatCode="[$-409]h:mm\ AM/PM;@"/>
    <numFmt numFmtId="169" formatCode="0.000"/>
  </numFmts>
  <fonts count="155">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MS Sans Serif"/>
      <family val="2"/>
    </font>
    <font>
      <b/>
      <sz val="11"/>
      <name val="Calibri"/>
      <family val="2"/>
      <scheme val="minor"/>
    </font>
    <font>
      <sz val="10"/>
      <color rgb="FF006100"/>
      <name val="Calibri"/>
      <family val="2"/>
      <scheme val="minor"/>
    </font>
    <font>
      <sz val="12"/>
      <color theme="1"/>
      <name val="Calibri"/>
      <family val="2"/>
      <scheme val="minor"/>
    </font>
    <font>
      <b/>
      <sz val="10"/>
      <color theme="0"/>
      <name val="Calibri"/>
      <family val="2"/>
      <scheme val="minor"/>
    </font>
    <font>
      <b/>
      <sz val="10"/>
      <color rgb="FF663300"/>
      <name val="Calibri"/>
      <family val="2"/>
      <scheme val="minor"/>
    </font>
    <font>
      <b/>
      <sz val="10"/>
      <color rgb="FF777777"/>
      <name val="Calibri"/>
      <family val="2"/>
      <scheme val="minor"/>
    </font>
    <font>
      <b/>
      <sz val="10"/>
      <color rgb="FFCC9900"/>
      <name val="Calibri"/>
      <family val="2"/>
      <scheme val="minor"/>
    </font>
    <font>
      <b/>
      <sz val="10"/>
      <color rgb="FF008000"/>
      <name val="Calibri"/>
      <family val="2"/>
      <scheme val="minor"/>
    </font>
    <font>
      <b/>
      <sz val="10"/>
      <color theme="1"/>
      <name val="Calibri"/>
      <family val="2"/>
      <scheme val="minor"/>
    </font>
    <font>
      <b/>
      <sz val="9"/>
      <name val="Calibri"/>
      <family val="2"/>
      <scheme val="minor"/>
    </font>
    <font>
      <sz val="9"/>
      <name val="Calibri"/>
      <family val="2"/>
      <scheme val="minor"/>
    </font>
    <font>
      <i/>
      <sz val="10"/>
      <name val="Calibri"/>
      <family val="2"/>
      <scheme val="minor"/>
    </font>
    <font>
      <u/>
      <sz val="10"/>
      <color indexed="12"/>
      <name val="Calibri"/>
      <family val="2"/>
      <scheme val="minor"/>
    </font>
    <font>
      <sz val="9"/>
      <color rgb="FF0D776E"/>
      <name val="Calibri"/>
      <family val="2"/>
      <scheme val="minor"/>
    </font>
    <font>
      <b/>
      <sz val="11"/>
      <color theme="0"/>
      <name val="Calibri"/>
      <family val="2"/>
    </font>
    <font>
      <b/>
      <sz val="11"/>
      <color theme="1"/>
      <name val="Calibri"/>
      <family val="2"/>
    </font>
    <font>
      <sz val="10"/>
      <name val="Calibri"/>
      <family val="2"/>
      <scheme val="minor"/>
    </font>
    <font>
      <b/>
      <sz val="10"/>
      <name val="Calibri"/>
      <family val="2"/>
      <scheme val="minor"/>
    </font>
    <font>
      <sz val="10"/>
      <color theme="1"/>
      <name val="Calibri"/>
      <family val="2"/>
      <scheme val="minor"/>
    </font>
    <font>
      <b/>
      <i/>
      <sz val="10"/>
      <name val="Calibri"/>
      <family val="2"/>
      <scheme val="minor"/>
    </font>
    <font>
      <b/>
      <u/>
      <sz val="10"/>
      <name val="Calibri"/>
      <family val="2"/>
      <scheme val="minor"/>
    </font>
    <font>
      <b/>
      <sz val="10"/>
      <name val="Calibri"/>
      <family val="2"/>
    </font>
    <font>
      <sz val="10"/>
      <name val="Calibri"/>
      <family val="2"/>
    </font>
    <font>
      <b/>
      <sz val="10"/>
      <color rgb="FFFF0000"/>
      <name val="Calibri"/>
      <family val="2"/>
      <scheme val="minor"/>
    </font>
    <font>
      <b/>
      <u/>
      <sz val="10"/>
      <color theme="1"/>
      <name val="Calibri"/>
      <family val="2"/>
      <scheme val="minor"/>
    </font>
    <font>
      <sz val="9"/>
      <color theme="1"/>
      <name val="Calibri"/>
      <family val="2"/>
      <scheme val="minor"/>
    </font>
    <font>
      <b/>
      <sz val="10"/>
      <color rgb="FFFF0000"/>
      <name val="Calibri"/>
      <family val="2"/>
    </font>
    <font>
      <b/>
      <sz val="9"/>
      <color theme="1"/>
      <name val="Calibri"/>
      <family val="2"/>
      <scheme val="minor"/>
    </font>
    <font>
      <vertAlign val="superscript"/>
      <sz val="10"/>
      <color theme="1"/>
      <name val="Calibri"/>
      <family val="2"/>
      <scheme val="minor"/>
    </font>
    <font>
      <b/>
      <sz val="14"/>
      <color theme="0"/>
      <name val="Century Gothic"/>
      <family val="2"/>
    </font>
    <font>
      <b/>
      <sz val="14"/>
      <color theme="0"/>
      <name val="Calibri"/>
      <family val="2"/>
      <scheme val="minor"/>
    </font>
    <font>
      <b/>
      <u/>
      <sz val="14"/>
      <color theme="0"/>
      <name val="Calibri"/>
      <family val="2"/>
      <scheme val="minor"/>
    </font>
    <font>
      <b/>
      <sz val="11"/>
      <color theme="1"/>
      <name val="Century Gothic"/>
      <family val="2"/>
    </font>
    <font>
      <i/>
      <sz val="11"/>
      <color theme="1"/>
      <name val="Calibri"/>
      <family val="2"/>
      <scheme val="minor"/>
    </font>
    <font>
      <sz val="11"/>
      <name val="Calibri"/>
      <family val="2"/>
      <scheme val="minor"/>
    </font>
    <font>
      <b/>
      <sz val="12"/>
      <color rgb="FFFFFF00"/>
      <name val="Calibri"/>
      <family val="2"/>
      <scheme val="minor"/>
    </font>
    <font>
      <b/>
      <sz val="12"/>
      <name val="Calibri"/>
      <family val="2"/>
      <scheme val="minor"/>
    </font>
    <font>
      <b/>
      <sz val="10"/>
      <color rgb="FFFFCC00"/>
      <name val="Calibri"/>
      <family val="2"/>
      <scheme val="minor"/>
    </font>
    <font>
      <b/>
      <sz val="9"/>
      <color rgb="FF0D776E"/>
      <name val="Calibri"/>
      <family val="2"/>
      <scheme val="minor"/>
    </font>
    <font>
      <sz val="10"/>
      <name val="Cambria"/>
      <family val="1"/>
      <scheme val="major"/>
    </font>
    <font>
      <b/>
      <sz val="8"/>
      <color rgb="FFFF0000"/>
      <name val="Calibri"/>
      <family val="2"/>
    </font>
    <font>
      <b/>
      <sz val="10"/>
      <color rgb="FF7030A0"/>
      <name val="Calibri"/>
      <family val="2"/>
      <scheme val="minor"/>
    </font>
    <font>
      <sz val="9"/>
      <color theme="1"/>
      <name val="Calibri"/>
      <family val="2"/>
    </font>
    <font>
      <vertAlign val="superscript"/>
      <sz val="10"/>
      <name val="Calibri"/>
      <family val="2"/>
      <scheme val="minor"/>
    </font>
    <font>
      <b/>
      <sz val="8"/>
      <name val="Calibri"/>
      <family val="2"/>
      <scheme val="minor"/>
    </font>
    <font>
      <sz val="9"/>
      <name val="Calibri"/>
      <family val="2"/>
    </font>
    <font>
      <b/>
      <sz val="11"/>
      <name val="Calibri"/>
      <family val="2"/>
    </font>
    <font>
      <b/>
      <vertAlign val="superscript"/>
      <sz val="10"/>
      <color theme="0"/>
      <name val="Calibri"/>
      <family val="2"/>
      <scheme val="minor"/>
    </font>
    <font>
      <vertAlign val="superscript"/>
      <sz val="9"/>
      <color theme="1"/>
      <name val="Calibri"/>
      <family val="2"/>
      <scheme val="minor"/>
    </font>
    <font>
      <b/>
      <sz val="10"/>
      <color rgb="FFFFFF00"/>
      <name val="Calibri"/>
      <family val="2"/>
      <scheme val="minor"/>
    </font>
    <font>
      <b/>
      <sz val="10"/>
      <color theme="5" tint="-0.499984740745262"/>
      <name val="Calibri"/>
      <family val="2"/>
    </font>
    <font>
      <sz val="8"/>
      <name val="Calibri"/>
      <family val="2"/>
      <scheme val="minor"/>
    </font>
    <font>
      <b/>
      <i/>
      <sz val="10"/>
      <color theme="1"/>
      <name val="Calibri"/>
      <family val="2"/>
      <scheme val="minor"/>
    </font>
    <font>
      <sz val="11"/>
      <color theme="0"/>
      <name val="Calibri"/>
      <family val="2"/>
      <scheme val="minor"/>
    </font>
    <font>
      <b/>
      <u/>
      <sz val="14"/>
      <color rgb="FFFF0000"/>
      <name val="Calibri"/>
      <family val="2"/>
      <scheme val="minor"/>
    </font>
    <font>
      <b/>
      <sz val="10"/>
      <name val="Century Gothic"/>
      <family val="2"/>
    </font>
    <font>
      <sz val="10"/>
      <color rgb="FFFF0000"/>
      <name val="Calibri"/>
      <family val="2"/>
      <scheme val="minor"/>
    </font>
    <font>
      <b/>
      <sz val="10"/>
      <color indexed="8"/>
      <name val="Calibri"/>
      <family val="2"/>
      <scheme val="minor"/>
    </font>
    <font>
      <b/>
      <sz val="9"/>
      <color rgb="FFFF0000"/>
      <name val="Calibri"/>
      <family val="2"/>
      <scheme val="minor"/>
    </font>
    <font>
      <sz val="10"/>
      <color indexed="8"/>
      <name val="Calibri"/>
      <family val="2"/>
      <scheme val="minor"/>
    </font>
    <font>
      <i/>
      <sz val="10"/>
      <color theme="1"/>
      <name val="Calibri"/>
      <family val="2"/>
      <scheme val="minor"/>
    </font>
    <font>
      <sz val="10"/>
      <color rgb="FF663300"/>
      <name val="Calibri"/>
      <family val="2"/>
      <scheme val="minor"/>
    </font>
    <font>
      <b/>
      <i/>
      <sz val="10"/>
      <color rgb="FFFF0000"/>
      <name val="Calibri"/>
      <family val="2"/>
      <scheme val="minor"/>
    </font>
    <font>
      <b/>
      <sz val="14"/>
      <color theme="1"/>
      <name val="Calibri"/>
      <family val="2"/>
      <scheme val="minor"/>
    </font>
    <font>
      <b/>
      <sz val="12"/>
      <color theme="1"/>
      <name val="Calibri"/>
      <family val="2"/>
      <scheme val="minor"/>
    </font>
    <font>
      <b/>
      <sz val="9"/>
      <color theme="0"/>
      <name val="Calibri"/>
      <family val="2"/>
      <scheme val="minor"/>
    </font>
    <font>
      <sz val="8"/>
      <color theme="1"/>
      <name val="Calibri"/>
      <family val="2"/>
      <scheme val="minor"/>
    </font>
    <font>
      <u/>
      <sz val="10"/>
      <color indexed="12"/>
      <name val="Century Gothic"/>
      <family val="2"/>
    </font>
    <font>
      <sz val="10"/>
      <name val="Century Gothic"/>
      <family val="2"/>
    </font>
    <font>
      <sz val="10"/>
      <name val="Tahoma"/>
      <family val="2"/>
    </font>
    <font>
      <vertAlign val="superscript"/>
      <sz val="11"/>
      <color theme="1"/>
      <name val="Calibri"/>
      <family val="2"/>
      <scheme val="minor"/>
    </font>
    <font>
      <vertAlign val="superscript"/>
      <sz val="11"/>
      <color theme="0"/>
      <name val="Calibri"/>
      <family val="2"/>
      <scheme val="minor"/>
    </font>
    <font>
      <sz val="11"/>
      <color theme="1"/>
      <name val="Century Gothic"/>
      <family val="2"/>
    </font>
    <font>
      <sz val="11"/>
      <color theme="1"/>
      <name val="Calibri"/>
      <family val="2"/>
    </font>
    <font>
      <i/>
      <sz val="11"/>
      <color theme="0"/>
      <name val="Calibri"/>
      <family val="2"/>
      <scheme val="minor"/>
    </font>
    <font>
      <b/>
      <i/>
      <sz val="11"/>
      <color theme="0"/>
      <name val="Calibri"/>
      <family val="2"/>
      <scheme val="minor"/>
    </font>
    <font>
      <b/>
      <sz val="10"/>
      <color theme="1"/>
      <name val="Calibri"/>
      <family val="2"/>
    </font>
    <font>
      <b/>
      <vertAlign val="superscript"/>
      <sz val="10"/>
      <name val="Calibri"/>
      <family val="2"/>
      <scheme val="minor"/>
    </font>
    <font>
      <b/>
      <sz val="10"/>
      <color rgb="FFC00000"/>
      <name val="Calibri"/>
      <family val="2"/>
      <scheme val="minor"/>
    </font>
    <font>
      <i/>
      <sz val="10"/>
      <name val="Calibri"/>
      <family val="2"/>
    </font>
    <font>
      <b/>
      <sz val="9"/>
      <name val="Calibri"/>
      <family val="2"/>
    </font>
    <font>
      <b/>
      <sz val="14"/>
      <color theme="0"/>
      <name val="Calibri"/>
      <family val="2"/>
    </font>
    <font>
      <b/>
      <sz val="12"/>
      <name val="Calibri"/>
      <family val="2"/>
    </font>
    <font>
      <b/>
      <i/>
      <sz val="11"/>
      <color theme="1"/>
      <name val="Calibri"/>
      <family val="2"/>
    </font>
    <font>
      <b/>
      <i/>
      <sz val="12"/>
      <color theme="1"/>
      <name val="Calibri"/>
      <family val="2"/>
    </font>
    <font>
      <b/>
      <i/>
      <sz val="11"/>
      <name val="Calibri"/>
      <family val="2"/>
    </font>
    <font>
      <b/>
      <vertAlign val="superscript"/>
      <sz val="12"/>
      <color theme="1"/>
      <name val="Calibri"/>
      <family val="2"/>
      <scheme val="minor"/>
    </font>
    <font>
      <sz val="10"/>
      <color theme="1" tint="0.34998626667073579"/>
      <name val="Calibri"/>
      <family val="2"/>
      <scheme val="minor"/>
    </font>
    <font>
      <b/>
      <sz val="9"/>
      <color rgb="FFFF0000"/>
      <name val="Calibri"/>
      <family val="2"/>
    </font>
    <font>
      <sz val="10"/>
      <color rgb="FF000000"/>
      <name val="Calibri"/>
      <family val="2"/>
      <scheme val="minor"/>
    </font>
    <font>
      <sz val="10"/>
      <color theme="1"/>
      <name val="Calibri"/>
      <family val="2"/>
    </font>
    <font>
      <sz val="9"/>
      <color rgb="FF454545"/>
      <name val="Arial"/>
      <family val="2"/>
    </font>
    <font>
      <sz val="9"/>
      <color rgb="FFFF0000"/>
      <name val="Calibri"/>
      <family val="2"/>
    </font>
    <font>
      <sz val="11"/>
      <name val="Calibri"/>
      <family val="2"/>
    </font>
    <font>
      <b/>
      <sz val="8"/>
      <name val="Calibri"/>
      <family val="2"/>
    </font>
    <font>
      <sz val="9"/>
      <color rgb="FFFF0000"/>
      <name val="Calibri"/>
      <family val="2"/>
      <scheme val="minor"/>
    </font>
    <font>
      <b/>
      <sz val="16"/>
      <name val="Arial"/>
      <family val="2"/>
    </font>
    <font>
      <sz val="16"/>
      <name val="Arial"/>
      <family val="2"/>
    </font>
    <font>
      <sz val="9"/>
      <name val="Arial"/>
      <family val="2"/>
    </font>
    <font>
      <b/>
      <sz val="9"/>
      <name val="Arial"/>
      <family val="2"/>
    </font>
    <font>
      <b/>
      <sz val="8"/>
      <name val="Arial"/>
      <family val="2"/>
    </font>
    <font>
      <b/>
      <sz val="10"/>
      <name val="Arial"/>
      <family val="2"/>
    </font>
    <font>
      <sz val="10"/>
      <color indexed="10"/>
      <name val="Arial"/>
      <family val="2"/>
    </font>
    <font>
      <sz val="8"/>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rgb="FFFF0000"/>
      <name val="Calibri"/>
      <family val="2"/>
      <scheme val="minor"/>
    </font>
    <font>
      <i/>
      <sz val="10"/>
      <color rgb="FFFF0000"/>
      <name val="Calibri"/>
      <family val="2"/>
      <scheme val="minor"/>
    </font>
    <font>
      <b/>
      <sz val="24"/>
      <color rgb="FF003F72"/>
      <name val="Calibri"/>
      <family val="2"/>
      <scheme val="minor"/>
    </font>
    <font>
      <b/>
      <sz val="10"/>
      <color theme="1"/>
      <name val="Arial"/>
      <family val="2"/>
    </font>
    <font>
      <sz val="10"/>
      <color theme="1"/>
      <name val="Arial"/>
      <family val="2"/>
    </font>
    <font>
      <b/>
      <sz val="34"/>
      <color rgb="FF003F72"/>
      <name val="Calibri"/>
      <family val="2"/>
      <scheme val="minor"/>
    </font>
    <font>
      <b/>
      <sz val="9"/>
      <color theme="0"/>
      <name val="Calibri"/>
      <family val="2"/>
    </font>
    <font>
      <b/>
      <sz val="10"/>
      <color theme="3" tint="-0.249977111117893"/>
      <name val="Century Gothic"/>
      <family val="2"/>
    </font>
    <font>
      <b/>
      <sz val="14"/>
      <color theme="1"/>
      <name val="Calibri"/>
      <family val="2"/>
    </font>
    <font>
      <b/>
      <sz val="9"/>
      <color theme="1"/>
      <name val="Calibri"/>
      <family val="2"/>
    </font>
    <font>
      <b/>
      <sz val="20"/>
      <color rgb="FF003F72"/>
      <name val="Calibri"/>
      <family val="2"/>
      <scheme val="minor"/>
    </font>
    <font>
      <b/>
      <sz val="11"/>
      <color rgb="FFFF0000"/>
      <name val="Calibri"/>
      <family val="2"/>
      <scheme val="minor"/>
    </font>
    <font>
      <b/>
      <vertAlign val="superscript"/>
      <sz val="10"/>
      <color theme="1"/>
      <name val="Arial"/>
      <family val="2"/>
    </font>
    <font>
      <b/>
      <sz val="9"/>
      <color theme="1"/>
      <name val="Arial"/>
      <family val="2"/>
    </font>
    <font>
      <sz val="9"/>
      <color theme="1"/>
      <name val="Arial"/>
      <family val="2"/>
    </font>
    <font>
      <b/>
      <vertAlign val="superscript"/>
      <sz val="9"/>
      <color theme="1"/>
      <name val="Arial"/>
      <family val="2"/>
    </font>
    <font>
      <vertAlign val="superscript"/>
      <sz val="9"/>
      <color theme="1"/>
      <name val="Arial"/>
      <family val="2"/>
    </font>
    <font>
      <i/>
      <sz val="9"/>
      <color theme="1"/>
      <name val="Arial"/>
      <family val="2"/>
    </font>
    <font>
      <sz val="11"/>
      <color theme="5" tint="-0.499984740745262"/>
      <name val="Calibri"/>
      <family val="2"/>
      <scheme val="minor"/>
    </font>
    <font>
      <b/>
      <sz val="10"/>
      <color theme="5" tint="-0.499984740745262"/>
      <name val="Calibri"/>
      <family val="2"/>
      <scheme val="minor"/>
    </font>
    <font>
      <sz val="10"/>
      <color rgb="FFFF0000"/>
      <name val="Calibri"/>
      <family val="2"/>
    </font>
    <font>
      <b/>
      <sz val="12"/>
      <color theme="1"/>
      <name val="Calibri"/>
      <family val="2"/>
    </font>
    <font>
      <b/>
      <sz val="8"/>
      <color theme="0"/>
      <name val="Calibri"/>
      <family val="2"/>
    </font>
    <font>
      <b/>
      <sz val="14"/>
      <color rgb="FFFF0000"/>
      <name val="Calibri"/>
      <family val="2"/>
      <scheme val="minor"/>
    </font>
    <font>
      <b/>
      <sz val="8"/>
      <color theme="0"/>
      <name val="Calibri"/>
      <family val="2"/>
      <scheme val="minor"/>
    </font>
    <font>
      <i/>
      <sz val="9"/>
      <color theme="0" tint="-0.499984740745262"/>
      <name val="Calibri"/>
      <family val="2"/>
      <scheme val="minor"/>
    </font>
    <font>
      <sz val="11"/>
      <color rgb="FF000000"/>
      <name val="Calibri"/>
      <family val="2"/>
      <scheme val="minor"/>
    </font>
  </fonts>
  <fills count="75">
    <fill>
      <patternFill patternType="none"/>
    </fill>
    <fill>
      <patternFill patternType="gray125"/>
    </fill>
    <fill>
      <patternFill patternType="solid">
        <fgColor theme="6" tint="0.59999389629810485"/>
        <bgColor indexed="65"/>
      </patternFill>
    </fill>
    <fill>
      <patternFill patternType="solid">
        <fgColor theme="0"/>
        <bgColor indexed="64"/>
      </patternFill>
    </fill>
    <fill>
      <patternFill patternType="solid">
        <fgColor theme="4" tint="-0.249977111117893"/>
        <bgColor indexed="64"/>
      </patternFill>
    </fill>
    <fill>
      <patternFill patternType="solid">
        <fgColor theme="0"/>
        <bgColor auto="1"/>
      </patternFill>
    </fill>
    <fill>
      <patternFill patternType="solid">
        <fgColor rgb="FFFFFFCC"/>
        <bgColor indexed="64"/>
      </patternFill>
    </fill>
    <fill>
      <patternFill patternType="solid">
        <fgColor rgb="FFCCECFF"/>
        <bgColor indexed="64"/>
      </patternFill>
    </fill>
    <fill>
      <patternFill patternType="solid">
        <fgColor rgb="FF003F72"/>
        <bgColor indexed="64"/>
      </patternFill>
    </fill>
    <fill>
      <patternFill patternType="lightUp">
        <fgColor rgb="FFC0C0C0"/>
      </patternFill>
    </fill>
    <fill>
      <patternFill patternType="solid">
        <fgColor theme="4" tint="0.79998168889431442"/>
        <bgColor indexed="64"/>
      </patternFill>
    </fill>
    <fill>
      <patternFill patternType="darkDown">
        <fgColor theme="0"/>
        <bgColor rgb="FFFFFF00"/>
      </patternFill>
    </fill>
    <fill>
      <patternFill patternType="solid">
        <fgColor rgb="FFB2B2B2"/>
        <bgColor indexed="64"/>
      </patternFill>
    </fill>
    <fill>
      <patternFill patternType="solid">
        <fgColor rgb="FFFFFF00"/>
        <bgColor indexed="64"/>
      </patternFill>
    </fill>
    <fill>
      <patternFill patternType="solid">
        <fgColor rgb="FF92D050"/>
        <bgColor indexed="64"/>
      </patternFill>
    </fill>
    <fill>
      <patternFill patternType="lightDown">
        <fgColor rgb="FF92D050"/>
        <bgColor theme="0"/>
      </patternFill>
    </fill>
    <fill>
      <patternFill patternType="lightTrellis">
        <fgColor auto="1"/>
        <bgColor theme="0"/>
      </patternFill>
    </fill>
    <fill>
      <patternFill patternType="solid">
        <fgColor rgb="FF0D776E"/>
        <bgColor indexed="64"/>
      </patternFill>
    </fill>
    <fill>
      <patternFill patternType="gray125">
        <fgColor theme="0"/>
        <bgColor rgb="FF0D776E"/>
      </patternFill>
    </fill>
    <fill>
      <patternFill patternType="solid">
        <fgColor indexed="65"/>
        <bgColor auto="1"/>
      </patternFill>
    </fill>
    <fill>
      <patternFill patternType="lightDown">
        <fgColor rgb="FFFF0000"/>
        <bgColor theme="0"/>
      </patternFill>
    </fill>
    <fill>
      <patternFill patternType="solid">
        <fgColor rgb="FFFFFFFF"/>
        <bgColor indexed="64"/>
      </patternFill>
    </fill>
    <fill>
      <patternFill patternType="solid">
        <fgColor rgb="FFC0C0C0"/>
        <bgColor indexed="64"/>
      </patternFill>
    </fill>
    <fill>
      <patternFill patternType="solid">
        <fgColor rgb="FFC0C0C0"/>
        <bgColor theme="0"/>
      </patternFill>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006666"/>
        <bgColor indexed="64"/>
      </patternFill>
    </fill>
    <fill>
      <patternFill patternType="solid">
        <fgColor theme="2" tint="-9.9978637043366805E-2"/>
        <bgColor indexed="64"/>
      </patternFill>
    </fill>
    <fill>
      <patternFill patternType="solid">
        <fgColor rgb="FFFF0000"/>
        <bgColor indexed="64"/>
      </patternFill>
    </fill>
    <fill>
      <patternFill patternType="mediumGray">
        <fgColor theme="3" tint="0.79998168889431442"/>
        <bgColor indexed="65"/>
      </patternFill>
    </fill>
    <fill>
      <patternFill patternType="mediumGray">
        <fgColor theme="3" tint="0.79995117038483843"/>
        <bgColor auto="1"/>
      </patternFill>
    </fill>
    <fill>
      <patternFill patternType="solid">
        <fgColor auto="1"/>
        <bgColor indexed="64"/>
      </patternFill>
    </fill>
    <fill>
      <patternFill patternType="darkDown">
        <fgColor rgb="FF92D050"/>
        <bgColor auto="1"/>
      </patternFill>
    </fill>
    <fill>
      <patternFill patternType="solid">
        <fgColor theme="3" tint="0.79998168889431442"/>
        <bgColor indexed="64"/>
      </patternFill>
    </fill>
    <fill>
      <patternFill patternType="solid">
        <fgColor theme="3" tint="0.79995117038483843"/>
        <bgColor indexed="64"/>
      </patternFill>
    </fill>
    <fill>
      <patternFill patternType="solid">
        <fgColor theme="6"/>
        <bgColor indexed="64"/>
      </patternFill>
    </fill>
    <fill>
      <patternFill patternType="lightDown">
        <fgColor rgb="FF92D050"/>
        <bgColor auto="1"/>
      </patternFill>
    </fill>
    <fill>
      <patternFill patternType="solid">
        <fgColor theme="0" tint="-0.24994659260841701"/>
        <bgColor indexed="64"/>
      </patternFill>
    </fill>
    <fill>
      <patternFill patternType="solid">
        <fgColor theme="0" tint="-0.14996795556505021"/>
        <bgColor indexed="64"/>
      </patternFill>
    </fill>
    <fill>
      <patternFill patternType="solid">
        <fgColor rgb="FF094E89"/>
        <bgColor indexed="64"/>
      </patternFill>
    </fill>
    <fill>
      <patternFill patternType="solid">
        <fgColor rgb="FF8BBD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lightDown">
        <fgColor rgb="FF92D050"/>
      </patternFill>
    </fill>
    <fill>
      <patternFill patternType="solid">
        <fgColor theme="0" tint="-0.499984740745262"/>
        <bgColor indexed="64"/>
      </patternFill>
    </fill>
    <fill>
      <patternFill patternType="solid">
        <fgColor theme="0" tint="-0.499984740745262"/>
        <bgColor theme="0"/>
      </patternFill>
    </fill>
    <fill>
      <patternFill patternType="solid">
        <fgColor theme="0" tint="-0.34998626667073579"/>
        <bgColor indexed="64"/>
      </patternFill>
    </fill>
    <fill>
      <patternFill patternType="solid">
        <fgColor rgb="FFD9D9D9"/>
        <bgColor indexed="64"/>
      </patternFill>
    </fill>
    <fill>
      <patternFill patternType="lightDown">
        <fgColor rgb="FF8BBD00"/>
        <bgColor auto="1"/>
      </patternFill>
    </fill>
    <fill>
      <patternFill patternType="lightDown">
        <fgColor rgb="FF8BBD00"/>
      </patternFill>
    </fill>
    <fill>
      <patternFill patternType="solid">
        <fgColor rgb="FFC5D9F1"/>
        <bgColor rgb="FF000000"/>
      </patternFill>
    </fill>
  </fills>
  <borders count="753">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style="thin">
        <color rgb="FFB2B2B2"/>
      </right>
      <top/>
      <bottom style="thin">
        <color rgb="FFB2B2B2"/>
      </bottom>
      <diagonal/>
    </border>
    <border>
      <left/>
      <right/>
      <top/>
      <bottom style="medium">
        <color rgb="FF0D776E"/>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medium">
        <color rgb="FF0D776E"/>
      </left>
      <right style="medium">
        <color rgb="FF0D776E"/>
      </right>
      <top/>
      <bottom/>
      <diagonal/>
    </border>
    <border>
      <left style="medium">
        <color rgb="FF0D776E"/>
      </left>
      <right/>
      <top/>
      <bottom/>
      <diagonal/>
    </border>
    <border>
      <left/>
      <right style="medium">
        <color rgb="FF0D776E"/>
      </right>
      <top/>
      <bottom/>
      <diagonal/>
    </border>
    <border>
      <left style="thin">
        <color rgb="FFC0C0C0"/>
      </left>
      <right style="medium">
        <color rgb="FF0D776E"/>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bottom/>
      <diagonal/>
    </border>
    <border>
      <left/>
      <right/>
      <top style="thin">
        <color indexed="64"/>
      </top>
      <bottom/>
      <diagonal/>
    </border>
    <border>
      <left style="thin">
        <color theme="4"/>
      </left>
      <right/>
      <top style="thin">
        <color indexed="64"/>
      </top>
      <bottom/>
      <diagonal/>
    </border>
    <border>
      <left/>
      <right style="thin">
        <color rgb="FFFFC000"/>
      </right>
      <top/>
      <bottom/>
      <diagonal/>
    </border>
    <border>
      <left style="thin">
        <color rgb="FFFFC000"/>
      </left>
      <right style="thin">
        <color rgb="FFFFC000"/>
      </right>
      <top style="thin">
        <color rgb="FFFFC000"/>
      </top>
      <bottom style="thin">
        <color rgb="FFFFC000"/>
      </bottom>
      <diagonal/>
    </border>
    <border>
      <left style="medium">
        <color rgb="FF0D776E"/>
      </left>
      <right/>
      <top style="dashed">
        <color rgb="FFB2B2B2"/>
      </top>
      <bottom style="dashed">
        <color rgb="FFB2B2B2"/>
      </bottom>
      <diagonal/>
    </border>
    <border>
      <left/>
      <right style="medium">
        <color rgb="FF0D776E"/>
      </right>
      <top style="dashed">
        <color rgb="FFB2B2B2"/>
      </top>
      <bottom style="dashed">
        <color rgb="FFB2B2B2"/>
      </bottom>
      <diagonal/>
    </border>
    <border>
      <left/>
      <right style="thin">
        <color theme="4"/>
      </right>
      <top/>
      <bottom/>
      <diagonal/>
    </border>
    <border>
      <left style="thin">
        <color theme="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theme="4"/>
      </right>
      <top style="thin">
        <color indexed="64"/>
      </top>
      <bottom style="thin">
        <color indexed="64"/>
      </bottom>
      <diagonal/>
    </border>
    <border>
      <left style="thin">
        <color theme="4"/>
      </left>
      <right/>
      <top style="thin">
        <color indexed="64"/>
      </top>
      <bottom style="thin">
        <color indexed="64"/>
      </bottom>
      <diagonal/>
    </border>
    <border>
      <left/>
      <right/>
      <top/>
      <bottom style="thin">
        <color rgb="FFFFC000"/>
      </bottom>
      <diagonal/>
    </border>
    <border>
      <left style="medium">
        <color rgb="FF0D776E"/>
      </left>
      <right/>
      <top/>
      <bottom style="double">
        <color auto="1"/>
      </bottom>
      <diagonal/>
    </border>
    <border>
      <left/>
      <right/>
      <top/>
      <bottom style="double">
        <color auto="1"/>
      </bottom>
      <diagonal/>
    </border>
    <border>
      <left style="thin">
        <color rgb="FFFFC000"/>
      </left>
      <right style="thin">
        <color rgb="FFFFC000"/>
      </right>
      <top style="thin">
        <color rgb="FFFFC000"/>
      </top>
      <bottom style="double">
        <color auto="1"/>
      </bottom>
      <diagonal/>
    </border>
    <border>
      <left/>
      <right/>
      <top style="double">
        <color auto="1"/>
      </top>
      <bottom/>
      <diagonal/>
    </border>
    <border>
      <left style="thin">
        <color rgb="FFC0C0C0"/>
      </left>
      <right style="medium">
        <color rgb="FF0D776E"/>
      </right>
      <top style="double">
        <color auto="1"/>
      </top>
      <bottom/>
      <diagonal/>
    </border>
    <border>
      <left/>
      <right/>
      <top style="thin">
        <color indexed="64"/>
      </top>
      <bottom style="double">
        <color indexed="64"/>
      </bottom>
      <diagonal/>
    </border>
    <border>
      <left style="thin">
        <color rgb="FFC0C0C0"/>
      </left>
      <right style="medium">
        <color rgb="FF0D776E"/>
      </right>
      <top/>
      <bottom style="double">
        <color auto="1"/>
      </bottom>
      <diagonal/>
    </border>
    <border>
      <left style="medium">
        <color rgb="FF0D776E"/>
      </left>
      <right/>
      <top style="double">
        <color auto="1"/>
      </top>
      <bottom/>
      <diagonal/>
    </border>
    <border>
      <left/>
      <right style="thin">
        <color theme="4"/>
      </right>
      <top style="thin">
        <color auto="1"/>
      </top>
      <bottom/>
      <diagonal/>
    </border>
    <border>
      <left style="thin">
        <color theme="4"/>
      </left>
      <right style="thin">
        <color theme="4"/>
      </right>
      <top/>
      <bottom/>
      <diagonal/>
    </border>
    <border>
      <left/>
      <right/>
      <top style="double">
        <color auto="1"/>
      </top>
      <bottom style="thin">
        <color rgb="FFFFC000"/>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right/>
      <top style="thin">
        <color rgb="FFFFC000"/>
      </top>
      <bottom style="thin">
        <color indexed="64"/>
      </bottom>
      <diagonal/>
    </border>
    <border>
      <left/>
      <right/>
      <top style="thin">
        <color indexed="64"/>
      </top>
      <bottom style="thin">
        <color rgb="FFFFC000"/>
      </bottom>
      <diagonal/>
    </border>
    <border>
      <left style="thin">
        <color rgb="FFFFC000"/>
      </left>
      <right/>
      <top style="thin">
        <color rgb="FFFFC000"/>
      </top>
      <bottom style="thin">
        <color indexed="64"/>
      </bottom>
      <diagonal/>
    </border>
    <border>
      <left/>
      <right style="thin">
        <color rgb="FFFFC000"/>
      </right>
      <top style="thin">
        <color rgb="FFFFC000"/>
      </top>
      <bottom style="thin">
        <color indexed="64"/>
      </bottom>
      <diagonal/>
    </border>
    <border>
      <left/>
      <right style="thin">
        <color theme="4"/>
      </right>
      <top/>
      <bottom style="thin">
        <color indexed="64"/>
      </bottom>
      <diagonal/>
    </border>
    <border>
      <left style="thin">
        <color theme="4"/>
      </left>
      <right style="thin">
        <color theme="4"/>
      </right>
      <top/>
      <bottom style="thin">
        <color theme="4"/>
      </bottom>
      <diagonal/>
    </border>
    <border>
      <left style="thin">
        <color theme="4"/>
      </left>
      <right style="thin">
        <color theme="4"/>
      </right>
      <top style="double">
        <color auto="1"/>
      </top>
      <bottom/>
      <diagonal/>
    </border>
    <border>
      <left style="thin">
        <color theme="4"/>
      </left>
      <right/>
      <top style="double">
        <color auto="1"/>
      </top>
      <bottom/>
      <diagonal/>
    </border>
    <border>
      <left/>
      <right/>
      <top style="double">
        <color auto="1"/>
      </top>
      <bottom style="dashed">
        <color rgb="FFB2B2B2"/>
      </bottom>
      <diagonal/>
    </border>
    <border>
      <left style="thin">
        <color rgb="FFFFC000"/>
      </left>
      <right/>
      <top style="thin">
        <color rgb="FFFFC000"/>
      </top>
      <bottom/>
      <diagonal/>
    </border>
    <border>
      <left/>
      <right/>
      <top style="thin">
        <color rgb="FFFFC000"/>
      </top>
      <bottom/>
      <diagonal/>
    </border>
    <border>
      <left/>
      <right style="thin">
        <color rgb="FFFFC000"/>
      </right>
      <top style="thin">
        <color rgb="FFFFC000"/>
      </top>
      <bottom/>
      <diagonal/>
    </border>
    <border>
      <left/>
      <right/>
      <top/>
      <bottom style="thin">
        <color theme="1"/>
      </bottom>
      <diagonal/>
    </border>
    <border>
      <left/>
      <right/>
      <top style="thin">
        <color theme="1"/>
      </top>
      <bottom style="thin">
        <color theme="1"/>
      </bottom>
      <diagonal/>
    </border>
    <border>
      <left style="thin">
        <color rgb="FFFFC000"/>
      </left>
      <right style="thin">
        <color rgb="FFFFC000"/>
      </right>
      <top style="thin">
        <color rgb="FFFFC000"/>
      </top>
      <bottom/>
      <diagonal/>
    </border>
    <border>
      <left/>
      <right/>
      <top style="medium">
        <color rgb="FF0D776E"/>
      </top>
      <bottom/>
      <diagonal/>
    </border>
    <border>
      <left style="medium">
        <color rgb="FF0D776E"/>
      </left>
      <right style="medium">
        <color rgb="FF0D776E"/>
      </right>
      <top style="medium">
        <color rgb="FF0D776E"/>
      </top>
      <bottom style="medium">
        <color rgb="FF0D776E"/>
      </bottom>
      <diagonal/>
    </border>
    <border>
      <left style="medium">
        <color rgb="FF0D776E"/>
      </left>
      <right/>
      <top style="medium">
        <color rgb="FF0D776E"/>
      </top>
      <bottom style="medium">
        <color rgb="FF0D776E"/>
      </bottom>
      <diagonal/>
    </border>
    <border>
      <left/>
      <right/>
      <top style="medium">
        <color rgb="FF0D776E"/>
      </top>
      <bottom style="medium">
        <color rgb="FF0D776E"/>
      </bottom>
      <diagonal/>
    </border>
    <border>
      <left/>
      <right style="medium">
        <color rgb="FF0D776E"/>
      </right>
      <top style="medium">
        <color rgb="FF0D776E"/>
      </top>
      <bottom style="medium">
        <color rgb="FF0D776E"/>
      </bottom>
      <diagonal/>
    </border>
    <border>
      <left style="thin">
        <color theme="4"/>
      </left>
      <right/>
      <top/>
      <bottom style="double">
        <color indexed="64"/>
      </bottom>
      <diagonal/>
    </border>
    <border>
      <left/>
      <right/>
      <top style="thin">
        <color theme="1"/>
      </top>
      <bottom/>
      <diagonal/>
    </border>
    <border>
      <left style="medium">
        <color rgb="FF0D776E"/>
      </left>
      <right/>
      <top style="double">
        <color theme="1"/>
      </top>
      <bottom/>
      <diagonal/>
    </border>
    <border>
      <left/>
      <right/>
      <top style="double">
        <color theme="1"/>
      </top>
      <bottom/>
      <diagonal/>
    </border>
    <border>
      <left style="thin">
        <color rgb="FFC0C0C0"/>
      </left>
      <right style="medium">
        <color rgb="FF0D776E"/>
      </right>
      <top style="double">
        <color theme="1"/>
      </top>
      <bottom/>
      <diagonal/>
    </border>
    <border>
      <left style="thin">
        <color rgb="FFFFC000"/>
      </left>
      <right style="thin">
        <color rgb="FFFFC000"/>
      </right>
      <top style="thin">
        <color rgb="FFFFC000"/>
      </top>
      <bottom style="thin">
        <color auto="1"/>
      </bottom>
      <diagonal/>
    </border>
    <border>
      <left style="thin">
        <color theme="4"/>
      </left>
      <right/>
      <top/>
      <bottom style="thin">
        <color theme="1"/>
      </bottom>
      <diagonal/>
    </border>
    <border>
      <left style="thin">
        <color theme="4"/>
      </left>
      <right/>
      <top style="thin">
        <color theme="1"/>
      </top>
      <bottom style="thin">
        <color theme="1"/>
      </bottom>
      <diagonal/>
    </border>
    <border>
      <left style="thin">
        <color rgb="FF0070C0"/>
      </left>
      <right style="thin">
        <color rgb="FF0070C0"/>
      </right>
      <top style="thin">
        <color rgb="FF0070C0"/>
      </top>
      <bottom style="thin">
        <color rgb="FF0070C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D776E"/>
      </left>
      <right/>
      <top/>
      <bottom style="double">
        <color theme="1"/>
      </bottom>
      <diagonal/>
    </border>
    <border>
      <left/>
      <right/>
      <top style="thin">
        <color indexed="64"/>
      </top>
      <bottom style="double">
        <color theme="1"/>
      </bottom>
      <diagonal/>
    </border>
    <border>
      <left/>
      <right/>
      <top/>
      <bottom style="double">
        <color theme="1"/>
      </bottom>
      <diagonal/>
    </border>
    <border>
      <left/>
      <right style="medium">
        <color rgb="FF0D776E"/>
      </right>
      <top style="double">
        <color theme="1"/>
      </top>
      <bottom/>
      <diagonal/>
    </border>
    <border>
      <left/>
      <right style="thin">
        <color rgb="FFC0C0C0"/>
      </right>
      <top style="thin">
        <color indexed="64"/>
      </top>
      <bottom/>
      <diagonal/>
    </border>
    <border>
      <left/>
      <right style="thin">
        <color rgb="FFC0C0C0"/>
      </right>
      <top/>
      <bottom/>
      <diagonal/>
    </border>
    <border>
      <left/>
      <right style="thin">
        <color rgb="FFC0C0C0"/>
      </right>
      <top/>
      <bottom style="thin">
        <color indexed="64"/>
      </bottom>
      <diagonal/>
    </border>
    <border>
      <left/>
      <right style="thin">
        <color rgb="FFC0C0C0"/>
      </right>
      <top style="thin">
        <color theme="1"/>
      </top>
      <bottom/>
      <diagonal/>
    </border>
    <border>
      <left/>
      <right style="thin">
        <color theme="4"/>
      </right>
      <top style="thin">
        <color auto="1"/>
      </top>
      <bottom style="double">
        <color auto="1"/>
      </bottom>
      <diagonal/>
    </border>
    <border>
      <left style="thin">
        <color theme="4"/>
      </left>
      <right style="thin">
        <color theme="4"/>
      </right>
      <top/>
      <bottom style="double">
        <color auto="1"/>
      </bottom>
      <diagonal/>
    </border>
    <border>
      <left/>
      <right style="thin">
        <color theme="4"/>
      </right>
      <top/>
      <bottom style="thin">
        <color theme="1"/>
      </bottom>
      <diagonal/>
    </border>
    <border>
      <left/>
      <right style="thin">
        <color theme="4"/>
      </right>
      <top style="thin">
        <color theme="1"/>
      </top>
      <bottom style="thin">
        <color theme="1"/>
      </bottom>
      <diagonal/>
    </border>
    <border>
      <left/>
      <right style="thin">
        <color rgb="FFC0C0C0"/>
      </right>
      <top/>
      <bottom style="double">
        <color auto="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4"/>
      </left>
      <right style="thin">
        <color theme="4"/>
      </right>
      <top style="double">
        <color theme="1"/>
      </top>
      <bottom/>
      <diagonal/>
    </border>
    <border>
      <left style="medium">
        <color rgb="FF0D776E"/>
      </left>
      <right/>
      <top/>
      <bottom style="medium">
        <color rgb="FF0D776E"/>
      </bottom>
      <diagonal/>
    </border>
    <border>
      <left/>
      <right/>
      <top style="double">
        <color theme="1"/>
      </top>
      <bottom style="medium">
        <color rgb="FF0D776E"/>
      </bottom>
      <diagonal/>
    </border>
    <border>
      <left/>
      <right style="medium">
        <color rgb="FF0D776E"/>
      </right>
      <top/>
      <bottom style="medium">
        <color rgb="FF0D776E"/>
      </bottom>
      <diagonal/>
    </border>
    <border>
      <left/>
      <right style="medium">
        <color rgb="FF0D776E"/>
      </right>
      <top style="double">
        <color theme="1"/>
      </top>
      <bottom style="medium">
        <color rgb="FF0D776E"/>
      </bottom>
      <diagonal/>
    </border>
    <border>
      <left/>
      <right/>
      <top style="double">
        <color theme="1"/>
      </top>
      <bottom style="double">
        <color theme="1"/>
      </bottom>
      <diagonal/>
    </border>
    <border>
      <left/>
      <right style="medium">
        <color rgb="FF0D776E"/>
      </right>
      <top style="double">
        <color theme="1"/>
      </top>
      <bottom style="double">
        <color theme="1"/>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style="thin">
        <color theme="1"/>
      </top>
      <bottom/>
      <diagonal/>
    </border>
    <border>
      <left style="thin">
        <color theme="4"/>
      </left>
      <right style="thin">
        <color theme="4"/>
      </right>
      <top style="double">
        <color theme="1"/>
      </top>
      <bottom style="medium">
        <color rgb="FF0D776E"/>
      </bottom>
      <diagonal/>
    </border>
    <border>
      <left style="thin">
        <color theme="4"/>
      </left>
      <right style="thin">
        <color theme="4"/>
      </right>
      <top style="double">
        <color theme="1"/>
      </top>
      <bottom style="double">
        <color theme="1"/>
      </bottom>
      <diagonal/>
    </border>
    <border>
      <left style="thin">
        <color theme="4"/>
      </left>
      <right/>
      <top style="double">
        <color theme="1"/>
      </top>
      <bottom/>
      <diagonal/>
    </border>
    <border>
      <left style="thin">
        <color theme="4"/>
      </left>
      <right/>
      <top/>
      <bottom style="double">
        <color theme="1"/>
      </bottom>
      <diagonal/>
    </border>
    <border>
      <left/>
      <right style="thin">
        <color rgb="FFC0C0C0"/>
      </right>
      <top style="double">
        <color auto="1"/>
      </top>
      <bottom/>
      <diagonal/>
    </border>
    <border>
      <left/>
      <right style="medium">
        <color rgb="FF0D776E"/>
      </right>
      <top style="double">
        <color auto="1"/>
      </top>
      <bottom/>
      <diagonal/>
    </border>
    <border>
      <left style="thin">
        <color theme="4"/>
      </left>
      <right/>
      <top style="double">
        <color theme="1"/>
      </top>
      <bottom style="double">
        <color theme="1"/>
      </bottom>
      <diagonal/>
    </border>
    <border>
      <left style="thin">
        <color rgb="FF92D050"/>
      </left>
      <right style="thin">
        <color rgb="FF92D050"/>
      </right>
      <top style="thin">
        <color rgb="FF92D050"/>
      </top>
      <bottom style="thin">
        <color rgb="FF92D050"/>
      </bottom>
      <diagonal/>
    </border>
    <border>
      <left style="medium">
        <color rgb="FF0D776E"/>
      </left>
      <right/>
      <top style="medium">
        <color rgb="FF0D776E"/>
      </top>
      <bottom/>
      <diagonal/>
    </border>
    <border>
      <left/>
      <right style="medium">
        <color rgb="FF0D776E"/>
      </right>
      <top style="medium">
        <color rgb="FF0D776E"/>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medium">
        <color rgb="FF006666"/>
      </bottom>
      <diagonal/>
    </border>
    <border>
      <left/>
      <right style="thin">
        <color rgb="FF0070C0"/>
      </right>
      <top/>
      <bottom/>
      <diagonal/>
    </border>
    <border>
      <left style="thin">
        <color rgb="FF0070C0"/>
      </left>
      <right/>
      <top/>
      <bottom/>
      <diagonal/>
    </border>
    <border>
      <left style="thin">
        <color rgb="FF92D050"/>
      </left>
      <right/>
      <top/>
      <bottom/>
      <diagonal/>
    </border>
    <border>
      <left style="thin">
        <color rgb="FFFFC000"/>
      </left>
      <right/>
      <top/>
      <bottom/>
      <diagonal/>
    </border>
    <border>
      <left/>
      <right style="medium">
        <color rgb="FF006666"/>
      </right>
      <top/>
      <bottom style="medium">
        <color rgb="FF006666"/>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D776E"/>
      </left>
      <right style="medium">
        <color theme="0"/>
      </right>
      <top style="medium">
        <color rgb="FF0D776E"/>
      </top>
      <bottom style="medium">
        <color theme="0"/>
      </bottom>
      <diagonal/>
    </border>
    <border>
      <left/>
      <right style="medium">
        <color theme="0"/>
      </right>
      <top style="medium">
        <color rgb="FF0D776E"/>
      </top>
      <bottom style="medium">
        <color theme="0"/>
      </bottom>
      <diagonal/>
    </border>
    <border>
      <left/>
      <right style="medium">
        <color rgb="FF0D776E"/>
      </right>
      <top style="medium">
        <color rgb="FF0D776E"/>
      </top>
      <bottom style="medium">
        <color theme="0"/>
      </bottom>
      <diagonal/>
    </border>
    <border>
      <left style="thin">
        <color rgb="FFB2B2B2"/>
      </left>
      <right style="medium">
        <color rgb="FF0D776E"/>
      </right>
      <top/>
      <bottom/>
      <diagonal/>
    </border>
    <border>
      <left/>
      <right/>
      <top style="dashed">
        <color rgb="FFB2B2B2"/>
      </top>
      <bottom/>
      <diagonal/>
    </border>
    <border>
      <left/>
      <right style="medium">
        <color rgb="FF0D776E"/>
      </right>
      <top/>
      <bottom style="thin">
        <color indexed="64"/>
      </bottom>
      <diagonal/>
    </border>
    <border>
      <left/>
      <right style="medium">
        <color rgb="FF0D776E"/>
      </right>
      <top style="thin">
        <color indexed="64"/>
      </top>
      <bottom style="thin">
        <color indexed="64"/>
      </bottom>
      <diagonal/>
    </border>
    <border>
      <left style="medium">
        <color rgb="FF0D776E"/>
      </left>
      <right/>
      <top style="double">
        <color auto="1"/>
      </top>
      <bottom style="double">
        <color indexed="64"/>
      </bottom>
      <diagonal/>
    </border>
    <border>
      <left/>
      <right/>
      <top style="double">
        <color auto="1"/>
      </top>
      <bottom style="double">
        <color indexed="64"/>
      </bottom>
      <diagonal/>
    </border>
    <border>
      <left style="thin">
        <color theme="4"/>
      </left>
      <right/>
      <top style="double">
        <color auto="1"/>
      </top>
      <bottom style="double">
        <color indexed="64"/>
      </bottom>
      <diagonal/>
    </border>
    <border>
      <left style="thin">
        <color rgb="FFC0C0C0"/>
      </left>
      <right style="medium">
        <color rgb="FF0D776E"/>
      </right>
      <top/>
      <bottom style="thin">
        <color indexed="64"/>
      </bottom>
      <diagonal/>
    </border>
    <border>
      <left style="thin">
        <color rgb="FF0D776E"/>
      </left>
      <right/>
      <top style="thin">
        <color rgb="FF0D776E"/>
      </top>
      <bottom/>
      <diagonal/>
    </border>
    <border>
      <left/>
      <right/>
      <top style="thin">
        <color rgb="FF0D776E"/>
      </top>
      <bottom/>
      <diagonal/>
    </border>
    <border>
      <left/>
      <right style="thin">
        <color rgb="FF0D776E"/>
      </right>
      <top style="thin">
        <color rgb="FF0D776E"/>
      </top>
      <bottom/>
      <diagonal/>
    </border>
    <border>
      <left style="thin">
        <color rgb="FF0D776E"/>
      </left>
      <right/>
      <top/>
      <bottom/>
      <diagonal/>
    </border>
    <border>
      <left style="thin">
        <color rgb="FF0D776E"/>
      </left>
      <right style="thin">
        <color auto="1"/>
      </right>
      <top style="thin">
        <color auto="1"/>
      </top>
      <bottom style="thin">
        <color auto="1"/>
      </bottom>
      <diagonal/>
    </border>
    <border>
      <left style="thin">
        <color auto="1"/>
      </left>
      <right style="thin">
        <color rgb="FF0D776E"/>
      </right>
      <top style="thin">
        <color auto="1"/>
      </top>
      <bottom style="thin">
        <color auto="1"/>
      </bottom>
      <diagonal/>
    </border>
    <border>
      <left style="thin">
        <color rgb="FF0D776E"/>
      </left>
      <right/>
      <top/>
      <bottom style="thin">
        <color rgb="FF0D776E"/>
      </bottom>
      <diagonal/>
    </border>
    <border>
      <left/>
      <right/>
      <top/>
      <bottom style="thin">
        <color rgb="FF0D776E"/>
      </bottom>
      <diagonal/>
    </border>
    <border>
      <left/>
      <right style="thin">
        <color rgb="FF0D776E"/>
      </right>
      <top/>
      <bottom style="thin">
        <color rgb="FF0D776E"/>
      </bottom>
      <diagonal/>
    </border>
    <border>
      <left style="medium">
        <color rgb="FF0D776E"/>
      </left>
      <right/>
      <top/>
      <bottom style="thin">
        <color indexed="64"/>
      </bottom>
      <diagonal/>
    </border>
    <border>
      <left style="medium">
        <color rgb="FF0D776E"/>
      </left>
      <right/>
      <top style="thin">
        <color indexed="64"/>
      </top>
      <bottom/>
      <diagonal/>
    </border>
    <border>
      <left/>
      <right/>
      <top/>
      <bottom style="thin">
        <color theme="4"/>
      </bottom>
      <diagonal/>
    </border>
    <border>
      <left style="thin">
        <color theme="4"/>
      </left>
      <right style="thin">
        <color theme="4"/>
      </right>
      <top style="thin">
        <color theme="4"/>
      </top>
      <bottom style="double">
        <color indexed="64"/>
      </bottom>
      <diagonal/>
    </border>
    <border>
      <left style="thin">
        <color rgb="FFC0C0C0"/>
      </left>
      <right style="medium">
        <color rgb="FF0D776E"/>
      </right>
      <top style="thin">
        <color indexed="64"/>
      </top>
      <bottom/>
      <diagonal/>
    </border>
    <border>
      <left style="thin">
        <color rgb="FF0D776E"/>
      </left>
      <right style="thin">
        <color auto="1"/>
      </right>
      <top style="thin">
        <color rgb="FF0D776E"/>
      </top>
      <bottom style="thin">
        <color auto="1"/>
      </bottom>
      <diagonal/>
    </border>
    <border>
      <left style="thin">
        <color auto="1"/>
      </left>
      <right style="thin">
        <color auto="1"/>
      </right>
      <top style="thin">
        <color rgb="FF0D776E"/>
      </top>
      <bottom style="thin">
        <color auto="1"/>
      </bottom>
      <diagonal/>
    </border>
    <border>
      <left style="thin">
        <color auto="1"/>
      </left>
      <right style="thin">
        <color rgb="FF0D776E"/>
      </right>
      <top style="thin">
        <color rgb="FF0D776E"/>
      </top>
      <bottom style="thin">
        <color auto="1"/>
      </bottom>
      <diagonal/>
    </border>
    <border>
      <left style="thin">
        <color rgb="FF0D776E"/>
      </left>
      <right style="thin">
        <color auto="1"/>
      </right>
      <top style="thin">
        <color auto="1"/>
      </top>
      <bottom style="thin">
        <color rgb="FF0D776E"/>
      </bottom>
      <diagonal/>
    </border>
    <border>
      <left style="thin">
        <color auto="1"/>
      </left>
      <right style="thin">
        <color auto="1"/>
      </right>
      <top style="thin">
        <color auto="1"/>
      </top>
      <bottom style="thin">
        <color rgb="FF0D776E"/>
      </bottom>
      <diagonal/>
    </border>
    <border>
      <left style="thin">
        <color auto="1"/>
      </left>
      <right style="thin">
        <color rgb="FF0D776E"/>
      </right>
      <top style="thin">
        <color auto="1"/>
      </top>
      <bottom style="thin">
        <color rgb="FF0D776E"/>
      </bottom>
      <diagonal/>
    </border>
    <border>
      <left style="thin">
        <color theme="4"/>
      </left>
      <right style="thin">
        <color theme="4"/>
      </right>
      <top style="thin">
        <color theme="4"/>
      </top>
      <bottom style="thin">
        <color indexed="64"/>
      </bottom>
      <diagonal/>
    </border>
    <border>
      <left/>
      <right/>
      <top/>
      <bottom style="dashed">
        <color rgb="FF96969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70C0"/>
      </left>
      <right style="thin">
        <color rgb="FF0070C0"/>
      </right>
      <top style="thin">
        <color rgb="FF0070C0"/>
      </top>
      <bottom/>
      <diagonal/>
    </border>
    <border>
      <left style="medium">
        <color rgb="FF336600"/>
      </left>
      <right style="medium">
        <color rgb="FF336600"/>
      </right>
      <top/>
      <bottom/>
      <diagonal/>
    </border>
    <border>
      <left style="thin">
        <color theme="4"/>
      </left>
      <right style="thin">
        <color theme="4"/>
      </right>
      <top style="thin">
        <color auto="1"/>
      </top>
      <bottom/>
      <diagonal/>
    </border>
    <border>
      <left style="thin">
        <color theme="4"/>
      </left>
      <right style="thin">
        <color theme="4"/>
      </right>
      <top style="thin">
        <color auto="1"/>
      </top>
      <bottom style="thin">
        <color theme="4"/>
      </bottom>
      <diagonal/>
    </border>
    <border>
      <left style="thin">
        <color rgb="FFFFC000"/>
      </left>
      <right/>
      <top/>
      <bottom style="thin">
        <color auto="1"/>
      </bottom>
      <diagonal/>
    </border>
    <border>
      <left style="medium">
        <color rgb="FF0D776E"/>
      </left>
      <right/>
      <top style="thin">
        <color indexed="64"/>
      </top>
      <bottom style="thin">
        <color indexed="64"/>
      </bottom>
      <diagonal/>
    </border>
    <border>
      <left style="thin">
        <color theme="4"/>
      </left>
      <right style="thin">
        <color theme="4"/>
      </right>
      <top style="thin">
        <color auto="1"/>
      </top>
      <bottom style="thin">
        <color indexed="64"/>
      </bottom>
      <diagonal/>
    </border>
    <border>
      <left style="thin">
        <color rgb="FF0070C0"/>
      </left>
      <right style="thin">
        <color rgb="FF0070C0"/>
      </right>
      <top/>
      <bottom style="thin">
        <color rgb="FF0070C0"/>
      </bottom>
      <diagonal/>
    </border>
    <border>
      <left/>
      <right/>
      <top style="thin">
        <color indexed="64"/>
      </top>
      <bottom style="medium">
        <color rgb="FF0D776E"/>
      </bottom>
      <diagonal/>
    </border>
    <border>
      <left style="medium">
        <color rgb="FF0D776E"/>
      </left>
      <right/>
      <top style="medium">
        <color rgb="FF0D776E"/>
      </top>
      <bottom style="medium">
        <color theme="0"/>
      </bottom>
      <diagonal/>
    </border>
    <border>
      <left/>
      <right/>
      <top style="medium">
        <color rgb="FF0D776E"/>
      </top>
      <bottom style="medium">
        <color theme="0"/>
      </bottom>
      <diagonal/>
    </border>
    <border>
      <left style="medium">
        <color theme="0"/>
      </left>
      <right/>
      <top style="medium">
        <color rgb="FF0D776E"/>
      </top>
      <bottom style="medium">
        <color theme="0"/>
      </bottom>
      <diagonal/>
    </border>
    <border>
      <left/>
      <right style="medium">
        <color rgb="FF0D776E"/>
      </right>
      <top/>
      <bottom style="double">
        <color auto="1"/>
      </bottom>
      <diagonal/>
    </border>
    <border>
      <left style="thin">
        <color rgb="FF0070C0"/>
      </left>
      <right style="thin">
        <color rgb="FF0070C0"/>
      </right>
      <top style="thin">
        <color rgb="FF0070C0"/>
      </top>
      <bottom style="thin">
        <color auto="1"/>
      </bottom>
      <diagonal/>
    </border>
    <border>
      <left style="thin">
        <color rgb="FF663300"/>
      </left>
      <right style="thin">
        <color rgb="FF663300"/>
      </right>
      <top style="thin">
        <color rgb="FF663300"/>
      </top>
      <bottom style="thin">
        <color rgb="FF6633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0070C0"/>
      </left>
      <right style="thin">
        <color rgb="FF0070C0"/>
      </right>
      <top style="thin">
        <color auto="1"/>
      </top>
      <bottom style="thin">
        <color rgb="FF0070C0"/>
      </bottom>
      <diagonal/>
    </border>
    <border>
      <left/>
      <right style="medium">
        <color rgb="FF0D776E"/>
      </right>
      <top style="thin">
        <color indexed="64"/>
      </top>
      <bottom/>
      <diagonal/>
    </border>
    <border>
      <left style="medium">
        <color rgb="FF0D776E"/>
      </left>
      <right/>
      <top style="double">
        <color auto="1"/>
      </top>
      <bottom style="medium">
        <color rgb="FF0D776E"/>
      </bottom>
      <diagonal/>
    </border>
    <border>
      <left/>
      <right/>
      <top style="double">
        <color auto="1"/>
      </top>
      <bottom style="medium">
        <color rgb="FF0D776E"/>
      </bottom>
      <diagonal/>
    </border>
    <border>
      <left style="thin">
        <color theme="4"/>
      </left>
      <right style="thin">
        <color theme="4"/>
      </right>
      <top style="double">
        <color auto="1"/>
      </top>
      <bottom style="medium">
        <color rgb="FF0D776E"/>
      </bottom>
      <diagonal/>
    </border>
    <border>
      <left style="thin">
        <color theme="4"/>
      </left>
      <right/>
      <top style="double">
        <color auto="1"/>
      </top>
      <bottom style="medium">
        <color rgb="FF0D776E"/>
      </bottom>
      <diagonal/>
    </border>
    <border>
      <left style="thin">
        <color rgb="FFC0C0C0"/>
      </left>
      <right style="medium">
        <color rgb="FF0D776E"/>
      </right>
      <top style="double">
        <color auto="1"/>
      </top>
      <bottom style="medium">
        <color rgb="FF0D776E"/>
      </bottom>
      <diagonal/>
    </border>
    <border>
      <left/>
      <right style="thin">
        <color rgb="FF0070C0"/>
      </right>
      <top style="double">
        <color auto="1"/>
      </top>
      <bottom/>
      <diagonal/>
    </border>
    <border>
      <left style="thin">
        <color rgb="FF0070C0"/>
      </left>
      <right style="thin">
        <color rgb="FF0070C0"/>
      </right>
      <top style="double">
        <color auto="1"/>
      </top>
      <bottom/>
      <diagonal/>
    </border>
    <border>
      <left style="thin">
        <color rgb="FF0070C0"/>
      </left>
      <right style="thin">
        <color rgb="FF0070C0"/>
      </right>
      <top/>
      <bottom/>
      <diagonal/>
    </border>
    <border>
      <left style="thin">
        <color rgb="FFFFC000"/>
      </left>
      <right style="thin">
        <color rgb="FFFFC000"/>
      </right>
      <top/>
      <bottom style="thin">
        <color rgb="FFFFC000"/>
      </bottom>
      <diagonal/>
    </border>
    <border>
      <left/>
      <right/>
      <top style="medium">
        <color rgb="FF0D776E"/>
      </top>
      <bottom style="thin">
        <color auto="1"/>
      </bottom>
      <diagonal/>
    </border>
    <border>
      <left style="thick">
        <color auto="1"/>
      </left>
      <right style="medium">
        <color theme="0"/>
      </right>
      <top style="thick">
        <color auto="1"/>
      </top>
      <bottom/>
      <diagonal/>
    </border>
    <border>
      <left style="medium">
        <color theme="0"/>
      </left>
      <right style="medium">
        <color theme="0"/>
      </right>
      <top style="thick">
        <color auto="1"/>
      </top>
      <bottom/>
      <diagonal/>
    </border>
    <border>
      <left style="thick">
        <color auto="1"/>
      </left>
      <right/>
      <top style="medium">
        <color theme="0"/>
      </top>
      <bottom style="medium">
        <color theme="0"/>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style="thin">
        <color auto="1"/>
      </bottom>
      <diagonal/>
    </border>
    <border>
      <left style="thin">
        <color indexed="64"/>
      </left>
      <right style="thick">
        <color auto="1"/>
      </right>
      <top style="thin">
        <color indexed="64"/>
      </top>
      <bottom style="thin">
        <color indexed="64"/>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ck">
        <color auto="1"/>
      </right>
      <top style="thin">
        <color indexed="64"/>
      </top>
      <bottom/>
      <diagonal/>
    </border>
    <border>
      <left style="thick">
        <color auto="1"/>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thin">
        <color auto="1"/>
      </left>
      <right/>
      <top style="double">
        <color indexed="64"/>
      </top>
      <bottom style="thin">
        <color auto="1"/>
      </bottom>
      <diagonal/>
    </border>
    <border>
      <left style="thin">
        <color auto="1"/>
      </left>
      <right style="thick">
        <color auto="1"/>
      </right>
      <top style="double">
        <color indexed="64"/>
      </top>
      <bottom style="thin">
        <color auto="1"/>
      </bottom>
      <diagonal/>
    </border>
    <border>
      <left style="thick">
        <color auto="1"/>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auto="1"/>
      </left>
      <right/>
      <top style="double">
        <color indexed="64"/>
      </top>
      <bottom style="thin">
        <color indexed="64"/>
      </bottom>
      <diagonal/>
    </border>
    <border>
      <left style="thick">
        <color auto="1"/>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auto="1"/>
      </left>
      <right/>
      <top style="thin">
        <color indexed="64"/>
      </top>
      <bottom style="thin">
        <color indexed="64"/>
      </bottom>
      <diagonal/>
    </border>
    <border>
      <left style="thick">
        <color auto="1"/>
      </left>
      <right style="thin">
        <color auto="1"/>
      </right>
      <top style="double">
        <color indexed="64"/>
      </top>
      <bottom style="double">
        <color indexed="64"/>
      </bottom>
      <diagonal/>
    </border>
    <border>
      <left style="thin">
        <color auto="1"/>
      </left>
      <right style="thin">
        <color auto="1"/>
      </right>
      <top style="double">
        <color indexed="64"/>
      </top>
      <bottom style="double">
        <color indexed="64"/>
      </bottom>
      <diagonal/>
    </border>
    <border>
      <left style="thin">
        <color auto="1"/>
      </left>
      <right/>
      <top style="double">
        <color indexed="64"/>
      </top>
      <bottom style="double">
        <color indexed="64"/>
      </bottom>
      <diagonal/>
    </border>
    <border>
      <left style="thin">
        <color indexed="64"/>
      </left>
      <right/>
      <top style="double">
        <color indexed="64"/>
      </top>
      <bottom/>
      <diagonal/>
    </border>
    <border>
      <left style="thick">
        <color auto="1"/>
      </left>
      <right style="thin">
        <color auto="1"/>
      </right>
      <top/>
      <bottom style="double">
        <color indexed="64"/>
      </bottom>
      <diagonal/>
    </border>
    <border>
      <left style="thin">
        <color auto="1"/>
      </left>
      <right style="thin">
        <color auto="1"/>
      </right>
      <top/>
      <bottom style="double">
        <color indexed="64"/>
      </bottom>
      <diagonal/>
    </border>
    <border>
      <left/>
      <right style="thin">
        <color indexed="64"/>
      </right>
      <top style="thin">
        <color auto="1"/>
      </top>
      <bottom/>
      <diagonal/>
    </border>
    <border>
      <left style="thin">
        <color auto="1"/>
      </left>
      <right/>
      <top/>
      <bottom style="double">
        <color indexed="64"/>
      </bottom>
      <diagonal/>
    </border>
    <border>
      <left style="thick">
        <color auto="1"/>
      </left>
      <right style="thin">
        <color auto="1"/>
      </right>
      <top style="double">
        <color indexed="64"/>
      </top>
      <bottom/>
      <diagonal/>
    </border>
    <border>
      <left style="thin">
        <color auto="1"/>
      </left>
      <right style="thin">
        <color auto="1"/>
      </right>
      <top style="double">
        <color indexed="64"/>
      </top>
      <bottom/>
      <diagonal/>
    </border>
    <border>
      <left style="thick">
        <color auto="1"/>
      </left>
      <right/>
      <top/>
      <bottom style="thin">
        <color auto="1"/>
      </bottom>
      <diagonal/>
    </border>
    <border>
      <left style="thick">
        <color auto="1"/>
      </left>
      <right/>
      <top/>
      <bottom/>
      <diagonal/>
    </border>
    <border>
      <left style="thin">
        <color auto="1"/>
      </left>
      <right/>
      <top style="medium">
        <color indexed="64"/>
      </top>
      <bottom style="thin">
        <color auto="1"/>
      </bottom>
      <diagonal/>
    </border>
    <border>
      <left style="thin">
        <color indexed="64"/>
      </left>
      <right style="thick">
        <color auto="1"/>
      </right>
      <top style="double">
        <color indexed="64"/>
      </top>
      <bottom/>
      <diagonal/>
    </border>
    <border>
      <left style="thick">
        <color auto="1"/>
      </left>
      <right/>
      <top/>
      <bottom style="thick">
        <color auto="1"/>
      </bottom>
      <diagonal/>
    </border>
    <border>
      <left/>
      <right/>
      <top/>
      <bottom style="thick">
        <color auto="1"/>
      </bottom>
      <diagonal/>
    </border>
    <border>
      <left style="thin">
        <color auto="1"/>
      </left>
      <right style="medium">
        <color rgb="FF0D776E"/>
      </right>
      <top/>
      <bottom style="thin">
        <color auto="1"/>
      </bottom>
      <diagonal/>
    </border>
    <border>
      <left style="medium">
        <color rgb="FF0D776E"/>
      </left>
      <right style="thin">
        <color auto="1"/>
      </right>
      <top style="thin">
        <color rgb="FF0D776E"/>
      </top>
      <bottom style="thin">
        <color auto="1"/>
      </bottom>
      <diagonal/>
    </border>
    <border>
      <left style="thin">
        <color auto="1"/>
      </left>
      <right style="medium">
        <color rgb="FF0D776E"/>
      </right>
      <top style="thin">
        <color rgb="FF0D776E"/>
      </top>
      <bottom style="thin">
        <color auto="1"/>
      </bottom>
      <diagonal/>
    </border>
    <border>
      <left style="medium">
        <color rgb="FF0D776E"/>
      </left>
      <right style="thin">
        <color auto="1"/>
      </right>
      <top style="thin">
        <color auto="1"/>
      </top>
      <bottom style="thin">
        <color auto="1"/>
      </bottom>
      <diagonal/>
    </border>
    <border>
      <left style="thin">
        <color auto="1"/>
      </left>
      <right style="medium">
        <color rgb="FF0D776E"/>
      </right>
      <top style="thin">
        <color auto="1"/>
      </top>
      <bottom style="thin">
        <color auto="1"/>
      </bottom>
      <diagonal/>
    </border>
    <border>
      <left style="medium">
        <color rgb="FF0D776E"/>
      </left>
      <right style="thin">
        <color auto="1"/>
      </right>
      <top style="thin">
        <color auto="1"/>
      </top>
      <bottom style="thin">
        <color rgb="FF0D776E"/>
      </bottom>
      <diagonal/>
    </border>
    <border>
      <left style="thin">
        <color auto="1"/>
      </left>
      <right style="medium">
        <color rgb="FF0D776E"/>
      </right>
      <top style="thin">
        <color auto="1"/>
      </top>
      <bottom style="thin">
        <color rgb="FF0D776E"/>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medium">
        <color rgb="FF0D776E"/>
      </left>
      <right style="thin">
        <color auto="1"/>
      </right>
      <top style="thin">
        <color auto="1"/>
      </top>
      <bottom/>
      <diagonal/>
    </border>
    <border>
      <left style="thin">
        <color auto="1"/>
      </left>
      <right style="medium">
        <color rgb="FF0D776E"/>
      </right>
      <top style="thin">
        <color auto="1"/>
      </top>
      <bottom/>
      <diagonal/>
    </border>
    <border>
      <left style="medium">
        <color rgb="FF0D776E"/>
      </left>
      <right style="thin">
        <color auto="1"/>
      </right>
      <top/>
      <bottom/>
      <diagonal/>
    </border>
    <border>
      <left style="thin">
        <color auto="1"/>
      </left>
      <right style="medium">
        <color rgb="FF0D776E"/>
      </right>
      <top/>
      <bottom/>
      <diagonal/>
    </border>
    <border>
      <left style="medium">
        <color rgb="FF0D776E"/>
      </left>
      <right style="thin">
        <color auto="1"/>
      </right>
      <top/>
      <bottom style="thin">
        <color rgb="FF0D776E"/>
      </bottom>
      <diagonal/>
    </border>
    <border>
      <left style="thin">
        <color auto="1"/>
      </left>
      <right style="thin">
        <color auto="1"/>
      </right>
      <top/>
      <bottom style="thin">
        <color rgb="FF0D776E"/>
      </bottom>
      <diagonal/>
    </border>
    <border>
      <left style="thin">
        <color auto="1"/>
      </left>
      <right style="medium">
        <color rgb="FF0D776E"/>
      </right>
      <top/>
      <bottom style="thin">
        <color rgb="FF0D776E"/>
      </bottom>
      <diagonal/>
    </border>
    <border>
      <left/>
      <right style="thin">
        <color rgb="FF0D776E"/>
      </right>
      <top/>
      <bottom/>
      <diagonal/>
    </border>
    <border>
      <left style="medium">
        <color rgb="FF0D776E"/>
      </left>
      <right/>
      <top style="thin">
        <color theme="1"/>
      </top>
      <bottom/>
      <diagonal/>
    </border>
    <border>
      <left/>
      <right style="medium">
        <color rgb="FF0D776E"/>
      </right>
      <top style="thin">
        <color theme="1"/>
      </top>
      <bottom/>
      <diagonal/>
    </border>
    <border>
      <left style="thin">
        <color rgb="FF92D050"/>
      </left>
      <right style="thin">
        <color rgb="FF92D050"/>
      </right>
      <top/>
      <bottom/>
      <diagonal/>
    </border>
    <border>
      <left style="thin">
        <color rgb="FF92D050"/>
      </left>
      <right style="thin">
        <color rgb="FF92D050"/>
      </right>
      <top style="thin">
        <color theme="4"/>
      </top>
      <bottom/>
      <diagonal/>
    </border>
    <border>
      <left/>
      <right/>
      <top style="medium">
        <color indexed="64"/>
      </top>
      <bottom/>
      <diagonal/>
    </border>
    <border>
      <left style="thin">
        <color rgb="FF92D050"/>
      </left>
      <right style="thin">
        <color theme="4"/>
      </right>
      <top style="thin">
        <color rgb="FF92D050"/>
      </top>
      <bottom/>
      <diagonal/>
    </border>
    <border>
      <left style="thin">
        <color theme="4"/>
      </left>
      <right style="thin">
        <color theme="4"/>
      </right>
      <top style="thin">
        <color rgb="FF92D050"/>
      </top>
      <bottom/>
      <diagonal/>
    </border>
    <border>
      <left style="thin">
        <color theme="4"/>
      </left>
      <right style="thin">
        <color theme="4"/>
      </right>
      <top/>
      <bottom style="thin">
        <color rgb="FF92D050"/>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diagonal/>
    </border>
    <border>
      <left style="thin">
        <color theme="1"/>
      </left>
      <right style="medium">
        <color auto="1"/>
      </right>
      <top style="thin">
        <color theme="1"/>
      </top>
      <bottom/>
      <diagonal/>
    </border>
    <border>
      <left/>
      <right style="thin">
        <color rgb="FFC0C0C0"/>
      </right>
      <top style="double">
        <color theme="1"/>
      </top>
      <bottom/>
      <diagonal/>
    </border>
    <border>
      <left style="thin">
        <color theme="4"/>
      </left>
      <right/>
      <top style="thin">
        <color theme="1"/>
      </top>
      <bottom style="double">
        <color theme="1"/>
      </bottom>
      <diagonal/>
    </border>
    <border>
      <left/>
      <right/>
      <top style="thin">
        <color theme="1"/>
      </top>
      <bottom style="double">
        <color theme="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indexed="64"/>
      </left>
      <right/>
      <top/>
      <bottom/>
      <diagonal/>
    </border>
    <border>
      <left/>
      <right/>
      <top style="double">
        <color theme="1"/>
      </top>
      <bottom style="thin">
        <color rgb="FF92D050"/>
      </bottom>
      <diagonal/>
    </border>
    <border>
      <left style="thin">
        <color rgb="FF92D050"/>
      </left>
      <right style="thin">
        <color rgb="FF92D050"/>
      </right>
      <top style="thin">
        <color rgb="FF92D050"/>
      </top>
      <bottom/>
      <diagonal/>
    </border>
    <border>
      <left/>
      <right/>
      <top style="double">
        <color theme="1"/>
      </top>
      <bottom style="thin">
        <color rgb="FFFFC000"/>
      </bottom>
      <diagonal/>
    </border>
    <border>
      <left/>
      <right/>
      <top style="thin">
        <color indexed="64"/>
      </top>
      <bottom style="thin">
        <color theme="1"/>
      </bottom>
      <diagonal/>
    </border>
    <border>
      <left style="thin">
        <color theme="4"/>
      </left>
      <right/>
      <top style="thin">
        <color theme="1"/>
      </top>
      <bottom/>
      <diagonal/>
    </border>
    <border>
      <left/>
      <right style="thin">
        <color theme="4"/>
      </right>
      <top style="thin">
        <color theme="1"/>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medium">
        <color rgb="FF0D776E"/>
      </right>
      <top style="thin">
        <color theme="1"/>
      </top>
      <bottom style="thin">
        <color theme="1"/>
      </bottom>
      <diagonal/>
    </border>
    <border>
      <left style="thin">
        <color rgb="FFC0C0C0"/>
      </left>
      <right style="medium">
        <color rgb="FF0D776E"/>
      </right>
      <top style="thin">
        <color theme="1"/>
      </top>
      <bottom style="thin">
        <color theme="1"/>
      </bottom>
      <diagonal/>
    </border>
    <border>
      <left style="thin">
        <color theme="4"/>
      </left>
      <right style="thin">
        <color theme="4"/>
      </right>
      <top style="thin">
        <color theme="4"/>
      </top>
      <bottom style="thin">
        <color theme="1"/>
      </bottom>
      <diagonal/>
    </border>
    <border>
      <left/>
      <right style="medium">
        <color theme="1"/>
      </right>
      <top/>
      <bottom style="thin">
        <color theme="1"/>
      </bottom>
      <diagonal/>
    </border>
    <border>
      <left/>
      <right style="medium">
        <color theme="1"/>
      </right>
      <top/>
      <bottom/>
      <diagonal/>
    </border>
    <border>
      <left style="medium">
        <color theme="1"/>
      </left>
      <right/>
      <top/>
      <bottom style="thin">
        <color theme="1"/>
      </bottom>
      <diagonal/>
    </border>
    <border>
      <left style="medium">
        <color theme="1"/>
      </left>
      <right/>
      <top/>
      <bottom/>
      <diagonal/>
    </border>
    <border>
      <left style="medium">
        <color theme="1"/>
      </left>
      <right/>
      <top style="thin">
        <color rgb="FFFFC000"/>
      </top>
      <bottom/>
      <diagonal/>
    </border>
    <border>
      <left style="medium">
        <color rgb="FF0D776E"/>
      </left>
      <right/>
      <top style="thin">
        <color theme="1"/>
      </top>
      <bottom style="thin">
        <color theme="1"/>
      </bottom>
      <diagonal/>
    </border>
    <border>
      <left/>
      <right style="thin">
        <color indexed="64"/>
      </right>
      <top/>
      <bottom style="thin">
        <color indexed="64"/>
      </bottom>
      <diagonal/>
    </border>
    <border>
      <left style="thin">
        <color auto="1"/>
      </left>
      <right style="thick">
        <color rgb="FF002060"/>
      </right>
      <top/>
      <bottom style="thin">
        <color auto="1"/>
      </bottom>
      <diagonal/>
    </border>
    <border>
      <left style="thick">
        <color rgb="FF002060"/>
      </left>
      <right/>
      <top/>
      <bottom style="thin">
        <color indexed="64"/>
      </bottom>
      <diagonal/>
    </border>
    <border>
      <left style="medium">
        <color rgb="FF006666"/>
      </left>
      <right/>
      <top style="medium">
        <color rgb="FF006666"/>
      </top>
      <bottom/>
      <diagonal/>
    </border>
    <border>
      <left/>
      <right/>
      <top style="medium">
        <color rgb="FF006666"/>
      </top>
      <bottom/>
      <diagonal/>
    </border>
    <border>
      <left/>
      <right style="medium">
        <color rgb="FF006666"/>
      </right>
      <top style="medium">
        <color rgb="FF006666"/>
      </top>
      <bottom/>
      <diagonal/>
    </border>
    <border>
      <left style="medium">
        <color rgb="FF006666"/>
      </left>
      <right style="thin">
        <color auto="1"/>
      </right>
      <top/>
      <bottom style="thin">
        <color auto="1"/>
      </bottom>
      <diagonal/>
    </border>
    <border>
      <left style="thin">
        <color auto="1"/>
      </left>
      <right style="medium">
        <color rgb="FF006666"/>
      </right>
      <top/>
      <bottom style="thin">
        <color auto="1"/>
      </bottom>
      <diagonal/>
    </border>
    <border>
      <left style="medium">
        <color rgb="FF006666"/>
      </left>
      <right style="thin">
        <color auto="1"/>
      </right>
      <top style="thin">
        <color auto="1"/>
      </top>
      <bottom style="thin">
        <color auto="1"/>
      </bottom>
      <diagonal/>
    </border>
    <border>
      <left style="medium">
        <color rgb="FF006666"/>
      </left>
      <right style="thin">
        <color auto="1"/>
      </right>
      <top style="thin">
        <color auto="1"/>
      </top>
      <bottom style="medium">
        <color rgb="FF006666"/>
      </bottom>
      <diagonal/>
    </border>
    <border>
      <left style="thin">
        <color auto="1"/>
      </left>
      <right style="thin">
        <color auto="1"/>
      </right>
      <top style="thin">
        <color auto="1"/>
      </top>
      <bottom style="medium">
        <color rgb="FF006666"/>
      </bottom>
      <diagonal/>
    </border>
    <border>
      <left style="thin">
        <color auto="1"/>
      </left>
      <right style="medium">
        <color rgb="FF006666"/>
      </right>
      <top style="thin">
        <color auto="1"/>
      </top>
      <bottom style="medium">
        <color rgb="FF006666"/>
      </bottom>
      <diagonal/>
    </border>
    <border>
      <left style="thin">
        <color rgb="FF92D050"/>
      </left>
      <right style="thin">
        <color rgb="FF92D050"/>
      </right>
      <top style="thin">
        <color theme="1"/>
      </top>
      <bottom style="thin">
        <color rgb="FF92D050"/>
      </bottom>
      <diagonal/>
    </border>
    <border>
      <left style="thin">
        <color theme="4"/>
      </left>
      <right/>
      <top style="thin">
        <color theme="1"/>
      </top>
      <bottom style="medium">
        <color rgb="FF0D776E"/>
      </bottom>
      <diagonal/>
    </border>
    <border>
      <left/>
      <right/>
      <top style="thin">
        <color theme="1"/>
      </top>
      <bottom style="medium">
        <color rgb="FF0D776E"/>
      </bottom>
      <diagonal/>
    </border>
    <border>
      <left/>
      <right style="medium">
        <color rgb="FF0D776E"/>
      </right>
      <top/>
      <bottom style="thin">
        <color theme="1"/>
      </bottom>
      <diagonal/>
    </border>
    <border>
      <left/>
      <right style="medium">
        <color rgb="FF0D776E"/>
      </right>
      <top/>
      <bottom style="double">
        <color theme="1"/>
      </bottom>
      <diagonal/>
    </border>
    <border>
      <left style="medium">
        <color rgb="FF0D776E"/>
      </left>
      <right/>
      <top style="double">
        <color theme="1"/>
      </top>
      <bottom style="double">
        <color theme="1"/>
      </bottom>
      <diagonal/>
    </border>
    <border>
      <left style="medium">
        <color rgb="FF0D776E"/>
      </left>
      <right/>
      <top style="double">
        <color theme="1"/>
      </top>
      <bottom style="medium">
        <color rgb="FF0D776E"/>
      </bottom>
      <diagonal/>
    </border>
    <border>
      <left style="medium">
        <color rgb="FF0D776E"/>
      </left>
      <right/>
      <top style="thin">
        <color indexed="64"/>
      </top>
      <bottom style="thin">
        <color theme="1"/>
      </bottom>
      <diagonal/>
    </border>
    <border>
      <left style="thin">
        <color indexed="64"/>
      </left>
      <right style="thin">
        <color indexed="64"/>
      </right>
      <top style="thin">
        <color indexed="64"/>
      </top>
      <bottom style="thin">
        <color indexed="64"/>
      </bottom>
      <diagonal/>
    </border>
    <border>
      <left/>
      <right style="medium">
        <color rgb="FF0D776E"/>
      </right>
      <top style="thin">
        <color indexed="64"/>
      </top>
      <bottom style="double">
        <color indexed="64"/>
      </bottom>
      <diagonal/>
    </border>
    <border>
      <left/>
      <right style="thin">
        <color theme="4"/>
      </right>
      <top/>
      <bottom style="double">
        <color theme="1"/>
      </bottom>
      <diagonal/>
    </border>
    <border>
      <left style="thin">
        <color theme="4"/>
      </left>
      <right style="thin">
        <color rgb="FFFFC000"/>
      </right>
      <top style="thin">
        <color theme="1"/>
      </top>
      <bottom style="thin">
        <color rgb="FFFFC000"/>
      </bottom>
      <diagonal/>
    </border>
    <border>
      <left style="thin">
        <color rgb="FFFFC000"/>
      </left>
      <right style="thin">
        <color rgb="FFFFC000"/>
      </right>
      <top style="thin">
        <color theme="1"/>
      </top>
      <bottom style="thin">
        <color rgb="FFFFC000"/>
      </bottom>
      <diagonal/>
    </border>
    <border>
      <left style="thin">
        <color rgb="FFFFC000"/>
      </left>
      <right style="thin">
        <color rgb="FFFFC000"/>
      </right>
      <top style="thin">
        <color rgb="FFFFC000"/>
      </top>
      <bottom style="double">
        <color theme="1"/>
      </bottom>
      <diagonal/>
    </border>
    <border>
      <left style="thin">
        <color theme="4"/>
      </left>
      <right style="thin">
        <color rgb="FFFFC000"/>
      </right>
      <top style="thin">
        <color rgb="FFFFC000"/>
      </top>
      <bottom style="thin">
        <color theme="1"/>
      </bottom>
      <diagonal/>
    </border>
    <border>
      <left style="thin">
        <color rgb="FFFFC000"/>
      </left>
      <right style="thin">
        <color rgb="FFFFC000"/>
      </right>
      <top style="thin">
        <color rgb="FFFFC000"/>
      </top>
      <bottom style="thin">
        <color theme="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thin">
        <color theme="4"/>
      </left>
      <right/>
      <top style="double">
        <color theme="1"/>
      </top>
      <bottom style="double">
        <color auto="1"/>
      </bottom>
      <diagonal/>
    </border>
    <border>
      <left/>
      <right/>
      <top style="double">
        <color theme="1"/>
      </top>
      <bottom style="double">
        <color auto="1"/>
      </bottom>
      <diagonal/>
    </border>
    <border>
      <left style="thin">
        <color theme="4"/>
      </left>
      <right style="thin">
        <color theme="4"/>
      </right>
      <top style="double">
        <color theme="1"/>
      </top>
      <bottom style="thin">
        <color theme="4"/>
      </bottom>
      <diagonal/>
    </border>
    <border>
      <left/>
      <right style="thin">
        <color theme="4"/>
      </right>
      <top style="double">
        <color theme="1"/>
      </top>
      <bottom/>
      <diagonal/>
    </border>
    <border>
      <left/>
      <right style="thin">
        <color rgb="FF92D050"/>
      </right>
      <top/>
      <bottom/>
      <diagonal/>
    </border>
    <border>
      <left style="medium">
        <color rgb="FF0D776E"/>
      </left>
      <right/>
      <top style="double">
        <color theme="1"/>
      </top>
      <bottom style="double">
        <color indexed="64"/>
      </bottom>
      <diagonal/>
    </border>
    <border>
      <left style="thin">
        <color theme="4"/>
      </left>
      <right style="thin">
        <color theme="4"/>
      </right>
      <top/>
      <bottom style="thin">
        <color indexed="64"/>
      </bottom>
      <diagonal/>
    </border>
    <border>
      <left/>
      <right style="medium">
        <color rgb="FF0D776E"/>
      </right>
      <top style="thin">
        <color theme="1"/>
      </top>
      <bottom style="double">
        <color theme="1"/>
      </bottom>
      <diagonal/>
    </border>
    <border>
      <left/>
      <right style="medium">
        <color rgb="FF0D776E"/>
      </right>
      <top style="double">
        <color theme="1"/>
      </top>
      <bottom style="double">
        <color auto="1"/>
      </bottom>
      <diagonal/>
    </border>
    <border>
      <left/>
      <right style="medium">
        <color rgb="FF0D776E"/>
      </right>
      <top style="double">
        <color auto="1"/>
      </top>
      <bottom style="double">
        <color auto="1"/>
      </bottom>
      <diagonal/>
    </border>
    <border>
      <left style="thin">
        <color auto="1"/>
      </left>
      <right style="medium">
        <color rgb="FF006666"/>
      </right>
      <top style="thin">
        <color auto="1"/>
      </top>
      <bottom style="thin">
        <color auto="1"/>
      </bottom>
      <diagonal/>
    </border>
    <border>
      <left/>
      <right style="medium">
        <color rgb="FF0D776E"/>
      </right>
      <top style="thin">
        <color theme="1"/>
      </top>
      <bottom style="medium">
        <color rgb="FF0D776E"/>
      </bottom>
      <diagonal/>
    </border>
    <border>
      <left style="medium">
        <color rgb="FF0D776E"/>
      </left>
      <right/>
      <top/>
      <bottom style="thin">
        <color theme="1"/>
      </bottom>
      <diagonal/>
    </border>
    <border>
      <left style="thin">
        <color theme="4"/>
      </left>
      <right style="thin">
        <color theme="4"/>
      </right>
      <top style="thin">
        <color theme="1"/>
      </top>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theme="4"/>
      </left>
      <right style="thin">
        <color theme="4"/>
      </right>
      <top style="thin">
        <color theme="1"/>
      </top>
      <bottom style="thin">
        <color theme="4"/>
      </bottom>
      <diagonal/>
    </border>
    <border>
      <left style="medium">
        <color rgb="FF006666"/>
      </left>
      <right/>
      <top/>
      <bottom/>
      <diagonal/>
    </border>
    <border>
      <left/>
      <right style="medium">
        <color rgb="FF006666"/>
      </right>
      <top/>
      <bottom/>
      <diagonal/>
    </border>
    <border>
      <left style="medium">
        <color rgb="FF006666"/>
      </left>
      <right style="thin">
        <color indexed="64"/>
      </right>
      <top style="medium">
        <color indexed="64"/>
      </top>
      <bottom style="thin">
        <color indexed="64"/>
      </bottom>
      <diagonal/>
    </border>
    <border>
      <left style="thin">
        <color indexed="64"/>
      </left>
      <right style="medium">
        <color rgb="FF006666"/>
      </right>
      <top style="medium">
        <color indexed="64"/>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rgb="FF006666"/>
      </left>
      <right style="thin">
        <color indexed="64"/>
      </right>
      <top style="medium">
        <color theme="1"/>
      </top>
      <bottom style="thin">
        <color indexed="64"/>
      </bottom>
      <diagonal/>
    </border>
    <border>
      <left style="medium">
        <color rgb="FF006666"/>
      </left>
      <right style="thin">
        <color indexed="64"/>
      </right>
      <top style="thin">
        <color indexed="64"/>
      </top>
      <bottom style="medium">
        <color theme="1"/>
      </bottom>
      <diagonal/>
    </border>
    <border>
      <left/>
      <right style="medium">
        <color rgb="FF006666"/>
      </right>
      <top style="thin">
        <color indexed="64"/>
      </top>
      <bottom style="thin">
        <color indexed="64"/>
      </bottom>
      <diagonal/>
    </border>
    <border>
      <left style="thin">
        <color rgb="FF0070C0"/>
      </left>
      <right/>
      <top/>
      <bottom style="thin">
        <color theme="1"/>
      </bottom>
      <diagonal/>
    </border>
    <border>
      <left/>
      <right style="thin">
        <color rgb="FFC0C0C0"/>
      </right>
      <top/>
      <bottom style="thin">
        <color theme="1"/>
      </bottom>
      <diagonal/>
    </border>
    <border>
      <left style="thin">
        <color theme="4"/>
      </left>
      <right style="thin">
        <color theme="4"/>
      </right>
      <top style="thin">
        <color theme="1"/>
      </top>
      <bottom style="thin">
        <color theme="1"/>
      </bottom>
      <diagonal/>
    </border>
    <border>
      <left style="thin">
        <color theme="4"/>
      </left>
      <right style="thin">
        <color theme="4"/>
      </right>
      <top/>
      <bottom style="thin">
        <color theme="1"/>
      </bottom>
      <diagonal/>
    </border>
    <border>
      <left style="thin">
        <color rgb="FF0070C0"/>
      </left>
      <right/>
      <top/>
      <bottom style="thin">
        <color indexed="64"/>
      </bottom>
      <diagonal/>
    </border>
    <border>
      <left style="thin">
        <color rgb="FF0070C0"/>
      </left>
      <right style="thin">
        <color rgb="FF0070C0"/>
      </right>
      <top style="thin">
        <color indexed="64"/>
      </top>
      <bottom style="thin">
        <color indexed="64"/>
      </bottom>
      <diagonal/>
    </border>
    <border>
      <left style="thin">
        <color rgb="FF0070C0"/>
      </left>
      <right/>
      <top style="thin">
        <color indexed="64"/>
      </top>
      <bottom/>
      <diagonal/>
    </border>
    <border>
      <left style="thin">
        <color rgb="FF0070C0"/>
      </left>
      <right style="thin">
        <color rgb="FF0070C0"/>
      </right>
      <top style="double">
        <color theme="1"/>
      </top>
      <bottom/>
      <diagonal/>
    </border>
    <border>
      <left/>
      <right style="thin">
        <color rgb="FF0070C0"/>
      </right>
      <top style="double">
        <color theme="1"/>
      </top>
      <bottom/>
      <diagonal/>
    </border>
    <border>
      <left style="thin">
        <color rgb="FF0070C0"/>
      </left>
      <right style="thin">
        <color rgb="FF0070C0"/>
      </right>
      <top style="thin">
        <color indexed="64"/>
      </top>
      <bottom style="double">
        <color indexed="64"/>
      </bottom>
      <diagonal/>
    </border>
    <border>
      <left style="thin">
        <color rgb="FF0070C0"/>
      </left>
      <right style="thin">
        <color rgb="FF0070C0"/>
      </right>
      <top style="thin">
        <color rgb="FF0070C0"/>
      </top>
      <bottom style="thin">
        <color theme="1"/>
      </bottom>
      <diagonal/>
    </border>
    <border>
      <left style="thin">
        <color rgb="FFC0C0C0"/>
      </left>
      <right style="medium">
        <color rgb="FF0D776E"/>
      </right>
      <top/>
      <bottom style="thin">
        <color theme="1"/>
      </bottom>
      <diagonal/>
    </border>
    <border>
      <left style="thin">
        <color rgb="FF0070C0"/>
      </left>
      <right style="thin">
        <color rgb="FF0070C0"/>
      </right>
      <top style="thin">
        <color theme="1"/>
      </top>
      <bottom style="thin">
        <color theme="1"/>
      </bottom>
      <diagonal/>
    </border>
    <border>
      <left style="thin">
        <color rgb="FF0070C0"/>
      </left>
      <right style="thin">
        <color rgb="FF0070C0"/>
      </right>
      <top style="thin">
        <color theme="1"/>
      </top>
      <bottom style="medium">
        <color rgb="FF0D776E"/>
      </bottom>
      <diagonal/>
    </border>
    <border>
      <left style="thin">
        <color rgb="FFC0C0C0"/>
      </left>
      <right style="medium">
        <color rgb="FF0D776E"/>
      </right>
      <top style="thin">
        <color theme="1"/>
      </top>
      <bottom style="medium">
        <color rgb="FF0D776E"/>
      </bottom>
      <diagonal/>
    </border>
    <border>
      <left style="thin">
        <color rgb="FF0070C0"/>
      </left>
      <right style="medium">
        <color rgb="FF0D776E"/>
      </right>
      <top style="double">
        <color auto="1"/>
      </top>
      <bottom/>
      <diagonal/>
    </border>
    <border>
      <left style="thin">
        <color rgb="FF0070C0"/>
      </left>
      <right style="medium">
        <color rgb="FF0D776E"/>
      </right>
      <top/>
      <bottom/>
      <diagonal/>
    </border>
    <border>
      <left style="thin">
        <color rgb="FF0070C0"/>
      </left>
      <right style="medium">
        <color rgb="FF0D776E"/>
      </right>
      <top style="double">
        <color theme="1"/>
      </top>
      <bottom/>
      <diagonal/>
    </border>
    <border>
      <left style="thin">
        <color rgb="FFC0C0C0"/>
      </left>
      <right style="medium">
        <color rgb="FF0D776E"/>
      </right>
      <top style="thin">
        <color theme="1"/>
      </top>
      <bottom style="double">
        <color auto="1"/>
      </bottom>
      <diagonal/>
    </border>
    <border>
      <left/>
      <right/>
      <top style="medium">
        <color theme="0"/>
      </top>
      <bottom/>
      <diagonal/>
    </border>
    <border>
      <left/>
      <right style="thin">
        <color indexed="64"/>
      </right>
      <top style="double">
        <color auto="1"/>
      </top>
      <bottom style="thin">
        <color indexed="64"/>
      </bottom>
      <diagonal/>
    </border>
    <border>
      <left style="thin">
        <color indexed="64"/>
      </left>
      <right/>
      <top style="thin">
        <color indexed="64"/>
      </top>
      <bottom style="medium">
        <color theme="0"/>
      </bottom>
      <diagonal/>
    </border>
    <border>
      <left style="thin">
        <color rgb="FFC0C0C0"/>
      </left>
      <right style="medium">
        <color rgb="FF0D776E"/>
      </right>
      <top style="thin">
        <color theme="1"/>
      </top>
      <bottom/>
      <diagonal/>
    </border>
    <border>
      <left/>
      <right/>
      <top style="thin">
        <color theme="1"/>
      </top>
      <bottom style="thin">
        <color rgb="FFFFC000"/>
      </bottom>
      <diagonal/>
    </border>
    <border>
      <left style="thin">
        <color theme="4"/>
      </left>
      <right style="thin">
        <color theme="4"/>
      </right>
      <top style="thin">
        <color theme="1"/>
      </top>
      <bottom style="thin">
        <color rgb="FF0070C0"/>
      </bottom>
      <diagonal/>
    </border>
    <border>
      <left style="thin">
        <color rgb="FF0070C0"/>
      </left>
      <right style="thin">
        <color rgb="FF0070C0"/>
      </right>
      <top style="thin">
        <color theme="1"/>
      </top>
      <bottom style="thin">
        <color rgb="FF0070C0"/>
      </bottom>
      <diagonal/>
    </border>
    <border>
      <left style="thin">
        <color rgb="FF0070C0"/>
      </left>
      <right/>
      <top style="thin">
        <color theme="1"/>
      </top>
      <bottom/>
      <diagonal/>
    </border>
    <border>
      <left/>
      <right style="thin">
        <color theme="4"/>
      </right>
      <top/>
      <bottom style="double">
        <color auto="1"/>
      </bottom>
      <diagonal/>
    </border>
    <border>
      <left/>
      <right style="thin">
        <color rgb="FF92D050"/>
      </right>
      <top style="thin">
        <color indexed="64"/>
      </top>
      <bottom/>
      <diagonal/>
    </border>
    <border>
      <left/>
      <right style="thin">
        <color rgb="FF92D050"/>
      </right>
      <top/>
      <bottom style="double">
        <color auto="1"/>
      </bottom>
      <diagonal/>
    </border>
    <border>
      <left/>
      <right style="thin">
        <color theme="4"/>
      </right>
      <top style="double">
        <color auto="1"/>
      </top>
      <bottom/>
      <diagonal/>
    </border>
    <border>
      <left/>
      <right style="thin">
        <color rgb="FFC0C0C0"/>
      </right>
      <top style="double">
        <color auto="1"/>
      </top>
      <bottom style="double">
        <color auto="1"/>
      </bottom>
      <diagonal/>
    </border>
    <border>
      <left style="thin">
        <color auto="1"/>
      </left>
      <right style="medium">
        <color auto="1"/>
      </right>
      <top style="thin">
        <color auto="1"/>
      </top>
      <bottom style="thin">
        <color auto="1"/>
      </bottom>
      <diagonal/>
    </border>
    <border>
      <left style="thin">
        <color theme="4"/>
      </left>
      <right style="thin">
        <color theme="4"/>
      </right>
      <top/>
      <bottom style="double">
        <color theme="1"/>
      </bottom>
      <diagonal/>
    </border>
    <border>
      <left style="thin">
        <color rgb="FFB2B2B2"/>
      </left>
      <right style="medium">
        <color rgb="FF0D776E"/>
      </right>
      <top style="double">
        <color theme="1"/>
      </top>
      <bottom/>
      <diagonal/>
    </border>
    <border>
      <left style="thin">
        <color rgb="FF92D050"/>
      </left>
      <right style="thin">
        <color rgb="FF92D050"/>
      </right>
      <top/>
      <bottom style="thin">
        <color theme="4"/>
      </bottom>
      <diagonal/>
    </border>
    <border>
      <left/>
      <right style="thin">
        <color rgb="FFB2B2B2"/>
      </right>
      <top style="double">
        <color theme="1"/>
      </top>
      <bottom/>
      <diagonal/>
    </border>
    <border>
      <left/>
      <right style="thin">
        <color rgb="FFC0C0C0"/>
      </right>
      <top style="double">
        <color auto="1"/>
      </top>
      <bottom style="medium">
        <color rgb="FF0D776E"/>
      </bottom>
      <diagonal/>
    </border>
    <border>
      <left/>
      <right style="thin">
        <color rgb="FFC0C0C0"/>
      </right>
      <top style="thin">
        <color theme="1"/>
      </top>
      <bottom style="double">
        <color theme="1"/>
      </bottom>
      <diagonal/>
    </border>
    <border>
      <left style="thin">
        <color theme="4"/>
      </left>
      <right/>
      <top style="thin">
        <color theme="1"/>
      </top>
      <bottom style="double">
        <color auto="1"/>
      </bottom>
      <diagonal/>
    </border>
    <border>
      <left/>
      <right/>
      <top style="thin">
        <color theme="1"/>
      </top>
      <bottom style="double">
        <color auto="1"/>
      </bottom>
      <diagonal/>
    </border>
    <border>
      <left/>
      <right style="thin">
        <color rgb="FFC0C0C0"/>
      </right>
      <top style="thin">
        <color theme="1"/>
      </top>
      <bottom style="double">
        <color auto="1"/>
      </bottom>
      <diagonal/>
    </border>
    <border>
      <left/>
      <right style="medium">
        <color rgb="FF0D776E"/>
      </right>
      <top style="double">
        <color theme="1"/>
      </top>
      <bottom style="thin">
        <color theme="1"/>
      </bottom>
      <diagonal/>
    </border>
    <border>
      <left style="thin">
        <color theme="4"/>
      </left>
      <right style="thin">
        <color theme="4"/>
      </right>
      <top style="thin">
        <color theme="1"/>
      </top>
      <bottom style="double">
        <color theme="1"/>
      </bottom>
      <diagonal/>
    </border>
    <border>
      <left/>
      <right style="medium">
        <color auto="1"/>
      </right>
      <top style="thin">
        <color indexed="64"/>
      </top>
      <bottom style="thin">
        <color auto="1"/>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top style="medium">
        <color indexed="64"/>
      </top>
      <bottom/>
      <diagonal/>
    </border>
    <border>
      <left/>
      <right style="medium">
        <color indexed="64"/>
      </right>
      <top style="medium">
        <color indexed="64"/>
      </top>
      <bottom/>
      <diagonal/>
    </border>
    <border>
      <left/>
      <right style="medium">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top/>
      <bottom style="thin">
        <color indexed="64"/>
      </bottom>
      <diagonal/>
    </border>
    <border>
      <left/>
      <right/>
      <top style="medium">
        <color indexed="64"/>
      </top>
      <bottom style="thin">
        <color theme="1"/>
      </bottom>
      <diagonal/>
    </border>
    <border>
      <left style="thin">
        <color theme="4"/>
      </left>
      <right/>
      <top style="thin">
        <color indexed="64"/>
      </top>
      <bottom style="thin">
        <color theme="1"/>
      </bottom>
      <diagonal/>
    </border>
    <border>
      <left style="thin">
        <color theme="4"/>
      </left>
      <right/>
      <top style="thin">
        <color theme="1"/>
      </top>
      <bottom style="thin">
        <color indexed="64"/>
      </bottom>
      <diagonal/>
    </border>
    <border>
      <left/>
      <right/>
      <top style="thin">
        <color theme="1"/>
      </top>
      <bottom style="thin">
        <color indexed="64"/>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thin">
        <color theme="4"/>
      </left>
      <right style="thin">
        <color theme="4"/>
      </right>
      <top style="thin">
        <color theme="1"/>
      </top>
      <bottom style="thin">
        <color indexed="64"/>
      </bottom>
      <diagonal/>
    </border>
    <border>
      <left style="thin">
        <color theme="4"/>
      </left>
      <right style="thin">
        <color theme="4"/>
      </right>
      <top style="thin">
        <color theme="1"/>
      </top>
      <bottom style="medium">
        <color rgb="FF0D776E"/>
      </bottom>
      <diagonal/>
    </border>
    <border>
      <left/>
      <right style="thick">
        <color auto="1"/>
      </right>
      <top style="thin">
        <color indexed="64"/>
      </top>
      <bottom style="thin">
        <color indexed="64"/>
      </bottom>
      <diagonal/>
    </border>
    <border>
      <left/>
      <right style="thick">
        <color auto="1"/>
      </right>
      <top style="medium">
        <color theme="0"/>
      </top>
      <bottom style="thin">
        <color auto="1"/>
      </bottom>
      <diagonal/>
    </border>
    <border>
      <left/>
      <right style="thick">
        <color auto="1"/>
      </right>
      <top style="thin">
        <color indexed="64"/>
      </top>
      <bottom style="double">
        <color indexed="64"/>
      </bottom>
      <diagonal/>
    </border>
    <border>
      <left/>
      <right style="thick">
        <color auto="1"/>
      </right>
      <top style="thin">
        <color indexed="64"/>
      </top>
      <bottom/>
      <diagonal/>
    </border>
    <border>
      <left/>
      <right style="thick">
        <color auto="1"/>
      </right>
      <top/>
      <bottom/>
      <diagonal/>
    </border>
    <border>
      <left/>
      <right style="thick">
        <color auto="1"/>
      </right>
      <top/>
      <bottom style="thin">
        <color indexed="64"/>
      </bottom>
      <diagonal/>
    </border>
    <border>
      <left/>
      <right style="thick">
        <color auto="1"/>
      </right>
      <top style="double">
        <color indexed="64"/>
      </top>
      <bottom style="double">
        <color indexed="64"/>
      </bottom>
      <diagonal/>
    </border>
    <border>
      <left/>
      <right style="thick">
        <color auto="1"/>
      </right>
      <top style="double">
        <color indexed="64"/>
      </top>
      <bottom style="thin">
        <color auto="1"/>
      </bottom>
      <diagonal/>
    </border>
    <border>
      <left style="thin">
        <color rgb="FFFFC000"/>
      </left>
      <right/>
      <top style="thin">
        <color theme="1"/>
      </top>
      <bottom style="thin">
        <color rgb="FFFFC000"/>
      </bottom>
      <diagonal/>
    </border>
    <border>
      <left style="thin">
        <color rgb="FFFFC000"/>
      </left>
      <right/>
      <top style="thin">
        <color rgb="FFFFC000"/>
      </top>
      <bottom style="thin">
        <color theme="1"/>
      </bottom>
      <diagonal/>
    </border>
    <border>
      <left style="medium">
        <color rgb="FF0D776E"/>
      </left>
      <right style="medium">
        <color rgb="FF0D776E"/>
      </right>
      <top style="thin">
        <color rgb="FF0D776E"/>
      </top>
      <bottom style="thin">
        <color rgb="FF0D776E"/>
      </bottom>
      <diagonal/>
    </border>
    <border>
      <left style="thin">
        <color theme="4"/>
      </left>
      <right style="thin">
        <color theme="4"/>
      </right>
      <top style="thin">
        <color theme="1"/>
      </top>
      <bottom style="thin">
        <color rgb="FF0D776E"/>
      </bottom>
      <diagonal/>
    </border>
    <border>
      <left style="thin">
        <color theme="4"/>
      </left>
      <right style="thin">
        <color theme="4"/>
      </right>
      <top style="thin">
        <color theme="1"/>
      </top>
      <bottom style="thin">
        <color rgb="FF92D050"/>
      </bottom>
      <diagonal/>
    </border>
    <border>
      <left style="thin">
        <color theme="4"/>
      </left>
      <right style="thin">
        <color theme="4"/>
      </right>
      <top style="thin">
        <color theme="1"/>
      </top>
      <bottom style="double">
        <color auto="1"/>
      </bottom>
      <diagonal/>
    </border>
    <border>
      <left style="thin">
        <color theme="4"/>
      </left>
      <right style="thin">
        <color theme="4"/>
      </right>
      <top style="thin">
        <color auto="1"/>
      </top>
      <bottom style="thin">
        <color theme="1"/>
      </bottom>
      <diagonal/>
    </border>
    <border>
      <left style="thin">
        <color theme="4"/>
      </left>
      <right/>
      <top style="thin">
        <color theme="1"/>
      </top>
      <bottom style="thin">
        <color rgb="FF0D776E"/>
      </bottom>
      <diagonal/>
    </border>
    <border>
      <left/>
      <right/>
      <top style="thin">
        <color theme="1"/>
      </top>
      <bottom style="thin">
        <color rgb="FF0D776E"/>
      </bottom>
      <diagonal/>
    </border>
    <border>
      <left style="thin">
        <color theme="4"/>
      </left>
      <right/>
      <top style="thin">
        <color rgb="FF0D776E"/>
      </top>
      <bottom style="thin">
        <color rgb="FF0D776E"/>
      </bottom>
      <diagonal/>
    </border>
    <border>
      <left/>
      <right/>
      <top style="thin">
        <color rgb="FF0D776E"/>
      </top>
      <bottom style="thin">
        <color rgb="FF0D776E"/>
      </bottom>
      <diagonal/>
    </border>
    <border>
      <left/>
      <right style="thick">
        <color auto="1"/>
      </right>
      <top/>
      <bottom style="double">
        <color indexed="64"/>
      </bottom>
      <diagonal/>
    </border>
    <border>
      <left style="thin">
        <color indexed="64"/>
      </left>
      <right/>
      <top style="double">
        <color indexed="64"/>
      </top>
      <bottom style="medium">
        <color theme="0"/>
      </bottom>
      <diagonal/>
    </border>
    <border>
      <left/>
      <right style="thick">
        <color auto="1"/>
      </right>
      <top style="double">
        <color indexed="64"/>
      </top>
      <bottom style="medium">
        <color theme="0"/>
      </bottom>
      <diagonal/>
    </border>
    <border>
      <left style="thick">
        <color auto="1"/>
      </left>
      <right/>
      <top style="medium">
        <color theme="0"/>
      </top>
      <bottom/>
      <diagonal/>
    </border>
    <border>
      <left/>
      <right style="thin">
        <color theme="1"/>
      </right>
      <top style="thin">
        <color theme="1"/>
      </top>
      <bottom style="thin">
        <color theme="1"/>
      </bottom>
      <diagonal/>
    </border>
    <border>
      <left style="thick">
        <color auto="1"/>
      </left>
      <right style="thin">
        <color theme="1"/>
      </right>
      <top style="thin">
        <color theme="1"/>
      </top>
      <bottom/>
      <diagonal/>
    </border>
    <border>
      <left style="thin">
        <color theme="1"/>
      </left>
      <right style="thin">
        <color theme="1"/>
      </right>
      <top style="thin">
        <color theme="1"/>
      </top>
      <bottom style="double">
        <color theme="1"/>
      </bottom>
      <diagonal/>
    </border>
    <border>
      <left style="thin">
        <color theme="1"/>
      </left>
      <right/>
      <top style="thin">
        <color theme="1"/>
      </top>
      <bottom style="double">
        <color theme="1"/>
      </bottom>
      <diagonal/>
    </border>
    <border>
      <left style="thin">
        <color theme="1"/>
      </left>
      <right style="thin">
        <color theme="1"/>
      </right>
      <top style="double">
        <color theme="1"/>
      </top>
      <bottom style="thin">
        <color theme="1"/>
      </bottom>
      <diagonal/>
    </border>
    <border>
      <left style="thin">
        <color theme="1"/>
      </left>
      <right/>
      <top style="double">
        <color theme="1"/>
      </top>
      <bottom style="thin">
        <color theme="1"/>
      </bottom>
      <diagonal/>
    </border>
    <border>
      <left style="thin">
        <color theme="1"/>
      </left>
      <right style="thin">
        <color theme="1"/>
      </right>
      <top style="double">
        <color theme="1"/>
      </top>
      <bottom style="double">
        <color theme="1"/>
      </bottom>
      <diagonal/>
    </border>
    <border>
      <left style="thin">
        <color theme="1"/>
      </left>
      <right style="thin">
        <color theme="1"/>
      </right>
      <top style="double">
        <color theme="1"/>
      </top>
      <bottom/>
      <diagonal/>
    </border>
    <border>
      <left style="thin">
        <color theme="1"/>
      </left>
      <right/>
      <top style="double">
        <color theme="1"/>
      </top>
      <bottom/>
      <diagonal/>
    </border>
    <border>
      <left style="thin">
        <color theme="1"/>
      </left>
      <right/>
      <top style="double">
        <color theme="1"/>
      </top>
      <bottom style="double">
        <color theme="1"/>
      </bottom>
      <diagonal/>
    </border>
    <border>
      <left style="thin">
        <color theme="1"/>
      </left>
      <right/>
      <top style="thin">
        <color theme="1"/>
      </top>
      <bottom/>
      <diagonal/>
    </border>
    <border>
      <left style="thin">
        <color theme="1"/>
      </left>
      <right/>
      <top/>
      <bottom/>
      <diagonal/>
    </border>
    <border>
      <left style="thin">
        <color theme="1"/>
      </left>
      <right/>
      <top/>
      <bottom style="double">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double">
        <color theme="1"/>
      </bottom>
      <diagonal/>
    </border>
    <border>
      <left style="thin">
        <color theme="4"/>
      </left>
      <right/>
      <top/>
      <bottom style="thin">
        <color theme="4"/>
      </bottom>
      <diagonal/>
    </border>
    <border>
      <left style="thin">
        <color theme="4"/>
      </left>
      <right/>
      <top style="thin">
        <color theme="4"/>
      </top>
      <bottom style="thin">
        <color theme="1"/>
      </bottom>
      <diagonal/>
    </border>
    <border>
      <left/>
      <right/>
      <top style="thin">
        <color theme="4"/>
      </top>
      <bottom style="thin">
        <color theme="1"/>
      </bottom>
      <diagonal/>
    </border>
    <border>
      <left/>
      <right style="medium">
        <color rgb="FF0D776E"/>
      </right>
      <top style="thin">
        <color theme="1"/>
      </top>
      <bottom style="double">
        <color indexed="64"/>
      </bottom>
      <diagonal/>
    </border>
    <border>
      <left/>
      <right style="medium">
        <color rgb="FF006666"/>
      </right>
      <top style="thin">
        <color indexed="64"/>
      </top>
      <bottom/>
      <diagonal/>
    </border>
    <border>
      <left style="thin">
        <color rgb="FF92D050"/>
      </left>
      <right style="thin">
        <color rgb="FF92D050"/>
      </right>
      <top style="thin">
        <color theme="1"/>
      </top>
      <bottom style="thin">
        <color theme="4"/>
      </bottom>
      <diagonal/>
    </border>
    <border>
      <left/>
      <right style="medium">
        <color rgb="FF0D776E"/>
      </right>
      <top style="dotted">
        <color theme="1"/>
      </top>
      <bottom/>
      <diagonal/>
    </border>
    <border>
      <left/>
      <right/>
      <top style="dotted">
        <color theme="1"/>
      </top>
      <bottom/>
      <diagonal/>
    </border>
    <border>
      <left/>
      <right/>
      <top style="dotted">
        <color auto="1"/>
      </top>
      <bottom/>
      <diagonal/>
    </border>
    <border>
      <left/>
      <right/>
      <top style="thin">
        <color theme="4"/>
      </top>
      <bottom style="thin">
        <color indexed="64"/>
      </bottom>
      <diagonal/>
    </border>
    <border>
      <left/>
      <right/>
      <top style="thin">
        <color indexed="64"/>
      </top>
      <bottom style="thin">
        <color theme="4"/>
      </bottom>
      <diagonal/>
    </border>
    <border>
      <left/>
      <right/>
      <top style="thin">
        <color theme="4"/>
      </top>
      <bottom style="double">
        <color auto="1"/>
      </bottom>
      <diagonal/>
    </border>
    <border>
      <left style="thin">
        <color theme="4"/>
      </left>
      <right style="thin">
        <color theme="4"/>
      </right>
      <top style="double">
        <color theme="1"/>
      </top>
      <bottom style="thin">
        <color theme="1"/>
      </bottom>
      <diagonal/>
    </border>
    <border>
      <left/>
      <right style="medium">
        <color rgb="FF006666"/>
      </right>
      <top style="double">
        <color theme="1"/>
      </top>
      <bottom/>
      <diagonal/>
    </border>
    <border>
      <left/>
      <right style="medium">
        <color rgb="FF006666"/>
      </right>
      <top/>
      <bottom style="double">
        <color theme="1"/>
      </bottom>
      <diagonal/>
    </border>
    <border>
      <left style="thin">
        <color rgb="FF92D050"/>
      </left>
      <right/>
      <top style="thin">
        <color theme="1"/>
      </top>
      <bottom style="double">
        <color auto="1"/>
      </bottom>
      <diagonal/>
    </border>
    <border>
      <left style="thin">
        <color rgb="FF92D050"/>
      </left>
      <right/>
      <top/>
      <bottom style="thin">
        <color theme="1"/>
      </bottom>
      <diagonal/>
    </border>
    <border>
      <left style="thin">
        <color rgb="FF92D050"/>
      </left>
      <right/>
      <top style="thin">
        <color theme="1"/>
      </top>
      <bottom style="double">
        <color theme="1"/>
      </bottom>
      <diagonal/>
    </border>
    <border>
      <left style="thin">
        <color rgb="FF92D050"/>
      </left>
      <right/>
      <top/>
      <bottom style="double">
        <color theme="1"/>
      </bottom>
      <diagonal/>
    </border>
    <border>
      <left/>
      <right style="medium">
        <color rgb="FF0D776E"/>
      </right>
      <top/>
      <bottom style="thin">
        <color rgb="FF0D776E"/>
      </bottom>
      <diagonal/>
    </border>
    <border>
      <left style="thin">
        <color rgb="FFFFC000"/>
      </left>
      <right style="thin">
        <color rgb="FFFFC000"/>
      </right>
      <top style="thin">
        <color rgb="FFFFC000"/>
      </top>
      <bottom style="thin">
        <color rgb="FF0D776E"/>
      </bottom>
      <diagonal/>
    </border>
    <border>
      <left style="thin">
        <color rgb="FF92D050"/>
      </left>
      <right/>
      <top style="thin">
        <color rgb="FF0D776E"/>
      </top>
      <bottom style="thin">
        <color theme="4"/>
      </bottom>
      <diagonal/>
    </border>
    <border>
      <left/>
      <right/>
      <top style="thin">
        <color rgb="FF0D776E"/>
      </top>
      <bottom style="thin">
        <color theme="4"/>
      </bottom>
      <diagonal/>
    </border>
    <border>
      <left style="thin">
        <color rgb="FF92D050"/>
      </left>
      <right/>
      <top style="thin">
        <color theme="1"/>
      </top>
      <bottom style="thin">
        <color theme="4"/>
      </bottom>
      <diagonal/>
    </border>
    <border>
      <left/>
      <right/>
      <top style="thin">
        <color theme="1"/>
      </top>
      <bottom style="thin">
        <color theme="4"/>
      </bottom>
      <diagonal/>
    </border>
    <border>
      <left/>
      <right style="thin">
        <color theme="4"/>
      </right>
      <top/>
      <bottom style="dotted">
        <color theme="1"/>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right/>
      <top/>
      <bottom style="dotted">
        <color theme="1"/>
      </bottom>
      <diagonal/>
    </border>
    <border>
      <left style="thin">
        <color rgb="FFFFC000"/>
      </left>
      <right/>
      <top/>
      <bottom style="dotted">
        <color theme="1"/>
      </bottom>
      <diagonal/>
    </border>
    <border>
      <left/>
      <right style="thin">
        <color rgb="FFFFC000"/>
      </right>
      <top style="thin">
        <color rgb="FFFFC000"/>
      </top>
      <bottom style="dotted">
        <color theme="1"/>
      </bottom>
      <diagonal/>
    </border>
    <border>
      <left/>
      <right style="medium">
        <color rgb="FF0D776E"/>
      </right>
      <top/>
      <bottom style="dotted">
        <color theme="1"/>
      </bottom>
      <diagonal/>
    </border>
    <border>
      <left style="thin">
        <color rgb="FFFFC000"/>
      </left>
      <right/>
      <top style="medium">
        <color theme="1"/>
      </top>
      <bottom style="thin">
        <color rgb="FF0D776E"/>
      </bottom>
      <diagonal/>
    </border>
    <border>
      <left/>
      <right/>
      <top style="medium">
        <color theme="1"/>
      </top>
      <bottom style="thin">
        <color rgb="FF0D776E"/>
      </bottom>
      <diagonal/>
    </border>
    <border>
      <left/>
      <right style="thin">
        <color rgb="FFFFC000"/>
      </right>
      <top style="medium">
        <color theme="1"/>
      </top>
      <bottom style="thin">
        <color rgb="FF0D776E"/>
      </bottom>
      <diagonal/>
    </border>
    <border>
      <left/>
      <right/>
      <top style="medium">
        <color theme="1"/>
      </top>
      <bottom style="thin">
        <color theme="1"/>
      </bottom>
      <diagonal/>
    </border>
    <border>
      <left style="thin">
        <color theme="4"/>
      </left>
      <right style="thin">
        <color theme="4"/>
      </right>
      <top style="thin">
        <color theme="4"/>
      </top>
      <bottom style="thin">
        <color rgb="FF0D776E"/>
      </bottom>
      <diagonal/>
    </border>
    <border>
      <left style="medium">
        <color theme="1"/>
      </left>
      <right/>
      <top style="thin">
        <color theme="1"/>
      </top>
      <bottom style="thin">
        <color theme="1"/>
      </bottom>
      <diagonal/>
    </border>
    <border>
      <left style="thin">
        <color theme="1"/>
      </left>
      <right/>
      <top style="medium">
        <color theme="1"/>
      </top>
      <bottom style="thin">
        <color theme="1"/>
      </bottom>
      <diagonal/>
    </border>
    <border>
      <left/>
      <right style="medium">
        <color theme="1"/>
      </right>
      <top style="medium">
        <color theme="1"/>
      </top>
      <bottom style="thin">
        <color theme="1"/>
      </bottom>
      <diagonal/>
    </border>
    <border>
      <left/>
      <right style="thin">
        <color theme="1"/>
      </right>
      <top style="thin">
        <color theme="1"/>
      </top>
      <bottom style="medium">
        <color theme="1"/>
      </bottom>
      <diagonal/>
    </border>
    <border>
      <left style="thick">
        <color auto="1"/>
      </left>
      <right/>
      <top style="medium">
        <color theme="0"/>
      </top>
      <bottom style="thin">
        <color auto="1"/>
      </bottom>
      <diagonal/>
    </border>
    <border>
      <left/>
      <right/>
      <top style="medium">
        <color theme="0"/>
      </top>
      <bottom style="thin">
        <color auto="1"/>
      </bottom>
      <diagonal/>
    </border>
    <border>
      <left/>
      <right style="thick">
        <color auto="1"/>
      </right>
      <top style="double">
        <color indexed="64"/>
      </top>
      <bottom/>
      <diagonal/>
    </border>
    <border>
      <left/>
      <right style="thick">
        <color auto="1"/>
      </right>
      <top style="thin">
        <color indexed="64"/>
      </top>
      <bottom style="medium">
        <color theme="0"/>
      </bottom>
      <diagonal/>
    </border>
    <border>
      <left style="thin">
        <color theme="0" tint="-0.24994659260841701"/>
      </left>
      <right style="medium">
        <color rgb="FF0D776E"/>
      </right>
      <top style="thin">
        <color theme="1"/>
      </top>
      <bottom style="thin">
        <color theme="1"/>
      </bottom>
      <diagonal/>
    </border>
    <border>
      <left/>
      <right style="thin">
        <color theme="0" tint="-0.24994659260841701"/>
      </right>
      <top style="double">
        <color auto="1"/>
      </top>
      <bottom/>
      <diagonal/>
    </border>
    <border>
      <left/>
      <right style="thin">
        <color theme="0" tint="-0.24994659260841701"/>
      </right>
      <top/>
      <bottom/>
      <diagonal/>
    </border>
    <border>
      <left/>
      <right/>
      <top style="thin">
        <color rgb="FF0D776E"/>
      </top>
      <bottom style="double">
        <color theme="1"/>
      </bottom>
      <diagonal/>
    </border>
    <border>
      <left style="thin">
        <color rgb="FF0070C0"/>
      </left>
      <right/>
      <top/>
      <bottom style="medium">
        <color rgb="FF0D776E"/>
      </bottom>
      <diagonal/>
    </border>
    <border>
      <left/>
      <right style="thin">
        <color rgb="FFC0C0C0"/>
      </right>
      <top/>
      <bottom style="medium">
        <color rgb="FF0D776E"/>
      </bottom>
      <diagonal/>
    </border>
    <border>
      <left/>
      <right style="thick">
        <color auto="1"/>
      </right>
      <top style="medium">
        <color theme="0"/>
      </top>
      <bottom style="medium">
        <color theme="0"/>
      </bottom>
      <diagonal/>
    </border>
    <border>
      <left/>
      <right style="thick">
        <color auto="1"/>
      </right>
      <top style="medium">
        <color theme="0"/>
      </top>
      <bottom/>
      <diagonal/>
    </border>
    <border>
      <left/>
      <right style="thick">
        <color auto="1"/>
      </right>
      <top style="thin">
        <color theme="1"/>
      </top>
      <bottom style="thin">
        <color theme="1"/>
      </bottom>
      <diagonal/>
    </border>
    <border>
      <left style="thick">
        <color auto="1"/>
      </left>
      <right/>
      <top/>
      <bottom style="double">
        <color theme="1"/>
      </bottom>
      <diagonal/>
    </border>
    <border>
      <left/>
      <right style="thick">
        <color auto="1"/>
      </right>
      <top style="thin">
        <color theme="1"/>
      </top>
      <bottom style="double">
        <color theme="1"/>
      </bottom>
      <diagonal/>
    </border>
    <border>
      <left style="thick">
        <color auto="1"/>
      </left>
      <right style="thin">
        <color theme="1"/>
      </right>
      <top style="double">
        <color theme="1"/>
      </top>
      <bottom/>
      <diagonal/>
    </border>
    <border>
      <left/>
      <right style="thick">
        <color auto="1"/>
      </right>
      <top style="double">
        <color theme="1"/>
      </top>
      <bottom/>
      <diagonal/>
    </border>
    <border>
      <left style="thick">
        <color auto="1"/>
      </left>
      <right style="thin">
        <color theme="1"/>
      </right>
      <top style="double">
        <color theme="1"/>
      </top>
      <bottom style="thin">
        <color theme="1"/>
      </bottom>
      <diagonal/>
    </border>
    <border>
      <left/>
      <right style="thick">
        <color auto="1"/>
      </right>
      <top style="double">
        <color theme="1"/>
      </top>
      <bottom style="thin">
        <color theme="1"/>
      </bottom>
      <diagonal/>
    </border>
    <border>
      <left style="thick">
        <color auto="1"/>
      </left>
      <right style="thin">
        <color theme="1"/>
      </right>
      <top style="thin">
        <color theme="1"/>
      </top>
      <bottom style="thin">
        <color theme="1"/>
      </bottom>
      <diagonal/>
    </border>
    <border>
      <left style="thick">
        <color auto="1"/>
      </left>
      <right style="thin">
        <color theme="1"/>
      </right>
      <top style="thin">
        <color theme="1"/>
      </top>
      <bottom style="double">
        <color theme="1"/>
      </bottom>
      <diagonal/>
    </border>
    <border>
      <left style="thick">
        <color auto="1"/>
      </left>
      <right style="thin">
        <color theme="1"/>
      </right>
      <top style="double">
        <color theme="1"/>
      </top>
      <bottom style="double">
        <color theme="1"/>
      </bottom>
      <diagonal/>
    </border>
    <border>
      <left/>
      <right style="thick">
        <color auto="1"/>
      </right>
      <top style="double">
        <color theme="1"/>
      </top>
      <bottom style="double">
        <color theme="1"/>
      </bottom>
      <diagonal/>
    </border>
    <border>
      <left/>
      <right style="thick">
        <color auto="1"/>
      </right>
      <top style="thin">
        <color theme="1"/>
      </top>
      <bottom/>
      <diagonal/>
    </border>
    <border>
      <left/>
      <right style="thick">
        <color auto="1"/>
      </right>
      <top/>
      <bottom style="double">
        <color theme="1"/>
      </bottom>
      <diagonal/>
    </border>
    <border>
      <left style="thick">
        <color auto="1"/>
      </left>
      <right style="thin">
        <color theme="1"/>
      </right>
      <top/>
      <bottom style="thin">
        <color theme="1"/>
      </bottom>
      <diagonal/>
    </border>
    <border>
      <left/>
      <right style="thick">
        <color auto="1"/>
      </right>
      <top/>
      <bottom style="thin">
        <color theme="1"/>
      </bottom>
      <diagonal/>
    </border>
    <border>
      <left style="thick">
        <color auto="1"/>
      </left>
      <right style="thin">
        <color theme="1"/>
      </right>
      <top/>
      <bottom style="double">
        <color theme="1"/>
      </bottom>
      <diagonal/>
    </border>
    <border>
      <left/>
      <right style="thick">
        <color auto="1"/>
      </right>
      <top/>
      <bottom style="thick">
        <color auto="1"/>
      </bottom>
      <diagonal/>
    </border>
    <border>
      <left/>
      <right/>
      <top style="thin">
        <color theme="4"/>
      </top>
      <bottom/>
      <diagonal/>
    </border>
    <border>
      <left style="thin">
        <color auto="1"/>
      </left>
      <right/>
      <top style="medium">
        <color theme="0"/>
      </top>
      <bottom style="double">
        <color indexed="64"/>
      </bottom>
      <diagonal/>
    </border>
    <border>
      <left/>
      <right style="thick">
        <color auto="1"/>
      </right>
      <top style="medium">
        <color theme="0"/>
      </top>
      <bottom style="double">
        <color indexed="64"/>
      </bottom>
      <diagonal/>
    </border>
    <border>
      <left style="thin">
        <color theme="4"/>
      </left>
      <right/>
      <top style="double">
        <color theme="1"/>
      </top>
      <bottom style="thin">
        <color theme="4"/>
      </bottom>
      <diagonal/>
    </border>
    <border>
      <left style="thin">
        <color theme="4"/>
      </left>
      <right/>
      <top style="thin">
        <color theme="4"/>
      </top>
      <bottom style="thin">
        <color rgb="FF0D776E"/>
      </bottom>
      <diagonal/>
    </border>
    <border>
      <left/>
      <right style="thin">
        <color indexed="64"/>
      </right>
      <top/>
      <bottom style="double">
        <color indexed="64"/>
      </bottom>
      <diagonal/>
    </border>
    <border>
      <left/>
      <right/>
      <top/>
      <bottom style="medium">
        <color theme="1"/>
      </bottom>
      <diagonal/>
    </border>
    <border>
      <left/>
      <right style="thin">
        <color theme="4"/>
      </right>
      <top/>
      <bottom style="thin">
        <color rgb="FF0D776E"/>
      </bottom>
      <diagonal/>
    </border>
    <border>
      <left style="thin">
        <color rgb="FF92D050"/>
      </left>
      <right style="thin">
        <color rgb="FF92D050"/>
      </right>
      <top style="dotted">
        <color theme="1"/>
      </top>
      <bottom style="thin">
        <color rgb="FF92D050"/>
      </bottom>
      <diagonal/>
    </border>
    <border>
      <left style="thin">
        <color rgb="FF92D050"/>
      </left>
      <right style="thin">
        <color rgb="FF92D050"/>
      </right>
      <top style="thin">
        <color rgb="FF92D050"/>
      </top>
      <bottom style="thin">
        <color theme="4"/>
      </bottom>
      <diagonal/>
    </border>
    <border>
      <left style="thin">
        <color indexed="64"/>
      </left>
      <right style="thin">
        <color indexed="64"/>
      </right>
      <top style="dotted">
        <color indexed="64"/>
      </top>
      <bottom style="thin">
        <color indexed="64"/>
      </bottom>
      <diagonal/>
    </border>
    <border>
      <left style="thin">
        <color indexed="64"/>
      </left>
      <right/>
      <top/>
      <bottom style="medium">
        <color theme="0"/>
      </bottom>
      <diagonal/>
    </border>
    <border>
      <left style="thin">
        <color auto="1"/>
      </left>
      <right/>
      <top style="medium">
        <color theme="0"/>
      </top>
      <bottom style="thin">
        <color auto="1"/>
      </bottom>
      <diagonal/>
    </border>
    <border>
      <left/>
      <right style="thin">
        <color indexed="64"/>
      </right>
      <top style="thin">
        <color indexed="64"/>
      </top>
      <bottom style="double">
        <color indexed="64"/>
      </bottom>
      <diagonal/>
    </border>
    <border>
      <left style="thin">
        <color auto="1"/>
      </left>
      <right/>
      <top style="medium">
        <color theme="0"/>
      </top>
      <bottom/>
      <diagonal/>
    </border>
    <border>
      <left style="thin">
        <color indexed="64"/>
      </left>
      <right style="thin">
        <color indexed="64"/>
      </right>
      <top/>
      <bottom style="medium">
        <color indexed="64"/>
      </bottom>
      <diagonal/>
    </border>
    <border>
      <left style="medium">
        <color theme="0"/>
      </left>
      <right/>
      <top style="thick">
        <color auto="1"/>
      </top>
      <bottom/>
      <diagonal/>
    </border>
    <border>
      <left/>
      <right style="thick">
        <color auto="1"/>
      </right>
      <top style="thick">
        <color auto="1"/>
      </top>
      <bottom/>
      <diagonal/>
    </border>
    <border>
      <left style="thin">
        <color theme="6" tint="-0.499984740745262"/>
      </left>
      <right style="medium">
        <color rgb="FF0D776E"/>
      </right>
      <top style="medium">
        <color rgb="FF0D776E"/>
      </top>
      <bottom style="thin">
        <color theme="6" tint="-0.499984740745262"/>
      </bottom>
      <diagonal/>
    </border>
    <border>
      <left/>
      <right style="medium">
        <color rgb="FF0D776E"/>
      </right>
      <top style="thin">
        <color rgb="FF0D776E"/>
      </top>
      <bottom style="thin">
        <color rgb="FF0D776E"/>
      </bottom>
      <diagonal/>
    </border>
    <border>
      <left/>
      <right/>
      <top style="thin">
        <color rgb="FF92D050"/>
      </top>
      <bottom/>
      <diagonal/>
    </border>
    <border>
      <left/>
      <right/>
      <top/>
      <bottom style="thin">
        <color rgb="FF92D050"/>
      </bottom>
      <diagonal/>
    </border>
    <border>
      <left style="thin">
        <color theme="0"/>
      </left>
      <right/>
      <top/>
      <bottom style="thin">
        <color indexed="64"/>
      </bottom>
      <diagonal/>
    </border>
    <border>
      <left style="thin">
        <color theme="0"/>
      </left>
      <right style="thin">
        <color theme="0"/>
      </right>
      <top/>
      <bottom/>
      <diagonal/>
    </border>
    <border>
      <left style="thin">
        <color theme="0"/>
      </left>
      <right style="thin">
        <color theme="0"/>
      </right>
      <top style="thick">
        <color auto="1"/>
      </top>
      <bottom/>
      <diagonal/>
    </border>
    <border>
      <left style="thin">
        <color theme="0"/>
      </left>
      <right style="thin">
        <color theme="0"/>
      </right>
      <top/>
      <bottom style="thin">
        <color indexed="64"/>
      </bottom>
      <diagonal/>
    </border>
    <border>
      <left/>
      <right/>
      <top style="medium">
        <color theme="1"/>
      </top>
      <bottom style="thin">
        <color indexed="64"/>
      </bottom>
      <diagonal/>
    </border>
    <border>
      <left style="thin">
        <color theme="0"/>
      </left>
      <right/>
      <top style="thick">
        <color auto="1"/>
      </top>
      <bottom/>
      <diagonal/>
    </border>
    <border>
      <left style="thin">
        <color theme="0"/>
      </left>
      <right/>
      <top/>
      <bottom/>
      <diagonal/>
    </border>
    <border>
      <left/>
      <right style="thin">
        <color theme="0"/>
      </right>
      <top/>
      <bottom/>
      <diagonal/>
    </border>
    <border>
      <left/>
      <right/>
      <top style="thin">
        <color rgb="FF0D776E"/>
      </top>
      <bottom style="double">
        <color indexed="64"/>
      </bottom>
      <diagonal/>
    </border>
    <border>
      <left/>
      <right style="medium">
        <color rgb="FF0D776E"/>
      </right>
      <top style="thin">
        <color rgb="FF0D776E"/>
      </top>
      <bottom style="double">
        <color indexed="64"/>
      </bottom>
      <diagonal/>
    </border>
    <border>
      <left style="thin">
        <color theme="1"/>
      </left>
      <right style="thin">
        <color theme="1"/>
      </right>
      <top/>
      <bottom/>
      <diagonal/>
    </border>
    <border>
      <left style="thin">
        <color indexed="64"/>
      </left>
      <right style="thin">
        <color indexed="64"/>
      </right>
      <top/>
      <bottom style="medium">
        <color theme="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theme="1"/>
      </right>
      <top style="thin">
        <color theme="1"/>
      </top>
      <bottom/>
      <diagonal/>
    </border>
    <border>
      <left style="medium">
        <color indexed="64"/>
      </left>
      <right/>
      <top style="thin">
        <color indexed="64"/>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medium">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style="thin">
        <color indexed="64"/>
      </top>
      <bottom/>
      <diagonal/>
    </border>
    <border>
      <left style="thin">
        <color indexed="64"/>
      </left>
      <right style="thin">
        <color auto="1"/>
      </right>
      <top style="thin">
        <color indexed="64"/>
      </top>
      <bottom/>
      <diagonal/>
    </border>
    <border>
      <left/>
      <right/>
      <top style="thick">
        <color auto="1"/>
      </top>
      <bottom style="thick">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style="thin">
        <color indexed="64"/>
      </top>
      <bottom/>
      <diagonal/>
    </border>
    <border>
      <left/>
      <right style="thin">
        <color auto="1"/>
      </right>
      <top style="thin">
        <color indexed="64"/>
      </top>
      <bottom/>
      <diagonal/>
    </border>
    <border>
      <left/>
      <right style="thin">
        <color auto="1"/>
      </right>
      <top/>
      <bottom/>
      <diagonal/>
    </border>
    <border>
      <left/>
      <right style="thin">
        <color theme="1"/>
      </right>
      <top style="thin">
        <color theme="1"/>
      </top>
      <bottom/>
      <diagonal/>
    </border>
    <border>
      <left style="thin">
        <color auto="1"/>
      </left>
      <right style="thin">
        <color theme="1"/>
      </right>
      <top style="thin">
        <color theme="1"/>
      </top>
      <bottom/>
      <diagonal/>
    </border>
    <border>
      <left style="thin">
        <color theme="1"/>
      </left>
      <right style="thin">
        <color theme="1"/>
      </right>
      <top style="thin">
        <color auto="1"/>
      </top>
      <bottom/>
      <diagonal/>
    </border>
    <border>
      <left style="thin">
        <color theme="1"/>
      </left>
      <right style="thin">
        <color indexed="64"/>
      </right>
      <top/>
      <bottom style="double">
        <color theme="1"/>
      </bottom>
      <diagonal/>
    </border>
    <border>
      <left style="thin">
        <color theme="1"/>
      </left>
      <right style="thin">
        <color indexed="64"/>
      </right>
      <top style="thin">
        <color theme="1"/>
      </top>
      <bottom/>
      <diagonal/>
    </border>
    <border>
      <left style="thin">
        <color indexed="64"/>
      </left>
      <right style="thin">
        <color indexed="64"/>
      </right>
      <top/>
      <bottom style="double">
        <color theme="1"/>
      </bottom>
      <diagonal/>
    </border>
    <border>
      <left/>
      <right style="thin">
        <color auto="1"/>
      </right>
      <top style="thin">
        <color auto="1"/>
      </top>
      <bottom style="thin">
        <color auto="1"/>
      </bottom>
      <diagonal/>
    </border>
    <border>
      <left/>
      <right/>
      <top style="double">
        <color theme="1"/>
      </top>
      <bottom style="thin">
        <color theme="1"/>
      </bottom>
      <diagonal/>
    </border>
    <border>
      <left/>
      <right style="thin">
        <color theme="1"/>
      </right>
      <top style="double">
        <color theme="1"/>
      </top>
      <bottom style="thin">
        <color theme="1"/>
      </bottom>
      <diagonal/>
    </border>
    <border>
      <left/>
      <right/>
      <top style="double">
        <color theme="1"/>
      </top>
      <bottom style="thin">
        <color auto="1"/>
      </bottom>
      <diagonal/>
    </border>
    <border>
      <left/>
      <right style="thin">
        <color auto="1"/>
      </right>
      <top style="double">
        <color theme="1"/>
      </top>
      <bottom style="thin">
        <color auto="1"/>
      </bottom>
      <diagonal/>
    </border>
    <border>
      <left style="thin">
        <color indexed="64"/>
      </left>
      <right style="thin">
        <color indexed="64"/>
      </right>
      <top style="thin">
        <color theme="1"/>
      </top>
      <bottom style="thin">
        <color indexed="64"/>
      </bottom>
      <diagonal/>
    </border>
    <border>
      <left style="thin">
        <color indexed="64"/>
      </left>
      <right/>
      <top style="thin">
        <color indexed="64"/>
      </top>
      <bottom style="thin">
        <color indexed="64"/>
      </bottom>
      <diagonal/>
    </border>
    <border>
      <left style="thin">
        <color indexed="64"/>
      </left>
      <right style="thin">
        <color auto="1"/>
      </right>
      <top style="thin">
        <color indexed="64"/>
      </top>
      <bottom style="hair">
        <color indexed="64"/>
      </bottom>
      <diagonal/>
    </border>
    <border>
      <left style="thin">
        <color indexed="64"/>
      </left>
      <right style="thin">
        <color auto="1"/>
      </right>
      <top style="hair">
        <color indexed="64"/>
      </top>
      <bottom style="thin">
        <color auto="1"/>
      </bottom>
      <diagonal/>
    </border>
    <border>
      <left style="thin">
        <color indexed="64"/>
      </left>
      <right style="thin">
        <color auto="1"/>
      </right>
      <top style="hair">
        <color indexed="64"/>
      </top>
      <bottom style="hair">
        <color indexed="64"/>
      </bottom>
      <diagonal/>
    </border>
    <border>
      <left style="thin">
        <color theme="1"/>
      </left>
      <right/>
      <top style="thin">
        <color indexed="64"/>
      </top>
      <bottom/>
      <diagonal/>
    </border>
    <border>
      <left/>
      <right style="thin">
        <color theme="1"/>
      </right>
      <top style="thin">
        <color indexed="64"/>
      </top>
      <bottom/>
      <diagonal/>
    </border>
    <border>
      <left/>
      <right style="thin">
        <color theme="1"/>
      </right>
      <top/>
      <bottom style="double">
        <color theme="1"/>
      </bottom>
      <diagonal/>
    </border>
    <border>
      <left style="thin">
        <color theme="1"/>
      </left>
      <right/>
      <top style="thin">
        <color indexed="64"/>
      </top>
      <bottom style="double">
        <color theme="1"/>
      </bottom>
      <diagonal/>
    </border>
    <border>
      <left/>
      <right style="thin">
        <color theme="1"/>
      </right>
      <top style="thin">
        <color indexed="64"/>
      </top>
      <bottom style="double">
        <color theme="1"/>
      </bottom>
      <diagonal/>
    </border>
    <border>
      <left/>
      <right style="thin">
        <color theme="1"/>
      </right>
      <top style="double">
        <color theme="1"/>
      </top>
      <bottom/>
      <diagonal/>
    </border>
    <border>
      <left/>
      <right style="thin">
        <color theme="1"/>
      </right>
      <top/>
      <bottom style="thin">
        <color theme="1"/>
      </bottom>
      <diagonal/>
    </border>
    <border>
      <left style="thin">
        <color theme="1"/>
      </left>
      <right style="thin">
        <color auto="1"/>
      </right>
      <top style="double">
        <color theme="1"/>
      </top>
      <bottom/>
      <diagonal/>
    </border>
    <border>
      <left style="thin">
        <color auto="1"/>
      </left>
      <right style="thin">
        <color auto="1"/>
      </right>
      <top style="double">
        <color theme="1"/>
      </top>
      <bottom/>
      <diagonal/>
    </border>
    <border>
      <left/>
      <right style="thin">
        <color auto="1"/>
      </right>
      <top style="double">
        <color indexed="64"/>
      </top>
      <bottom style="double">
        <color indexed="64"/>
      </bottom>
      <diagonal/>
    </border>
    <border>
      <left/>
      <right style="thin">
        <color indexed="64"/>
      </right>
      <top/>
      <bottom style="medium">
        <color theme="0"/>
      </bottom>
      <diagonal/>
    </border>
    <border>
      <left/>
      <right style="thin">
        <color indexed="64"/>
      </right>
      <top style="double">
        <color indexed="64"/>
      </top>
      <bottom/>
      <diagonal/>
    </border>
    <border>
      <left/>
      <right style="thin">
        <color indexed="64"/>
      </right>
      <top style="medium">
        <color theme="0"/>
      </top>
      <bottom style="double">
        <color indexed="64"/>
      </bottom>
      <diagonal/>
    </border>
    <border>
      <left style="medium">
        <color indexed="64"/>
      </left>
      <right/>
      <top style="thin">
        <color indexed="64"/>
      </top>
      <bottom/>
      <diagonal/>
    </border>
    <border>
      <left style="hair">
        <color indexed="64"/>
      </left>
      <right/>
      <top style="thin">
        <color indexed="64"/>
      </top>
      <bottom style="thin">
        <color indexed="64"/>
      </bottom>
      <diagonal/>
    </border>
    <border>
      <left/>
      <right style="medium">
        <color auto="1"/>
      </right>
      <top style="thin">
        <color indexed="64"/>
      </top>
      <bottom style="thin">
        <color auto="1"/>
      </bottom>
      <diagonal/>
    </border>
    <border>
      <left style="thin">
        <color indexed="64"/>
      </left>
      <right style="medium">
        <color indexed="64"/>
      </right>
      <top style="thin">
        <color indexed="64"/>
      </top>
      <bottom/>
      <diagonal/>
    </border>
    <border>
      <left/>
      <right style="medium">
        <color indexed="64"/>
      </right>
      <top style="thin">
        <color auto="1"/>
      </top>
      <bottom/>
      <diagonal/>
    </border>
    <border>
      <left style="thin">
        <color indexed="64"/>
      </left>
      <right style="medium">
        <color auto="1"/>
      </right>
      <top style="thin">
        <color indexed="64"/>
      </top>
      <bottom style="thin">
        <color auto="1"/>
      </bottom>
      <diagonal/>
    </border>
    <border>
      <left/>
      <right style="thin">
        <color indexed="64"/>
      </right>
      <top style="medium">
        <color indexed="64"/>
      </top>
      <bottom/>
      <diagonal/>
    </border>
    <border>
      <left style="hair">
        <color indexed="64"/>
      </left>
      <right style="medium">
        <color indexed="64"/>
      </right>
      <top style="thin">
        <color indexed="64"/>
      </top>
      <bottom style="medium">
        <color indexed="64"/>
      </bottom>
      <diagonal/>
    </border>
    <border>
      <left/>
      <right style="medium">
        <color rgb="FF0D776E"/>
      </right>
      <top style="thin">
        <color indexed="64"/>
      </top>
      <bottom/>
      <diagonal/>
    </border>
    <border>
      <left/>
      <right/>
      <top/>
      <bottom style="thin">
        <color rgb="FFFF0000"/>
      </bottom>
      <diagonal/>
    </border>
    <border>
      <left style="thin">
        <color indexed="64"/>
      </left>
      <right style="thin">
        <color indexed="64"/>
      </right>
      <top style="thin">
        <color indexed="64"/>
      </top>
      <bottom style="medium">
        <color theme="0"/>
      </bottom>
      <diagonal/>
    </border>
    <border>
      <left style="medium">
        <color rgb="FF0D776E"/>
      </left>
      <right style="medium">
        <color rgb="FF0D776E"/>
      </right>
      <top style="medium">
        <color theme="0"/>
      </top>
      <bottom/>
      <diagonal/>
    </border>
    <border>
      <left/>
      <right/>
      <top style="thin">
        <color indexed="64"/>
      </top>
      <bottom/>
      <diagonal/>
    </border>
    <border>
      <left style="medium">
        <color rgb="FF0D776E"/>
      </left>
      <right/>
      <top/>
      <bottom style="double">
        <color auto="1"/>
      </bottom>
      <diagonal/>
    </border>
    <border>
      <left/>
      <right style="medium">
        <color rgb="FF0D776E"/>
      </right>
      <top/>
      <bottom style="double">
        <color auto="1"/>
      </bottom>
      <diagonal/>
    </border>
    <border>
      <left style="thin">
        <color rgb="FF92D050"/>
      </left>
      <right/>
      <top style="double">
        <color auto="1"/>
      </top>
      <bottom/>
      <diagonal/>
    </border>
    <border>
      <left/>
      <right/>
      <top style="double">
        <color auto="1"/>
      </top>
      <bottom style="double">
        <color indexed="64"/>
      </bottom>
      <diagonal/>
    </border>
    <border>
      <left style="thin">
        <color theme="4"/>
      </left>
      <right style="thin">
        <color theme="4"/>
      </right>
      <top style="double">
        <color auto="1"/>
      </top>
      <bottom style="double">
        <color indexed="64"/>
      </bottom>
      <diagonal/>
    </border>
    <border>
      <left style="medium">
        <color rgb="FF0D776E"/>
      </left>
      <right/>
      <top style="double">
        <color auto="1"/>
      </top>
      <bottom/>
      <diagonal/>
    </border>
    <border>
      <left style="medium">
        <color indexed="64"/>
      </left>
      <right style="thin">
        <color indexed="64"/>
      </right>
      <top style="thin">
        <color indexed="64"/>
      </top>
      <bottom style="thin">
        <color indexed="64"/>
      </bottom>
      <diagonal/>
    </border>
    <border>
      <left style="medium">
        <color indexed="64"/>
      </left>
      <right/>
      <top/>
      <bottom style="double">
        <color auto="1"/>
      </bottom>
      <diagonal/>
    </border>
    <border>
      <left style="thin">
        <color rgb="FFC0C0C0"/>
      </left>
      <right style="medium">
        <color rgb="FF0D776E"/>
      </right>
      <top style="double">
        <color auto="1"/>
      </top>
      <bottom/>
      <diagonal/>
    </border>
    <border>
      <left/>
      <right/>
      <top style="double">
        <color indexed="64"/>
      </top>
      <bottom style="thin">
        <color indexed="64"/>
      </bottom>
      <diagonal/>
    </border>
    <border>
      <left/>
      <right style="medium">
        <color rgb="FF0D776E"/>
      </right>
      <top style="double">
        <color indexed="64"/>
      </top>
      <bottom style="thin">
        <color indexed="64"/>
      </bottom>
      <diagonal/>
    </border>
    <border>
      <left style="medium">
        <color rgb="FF0D776E"/>
      </left>
      <right/>
      <top style="thin">
        <color indexed="64"/>
      </top>
      <bottom/>
      <diagonal/>
    </border>
    <border>
      <left style="medium">
        <color rgb="FF0D776E"/>
      </left>
      <right/>
      <top style="thin">
        <color indexed="64"/>
      </top>
      <bottom style="thin">
        <color indexed="64"/>
      </bottom>
      <diagonal/>
    </border>
    <border>
      <left/>
      <right style="thin">
        <color theme="4"/>
      </right>
      <top style="thin">
        <color indexed="64"/>
      </top>
      <bottom style="thin">
        <color indexed="64"/>
      </bottom>
      <diagonal/>
    </border>
    <border>
      <left/>
      <right style="thin">
        <color theme="4"/>
      </right>
      <top style="thin">
        <color auto="1"/>
      </top>
      <bottom/>
      <diagonal/>
    </border>
    <border>
      <left/>
      <right style="medium">
        <color rgb="FF0D776E"/>
      </right>
      <top style="thin">
        <color indexed="64"/>
      </top>
      <bottom style="thin">
        <color indexed="64"/>
      </bottom>
      <diagonal/>
    </border>
    <border>
      <left style="thin">
        <color rgb="FF0D776E"/>
      </left>
      <right style="thin">
        <color auto="1"/>
      </right>
      <top style="thin">
        <color auto="1"/>
      </top>
      <bottom style="thin">
        <color auto="1"/>
      </bottom>
      <diagonal/>
    </border>
    <border>
      <left style="thin">
        <color auto="1"/>
      </left>
      <right style="thin">
        <color rgb="FF0D776E"/>
      </right>
      <top style="thin">
        <color auto="1"/>
      </top>
      <bottom style="thin">
        <color auto="1"/>
      </bottom>
      <diagonal/>
    </border>
    <border>
      <left style="thin">
        <color theme="4"/>
      </left>
      <right style="thin">
        <color theme="4"/>
      </right>
      <top style="double">
        <color auto="1"/>
      </top>
      <bottom style="thin">
        <color theme="4"/>
      </bottom>
      <diagonal/>
    </border>
    <border>
      <left/>
      <right style="medium">
        <color rgb="FF0D776E"/>
      </right>
      <top style="double">
        <color auto="1"/>
      </top>
      <bottom style="double">
        <color auto="1"/>
      </bottom>
      <diagonal/>
    </border>
    <border>
      <left style="medium">
        <color rgb="FF006666"/>
      </left>
      <right style="thin">
        <color auto="1"/>
      </right>
      <top style="thin">
        <color auto="1"/>
      </top>
      <bottom style="thin">
        <color auto="1"/>
      </bottom>
      <diagonal/>
    </border>
    <border>
      <left style="thin">
        <color auto="1"/>
      </left>
      <right style="thick">
        <color rgb="FF002060"/>
      </right>
      <top style="thin">
        <color auto="1"/>
      </top>
      <bottom style="thin">
        <color auto="1"/>
      </bottom>
      <diagonal/>
    </border>
    <border>
      <left style="thick">
        <color rgb="FF002060"/>
      </left>
      <right style="thin">
        <color auto="1"/>
      </right>
      <top style="thin">
        <color auto="1"/>
      </top>
      <bottom style="thin">
        <color auto="1"/>
      </bottom>
      <diagonal/>
    </border>
    <border>
      <left style="thick">
        <color rgb="FF002060"/>
      </left>
      <right/>
      <top style="thin">
        <color indexed="64"/>
      </top>
      <bottom style="thin">
        <color indexed="64"/>
      </bottom>
      <diagonal/>
    </border>
    <border>
      <left style="thin">
        <color auto="1"/>
      </left>
      <right style="medium">
        <color rgb="FF006666"/>
      </right>
      <top style="thin">
        <color auto="1"/>
      </top>
      <bottom style="thin">
        <color auto="1"/>
      </bottom>
      <diagonal/>
    </border>
    <border>
      <left style="thick">
        <color rgb="FF002060"/>
      </left>
      <right style="thin">
        <color auto="1"/>
      </right>
      <top style="thin">
        <color auto="1"/>
      </top>
      <bottom style="thin">
        <color rgb="FF0D776E"/>
      </bottom>
      <diagonal/>
    </border>
    <border>
      <left style="thin">
        <color auto="1"/>
      </left>
      <right style="thin">
        <color auto="1"/>
      </right>
      <top style="thin">
        <color auto="1"/>
      </top>
      <bottom style="thin">
        <color rgb="FF0D776E"/>
      </bottom>
      <diagonal/>
    </border>
    <border>
      <left style="thin">
        <color auto="1"/>
      </left>
      <right style="thick">
        <color rgb="FF002060"/>
      </right>
      <top style="thin">
        <color auto="1"/>
      </top>
      <bottom style="thin">
        <color rgb="FF0D776E"/>
      </bottom>
      <diagonal/>
    </border>
    <border>
      <left style="medium">
        <color rgb="FF006666"/>
      </left>
      <right style="thin">
        <color auto="1"/>
      </right>
      <top style="thin">
        <color auto="1"/>
      </top>
      <bottom style="medium">
        <color rgb="FF006666"/>
      </bottom>
      <diagonal/>
    </border>
    <border>
      <left style="thin">
        <color auto="1"/>
      </left>
      <right style="thin">
        <color auto="1"/>
      </right>
      <top style="thin">
        <color auto="1"/>
      </top>
      <bottom style="medium">
        <color rgb="FF006666"/>
      </bottom>
      <diagonal/>
    </border>
    <border>
      <left style="thin">
        <color auto="1"/>
      </left>
      <right style="thick">
        <color rgb="FF002060"/>
      </right>
      <top style="thin">
        <color auto="1"/>
      </top>
      <bottom style="medium">
        <color rgb="FF006666"/>
      </bottom>
      <diagonal/>
    </border>
    <border>
      <left style="thick">
        <color rgb="FF002060"/>
      </left>
      <right/>
      <top style="thin">
        <color indexed="64"/>
      </top>
      <bottom style="medium">
        <color rgb="FF006666"/>
      </bottom>
      <diagonal/>
    </border>
    <border>
      <left/>
      <right style="thin">
        <color indexed="64"/>
      </right>
      <top style="thin">
        <color indexed="64"/>
      </top>
      <bottom style="medium">
        <color rgb="FF006666"/>
      </bottom>
      <diagonal/>
    </border>
    <border>
      <left style="thin">
        <color auto="1"/>
      </left>
      <right style="medium">
        <color rgb="FF006666"/>
      </right>
      <top style="thin">
        <color auto="1"/>
      </top>
      <bottom style="medium">
        <color rgb="FF006666"/>
      </bottom>
      <diagonal/>
    </border>
    <border>
      <left style="thin">
        <color theme="4"/>
      </left>
      <right/>
      <top style="double">
        <color auto="1"/>
      </top>
      <bottom style="thin">
        <color rgb="FF0D776E"/>
      </bottom>
      <diagonal/>
    </border>
    <border>
      <left/>
      <right/>
      <top style="double">
        <color auto="1"/>
      </top>
      <bottom style="thin">
        <color rgb="FF0D776E"/>
      </bottom>
      <diagonal/>
    </border>
    <border>
      <left style="thin">
        <color theme="4"/>
      </left>
      <right/>
      <top/>
      <bottom style="double">
        <color indexed="64"/>
      </bottom>
      <diagonal/>
    </border>
    <border>
      <left/>
      <right style="thin">
        <color rgb="FFC0C0C0"/>
      </right>
      <top/>
      <bottom style="double">
        <color auto="1"/>
      </bottom>
      <diagonal/>
    </border>
    <border>
      <left/>
      <right/>
      <top style="thin">
        <color indexed="64"/>
      </top>
      <bottom style="thin">
        <color rgb="FFFFC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rgb="FF0D776E"/>
      </bottom>
      <diagonal/>
    </border>
    <border>
      <left/>
      <right/>
      <top style="thin">
        <color theme="0" tint="-0.34998626667073579"/>
      </top>
      <bottom style="medium">
        <color rgb="FF0D776E"/>
      </bottom>
      <diagonal/>
    </border>
    <border>
      <left/>
      <right/>
      <top style="thin">
        <color theme="0" tint="-0.34998626667073579"/>
      </top>
      <bottom/>
      <diagonal/>
    </border>
    <border>
      <left style="medium">
        <color indexed="64"/>
      </left>
      <right/>
      <top/>
      <bottom style="medium">
        <color rgb="FF0D776E"/>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D776E"/>
      </left>
      <right style="medium">
        <color rgb="FF0D776E"/>
      </right>
      <top/>
      <bottom style="medium">
        <color rgb="FF0D776E"/>
      </bottom>
      <diagonal/>
    </border>
    <border>
      <left/>
      <right/>
      <top style="thin">
        <color theme="0" tint="-0.34998626667073579"/>
      </top>
      <bottom style="thick">
        <color rgb="FF663300"/>
      </bottom>
      <diagonal/>
    </border>
    <border>
      <left style="thin">
        <color auto="1"/>
      </left>
      <right style="thin">
        <color auto="1"/>
      </right>
      <top/>
      <bottom style="double">
        <color indexed="64"/>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auto="1"/>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auto="1"/>
      </right>
      <top style="medium">
        <color theme="0" tint="-0.34998626667073579"/>
      </top>
      <bottom style="thin">
        <color theme="0" tint="-0.34998626667073579"/>
      </bottom>
      <diagonal/>
    </border>
    <border>
      <left/>
      <right style="thin">
        <color auto="1"/>
      </right>
      <top/>
      <bottom style="thin">
        <color theme="1"/>
      </bottom>
      <diagonal/>
    </border>
    <border>
      <left/>
      <right style="thin">
        <color auto="1"/>
      </right>
      <top style="thin">
        <color theme="1"/>
      </top>
      <bottom style="thin">
        <color theme="1"/>
      </bottom>
      <diagonal/>
    </border>
    <border>
      <left/>
      <right style="thin">
        <color auto="1"/>
      </right>
      <top style="thin">
        <color theme="1"/>
      </top>
      <bottom/>
      <diagonal/>
    </border>
    <border>
      <left/>
      <right style="thin">
        <color auto="1"/>
      </right>
      <top/>
      <bottom style="thick">
        <color auto="1"/>
      </bottom>
      <diagonal/>
    </border>
    <border>
      <left/>
      <right style="thin">
        <color auto="1"/>
      </right>
      <top style="thick">
        <color auto="1"/>
      </top>
      <bottom style="thick">
        <color auto="1"/>
      </bottom>
      <diagonal/>
    </border>
    <border>
      <left style="thin">
        <color auto="1"/>
      </left>
      <right style="thin">
        <color theme="0"/>
      </right>
      <top style="thick">
        <color auto="1"/>
      </top>
      <bottom/>
      <diagonal/>
    </border>
    <border>
      <left/>
      <right style="thin">
        <color auto="1"/>
      </right>
      <top style="thick">
        <color auto="1"/>
      </top>
      <bottom/>
      <diagonal/>
    </border>
    <border>
      <left style="thin">
        <color auto="1"/>
      </left>
      <right style="thin">
        <color theme="0"/>
      </right>
      <top/>
      <bottom/>
      <diagonal/>
    </border>
    <border>
      <left style="thin">
        <color theme="0"/>
      </left>
      <right/>
      <top style="thin">
        <color indexed="64"/>
      </top>
      <bottom/>
      <diagonal/>
    </border>
    <border>
      <left style="thin">
        <color auto="1"/>
      </left>
      <right style="thin">
        <color theme="0"/>
      </right>
      <top/>
      <bottom style="thin">
        <color indexed="64"/>
      </bottom>
      <diagonal/>
    </border>
    <border>
      <left/>
      <right style="thin">
        <color theme="0"/>
      </right>
      <top style="thin">
        <color indexed="64"/>
      </top>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medium">
        <color theme="0"/>
      </bottom>
      <diagonal/>
    </border>
    <border>
      <left/>
      <right style="thin">
        <color auto="1"/>
      </right>
      <top style="thin">
        <color indexed="64"/>
      </top>
      <bottom style="medium">
        <color theme="0"/>
      </bottom>
      <diagonal/>
    </border>
    <border>
      <left/>
      <right style="thin">
        <color auto="1"/>
      </right>
      <top style="medium">
        <color theme="0"/>
      </top>
      <bottom style="thin">
        <color auto="1"/>
      </bottom>
      <diagonal/>
    </border>
    <border>
      <left/>
      <right style="thin">
        <color auto="1"/>
      </right>
      <top style="medium">
        <color theme="0"/>
      </top>
      <bottom/>
      <diagonal/>
    </border>
    <border>
      <left style="thin">
        <color auto="1"/>
      </left>
      <right/>
      <top style="thin">
        <color theme="1"/>
      </top>
      <bottom/>
      <diagonal/>
    </border>
    <border>
      <left style="thin">
        <color auto="1"/>
      </left>
      <right/>
      <top/>
      <bottom style="double">
        <color theme="1"/>
      </bottom>
      <diagonal/>
    </border>
    <border>
      <left/>
      <right style="thin">
        <color auto="1"/>
      </right>
      <top style="thin">
        <color theme="1"/>
      </top>
      <bottom style="double">
        <color theme="1"/>
      </bottom>
      <diagonal/>
    </border>
    <border>
      <left style="thin">
        <color auto="1"/>
      </left>
      <right style="thin">
        <color theme="1"/>
      </right>
      <top style="double">
        <color theme="1"/>
      </top>
      <bottom/>
      <diagonal/>
    </border>
    <border>
      <left/>
      <right style="thin">
        <color auto="1"/>
      </right>
      <top style="double">
        <color theme="1"/>
      </top>
      <bottom/>
      <diagonal/>
    </border>
    <border>
      <left style="thin">
        <color auto="1"/>
      </left>
      <right style="thin">
        <color theme="1"/>
      </right>
      <top/>
      <bottom style="double">
        <color theme="1"/>
      </bottom>
      <diagonal/>
    </border>
    <border>
      <left/>
      <right style="thin">
        <color auto="1"/>
      </right>
      <top/>
      <bottom style="double">
        <color theme="1"/>
      </bottom>
      <diagonal/>
    </border>
    <border>
      <left style="thin">
        <color auto="1"/>
      </left>
      <right/>
      <top style="double">
        <color theme="1"/>
      </top>
      <bottom style="thin">
        <color theme="1"/>
      </bottom>
      <diagonal/>
    </border>
    <border>
      <left/>
      <right style="thin">
        <color auto="1"/>
      </right>
      <top style="double">
        <color theme="1"/>
      </top>
      <bottom style="thin">
        <color theme="1"/>
      </bottom>
      <diagonal/>
    </border>
    <border>
      <left style="thin">
        <color auto="1"/>
      </left>
      <right style="thin">
        <color theme="1"/>
      </right>
      <top style="thin">
        <color theme="1"/>
      </top>
      <bottom style="thin">
        <color theme="1"/>
      </bottom>
      <diagonal/>
    </border>
    <border>
      <left style="thin">
        <color auto="1"/>
      </left>
      <right style="thin">
        <color theme="1"/>
      </right>
      <top style="thin">
        <color theme="1"/>
      </top>
      <bottom style="double">
        <color theme="1"/>
      </bottom>
      <diagonal/>
    </border>
    <border>
      <left style="thin">
        <color auto="1"/>
      </left>
      <right/>
      <top style="double">
        <color theme="1"/>
      </top>
      <bottom/>
      <diagonal/>
    </border>
    <border>
      <left style="thin">
        <color auto="1"/>
      </left>
      <right style="thin">
        <color theme="1"/>
      </right>
      <top style="double">
        <color theme="1"/>
      </top>
      <bottom style="double">
        <color theme="1"/>
      </bottom>
      <diagonal/>
    </border>
    <border>
      <left/>
      <right style="thin">
        <color auto="1"/>
      </right>
      <top style="double">
        <color theme="1"/>
      </top>
      <bottom style="double">
        <color theme="1"/>
      </bottom>
      <diagonal/>
    </border>
    <border>
      <left style="thin">
        <color auto="1"/>
      </left>
      <right/>
      <top/>
      <bottom style="thin">
        <color theme="1"/>
      </bottom>
      <diagonal/>
    </border>
    <border>
      <left style="thin">
        <color auto="1"/>
      </left>
      <right style="thin">
        <color theme="1"/>
      </right>
      <top/>
      <bottom style="thin">
        <color theme="1"/>
      </bottom>
      <diagonal/>
    </border>
    <border>
      <left style="thin">
        <color auto="1"/>
      </left>
      <right/>
      <top style="double">
        <color theme="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rgb="FFFFC000"/>
      </top>
      <bottom style="double">
        <color theme="1"/>
      </bottom>
      <diagonal/>
    </border>
    <border>
      <left/>
      <right/>
      <top style="thin">
        <color rgb="FFFFC000"/>
      </top>
      <bottom style="thin">
        <color rgb="FF0D776E"/>
      </bottom>
      <diagonal/>
    </border>
    <border>
      <left/>
      <right/>
      <top style="thin">
        <color rgb="FFFF0000"/>
      </top>
      <bottom style="thin">
        <color rgb="FF0D776E"/>
      </bottom>
      <diagonal/>
    </border>
    <border>
      <left style="medium">
        <color rgb="FF0D776E"/>
      </left>
      <right style="medium">
        <color rgb="FF0D776E"/>
      </right>
      <top style="thin">
        <color rgb="FF0D776E"/>
      </top>
      <bottom/>
      <diagonal/>
    </border>
    <border>
      <left style="medium">
        <color rgb="FF0D776E"/>
      </left>
      <right/>
      <top style="thin">
        <color rgb="FF0D776E"/>
      </top>
      <bottom style="thin">
        <color rgb="FF0D776E"/>
      </bottom>
      <diagonal/>
    </border>
    <border>
      <left style="thin">
        <color indexed="64"/>
      </left>
      <right style="thin">
        <color auto="1"/>
      </right>
      <top style="double">
        <color indexed="64"/>
      </top>
      <bottom style="thin">
        <color indexed="64"/>
      </bottom>
      <diagonal/>
    </border>
    <border>
      <left style="thin">
        <color indexed="64"/>
      </left>
      <right/>
      <top style="double">
        <color indexed="64"/>
      </top>
      <bottom style="thin">
        <color indexed="64"/>
      </bottom>
      <diagonal/>
    </border>
    <border>
      <left/>
      <right/>
      <top style="thin">
        <color indexed="64"/>
      </top>
      <bottom style="medium">
        <color theme="0"/>
      </bottom>
      <diagonal/>
    </border>
    <border>
      <left/>
      <right style="thin">
        <color rgb="FFC0C0C0"/>
      </right>
      <top style="double">
        <color auto="1"/>
      </top>
      <bottom/>
      <diagonal/>
    </border>
    <border>
      <left/>
      <right style="thin">
        <color rgb="FFC0C0C0"/>
      </right>
      <top/>
      <bottom style="thin">
        <color rgb="FFFF0000"/>
      </bottom>
      <diagonal/>
    </border>
    <border>
      <left/>
      <right/>
      <top style="thin">
        <color indexed="64"/>
      </top>
      <bottom style="thin">
        <color theme="0" tint="-0.34998626667073579"/>
      </bottom>
      <diagonal/>
    </border>
    <border>
      <left/>
      <right style="thin">
        <color auto="1"/>
      </right>
      <top style="thin">
        <color indexed="64"/>
      </top>
      <bottom style="thin">
        <color theme="0" tint="-0.34998626667073579"/>
      </bottom>
      <diagonal/>
    </border>
  </borders>
  <cellStyleXfs count="67">
    <xf numFmtId="0" fontId="0" fillId="0" borderId="0"/>
    <xf numFmtId="9" fontId="1" fillId="0" borderId="0" applyFont="0" applyFill="0" applyBorder="0" applyAlignment="0" applyProtection="0"/>
    <xf numFmtId="0" fontId="6" fillId="43" borderId="0" applyNumberFormat="0" applyBorder="0" applyAlignment="0" applyProtection="0"/>
    <xf numFmtId="0" fontId="1" fillId="2" borderId="0" applyNumberFormat="0" applyBorder="0" applyAlignment="0" applyProtection="0"/>
    <xf numFmtId="0" fontId="4" fillId="0" borderId="0"/>
    <xf numFmtId="0" fontId="17" fillId="0" borderId="0" applyNumberFormat="0" applyFill="0" applyBorder="0" applyAlignment="0" applyProtection="0"/>
    <xf numFmtId="0" fontId="19" fillId="8" borderId="9">
      <alignment horizontal="center" vertical="center" wrapText="1"/>
    </xf>
    <xf numFmtId="49" fontId="20" fillId="43" borderId="439">
      <alignment horizontal="left" vertical="center" wrapText="1"/>
    </xf>
    <xf numFmtId="0" fontId="23" fillId="9" borderId="13">
      <alignment horizontal="left" vertical="top" wrapText="1"/>
    </xf>
    <xf numFmtId="1" fontId="26" fillId="10" borderId="15">
      <alignment horizontal="center" vertical="center"/>
      <protection locked="0"/>
    </xf>
    <xf numFmtId="167" fontId="27" fillId="11" borderId="21">
      <alignment horizontal="left" vertical="top" wrapText="1"/>
    </xf>
    <xf numFmtId="0" fontId="26" fillId="12" borderId="22">
      <alignment horizontal="right" vertical="top"/>
    </xf>
    <xf numFmtId="0" fontId="21" fillId="12" borderId="23">
      <alignment horizontal="left" vertical="top" wrapText="1"/>
      <protection locked="0"/>
    </xf>
    <xf numFmtId="0" fontId="34" fillId="8" borderId="61">
      <alignment horizontal="left" vertical="center" wrapText="1"/>
    </xf>
    <xf numFmtId="0" fontId="40" fillId="14" borderId="13">
      <alignment horizontal="center" vertical="center"/>
    </xf>
    <xf numFmtId="0" fontId="13" fillId="15" borderId="118">
      <alignment horizontal="center" vertical="center"/>
    </xf>
    <xf numFmtId="49" fontId="55" fillId="0" borderId="0">
      <alignment horizontal="center" vertical="center" wrapText="1"/>
    </xf>
    <xf numFmtId="0" fontId="60" fillId="18" borderId="169" applyNumberFormat="0" applyProtection="0">
      <alignment horizontal="left" vertical="center"/>
    </xf>
    <xf numFmtId="1" fontId="22" fillId="13" borderId="73">
      <alignment horizontal="center" vertical="center"/>
      <protection locked="0"/>
    </xf>
    <xf numFmtId="167" fontId="66" fillId="0" borderId="182">
      <alignment horizontal="left" vertical="top"/>
    </xf>
    <xf numFmtId="164" fontId="4" fillId="0" borderId="0" applyFont="0" applyFill="0" applyBorder="0" applyAlignment="0" applyProtection="0"/>
    <xf numFmtId="9" fontId="4" fillId="0" borderId="0" applyFont="0" applyFill="0" applyBorder="0" applyAlignment="0" applyProtection="0"/>
    <xf numFmtId="0" fontId="23" fillId="32" borderId="0" applyBorder="0">
      <alignment horizontal="left" vertical="top" wrapText="1"/>
      <protection locked="0"/>
    </xf>
    <xf numFmtId="0" fontId="110" fillId="0" borderId="0"/>
    <xf numFmtId="0" fontId="111" fillId="44" borderId="0" applyNumberFormat="0" applyBorder="0" applyAlignment="0" applyProtection="0"/>
    <xf numFmtId="0" fontId="111" fillId="45" borderId="0" applyNumberFormat="0" applyBorder="0" applyAlignment="0" applyProtection="0"/>
    <xf numFmtId="0" fontId="111" fillId="46" borderId="0" applyNumberFormat="0" applyBorder="0" applyAlignment="0" applyProtection="0"/>
    <xf numFmtId="0" fontId="111" fillId="47" borderId="0" applyNumberFormat="0" applyBorder="0" applyAlignment="0" applyProtection="0"/>
    <xf numFmtId="0" fontId="111" fillId="48" borderId="0" applyNumberFormat="0" applyBorder="0" applyAlignment="0" applyProtection="0"/>
    <xf numFmtId="0" fontId="111" fillId="49" borderId="0" applyNumberFormat="0" applyBorder="0" applyAlignment="0" applyProtection="0"/>
    <xf numFmtId="0" fontId="111" fillId="50" borderId="0" applyNumberFormat="0" applyBorder="0" applyAlignment="0" applyProtection="0"/>
    <xf numFmtId="0" fontId="111" fillId="51" borderId="0" applyNumberFormat="0" applyBorder="0" applyAlignment="0" applyProtection="0"/>
    <xf numFmtId="0" fontId="111" fillId="52" borderId="0" applyNumberFormat="0" applyBorder="0" applyAlignment="0" applyProtection="0"/>
    <xf numFmtId="0" fontId="111" fillId="47" borderId="0" applyNumberFormat="0" applyBorder="0" applyAlignment="0" applyProtection="0"/>
    <xf numFmtId="0" fontId="111" fillId="50" borderId="0" applyNumberFormat="0" applyBorder="0" applyAlignment="0" applyProtection="0"/>
    <xf numFmtId="0" fontId="111" fillId="53" borderId="0" applyNumberFormat="0" applyBorder="0" applyAlignment="0" applyProtection="0"/>
    <xf numFmtId="0" fontId="112" fillId="54" borderId="0" applyNumberFormat="0" applyBorder="0" applyAlignment="0" applyProtection="0"/>
    <xf numFmtId="0" fontId="112" fillId="51" borderId="0" applyNumberFormat="0" applyBorder="0" applyAlignment="0" applyProtection="0"/>
    <xf numFmtId="0" fontId="112" fillId="52" borderId="0" applyNumberFormat="0" applyBorder="0" applyAlignment="0" applyProtection="0"/>
    <xf numFmtId="0" fontId="112" fillId="55" borderId="0" applyNumberFormat="0" applyBorder="0" applyAlignment="0" applyProtection="0"/>
    <xf numFmtId="0" fontId="112" fillId="56" borderId="0" applyNumberFormat="0" applyBorder="0" applyAlignment="0" applyProtection="0"/>
    <xf numFmtId="0" fontId="112" fillId="57" borderId="0" applyNumberFormat="0" applyBorder="0" applyAlignment="0" applyProtection="0"/>
    <xf numFmtId="0" fontId="112" fillId="58" borderId="0" applyNumberFormat="0" applyBorder="0" applyAlignment="0" applyProtection="0"/>
    <xf numFmtId="0" fontId="112" fillId="59" borderId="0" applyNumberFormat="0" applyBorder="0" applyAlignment="0" applyProtection="0"/>
    <xf numFmtId="0" fontId="112" fillId="60" borderId="0" applyNumberFormat="0" applyBorder="0" applyAlignment="0" applyProtection="0"/>
    <xf numFmtId="0" fontId="112" fillId="55" borderId="0" applyNumberFormat="0" applyBorder="0" applyAlignment="0" applyProtection="0"/>
    <xf numFmtId="0" fontId="112" fillId="56" borderId="0" applyNumberFormat="0" applyBorder="0" applyAlignment="0" applyProtection="0"/>
    <xf numFmtId="0" fontId="112" fillId="61" borderId="0" applyNumberFormat="0" applyBorder="0" applyAlignment="0" applyProtection="0"/>
    <xf numFmtId="0" fontId="113" fillId="45" borderId="0" applyNumberFormat="0" applyBorder="0" applyAlignment="0" applyProtection="0"/>
    <xf numFmtId="0" fontId="114" fillId="62" borderId="588" applyNumberFormat="0" applyAlignment="0" applyProtection="0"/>
    <xf numFmtId="0" fontId="115" fillId="63" borderId="589" applyNumberFormat="0" applyAlignment="0" applyProtection="0"/>
    <xf numFmtId="0" fontId="116" fillId="0" borderId="0" applyNumberFormat="0" applyFill="0" applyBorder="0" applyAlignment="0" applyProtection="0"/>
    <xf numFmtId="0" fontId="117" fillId="46" borderId="0" applyNumberFormat="0" applyBorder="0" applyAlignment="0" applyProtection="0"/>
    <xf numFmtId="0" fontId="118" fillId="0" borderId="590" applyNumberFormat="0" applyFill="0" applyAlignment="0" applyProtection="0"/>
    <xf numFmtId="0" fontId="119" fillId="0" borderId="591" applyNumberFormat="0" applyFill="0" applyAlignment="0" applyProtection="0"/>
    <xf numFmtId="0" fontId="120" fillId="0" borderId="592" applyNumberFormat="0" applyFill="0" applyAlignment="0" applyProtection="0"/>
    <xf numFmtId="0" fontId="120" fillId="0" borderId="0" applyNumberFormat="0" applyFill="0" applyBorder="0" applyAlignment="0" applyProtection="0"/>
    <xf numFmtId="0" fontId="109" fillId="0" borderId="0" applyNumberFormat="0" applyFill="0" applyBorder="0" applyAlignment="0" applyProtection="0">
      <alignment vertical="top"/>
      <protection locked="0"/>
    </xf>
    <xf numFmtId="0" fontId="121" fillId="49" borderId="588" applyNumberFormat="0" applyAlignment="0" applyProtection="0"/>
    <xf numFmtId="0" fontId="122" fillId="0" borderId="593" applyNumberFormat="0" applyFill="0" applyAlignment="0" applyProtection="0"/>
    <xf numFmtId="0" fontId="123" fillId="64" borderId="0" applyNumberFormat="0" applyBorder="0" applyAlignment="0" applyProtection="0"/>
    <xf numFmtId="0" fontId="110" fillId="65" borderId="594" applyNumberFormat="0" applyFont="0" applyAlignment="0" applyProtection="0"/>
    <xf numFmtId="0" fontId="124" fillId="62" borderId="595" applyNumberFormat="0" applyAlignment="0" applyProtection="0"/>
    <xf numFmtId="0" fontId="110" fillId="25" borderId="312">
      <alignment horizontal="center" vertical="center" wrapText="1"/>
      <protection locked="0"/>
    </xf>
    <xf numFmtId="0" fontId="125" fillId="0" borderId="0" applyNumberFormat="0" applyFill="0" applyBorder="0" applyAlignment="0" applyProtection="0"/>
    <xf numFmtId="0" fontId="126" fillId="0" borderId="596" applyNumberFormat="0" applyFill="0" applyAlignment="0" applyProtection="0"/>
    <xf numFmtId="0" fontId="127" fillId="0" borderId="0" applyNumberFormat="0" applyFill="0" applyBorder="0" applyAlignment="0" applyProtection="0"/>
  </cellStyleXfs>
  <cellXfs count="4317">
    <xf numFmtId="0" fontId="0" fillId="0" borderId="0" xfId="0"/>
    <xf numFmtId="0" fontId="8" fillId="4" borderId="1" xfId="4" applyFont="1" applyFill="1" applyBorder="1" applyAlignment="1">
      <alignment horizontal="center" vertical="center" wrapText="1"/>
    </xf>
    <xf numFmtId="0" fontId="9" fillId="5" borderId="1" xfId="4" applyFont="1" applyFill="1" applyBorder="1" applyAlignment="1">
      <alignment horizontal="center" vertical="center" wrapText="1"/>
    </xf>
    <xf numFmtId="0" fontId="10" fillId="5" borderId="1" xfId="4" applyFont="1" applyFill="1" applyBorder="1" applyAlignment="1">
      <alignment horizontal="center" vertical="center" wrapText="1"/>
    </xf>
    <xf numFmtId="0" fontId="11" fillId="5" borderId="1" xfId="4" applyFont="1" applyFill="1" applyBorder="1" applyAlignment="1">
      <alignment horizontal="center" vertical="center" wrapText="1"/>
    </xf>
    <xf numFmtId="0" fontId="12" fillId="5" borderId="1" xfId="4" applyFont="1" applyFill="1" applyBorder="1" applyAlignment="1">
      <alignment horizontal="center" vertical="center" wrapText="1"/>
    </xf>
    <xf numFmtId="0" fontId="13" fillId="6" borderId="1" xfId="0" applyFont="1" applyFill="1" applyBorder="1" applyAlignment="1">
      <alignment horizontal="center" vertical="center"/>
    </xf>
    <xf numFmtId="0" fontId="15" fillId="6" borderId="1" xfId="4" applyFont="1" applyFill="1" applyBorder="1" applyAlignment="1">
      <alignment horizontal="center" vertical="center"/>
    </xf>
    <xf numFmtId="0" fontId="1" fillId="0" borderId="0" xfId="0" applyFont="1"/>
    <xf numFmtId="166" fontId="21" fillId="0" borderId="12" xfId="4" quotePrefix="1" applyNumberFormat="1" applyFont="1" applyFill="1" applyBorder="1" applyAlignment="1">
      <alignment horizontal="left" vertical="top"/>
    </xf>
    <xf numFmtId="166" fontId="21" fillId="0" borderId="0" xfId="4" quotePrefix="1" applyNumberFormat="1" applyFont="1" applyFill="1" applyBorder="1" applyAlignment="1">
      <alignment horizontal="center" vertical="top"/>
    </xf>
    <xf numFmtId="0" fontId="21" fillId="0" borderId="12" xfId="4" quotePrefix="1" applyNumberFormat="1" applyFont="1" applyFill="1" applyBorder="1" applyAlignment="1">
      <alignment horizontal="left" vertical="top"/>
    </xf>
    <xf numFmtId="0" fontId="21" fillId="0" borderId="0" xfId="4" quotePrefix="1" applyNumberFormat="1" applyFont="1" applyFill="1" applyBorder="1" applyAlignment="1">
      <alignment horizontal="center" vertical="top"/>
    </xf>
    <xf numFmtId="0" fontId="1" fillId="0" borderId="12" xfId="0" applyFont="1" applyBorder="1" applyAlignment="1">
      <alignment vertical="top"/>
    </xf>
    <xf numFmtId="167" fontId="21" fillId="0" borderId="0" xfId="4" applyNumberFormat="1" applyFont="1" applyFill="1" applyBorder="1" applyAlignment="1">
      <alignment horizontal="center" vertical="top"/>
    </xf>
    <xf numFmtId="167" fontId="23" fillId="0" borderId="0" xfId="0" applyNumberFormat="1" applyFont="1" applyBorder="1" applyAlignment="1">
      <alignment horizontal="center" vertical="top" wrapText="1"/>
    </xf>
    <xf numFmtId="0" fontId="1" fillId="0" borderId="0" xfId="0" applyFont="1" applyBorder="1"/>
    <xf numFmtId="0" fontId="23" fillId="0" borderId="0" xfId="0" applyFont="1" applyBorder="1" applyAlignment="1">
      <alignment horizontal="center" vertical="top"/>
    </xf>
    <xf numFmtId="167" fontId="23" fillId="0" borderId="27" xfId="0" applyNumberFormat="1" applyFont="1" applyBorder="1" applyAlignment="1">
      <alignment horizontal="center" vertical="top"/>
    </xf>
    <xf numFmtId="0" fontId="13" fillId="0" borderId="28" xfId="0" applyFont="1" applyBorder="1" applyAlignment="1">
      <alignment horizontal="center" vertical="center" wrapText="1"/>
    </xf>
    <xf numFmtId="166" fontId="21" fillId="0" borderId="0" xfId="3" applyNumberFormat="1" applyFont="1" applyFill="1" applyBorder="1" applyAlignment="1">
      <alignment horizontal="center" vertical="top"/>
    </xf>
    <xf numFmtId="0" fontId="0" fillId="0" borderId="0" xfId="0" applyBorder="1"/>
    <xf numFmtId="0" fontId="30" fillId="0" borderId="0" xfId="0" applyFont="1" applyBorder="1" applyAlignment="1">
      <alignment horizontal="center" vertical="center"/>
    </xf>
    <xf numFmtId="0" fontId="1" fillId="0" borderId="0" xfId="0" applyFont="1" applyFill="1" applyBorder="1"/>
    <xf numFmtId="0" fontId="1" fillId="0" borderId="31" xfId="0" applyFont="1" applyBorder="1"/>
    <xf numFmtId="0" fontId="13" fillId="0" borderId="27" xfId="0" applyFont="1" applyBorder="1" applyAlignment="1">
      <alignment horizontal="center" vertical="center" wrapText="1"/>
    </xf>
    <xf numFmtId="0" fontId="23" fillId="0" borderId="34" xfId="0" applyFont="1" applyBorder="1" applyAlignment="1">
      <alignment horizontal="center" vertical="top"/>
    </xf>
    <xf numFmtId="0" fontId="23" fillId="0" borderId="0" xfId="0" applyFont="1" applyBorder="1" applyAlignment="1">
      <alignment horizontal="center" vertical="top" wrapText="1"/>
    </xf>
    <xf numFmtId="0" fontId="0" fillId="0" borderId="0" xfId="0" applyFont="1"/>
    <xf numFmtId="0" fontId="1" fillId="0" borderId="0" xfId="0" applyFont="1" applyBorder="1" applyAlignment="1">
      <alignment horizontal="center" vertical="top"/>
    </xf>
    <xf numFmtId="0" fontId="1" fillId="0" borderId="12" xfId="0" applyFont="1" applyBorder="1" applyAlignment="1" applyProtection="1">
      <alignment vertical="top"/>
    </xf>
    <xf numFmtId="0" fontId="14" fillId="0" borderId="39" xfId="12" applyNumberFormat="1" applyFont="1" applyFill="1" applyBorder="1" applyAlignment="1" applyProtection="1">
      <alignment horizontal="center" vertical="center" wrapText="1"/>
    </xf>
    <xf numFmtId="167" fontId="23" fillId="0" borderId="26" xfId="0" applyNumberFormat="1" applyFont="1" applyBorder="1" applyAlignment="1">
      <alignment horizontal="center" vertical="top" wrapText="1"/>
    </xf>
    <xf numFmtId="167" fontId="23" fillId="0" borderId="27" xfId="0" applyNumberFormat="1" applyFont="1" applyBorder="1" applyAlignment="1">
      <alignment horizontal="center" vertical="top" wrapText="1"/>
    </xf>
    <xf numFmtId="167" fontId="23" fillId="0" borderId="18" xfId="0" applyNumberFormat="1" applyFont="1" applyBorder="1" applyAlignment="1">
      <alignment horizontal="center" vertical="top" wrapText="1"/>
    </xf>
    <xf numFmtId="0" fontId="23" fillId="0" borderId="34" xfId="0" applyFont="1" applyBorder="1" applyAlignment="1">
      <alignment horizontal="center" vertical="top" wrapText="1"/>
    </xf>
    <xf numFmtId="167" fontId="23" fillId="0" borderId="12" xfId="0" applyNumberFormat="1" applyFont="1" applyBorder="1" applyAlignment="1">
      <alignment horizontal="right" vertical="top" wrapText="1"/>
    </xf>
    <xf numFmtId="0" fontId="23" fillId="0" borderId="26" xfId="0" applyFont="1" applyBorder="1" applyAlignment="1">
      <alignment horizontal="center" vertical="top" wrapText="1"/>
    </xf>
    <xf numFmtId="0" fontId="23" fillId="0" borderId="27" xfId="0" applyFont="1" applyBorder="1" applyAlignment="1">
      <alignment horizontal="center" vertical="top" wrapText="1"/>
    </xf>
    <xf numFmtId="166" fontId="23" fillId="0" borderId="32" xfId="0" applyNumberFormat="1" applyFont="1" applyBorder="1" applyAlignment="1">
      <alignment horizontal="center" vertical="top" wrapText="1"/>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top"/>
    </xf>
    <xf numFmtId="0" fontId="37" fillId="0" borderId="0" xfId="0" applyFont="1" applyAlignment="1">
      <alignment horizontal="center" vertical="center" wrapText="1"/>
    </xf>
    <xf numFmtId="0" fontId="23" fillId="0" borderId="68" xfId="0" applyFont="1" applyBorder="1" applyAlignment="1">
      <alignment horizontal="center" vertical="top"/>
    </xf>
    <xf numFmtId="0" fontId="13" fillId="0" borderId="68" xfId="0" applyFont="1" applyBorder="1" applyAlignment="1">
      <alignment horizontal="center" vertical="center" wrapText="1"/>
    </xf>
    <xf numFmtId="167" fontId="23" fillId="0" borderId="0" xfId="0" applyNumberFormat="1" applyFont="1" applyFill="1" applyBorder="1" applyAlignment="1">
      <alignment horizontal="center" vertical="top"/>
    </xf>
    <xf numFmtId="0" fontId="1" fillId="0" borderId="82" xfId="0" applyFont="1" applyBorder="1" applyAlignment="1">
      <alignment vertical="top"/>
    </xf>
    <xf numFmtId="167" fontId="23" fillId="0" borderId="83" xfId="0" applyNumberFormat="1" applyFont="1" applyBorder="1" applyAlignment="1">
      <alignment horizontal="center" vertical="top"/>
    </xf>
    <xf numFmtId="0" fontId="13" fillId="0" borderId="83" xfId="0" applyFont="1" applyBorder="1" applyAlignment="1">
      <alignment horizontal="center" vertical="center" wrapText="1"/>
    </xf>
    <xf numFmtId="9" fontId="23" fillId="0" borderId="77" xfId="0" applyNumberFormat="1" applyFont="1" applyBorder="1" applyAlignment="1">
      <alignment horizontal="center" vertical="center"/>
    </xf>
    <xf numFmtId="0" fontId="23" fillId="0" borderId="77" xfId="0" applyFont="1" applyBorder="1" applyAlignment="1">
      <alignment horizontal="center" vertical="center"/>
    </xf>
    <xf numFmtId="0" fontId="23" fillId="0" borderId="79" xfId="0" applyFont="1" applyBorder="1" applyAlignment="1">
      <alignment horizontal="center" vertical="center"/>
    </xf>
    <xf numFmtId="167" fontId="23" fillId="0" borderId="36" xfId="0" applyNumberFormat="1" applyFont="1" applyBorder="1" applyAlignment="1">
      <alignment horizontal="center" vertical="top" wrapText="1"/>
    </xf>
    <xf numFmtId="0" fontId="23" fillId="0" borderId="36" xfId="0" applyFont="1" applyBorder="1" applyAlignment="1">
      <alignment horizontal="center" vertical="top" wrapText="1"/>
    </xf>
    <xf numFmtId="0" fontId="13" fillId="0" borderId="90" xfId="0" applyFont="1" applyBorder="1" applyAlignment="1">
      <alignment horizontal="center" vertical="center" wrapText="1"/>
    </xf>
    <xf numFmtId="167" fontId="23" fillId="0" borderId="66" xfId="0" applyNumberFormat="1" applyFont="1" applyBorder="1" applyAlignment="1">
      <alignment horizontal="center" vertical="top" wrapText="1"/>
    </xf>
    <xf numFmtId="167" fontId="23" fillId="0" borderId="57" xfId="0" applyNumberFormat="1" applyFont="1" applyBorder="1" applyAlignment="1">
      <alignment horizontal="center" vertical="top" wrapText="1"/>
    </xf>
    <xf numFmtId="0" fontId="23" fillId="0" borderId="57" xfId="0" applyFont="1" applyBorder="1" applyAlignment="1">
      <alignment horizontal="center" vertical="top" wrapText="1"/>
    </xf>
    <xf numFmtId="0" fontId="13" fillId="0" borderId="92" xfId="0" applyFont="1" applyBorder="1" applyAlignment="1">
      <alignment horizontal="center" vertical="center" wrapText="1"/>
    </xf>
    <xf numFmtId="0" fontId="1" fillId="0" borderId="68" xfId="0" applyFont="1" applyBorder="1"/>
    <xf numFmtId="0" fontId="13" fillId="0" borderId="103" xfId="0" applyFont="1" applyBorder="1" applyAlignment="1">
      <alignment horizontal="center" vertical="center" wrapText="1"/>
    </xf>
    <xf numFmtId="0" fontId="23" fillId="0" borderId="0" xfId="0" applyFont="1" applyBorder="1" applyAlignment="1">
      <alignment vertical="top"/>
    </xf>
    <xf numFmtId="0" fontId="23" fillId="0" borderId="106" xfId="0" applyFont="1" applyBorder="1"/>
    <xf numFmtId="0" fontId="13" fillId="0" borderId="106" xfId="0" applyFont="1" applyBorder="1" applyAlignment="1">
      <alignment horizontal="center" vertical="center" wrapText="1"/>
    </xf>
    <xf numFmtId="0" fontId="23" fillId="0" borderId="103" xfId="0" applyFont="1" applyBorder="1"/>
    <xf numFmtId="0" fontId="23" fillId="0" borderId="95" xfId="0" applyFont="1" applyBorder="1" applyAlignment="1">
      <alignment horizontal="center"/>
    </xf>
    <xf numFmtId="0" fontId="23" fillId="0" borderId="97" xfId="0" applyFont="1" applyBorder="1" applyAlignment="1">
      <alignment horizontal="center"/>
    </xf>
    <xf numFmtId="0" fontId="23" fillId="0" borderId="98" xfId="0" applyFont="1" applyBorder="1" applyAlignment="1">
      <alignment horizontal="center"/>
    </xf>
    <xf numFmtId="0" fontId="23" fillId="0" borderId="100" xfId="0" applyFont="1" applyBorder="1" applyAlignment="1">
      <alignment horizontal="center"/>
    </xf>
    <xf numFmtId="0" fontId="23" fillId="0" borderId="108" xfId="0" applyFont="1" applyBorder="1" applyAlignment="1">
      <alignment horizontal="center"/>
    </xf>
    <xf numFmtId="0" fontId="23" fillId="0" borderId="110" xfId="0" applyFont="1" applyBorder="1" applyAlignment="1">
      <alignment horizontal="center"/>
    </xf>
    <xf numFmtId="1" fontId="14" fillId="6" borderId="1" xfId="4" applyNumberFormat="1" applyFont="1" applyFill="1" applyBorder="1" applyAlignment="1">
      <alignment horizontal="center" vertical="center" wrapText="1"/>
    </xf>
    <xf numFmtId="0" fontId="4" fillId="0" borderId="0" xfId="4"/>
    <xf numFmtId="0" fontId="4" fillId="0" borderId="0" xfId="4" applyFont="1" applyAlignment="1">
      <alignment horizontal="right"/>
    </xf>
    <xf numFmtId="0" fontId="42" fillId="5" borderId="1" xfId="4" applyFont="1" applyFill="1" applyBorder="1" applyAlignment="1">
      <alignment horizontal="center" vertical="center" wrapText="1"/>
    </xf>
    <xf numFmtId="0" fontId="23" fillId="0" borderId="104" xfId="0" applyFont="1" applyBorder="1"/>
    <xf numFmtId="49" fontId="0" fillId="0" borderId="0" xfId="0" applyNumberFormat="1"/>
    <xf numFmtId="1" fontId="44" fillId="10" borderId="15" xfId="9" applyFont="1" applyBorder="1" applyAlignment="1">
      <alignment horizontal="left" vertical="center" indent="1"/>
      <protection locked="0"/>
    </xf>
    <xf numFmtId="1" fontId="44" fillId="10" borderId="15" xfId="9" applyFont="1" applyBorder="1" applyAlignment="1">
      <alignment horizontal="center" vertical="top"/>
      <protection locked="0"/>
    </xf>
    <xf numFmtId="0" fontId="23" fillId="0" borderId="13" xfId="0" applyFont="1" applyBorder="1" applyAlignment="1">
      <alignment horizontal="left" vertical="top" wrapText="1"/>
    </xf>
    <xf numFmtId="0" fontId="0" fillId="0" borderId="12" xfId="0" applyBorder="1"/>
    <xf numFmtId="0" fontId="0" fillId="0" borderId="124" xfId="0" applyBorder="1"/>
    <xf numFmtId="0" fontId="0" fillId="0" borderId="13" xfId="0" applyBorder="1"/>
    <xf numFmtId="0" fontId="0" fillId="0" borderId="0" xfId="0" applyBorder="1" applyAlignment="1">
      <alignment horizontal="left" vertical="center" indent="1"/>
    </xf>
    <xf numFmtId="0" fontId="0" fillId="0" borderId="13" xfId="0" applyBorder="1" applyAlignment="1">
      <alignment horizontal="left" vertical="center" indent="1"/>
    </xf>
    <xf numFmtId="0" fontId="0" fillId="0" borderId="102" xfId="0" applyBorder="1"/>
    <xf numFmtId="0" fontId="0" fillId="0" borderId="8" xfId="0" applyBorder="1" applyAlignment="1">
      <alignment horizontal="left" vertical="center" indent="1"/>
    </xf>
    <xf numFmtId="0" fontId="0" fillId="0" borderId="104" xfId="0" applyBorder="1" applyAlignment="1">
      <alignment horizontal="left" vertical="center" indent="1"/>
    </xf>
    <xf numFmtId="1" fontId="26" fillId="10" borderId="73" xfId="9" applyBorder="1" applyProtection="1">
      <alignment horizontal="center" vertical="center"/>
    </xf>
    <xf numFmtId="0" fontId="13" fillId="15" borderId="118" xfId="15" applyBorder="1">
      <alignment horizontal="center" vertical="center"/>
    </xf>
    <xf numFmtId="0" fontId="0" fillId="13" borderId="73" xfId="0" applyFill="1" applyBorder="1"/>
    <xf numFmtId="167" fontId="45" fillId="11" borderId="21" xfId="10" applyFont="1" applyFill="1" applyBorder="1" applyAlignment="1">
      <alignment horizontal="left" vertical="center" wrapText="1"/>
    </xf>
    <xf numFmtId="167" fontId="27" fillId="16" borderId="73" xfId="10" applyFill="1" applyBorder="1">
      <alignment horizontal="left" vertical="top" wrapText="1"/>
    </xf>
    <xf numFmtId="0" fontId="21" fillId="0" borderId="124" xfId="12" applyFill="1" applyBorder="1" applyProtection="1">
      <alignment horizontal="left" vertical="top" wrapText="1"/>
    </xf>
    <xf numFmtId="0" fontId="0" fillId="0" borderId="124" xfId="0" applyBorder="1" applyAlignment="1">
      <alignment horizontal="left" vertical="center" wrapText="1" indent="1"/>
    </xf>
    <xf numFmtId="0" fontId="0" fillId="0" borderId="129" xfId="0" applyBorder="1" applyAlignment="1">
      <alignment horizontal="left" vertical="center" wrapText="1" indent="1"/>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12" xfId="0" applyBorder="1" applyAlignment="1">
      <alignment horizontal="left" vertical="top"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0" fillId="0" borderId="0" xfId="0" applyBorder="1"/>
    <xf numFmtId="0" fontId="1" fillId="0" borderId="0" xfId="0" applyFont="1" applyBorder="1"/>
    <xf numFmtId="0" fontId="3" fillId="0" borderId="0" xfId="0" applyFont="1"/>
    <xf numFmtId="0" fontId="23" fillId="0" borderId="0" xfId="0" applyFont="1"/>
    <xf numFmtId="0" fontId="21" fillId="0" borderId="0" xfId="4" applyFont="1"/>
    <xf numFmtId="0" fontId="22" fillId="0" borderId="0" xfId="4" applyFont="1" applyAlignment="1">
      <alignment horizontal="center" vertical="center"/>
    </xf>
    <xf numFmtId="0" fontId="22" fillId="0" borderId="0" xfId="4" applyFont="1" applyAlignment="1">
      <alignment horizontal="center" vertical="top"/>
    </xf>
    <xf numFmtId="0" fontId="21" fillId="0" borderId="0" xfId="4" quotePrefix="1" applyNumberFormat="1" applyFont="1" applyFill="1" applyBorder="1" applyAlignment="1">
      <alignment horizontal="left" vertical="top"/>
    </xf>
    <xf numFmtId="0" fontId="21" fillId="0" borderId="0" xfId="4" applyFont="1" applyFill="1"/>
    <xf numFmtId="0" fontId="21" fillId="0" borderId="12" xfId="4" applyFont="1" applyFill="1" applyBorder="1"/>
    <xf numFmtId="167" fontId="21" fillId="0" borderId="0" xfId="4" applyNumberFormat="1" applyFont="1" applyFill="1" applyBorder="1" applyAlignment="1">
      <alignment horizontal="right" vertical="top"/>
    </xf>
    <xf numFmtId="0" fontId="21" fillId="0" borderId="0" xfId="4" applyFont="1" applyAlignment="1">
      <alignment wrapText="1"/>
    </xf>
    <xf numFmtId="49" fontId="21" fillId="0" borderId="12" xfId="4" applyNumberFormat="1" applyFont="1" applyBorder="1"/>
    <xf numFmtId="167" fontId="21" fillId="0" borderId="26" xfId="4" applyNumberFormat="1" applyFont="1" applyBorder="1" applyAlignment="1">
      <alignment horizontal="center" vertical="top"/>
    </xf>
    <xf numFmtId="167" fontId="21" fillId="0" borderId="26" xfId="4" applyNumberFormat="1" applyFont="1" applyBorder="1" applyAlignment="1">
      <alignment vertical="top"/>
    </xf>
    <xf numFmtId="0" fontId="22" fillId="0" borderId="26" xfId="4" applyNumberFormat="1" applyFont="1" applyBorder="1" applyAlignment="1">
      <alignment horizontal="center" vertical="center" wrapText="1"/>
    </xf>
    <xf numFmtId="167" fontId="21" fillId="0" borderId="0" xfId="4" applyNumberFormat="1" applyFont="1" applyBorder="1" applyAlignment="1">
      <alignment vertical="top"/>
    </xf>
    <xf numFmtId="0" fontId="21" fillId="0" borderId="140" xfId="4" quotePrefix="1" applyNumberFormat="1" applyFont="1" applyBorder="1" applyAlignment="1">
      <alignment horizontal="left" vertical="top"/>
    </xf>
    <xf numFmtId="0" fontId="21" fillId="0" borderId="34" xfId="4" quotePrefix="1" applyNumberFormat="1" applyFont="1" applyBorder="1" applyAlignment="1">
      <alignment horizontal="center" vertical="top"/>
    </xf>
    <xf numFmtId="49" fontId="21" fillId="0" borderId="0" xfId="4" applyNumberFormat="1" applyFont="1" applyBorder="1" applyAlignment="1">
      <alignment horizontal="center"/>
    </xf>
    <xf numFmtId="1" fontId="22" fillId="0" borderId="26" xfId="4" applyNumberFormat="1" applyFont="1" applyBorder="1" applyAlignment="1">
      <alignment horizontal="center" vertical="center" wrapText="1"/>
    </xf>
    <xf numFmtId="49" fontId="21" fillId="0" borderId="12" xfId="4" quotePrefix="1" applyNumberFormat="1" applyFont="1" applyBorder="1" applyAlignment="1">
      <alignment vertical="top"/>
    </xf>
    <xf numFmtId="49" fontId="21" fillId="0" borderId="0" xfId="4" quotePrefix="1" applyNumberFormat="1" applyFont="1" applyBorder="1" applyAlignment="1">
      <alignment horizontal="center" vertical="top"/>
    </xf>
    <xf numFmtId="49" fontId="21" fillId="0" borderId="0" xfId="4" quotePrefix="1" applyNumberFormat="1" applyFont="1" applyBorder="1" applyAlignment="1">
      <alignment vertical="top"/>
    </xf>
    <xf numFmtId="0" fontId="23" fillId="0" borderId="78" xfId="0" applyFont="1" applyBorder="1" applyAlignment="1">
      <alignment horizontal="center" vertical="center" wrapText="1"/>
    </xf>
    <xf numFmtId="49" fontId="21" fillId="0" borderId="34" xfId="4" quotePrefix="1" applyNumberFormat="1" applyFont="1" applyBorder="1" applyAlignment="1">
      <alignment horizontal="center" vertical="top"/>
    </xf>
    <xf numFmtId="49" fontId="21" fillId="0" borderId="34" xfId="4" quotePrefix="1" applyNumberFormat="1" applyFont="1" applyBorder="1" applyAlignment="1">
      <alignment vertical="top"/>
    </xf>
    <xf numFmtId="49" fontId="21" fillId="0" borderId="26" xfId="4" quotePrefix="1" applyNumberFormat="1" applyFont="1" applyBorder="1" applyAlignment="1">
      <alignment vertical="top"/>
    </xf>
    <xf numFmtId="167" fontId="21" fillId="0" borderId="12" xfId="4" quotePrefix="1" applyNumberFormat="1" applyFont="1" applyBorder="1" applyAlignment="1">
      <alignment vertical="top"/>
    </xf>
    <xf numFmtId="167" fontId="21" fillId="0" borderId="0" xfId="4" quotePrefix="1" applyNumberFormat="1" applyFont="1" applyBorder="1" applyAlignment="1">
      <alignment horizontal="center" vertical="top"/>
    </xf>
    <xf numFmtId="167" fontId="21" fillId="0" borderId="0" xfId="4" quotePrefix="1" applyNumberFormat="1" applyFont="1" applyBorder="1" applyAlignment="1">
      <alignment vertical="top"/>
    </xf>
    <xf numFmtId="0" fontId="21" fillId="0" borderId="0" xfId="4" applyNumberFormat="1" applyFont="1" applyBorder="1" applyAlignment="1">
      <alignment horizontal="left" vertical="top"/>
    </xf>
    <xf numFmtId="167" fontId="21" fillId="0" borderId="26" xfId="4" applyNumberFormat="1" applyFont="1" applyBorder="1" applyAlignment="1">
      <alignment horizontal="right" vertical="top"/>
    </xf>
    <xf numFmtId="167" fontId="21" fillId="0" borderId="0" xfId="4" applyNumberFormat="1" applyFont="1" applyBorder="1" applyAlignment="1">
      <alignment horizontal="right" vertical="top"/>
    </xf>
    <xf numFmtId="0" fontId="39" fillId="0" borderId="0" xfId="4" applyFont="1"/>
    <xf numFmtId="49" fontId="21" fillId="0" borderId="0" xfId="4" applyNumberFormat="1" applyFont="1" applyBorder="1"/>
    <xf numFmtId="49" fontId="21" fillId="0" borderId="0" xfId="4" applyNumberFormat="1" applyFont="1" applyAlignment="1">
      <alignment horizontal="center"/>
    </xf>
    <xf numFmtId="49" fontId="21" fillId="0" borderId="0" xfId="4" applyNumberFormat="1" applyFont="1"/>
    <xf numFmtId="49" fontId="22" fillId="0" borderId="0" xfId="4" applyNumberFormat="1" applyFont="1" applyAlignment="1">
      <alignment horizontal="center" vertical="center" wrapText="1"/>
    </xf>
    <xf numFmtId="0" fontId="21" fillId="0" borderId="0" xfId="4" applyFont="1" applyAlignment="1">
      <alignment horizontal="center" vertical="center" wrapText="1"/>
    </xf>
    <xf numFmtId="0" fontId="21" fillId="0" borderId="0" xfId="4" applyFont="1" applyAlignment="1">
      <alignment vertical="center"/>
    </xf>
    <xf numFmtId="0" fontId="22" fillId="0" borderId="0" xfId="0" applyFont="1" applyBorder="1" applyAlignment="1">
      <alignment vertical="top" wrapText="1"/>
    </xf>
    <xf numFmtId="0" fontId="21" fillId="0" borderId="0" xfId="0" applyFont="1" applyBorder="1" applyAlignment="1">
      <alignment horizontal="right" vertical="top" wrapText="1"/>
    </xf>
    <xf numFmtId="0" fontId="1" fillId="0" borderId="0" xfId="0" applyFont="1" applyBorder="1" applyAlignment="1">
      <alignment horizontal="right"/>
    </xf>
    <xf numFmtId="0" fontId="13" fillId="15" borderId="168" xfId="15" applyBorder="1">
      <alignment horizontal="center" vertical="center"/>
    </xf>
    <xf numFmtId="0" fontId="0" fillId="0" borderId="34" xfId="0" applyBorder="1" applyProtection="1"/>
    <xf numFmtId="0" fontId="0" fillId="0" borderId="18" xfId="0" applyBorder="1" applyProtection="1"/>
    <xf numFmtId="0" fontId="23" fillId="0" borderId="154" xfId="0" applyFont="1" applyBorder="1" applyAlignment="1" applyProtection="1">
      <alignment vertical="top"/>
    </xf>
    <xf numFmtId="0" fontId="23" fillId="0" borderId="0" xfId="0" applyFont="1" applyBorder="1" applyAlignment="1" applyProtection="1">
      <alignment vertical="top"/>
    </xf>
    <xf numFmtId="167" fontId="23" fillId="0" borderId="26" xfId="0" applyNumberFormat="1" applyFont="1" applyBorder="1" applyAlignment="1" applyProtection="1">
      <alignment vertical="top"/>
    </xf>
    <xf numFmtId="167" fontId="23" fillId="0" borderId="0" xfId="0" applyNumberFormat="1" applyFont="1" applyBorder="1" applyAlignment="1" applyProtection="1">
      <alignment vertical="top"/>
    </xf>
    <xf numFmtId="49" fontId="55" fillId="0" borderId="18" xfId="16" applyBorder="1" applyProtection="1">
      <alignment horizontal="center" vertical="center" wrapText="1"/>
    </xf>
    <xf numFmtId="49" fontId="55" fillId="0" borderId="28" xfId="16" applyBorder="1" applyProtection="1">
      <alignment horizontal="center" vertical="center" wrapText="1"/>
    </xf>
    <xf numFmtId="0" fontId="3" fillId="0" borderId="0" xfId="0" applyFont="1" applyBorder="1" applyAlignment="1"/>
    <xf numFmtId="0" fontId="1" fillId="0" borderId="0" xfId="0" applyFont="1" applyBorder="1" applyAlignment="1">
      <alignment horizontal="center"/>
    </xf>
    <xf numFmtId="0" fontId="13" fillId="0" borderId="0" xfId="0" applyFont="1" applyBorder="1" applyAlignment="1">
      <alignment horizontal="center" vertical="center"/>
    </xf>
    <xf numFmtId="0" fontId="23" fillId="0" borderId="34" xfId="0" applyFont="1" applyBorder="1" applyAlignment="1">
      <alignment horizontal="left" vertical="top"/>
    </xf>
    <xf numFmtId="0" fontId="2" fillId="8" borderId="135" xfId="6" applyFont="1" applyBorder="1">
      <alignment horizontal="center" vertical="center" wrapText="1"/>
    </xf>
    <xf numFmtId="0" fontId="21" fillId="0" borderId="12" xfId="4" applyNumberFormat="1" applyFont="1" applyFill="1" applyBorder="1" applyAlignment="1">
      <alignment horizontal="left" vertical="top"/>
    </xf>
    <xf numFmtId="0" fontId="23" fillId="0" borderId="0" xfId="0" applyFont="1" applyAlignment="1">
      <alignment horizontal="left" vertical="top" wrapText="1"/>
    </xf>
    <xf numFmtId="0" fontId="0" fillId="0" borderId="0" xfId="0" applyFont="1" applyBorder="1"/>
    <xf numFmtId="0" fontId="23" fillId="0" borderId="38" xfId="0" applyFont="1" applyBorder="1" applyAlignment="1" applyProtection="1">
      <alignment horizontal="left" vertical="top"/>
    </xf>
    <xf numFmtId="0" fontId="23" fillId="0" borderId="34" xfId="0" applyFont="1" applyBorder="1" applyAlignment="1" applyProtection="1">
      <alignment horizontal="center" vertical="top"/>
    </xf>
    <xf numFmtId="0" fontId="0" fillId="0" borderId="12" xfId="0" applyBorder="1" applyProtection="1"/>
    <xf numFmtId="0" fontId="0" fillId="0" borderId="0" xfId="0" applyFont="1" applyAlignment="1">
      <alignment horizontal="center"/>
    </xf>
    <xf numFmtId="0" fontId="31" fillId="0" borderId="0" xfId="0" applyFont="1"/>
    <xf numFmtId="0" fontId="63" fillId="0" borderId="0" xfId="0" applyFont="1" applyAlignment="1">
      <alignment horizontal="center" vertical="center"/>
    </xf>
    <xf numFmtId="1" fontId="23" fillId="0" borderId="0" xfId="0" applyNumberFormat="1" applyFont="1" applyAlignment="1">
      <alignment horizontal="left" vertical="top" wrapText="1"/>
    </xf>
    <xf numFmtId="0" fontId="23" fillId="0" borderId="0" xfId="0" applyFont="1" applyAlignment="1">
      <alignment horizontal="center" vertical="top" wrapText="1"/>
    </xf>
    <xf numFmtId="0" fontId="30" fillId="0" borderId="0" xfId="0" applyFont="1" applyAlignment="1">
      <alignment horizontal="center" vertical="center" wrapText="1"/>
    </xf>
    <xf numFmtId="0" fontId="14" fillId="6" borderId="1" xfId="4" applyFont="1" applyFill="1" applyBorder="1" applyAlignment="1">
      <alignment horizontal="center" vertical="center" wrapText="1"/>
    </xf>
    <xf numFmtId="0" fontId="2" fillId="8" borderId="135" xfId="6" applyFont="1" applyBorder="1" applyAlignment="1">
      <alignment horizontal="center" vertical="center" wrapText="1"/>
    </xf>
    <xf numFmtId="166" fontId="21" fillId="0" borderId="31" xfId="4" quotePrefix="1" applyNumberFormat="1" applyFont="1" applyFill="1" applyBorder="1" applyAlignment="1">
      <alignment horizontal="left" vertical="top"/>
    </xf>
    <xf numFmtId="166" fontId="21" fillId="0" borderId="32" xfId="4" quotePrefix="1" applyNumberFormat="1" applyFont="1" applyFill="1" applyBorder="1" applyAlignment="1">
      <alignment horizontal="center" vertical="top"/>
    </xf>
    <xf numFmtId="0" fontId="21" fillId="0" borderId="32" xfId="4" applyNumberFormat="1" applyFont="1" applyFill="1" applyBorder="1" applyAlignment="1" applyProtection="1">
      <alignment vertical="top" wrapText="1"/>
    </xf>
    <xf numFmtId="0" fontId="23" fillId="0" borderId="18" xfId="0" applyFont="1" applyBorder="1" applyAlignment="1" applyProtection="1">
      <alignment horizontal="center" vertical="center" wrapText="1"/>
    </xf>
    <xf numFmtId="0" fontId="13" fillId="0" borderId="34" xfId="0" applyFont="1" applyBorder="1" applyAlignment="1" applyProtection="1">
      <alignment horizontal="center" vertical="center" wrapText="1"/>
    </xf>
    <xf numFmtId="0" fontId="0" fillId="0" borderId="12" xfId="0" applyFont="1" applyBorder="1" applyProtection="1"/>
    <xf numFmtId="49" fontId="55" fillId="0" borderId="0" xfId="16" applyBorder="1" applyProtection="1">
      <alignment horizontal="center" vertical="center" wrapText="1"/>
    </xf>
    <xf numFmtId="0" fontId="23" fillId="0" borderId="12" xfId="0" applyFont="1" applyBorder="1" applyAlignment="1" applyProtection="1">
      <alignment horizontal="right" vertical="top"/>
    </xf>
    <xf numFmtId="0" fontId="23" fillId="0" borderId="154" xfId="0" applyFont="1" applyBorder="1" applyAlignment="1" applyProtection="1">
      <alignment horizontal="left" vertical="top"/>
    </xf>
    <xf numFmtId="0" fontId="0" fillId="0" borderId="128" xfId="0" applyBorder="1" applyProtection="1"/>
    <xf numFmtId="167" fontId="23" fillId="0" borderId="34" xfId="0" applyNumberFormat="1" applyFont="1" applyBorder="1" applyAlignment="1" applyProtection="1">
      <alignment horizontal="center" vertical="top"/>
    </xf>
    <xf numFmtId="49" fontId="55" fillId="0" borderId="34" xfId="16" applyBorder="1" applyProtection="1">
      <alignment horizontal="center" vertical="center" wrapText="1"/>
    </xf>
    <xf numFmtId="1" fontId="26" fillId="10" borderId="164" xfId="9" applyBorder="1" applyProtection="1">
      <alignment horizontal="center" vertical="center"/>
      <protection locked="0"/>
    </xf>
    <xf numFmtId="0" fontId="0" fillId="0" borderId="12" xfId="0" applyFont="1" applyBorder="1"/>
    <xf numFmtId="166" fontId="23" fillId="0" borderId="32" xfId="0" applyNumberFormat="1" applyFont="1" applyBorder="1" applyAlignment="1">
      <alignment horizontal="center" vertical="top"/>
    </xf>
    <xf numFmtId="49" fontId="55" fillId="0" borderId="28" xfId="16" applyBorder="1">
      <alignment horizontal="center" vertical="center" wrapText="1"/>
    </xf>
    <xf numFmtId="0" fontId="0" fillId="0" borderId="0" xfId="0" applyFont="1" applyAlignment="1">
      <alignment horizontal="left" vertical="top"/>
    </xf>
    <xf numFmtId="0" fontId="23" fillId="0" borderId="0" xfId="0" applyFont="1" applyAlignment="1">
      <alignment horizontal="center" vertical="top"/>
    </xf>
    <xf numFmtId="0" fontId="0" fillId="0" borderId="102" xfId="0" applyFont="1" applyBorder="1"/>
    <xf numFmtId="167" fontId="23" fillId="0" borderId="176" xfId="0" applyNumberFormat="1" applyFont="1" applyBorder="1" applyAlignment="1">
      <alignment horizontal="center" vertical="top"/>
    </xf>
    <xf numFmtId="0" fontId="0" fillId="0" borderId="0" xfId="0" applyFont="1" applyAlignment="1">
      <alignment horizontal="center" vertical="top"/>
    </xf>
    <xf numFmtId="0" fontId="58" fillId="21" borderId="0" xfId="0" applyFont="1" applyFill="1" applyProtection="1">
      <protection hidden="1"/>
    </xf>
    <xf numFmtId="1" fontId="3" fillId="0" borderId="0" xfId="0" applyNumberFormat="1" applyFont="1" applyAlignment="1" applyProtection="1">
      <alignment horizontal="right" vertical="top"/>
      <protection hidden="1"/>
    </xf>
    <xf numFmtId="0" fontId="0" fillId="0" borderId="0" xfId="0" applyFont="1" applyAlignment="1" applyProtection="1">
      <alignment horizontal="left" vertical="top"/>
      <protection hidden="1"/>
    </xf>
    <xf numFmtId="0" fontId="22" fillId="0" borderId="0" xfId="0" applyFont="1" applyBorder="1" applyAlignment="1" applyProtection="1">
      <alignment horizontal="right"/>
    </xf>
    <xf numFmtId="0" fontId="13" fillId="0" borderId="60" xfId="0" applyFont="1" applyBorder="1" applyAlignment="1" applyProtection="1">
      <alignment horizontal="right" vertical="center"/>
    </xf>
    <xf numFmtId="0" fontId="22" fillId="0" borderId="0" xfId="0" applyFont="1" applyBorder="1" applyAlignment="1" applyProtection="1">
      <alignment horizontal="right" vertical="center"/>
    </xf>
    <xf numFmtId="0" fontId="13" fillId="0" borderId="0" xfId="0" applyFont="1" applyBorder="1" applyAlignment="1" applyProtection="1">
      <alignment horizontal="right" vertical="center"/>
    </xf>
    <xf numFmtId="0" fontId="7" fillId="0" borderId="0" xfId="0" applyFont="1" applyBorder="1" applyAlignment="1">
      <alignment horizontal="center"/>
    </xf>
    <xf numFmtId="0" fontId="21" fillId="0" borderId="0" xfId="0" applyFont="1" applyBorder="1" applyAlignment="1" applyProtection="1">
      <alignment horizontal="left" vertical="center" indent="1"/>
    </xf>
    <xf numFmtId="0" fontId="19" fillId="8" borderId="197" xfId="6" applyBorder="1" applyAlignment="1" applyProtection="1">
      <alignment horizontal="center" vertical="center" wrapText="1"/>
    </xf>
    <xf numFmtId="0" fontId="19" fillId="8" borderId="198" xfId="6" applyBorder="1" applyAlignment="1" applyProtection="1">
      <alignment horizontal="center" vertical="center" wrapText="1"/>
    </xf>
    <xf numFmtId="0" fontId="22" fillId="0" borderId="203" xfId="0" applyFont="1" applyBorder="1" applyAlignment="1" applyProtection="1">
      <alignment horizontal="left" vertical="top" wrapText="1" indent="4"/>
    </xf>
    <xf numFmtId="1" fontId="21" fillId="0" borderId="206" xfId="0" applyNumberFormat="1" applyFont="1" applyBorder="1" applyAlignment="1" applyProtection="1">
      <alignment horizontal="center" vertical="center" wrapText="1"/>
    </xf>
    <xf numFmtId="0" fontId="22" fillId="0" borderId="209" xfId="0" applyFont="1" applyBorder="1" applyAlignment="1" applyProtection="1">
      <alignment horizontal="left" vertical="top" wrapText="1"/>
    </xf>
    <xf numFmtId="0" fontId="22" fillId="22" borderId="210" xfId="0" applyFont="1" applyFill="1" applyBorder="1" applyAlignment="1" applyProtection="1">
      <alignment horizontal="left" vertical="top" wrapText="1"/>
    </xf>
    <xf numFmtId="0" fontId="22" fillId="0" borderId="213" xfId="0" applyFont="1" applyBorder="1" applyAlignment="1" applyProtection="1">
      <alignment horizontal="left" vertical="top" wrapText="1"/>
    </xf>
    <xf numFmtId="1" fontId="21" fillId="0" borderId="214" xfId="0" applyNumberFormat="1" applyFont="1" applyBorder="1" applyAlignment="1" applyProtection="1">
      <alignment horizontal="center" vertical="center" wrapText="1"/>
    </xf>
    <xf numFmtId="0" fontId="22" fillId="0" borderId="200" xfId="0" applyFont="1" applyBorder="1" applyAlignment="1" applyProtection="1">
      <alignment vertical="top" wrapText="1"/>
    </xf>
    <xf numFmtId="0" fontId="22" fillId="22" borderId="201" xfId="0" applyFont="1" applyFill="1" applyBorder="1" applyAlignment="1" applyProtection="1">
      <alignment vertical="top" wrapText="1"/>
    </xf>
    <xf numFmtId="0" fontId="22" fillId="0" borderId="216" xfId="0" applyFont="1" applyBorder="1" applyAlignment="1" applyProtection="1">
      <alignment horizontal="left" vertical="top" wrapText="1"/>
    </xf>
    <xf numFmtId="0" fontId="22" fillId="0" borderId="203" xfId="0" applyFont="1" applyBorder="1" applyAlignment="1" applyProtection="1">
      <alignment horizontal="left" vertical="top" wrapText="1" indent="6"/>
    </xf>
    <xf numFmtId="0" fontId="22" fillId="0" borderId="209" xfId="0" applyFont="1" applyBorder="1" applyAlignment="1" applyProtection="1">
      <alignment vertical="center" wrapText="1"/>
    </xf>
    <xf numFmtId="0" fontId="22" fillId="22" borderId="210" xfId="0" applyFont="1" applyFill="1" applyBorder="1" applyAlignment="1" applyProtection="1">
      <alignment wrapText="1"/>
    </xf>
    <xf numFmtId="0" fontId="22" fillId="0" borderId="217" xfId="0" applyFont="1" applyBorder="1" applyAlignment="1" applyProtection="1">
      <alignment horizontal="left" vertical="top" wrapText="1" indent="4"/>
    </xf>
    <xf numFmtId="0" fontId="22" fillId="0" borderId="218" xfId="0" applyFont="1" applyBorder="1" applyAlignment="1" applyProtection="1">
      <alignment horizontal="center" vertical="center" wrapText="1"/>
    </xf>
    <xf numFmtId="1" fontId="21" fillId="0" borderId="218" xfId="0" applyNumberFormat="1" applyFont="1" applyBorder="1" applyAlignment="1" applyProtection="1">
      <alignment horizontal="center" vertical="center" wrapText="1"/>
    </xf>
    <xf numFmtId="0" fontId="22" fillId="22" borderId="210" xfId="0" applyFont="1" applyFill="1" applyBorder="1" applyAlignment="1" applyProtection="1"/>
    <xf numFmtId="0" fontId="22" fillId="0" borderId="220" xfId="0" applyFont="1" applyBorder="1" applyAlignment="1" applyProtection="1">
      <alignment horizontal="left" vertical="top" wrapText="1" indent="4"/>
    </xf>
    <xf numFmtId="0" fontId="22" fillId="0" borderId="206" xfId="0" applyFont="1" applyBorder="1" applyAlignment="1" applyProtection="1">
      <alignment horizontal="center" vertical="center"/>
    </xf>
    <xf numFmtId="0" fontId="22" fillId="0" borderId="203" xfId="0" applyFont="1" applyBorder="1" applyAlignment="1" applyProtection="1">
      <alignment horizontal="left" vertical="top" wrapText="1" indent="3"/>
    </xf>
    <xf numFmtId="0" fontId="22" fillId="0" borderId="217" xfId="0" applyFont="1" applyBorder="1" applyAlignment="1" applyProtection="1">
      <alignment horizontal="left" vertical="top" wrapText="1" indent="3"/>
    </xf>
    <xf numFmtId="0" fontId="22" fillId="0" borderId="218" xfId="0" applyFont="1" applyBorder="1" applyAlignment="1" applyProtection="1">
      <alignment horizontal="center" vertical="center"/>
    </xf>
    <xf numFmtId="0" fontId="22" fillId="0" borderId="221" xfId="0" applyFont="1" applyBorder="1" applyAlignment="1" applyProtection="1">
      <alignment horizontal="left" vertical="top" wrapText="1"/>
    </xf>
    <xf numFmtId="1" fontId="21" fillId="0" borderId="222" xfId="0" applyNumberFormat="1" applyFont="1" applyBorder="1" applyAlignment="1" applyProtection="1">
      <alignment horizontal="center" vertical="center" wrapText="1"/>
    </xf>
    <xf numFmtId="0" fontId="22" fillId="0" borderId="221" xfId="0" applyFont="1" applyBorder="1" applyAlignment="1" applyProtection="1">
      <alignment vertical="top" wrapText="1"/>
    </xf>
    <xf numFmtId="0" fontId="22" fillId="0" borderId="209" xfId="0" applyFont="1" applyBorder="1" applyAlignment="1" applyProtection="1">
      <alignment vertical="top" wrapText="1"/>
    </xf>
    <xf numFmtId="0" fontId="22" fillId="22" borderId="210" xfId="0" applyFont="1" applyFill="1" applyBorder="1" applyAlignment="1" applyProtection="1">
      <alignment vertical="top" wrapText="1"/>
    </xf>
    <xf numFmtId="0" fontId="22" fillId="0" borderId="226" xfId="0" applyFont="1" applyBorder="1" applyAlignment="1" applyProtection="1">
      <alignment horizontal="center" vertical="center"/>
    </xf>
    <xf numFmtId="1" fontId="21" fillId="0" borderId="226" xfId="0" applyNumberFormat="1" applyFont="1" applyBorder="1" applyAlignment="1" applyProtection="1">
      <alignment horizontal="center" vertical="center" wrapText="1"/>
    </xf>
    <xf numFmtId="0" fontId="22" fillId="0" borderId="167" xfId="0" applyFont="1" applyBorder="1" applyAlignment="1" applyProtection="1">
      <alignment horizontal="center" vertical="center"/>
    </xf>
    <xf numFmtId="0" fontId="22" fillId="0" borderId="227" xfId="0" applyFont="1" applyBorder="1" applyAlignment="1" applyProtection="1">
      <alignment horizontal="center" vertical="center"/>
    </xf>
    <xf numFmtId="1" fontId="21" fillId="0" borderId="201" xfId="0" applyNumberFormat="1" applyFont="1" applyBorder="1" applyAlignment="1" applyProtection="1">
      <alignment horizontal="center" vertical="center" wrapText="1"/>
    </xf>
    <xf numFmtId="0" fontId="22" fillId="0" borderId="200" xfId="0" applyFont="1" applyFill="1" applyBorder="1" applyAlignment="1" applyProtection="1">
      <alignment vertical="top" wrapText="1"/>
    </xf>
    <xf numFmtId="0" fontId="22" fillId="0" borderId="203" xfId="0" applyFont="1" applyBorder="1" applyAlignment="1" applyProtection="1">
      <alignment horizontal="left" vertical="center" indent="4"/>
    </xf>
    <xf numFmtId="167" fontId="21" fillId="11" borderId="217" xfId="10" applyFont="1" applyBorder="1" applyProtection="1">
      <alignment horizontal="left" vertical="top" wrapText="1"/>
    </xf>
    <xf numFmtId="167" fontId="21" fillId="23" borderId="218" xfId="10" applyFont="1" applyFill="1" applyBorder="1" applyProtection="1">
      <alignment horizontal="left" vertical="top" wrapText="1"/>
    </xf>
    <xf numFmtId="0" fontId="22" fillId="0" borderId="222" xfId="0" applyFont="1" applyBorder="1" applyAlignment="1" applyProtection="1">
      <alignment horizontal="center" vertical="center" wrapText="1"/>
    </xf>
    <xf numFmtId="0" fontId="21" fillId="22" borderId="210" xfId="0" applyFont="1" applyFill="1" applyBorder="1" applyAlignment="1" applyProtection="1">
      <alignment wrapText="1"/>
    </xf>
    <xf numFmtId="0" fontId="22" fillId="0" borderId="218" xfId="0" applyFont="1" applyFill="1" applyBorder="1" applyAlignment="1" applyProtection="1">
      <alignment horizontal="center" vertical="center" wrapText="1"/>
    </xf>
    <xf numFmtId="0" fontId="22" fillId="0" borderId="210" xfId="0" applyFont="1" applyBorder="1" applyAlignment="1" applyProtection="1">
      <alignment horizontal="center" vertical="center" wrapText="1"/>
    </xf>
    <xf numFmtId="0" fontId="21" fillId="0" borderId="210" xfId="0" applyFont="1" applyBorder="1" applyAlignment="1" applyProtection="1">
      <alignment horizontal="center" vertical="center" wrapText="1"/>
    </xf>
    <xf numFmtId="0" fontId="22" fillId="0" borderId="229" xfId="0" applyFont="1" applyBorder="1" applyAlignment="1" applyProtection="1">
      <alignment horizontal="left" vertical="top" wrapText="1"/>
    </xf>
    <xf numFmtId="1" fontId="21" fillId="0" borderId="230" xfId="0" applyNumberFormat="1" applyFont="1" applyBorder="1" applyAlignment="1" applyProtection="1">
      <alignment horizontal="center" vertical="center" wrapText="1"/>
    </xf>
    <xf numFmtId="0" fontId="22" fillId="0" borderId="231" xfId="0" applyFont="1" applyBorder="1" applyAlignment="1" applyProtection="1">
      <alignment vertical="top" wrapText="1"/>
    </xf>
    <xf numFmtId="0" fontId="22" fillId="0" borderId="209" xfId="0" applyFont="1" applyBorder="1" applyAlignment="1" applyProtection="1">
      <alignment vertical="top"/>
    </xf>
    <xf numFmtId="0" fontId="22" fillId="22" borderId="210" xfId="0" applyFont="1" applyFill="1" applyBorder="1" applyAlignment="1" applyProtection="1">
      <alignment vertical="top"/>
    </xf>
    <xf numFmtId="0" fontId="22" fillId="0" borderId="214" xfId="0" applyFont="1" applyFill="1" applyBorder="1" applyAlignment="1" applyProtection="1">
      <alignment horizontal="center" vertical="center" wrapText="1"/>
    </xf>
    <xf numFmtId="1" fontId="21" fillId="24" borderId="214" xfId="0" applyNumberFormat="1" applyFont="1" applyFill="1" applyBorder="1" applyAlignment="1" applyProtection="1">
      <alignment horizontal="center" vertical="center" wrapText="1"/>
    </xf>
    <xf numFmtId="0" fontId="22" fillId="0" borderId="203" xfId="0" applyFont="1" applyBorder="1" applyAlignment="1" applyProtection="1">
      <alignment vertical="top" wrapText="1"/>
    </xf>
    <xf numFmtId="0" fontId="22" fillId="0" borderId="217" xfId="0" applyFont="1" applyBorder="1" applyAlignment="1" applyProtection="1">
      <alignment horizontal="left" vertical="top" wrapText="1" indent="2"/>
    </xf>
    <xf numFmtId="0" fontId="22" fillId="0" borderId="203" xfId="0" applyFont="1" applyBorder="1" applyAlignment="1" applyProtection="1">
      <alignment horizontal="left" vertical="top" indent="2"/>
    </xf>
    <xf numFmtId="0" fontId="22" fillId="0" borderId="209" xfId="0" applyFont="1" applyBorder="1" applyAlignment="1" applyProtection="1">
      <alignment horizontal="left" vertical="top" indent="2"/>
    </xf>
    <xf numFmtId="0" fontId="22" fillId="22" borderId="210" xfId="0" applyFont="1" applyFill="1" applyBorder="1" applyAlignment="1" applyProtection="1">
      <alignment horizontal="left" vertical="top" indent="2"/>
    </xf>
    <xf numFmtId="0" fontId="22" fillId="0" borderId="217" xfId="0" applyFont="1" applyBorder="1" applyAlignment="1" applyProtection="1">
      <alignment horizontal="left" vertical="top" wrapText="1" indent="6"/>
    </xf>
    <xf numFmtId="0" fontId="22" fillId="0" borderId="209" xfId="0" applyFont="1" applyBorder="1" applyAlignment="1" applyProtection="1">
      <alignment horizontal="left" vertical="top" wrapText="1" indent="2"/>
    </xf>
    <xf numFmtId="0" fontId="22" fillId="22" borderId="210" xfId="0" applyFont="1" applyFill="1" applyBorder="1" applyAlignment="1" applyProtection="1">
      <alignment horizontal="center" vertical="center" wrapText="1"/>
    </xf>
    <xf numFmtId="1" fontId="21" fillId="13" borderId="206" xfId="0" applyNumberFormat="1" applyFont="1" applyFill="1" applyBorder="1" applyAlignment="1" applyProtection="1">
      <alignment horizontal="center" vertical="center" wrapText="1"/>
    </xf>
    <xf numFmtId="0" fontId="22" fillId="0" borderId="203" xfId="0" applyFont="1" applyBorder="1" applyAlignment="1" applyProtection="1">
      <alignment horizontal="left" vertical="top" wrapText="1" indent="2"/>
    </xf>
    <xf numFmtId="0" fontId="22" fillId="22" borderId="201" xfId="0" applyFont="1" applyFill="1" applyBorder="1" applyAlignment="1" applyProtection="1">
      <alignment wrapText="1"/>
    </xf>
    <xf numFmtId="0" fontId="21" fillId="0" borderId="203" xfId="0" applyFont="1" applyBorder="1" applyAlignment="1" applyProtection="1">
      <alignment horizontal="left" vertical="top" wrapText="1" indent="4"/>
    </xf>
    <xf numFmtId="0" fontId="22" fillId="0" borderId="214" xfId="0" applyFont="1" applyBorder="1" applyAlignment="1" applyProtection="1">
      <alignment horizontal="center" vertical="center"/>
    </xf>
    <xf numFmtId="0" fontId="22" fillId="0" borderId="200" xfId="0" applyFont="1" applyBorder="1" applyAlignment="1" applyProtection="1">
      <alignment horizontal="left" vertical="top" wrapText="1"/>
    </xf>
    <xf numFmtId="0" fontId="22" fillId="0" borderId="203" xfId="0" applyFont="1" applyBorder="1" applyAlignment="1" applyProtection="1">
      <alignment horizontal="left" vertical="top" wrapText="1"/>
    </xf>
    <xf numFmtId="0" fontId="22" fillId="22" borderId="226" xfId="0" applyFont="1" applyFill="1" applyBorder="1" applyAlignment="1" applyProtection="1">
      <alignment vertical="top" wrapText="1"/>
    </xf>
    <xf numFmtId="0" fontId="22" fillId="0" borderId="201" xfId="0" applyFont="1" applyBorder="1" applyAlignment="1" applyProtection="1">
      <alignment horizontal="center" vertical="top" wrapText="1"/>
    </xf>
    <xf numFmtId="0" fontId="22" fillId="22" borderId="214" xfId="0" applyFont="1" applyFill="1" applyBorder="1" applyAlignment="1" applyProtection="1">
      <alignment vertical="top" wrapText="1"/>
    </xf>
    <xf numFmtId="0" fontId="22" fillId="0" borderId="210" xfId="0" applyFont="1" applyFill="1" applyBorder="1" applyAlignment="1" applyProtection="1">
      <alignment horizontal="center" vertical="top" wrapText="1"/>
    </xf>
    <xf numFmtId="0" fontId="21" fillId="0" borderId="210" xfId="0" applyNumberFormat="1" applyFont="1" applyFill="1" applyBorder="1" applyAlignment="1" applyProtection="1">
      <alignment horizontal="center" vertical="center" wrapText="1"/>
    </xf>
    <xf numFmtId="0" fontId="22" fillId="0" borderId="206" xfId="0" applyNumberFormat="1" applyFont="1" applyBorder="1" applyAlignment="1" applyProtection="1">
      <alignment horizontal="center" vertical="center" wrapText="1"/>
    </xf>
    <xf numFmtId="0" fontId="21" fillId="0" borderId="210" xfId="0" applyFont="1" applyFill="1" applyBorder="1" applyAlignment="1" applyProtection="1">
      <alignment horizontal="center" vertical="center" wrapText="1"/>
    </xf>
    <xf numFmtId="0" fontId="22" fillId="0" borderId="201" xfId="0" quotePrefix="1" applyFont="1" applyBorder="1" applyAlignment="1" applyProtection="1">
      <alignment horizontal="center" vertical="center" wrapText="1"/>
    </xf>
    <xf numFmtId="0" fontId="22" fillId="0" borderId="214" xfId="0" quotePrefix="1" applyFont="1" applyBorder="1" applyAlignment="1" applyProtection="1">
      <alignment horizontal="center" vertical="center" wrapText="1"/>
    </xf>
    <xf numFmtId="0" fontId="0" fillId="0" borderId="0" xfId="0" applyFont="1" applyAlignment="1">
      <alignment horizontal="center" vertical="center"/>
    </xf>
    <xf numFmtId="1" fontId="0" fillId="0" borderId="0" xfId="0" applyNumberFormat="1" applyFont="1" applyAlignment="1">
      <alignment horizontal="center" vertical="center"/>
    </xf>
    <xf numFmtId="0" fontId="3" fillId="0" borderId="0" xfId="0" applyFont="1" applyBorder="1" applyAlignment="1" applyProtection="1">
      <alignment horizontal="center" vertical="center" wrapText="1"/>
      <protection locked="0"/>
    </xf>
    <xf numFmtId="0" fontId="3" fillId="0" borderId="0" xfId="0" applyFont="1" applyBorder="1" applyAlignment="1">
      <alignment horizontal="center" vertical="center" wrapText="1"/>
    </xf>
    <xf numFmtId="0" fontId="0" fillId="0" borderId="0" xfId="0" applyFont="1" applyProtection="1">
      <protection locked="0"/>
    </xf>
    <xf numFmtId="0" fontId="23" fillId="0" borderId="13" xfId="0" applyFont="1" applyBorder="1"/>
    <xf numFmtId="0" fontId="17" fillId="0" borderId="13" xfId="5" applyFont="1" applyBorder="1"/>
    <xf numFmtId="0" fontId="23" fillId="0" borderId="0" xfId="0" applyFont="1" applyAlignment="1" applyProtection="1">
      <alignment horizontal="left" vertical="center"/>
      <protection locked="0"/>
    </xf>
    <xf numFmtId="0" fontId="23" fillId="0" borderId="0" xfId="0" applyFont="1" applyAlignment="1">
      <alignment horizontal="left" vertical="center"/>
    </xf>
    <xf numFmtId="49" fontId="70" fillId="17" borderId="78" xfId="0" applyNumberFormat="1" applyFont="1" applyFill="1" applyBorder="1" applyAlignment="1">
      <alignment horizontal="center" vertical="center" wrapText="1"/>
    </xf>
    <xf numFmtId="49" fontId="70" fillId="17" borderId="241" xfId="0" applyNumberFormat="1" applyFont="1" applyFill="1" applyBorder="1" applyAlignment="1">
      <alignment horizontal="center" vertical="center" wrapText="1"/>
    </xf>
    <xf numFmtId="0" fontId="70" fillId="17" borderId="240" xfId="0" quotePrefix="1" applyNumberFormat="1" applyFont="1" applyFill="1" applyBorder="1" applyAlignment="1">
      <alignment horizontal="center" vertical="center" wrapText="1"/>
    </xf>
    <xf numFmtId="49" fontId="30" fillId="21" borderId="78" xfId="0" applyNumberFormat="1" applyFont="1" applyFill="1" applyBorder="1" applyAlignment="1">
      <alignment horizontal="center" vertical="center" wrapText="1"/>
    </xf>
    <xf numFmtId="49" fontId="30" fillId="21" borderId="241" xfId="0" applyNumberFormat="1" applyFont="1" applyFill="1" applyBorder="1" applyAlignment="1">
      <alignment horizontal="center" vertical="center" wrapText="1"/>
    </xf>
    <xf numFmtId="49" fontId="70" fillId="17" borderId="240" xfId="0" applyNumberFormat="1" applyFont="1" applyFill="1" applyBorder="1" applyAlignment="1">
      <alignment horizontal="center" vertical="center" wrapText="1"/>
    </xf>
    <xf numFmtId="0" fontId="71" fillId="0" borderId="102" xfId="0" applyFont="1" applyBorder="1" applyAlignment="1">
      <alignment horizontal="center" vertical="center"/>
    </xf>
    <xf numFmtId="0" fontId="71" fillId="0" borderId="8" xfId="0" applyFont="1" applyBorder="1" applyAlignment="1">
      <alignment horizontal="center" vertical="center"/>
    </xf>
    <xf numFmtId="0" fontId="71" fillId="0" borderId="104" xfId="0" applyFont="1" applyBorder="1" applyAlignment="1">
      <alignment horizontal="center" vertical="center"/>
    </xf>
    <xf numFmtId="0" fontId="0" fillId="0" borderId="0" xfId="0" applyFont="1" applyAlignment="1">
      <alignment horizontal="left" vertical="top" wrapText="1"/>
    </xf>
    <xf numFmtId="0" fontId="4" fillId="0" borderId="0" xfId="4" applyProtection="1">
      <protection locked="0"/>
    </xf>
    <xf numFmtId="0" fontId="0" fillId="0" borderId="0" xfId="0" applyProtection="1">
      <protection locked="0"/>
    </xf>
    <xf numFmtId="0" fontId="4" fillId="3" borderId="12" xfId="4" applyFill="1" applyBorder="1"/>
    <xf numFmtId="0" fontId="4" fillId="3" borderId="0" xfId="4" applyFill="1" applyBorder="1"/>
    <xf numFmtId="0" fontId="4" fillId="3" borderId="13" xfId="4" applyFill="1" applyBorder="1"/>
    <xf numFmtId="0" fontId="17" fillId="27" borderId="244" xfId="5" applyFill="1" applyBorder="1" applyAlignment="1" applyProtection="1">
      <alignment horizontal="center" vertical="center"/>
      <protection locked="0"/>
    </xf>
    <xf numFmtId="0" fontId="73" fillId="3" borderId="12" xfId="4" applyFont="1" applyFill="1" applyBorder="1"/>
    <xf numFmtId="0" fontId="73" fillId="3" borderId="0" xfId="4" applyFont="1" applyFill="1" applyBorder="1"/>
    <xf numFmtId="0" fontId="73" fillId="3" borderId="13" xfId="4" applyFont="1" applyFill="1" applyBorder="1"/>
    <xf numFmtId="167" fontId="73" fillId="3" borderId="12" xfId="4" applyNumberFormat="1" applyFont="1" applyFill="1" applyBorder="1"/>
    <xf numFmtId="0" fontId="73" fillId="3" borderId="0" xfId="4" applyFont="1" applyFill="1" applyBorder="1" applyAlignment="1">
      <alignment vertical="center"/>
    </xf>
    <xf numFmtId="0" fontId="73" fillId="3" borderId="0" xfId="4" applyFont="1" applyFill="1" applyBorder="1" applyAlignment="1">
      <alignment horizontal="left" indent="1"/>
    </xf>
    <xf numFmtId="0" fontId="17" fillId="3" borderId="12" xfId="5" applyFill="1" applyBorder="1" applyAlignment="1">
      <alignment horizontal="center" vertical="center"/>
    </xf>
    <xf numFmtId="0" fontId="74" fillId="3" borderId="0" xfId="4" applyFont="1" applyFill="1" applyBorder="1"/>
    <xf numFmtId="0" fontId="3" fillId="0" borderId="0" xfId="0" applyFont="1" applyProtection="1">
      <protection locked="0"/>
    </xf>
    <xf numFmtId="0" fontId="8" fillId="17" borderId="238" xfId="0" applyFont="1" applyFill="1" applyBorder="1" applyAlignment="1">
      <alignment horizontal="center" vertical="center"/>
    </xf>
    <xf numFmtId="0" fontId="8" fillId="17" borderId="240" xfId="0" applyFont="1" applyFill="1" applyBorder="1" applyAlignment="1">
      <alignment horizontal="center" vertical="center" wrapText="1"/>
    </xf>
    <xf numFmtId="0" fontId="23" fillId="0" borderId="241" xfId="0" applyFont="1" applyBorder="1" applyAlignment="1">
      <alignment horizontal="center" vertical="center" wrapText="1"/>
    </xf>
    <xf numFmtId="0" fontId="8" fillId="17" borderId="240" xfId="0" applyFont="1" applyFill="1" applyBorder="1" applyAlignment="1">
      <alignment horizontal="center" vertical="center"/>
    </xf>
    <xf numFmtId="0" fontId="23" fillId="0" borderId="78" xfId="0" applyFont="1" applyBorder="1" applyAlignment="1">
      <alignment horizontal="center" vertical="center"/>
    </xf>
    <xf numFmtId="0" fontId="23" fillId="0" borderId="241" xfId="0" applyFont="1" applyBorder="1" applyAlignment="1">
      <alignment horizontal="center" vertical="center"/>
    </xf>
    <xf numFmtId="0" fontId="0" fillId="0" borderId="8" xfId="0" applyFont="1" applyBorder="1"/>
    <xf numFmtId="0" fontId="0" fillId="0" borderId="104" xfId="0" applyFont="1" applyBorder="1"/>
    <xf numFmtId="0" fontId="0" fillId="0" borderId="12" xfId="0" applyFont="1" applyBorder="1" applyAlignment="1">
      <alignment vertical="top" wrapText="1"/>
    </xf>
    <xf numFmtId="0" fontId="0" fillId="0" borderId="0" xfId="0" applyFont="1" applyBorder="1" applyAlignment="1">
      <alignment vertical="top" wrapText="1"/>
    </xf>
    <xf numFmtId="0" fontId="0" fillId="0" borderId="13" xfId="0" applyFont="1" applyBorder="1" applyAlignment="1">
      <alignment vertical="top" wrapText="1"/>
    </xf>
    <xf numFmtId="0" fontId="38" fillId="0" borderId="147" xfId="0" applyFont="1" applyBorder="1" applyAlignment="1">
      <alignment vertical="top" wrapText="1"/>
    </xf>
    <xf numFmtId="0" fontId="0" fillId="0" borderId="0" xfId="0" quotePrefix="1" applyFont="1" applyBorder="1" applyAlignment="1">
      <alignment horizontal="center" vertical="top" wrapText="1"/>
    </xf>
    <xf numFmtId="0" fontId="38" fillId="0" borderId="150" xfId="0" applyFont="1" applyBorder="1" applyAlignment="1">
      <alignment vertical="top" wrapText="1"/>
    </xf>
    <xf numFmtId="0" fontId="0" fillId="0" borderId="151" xfId="0" quotePrefix="1" applyFont="1" applyBorder="1" applyAlignment="1">
      <alignment horizontal="center" vertical="top" wrapText="1"/>
    </xf>
    <xf numFmtId="0" fontId="0" fillId="0" borderId="12" xfId="0" applyFont="1" applyBorder="1" applyAlignment="1">
      <alignment wrapText="1"/>
    </xf>
    <xf numFmtId="0" fontId="0" fillId="0" borderId="0" xfId="0" applyFont="1" applyBorder="1" applyAlignment="1">
      <alignment wrapText="1"/>
    </xf>
    <xf numFmtId="0" fontId="0" fillId="0" borderId="13" xfId="0" applyFont="1" applyBorder="1" applyAlignment="1">
      <alignment wrapText="1"/>
    </xf>
    <xf numFmtId="0" fontId="2" fillId="17" borderId="158" xfId="0" applyFont="1" applyFill="1" applyBorder="1" applyAlignment="1">
      <alignment horizontal="center" vertical="center" wrapText="1"/>
    </xf>
    <xf numFmtId="0" fontId="2" fillId="17" borderId="148" xfId="0" applyFont="1" applyFill="1" applyBorder="1" applyAlignment="1">
      <alignment horizontal="center" vertical="center" wrapText="1"/>
    </xf>
    <xf numFmtId="49" fontId="2" fillId="17" borderId="78" xfId="0" applyNumberFormat="1" applyFont="1" applyFill="1" applyBorder="1" applyAlignment="1">
      <alignment horizontal="center" vertical="center" wrapText="1"/>
    </xf>
    <xf numFmtId="49" fontId="2" fillId="17" borderId="149" xfId="0" applyNumberFormat="1" applyFont="1" applyFill="1" applyBorder="1" applyAlignment="1">
      <alignment horizontal="center" vertical="center" wrapText="1"/>
    </xf>
    <xf numFmtId="49" fontId="0" fillId="0" borderId="0" xfId="0" applyNumberFormat="1" applyFont="1" applyBorder="1" applyAlignment="1">
      <alignment wrapText="1"/>
    </xf>
    <xf numFmtId="49" fontId="0" fillId="0" borderId="13" xfId="0" applyNumberFormat="1" applyFont="1" applyBorder="1" applyAlignment="1">
      <alignment wrapText="1"/>
    </xf>
    <xf numFmtId="0" fontId="0" fillId="0" borderId="148"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149" xfId="0" applyFont="1" applyBorder="1" applyAlignment="1">
      <alignment horizontal="center" vertical="center" wrapText="1"/>
    </xf>
    <xf numFmtId="0" fontId="0" fillId="0" borderId="161" xfId="0" applyFont="1" applyBorder="1" applyAlignment="1">
      <alignment horizontal="center" vertical="center" wrapText="1"/>
    </xf>
    <xf numFmtId="0" fontId="0" fillId="0" borderId="162" xfId="0" applyFont="1" applyBorder="1" applyAlignment="1">
      <alignment horizontal="center" vertical="center" wrapText="1"/>
    </xf>
    <xf numFmtId="0" fontId="0" fillId="0" borderId="163" xfId="0" applyFont="1" applyBorder="1" applyAlignment="1">
      <alignment horizontal="center" vertical="center" wrapText="1"/>
    </xf>
    <xf numFmtId="0" fontId="0" fillId="0" borderId="0" xfId="0" quotePrefix="1" applyFont="1" applyBorder="1" applyAlignment="1">
      <alignment vertical="top" wrapText="1"/>
    </xf>
    <xf numFmtId="0" fontId="1" fillId="0" borderId="0" xfId="0" applyFont="1" applyBorder="1"/>
    <xf numFmtId="0" fontId="22" fillId="0" borderId="68" xfId="4" applyNumberFormat="1" applyFont="1" applyBorder="1" applyAlignment="1">
      <alignment horizontal="center" vertical="center" wrapText="1"/>
    </xf>
    <xf numFmtId="0" fontId="49" fillId="0" borderId="0" xfId="4" applyNumberFormat="1" applyFont="1" applyBorder="1" applyAlignment="1">
      <alignment horizontal="center" vertical="center" wrapText="1"/>
    </xf>
    <xf numFmtId="0" fontId="3" fillId="0" borderId="0" xfId="0" applyFont="1"/>
    <xf numFmtId="0" fontId="65" fillId="0" borderId="0" xfId="0" applyFont="1" applyBorder="1" applyAlignment="1">
      <alignment horizontal="left" vertical="center" wrapText="1"/>
    </xf>
    <xf numFmtId="0" fontId="21" fillId="0" borderId="261" xfId="4" applyFont="1" applyFill="1" applyBorder="1" applyAlignment="1">
      <alignment horizontal="center"/>
    </xf>
    <xf numFmtId="0" fontId="21" fillId="0" borderId="263" xfId="4" applyFont="1" applyFill="1" applyBorder="1" applyAlignment="1">
      <alignment horizontal="center" vertical="top"/>
    </xf>
    <xf numFmtId="0" fontId="21" fillId="0" borderId="264" xfId="4" applyFont="1" applyFill="1" applyBorder="1" applyAlignment="1">
      <alignment horizontal="center"/>
    </xf>
    <xf numFmtId="0" fontId="21" fillId="0" borderId="265" xfId="4" applyFont="1" applyFill="1" applyBorder="1" applyAlignment="1">
      <alignment horizontal="center" vertical="top"/>
    </xf>
    <xf numFmtId="0" fontId="21" fillId="0" borderId="266" xfId="4" applyFont="1" applyFill="1" applyBorder="1" applyAlignment="1">
      <alignment horizontal="center"/>
    </xf>
    <xf numFmtId="0" fontId="21" fillId="0" borderId="267" xfId="4" applyFont="1" applyFill="1" applyBorder="1" applyAlignment="1">
      <alignment horizontal="center" vertical="top"/>
    </xf>
    <xf numFmtId="166" fontId="21" fillId="0" borderId="67" xfId="4" applyNumberFormat="1" applyFont="1" applyBorder="1" applyAlignment="1">
      <alignment horizontal="left" vertical="top"/>
    </xf>
    <xf numFmtId="166" fontId="21" fillId="0" borderId="68" xfId="4" applyNumberFormat="1" applyFont="1" applyBorder="1" applyAlignment="1">
      <alignment horizontal="center" vertical="top"/>
    </xf>
    <xf numFmtId="166" fontId="21" fillId="0" borderId="68" xfId="4" applyNumberFormat="1" applyFont="1" applyBorder="1" applyAlignment="1">
      <alignment horizontal="left" vertical="top"/>
    </xf>
    <xf numFmtId="0" fontId="21" fillId="0" borderId="68" xfId="4" applyFont="1" applyBorder="1" applyAlignment="1">
      <alignment horizontal="center" vertical="center" wrapText="1"/>
    </xf>
    <xf numFmtId="1" fontId="22" fillId="10" borderId="15" xfId="9" applyFont="1" applyBorder="1" applyProtection="1">
      <alignment horizontal="center" vertical="center"/>
      <protection locked="0"/>
    </xf>
    <xf numFmtId="1" fontId="22" fillId="10" borderId="16" xfId="9" applyFont="1" applyBorder="1" applyProtection="1">
      <alignment horizontal="center" vertical="center"/>
      <protection locked="0"/>
    </xf>
    <xf numFmtId="49" fontId="21" fillId="0" borderId="12" xfId="4" applyNumberFormat="1" applyFont="1" applyBorder="1" applyProtection="1"/>
    <xf numFmtId="0" fontId="21" fillId="0" borderId="74" xfId="4" applyFont="1" applyBorder="1" applyAlignment="1" applyProtection="1">
      <alignment horizontal="center"/>
    </xf>
    <xf numFmtId="0" fontId="21" fillId="0" borderId="76" xfId="4" applyFont="1" applyBorder="1" applyAlignment="1" applyProtection="1">
      <alignment horizontal="center"/>
    </xf>
    <xf numFmtId="0" fontId="21" fillId="0" borderId="273" xfId="4" applyFont="1" applyBorder="1" applyProtection="1"/>
    <xf numFmtId="0" fontId="21" fillId="0" borderId="0" xfId="4" applyFont="1" applyBorder="1" applyProtection="1"/>
    <xf numFmtId="0" fontId="21" fillId="0" borderId="273" xfId="4" applyNumberFormat="1" applyFont="1" applyBorder="1" applyAlignment="1" applyProtection="1">
      <alignment vertical="top" wrapText="1"/>
    </xf>
    <xf numFmtId="0" fontId="21" fillId="0" borderId="271" xfId="4" applyFont="1" applyBorder="1" applyAlignment="1" applyProtection="1">
      <alignment horizontal="center"/>
    </xf>
    <xf numFmtId="0" fontId="21" fillId="0" borderId="272" xfId="4" applyNumberFormat="1" applyFont="1" applyBorder="1" applyAlignment="1" applyProtection="1">
      <alignment horizontal="center" vertical="top" wrapText="1"/>
    </xf>
    <xf numFmtId="49" fontId="21" fillId="0" borderId="0" xfId="4" applyNumberFormat="1" applyFont="1" applyBorder="1" applyAlignment="1" applyProtection="1">
      <alignment horizontal="center"/>
    </xf>
    <xf numFmtId="0" fontId="21" fillId="0" borderId="274" xfId="4" applyFont="1" applyBorder="1" applyProtection="1"/>
    <xf numFmtId="0" fontId="21" fillId="0" borderId="68" xfId="4" quotePrefix="1" applyNumberFormat="1" applyFont="1" applyBorder="1" applyAlignment="1" applyProtection="1">
      <alignment horizontal="center" vertical="top"/>
    </xf>
    <xf numFmtId="166" fontId="23" fillId="0" borderId="12" xfId="0" applyNumberFormat="1" applyFont="1" applyBorder="1" applyAlignment="1" applyProtection="1">
      <alignment horizontal="left" vertical="top"/>
    </xf>
    <xf numFmtId="0" fontId="21" fillId="0" borderId="66" xfId="4" quotePrefix="1" applyNumberFormat="1" applyFont="1" applyBorder="1" applyAlignment="1">
      <alignment horizontal="center" vertical="top"/>
    </xf>
    <xf numFmtId="0" fontId="0" fillId="0" borderId="26" xfId="0" applyBorder="1" applyProtection="1"/>
    <xf numFmtId="0" fontId="23" fillId="0" borderId="26" xfId="0" applyFont="1" applyBorder="1" applyAlignment="1" applyProtection="1">
      <alignment horizontal="center" vertical="top"/>
    </xf>
    <xf numFmtId="0" fontId="23" fillId="0" borderId="27" xfId="0" applyFont="1" applyBorder="1" applyAlignment="1" applyProtection="1">
      <alignment horizontal="center" vertical="top"/>
    </xf>
    <xf numFmtId="0" fontId="13" fillId="0" borderId="28" xfId="0" applyFont="1" applyBorder="1" applyAlignment="1" applyProtection="1">
      <alignment horizontal="center" vertical="center" wrapText="1"/>
    </xf>
    <xf numFmtId="0" fontId="22" fillId="0" borderId="279" xfId="4" applyNumberFormat="1" applyFont="1" applyBorder="1" applyAlignment="1">
      <alignment horizontal="center" vertical="center" wrapText="1"/>
    </xf>
    <xf numFmtId="0" fontId="21" fillId="0" borderId="253" xfId="4" quotePrefix="1" applyNumberFormat="1" applyFont="1" applyBorder="1" applyAlignment="1" applyProtection="1">
      <alignment horizontal="left" vertical="top"/>
    </xf>
    <xf numFmtId="0" fontId="21" fillId="0" borderId="66" xfId="4" quotePrefix="1" applyNumberFormat="1" applyFont="1" applyBorder="1" applyAlignment="1" applyProtection="1">
      <alignment horizontal="center" vertical="top"/>
    </xf>
    <xf numFmtId="0" fontId="21" fillId="0" borderId="66" xfId="4" quotePrefix="1" applyNumberFormat="1" applyFont="1" applyBorder="1" applyAlignment="1" applyProtection="1">
      <alignment horizontal="left" vertical="top"/>
    </xf>
    <xf numFmtId="49" fontId="21" fillId="0" borderId="12" xfId="4" quotePrefix="1" applyNumberFormat="1" applyFont="1" applyBorder="1" applyAlignment="1" applyProtection="1">
      <alignment vertical="top"/>
    </xf>
    <xf numFmtId="49" fontId="21" fillId="0" borderId="0" xfId="4" quotePrefix="1" applyNumberFormat="1" applyFont="1" applyBorder="1" applyAlignment="1" applyProtection="1">
      <alignment horizontal="center" vertical="top"/>
    </xf>
    <xf numFmtId="49" fontId="21" fillId="0" borderId="0" xfId="4" quotePrefix="1" applyNumberFormat="1" applyFont="1" applyBorder="1" applyAlignment="1" applyProtection="1">
      <alignment vertical="top"/>
    </xf>
    <xf numFmtId="0" fontId="21" fillId="0" borderId="95" xfId="4" quotePrefix="1" applyNumberFormat="1" applyFont="1" applyBorder="1" applyAlignment="1">
      <alignment horizontal="center" vertical="center"/>
    </xf>
    <xf numFmtId="0" fontId="21" fillId="0" borderId="98" xfId="4" quotePrefix="1" applyNumberFormat="1" applyFont="1" applyBorder="1" applyAlignment="1">
      <alignment horizontal="center" vertical="center"/>
    </xf>
    <xf numFmtId="0" fontId="21" fillId="0" borderId="280" xfId="4" quotePrefix="1" applyNumberFormat="1" applyFont="1" applyBorder="1" applyAlignment="1">
      <alignment horizontal="center" vertical="center"/>
    </xf>
    <xf numFmtId="0" fontId="21" fillId="0" borderId="97" xfId="4" applyFont="1" applyBorder="1" applyAlignment="1">
      <alignment horizontal="center" vertical="center" wrapText="1"/>
    </xf>
    <xf numFmtId="0" fontId="21" fillId="0" borderId="100" xfId="4" quotePrefix="1" applyFont="1" applyBorder="1" applyAlignment="1">
      <alignment horizontal="center" vertical="center" wrapText="1"/>
    </xf>
    <xf numFmtId="0" fontId="21" fillId="0" borderId="282" xfId="4" applyFont="1" applyBorder="1" applyAlignment="1">
      <alignment horizontal="center" vertical="center" wrapText="1"/>
    </xf>
    <xf numFmtId="167" fontId="23" fillId="0" borderId="58" xfId="0" applyNumberFormat="1" applyFont="1" applyBorder="1" applyAlignment="1">
      <alignment horizontal="center" vertical="top"/>
    </xf>
    <xf numFmtId="0" fontId="13" fillId="0" borderId="58" xfId="0" applyFont="1" applyBorder="1" applyAlignment="1">
      <alignment horizontal="center" vertical="center" wrapText="1"/>
    </xf>
    <xf numFmtId="0" fontId="23" fillId="0" borderId="95" xfId="0" applyFont="1" applyBorder="1" applyAlignment="1">
      <alignment horizontal="center" vertical="center" wrapText="1"/>
    </xf>
    <xf numFmtId="0" fontId="23" fillId="0" borderId="97" xfId="0" applyFont="1" applyBorder="1" applyAlignment="1">
      <alignment horizontal="center" vertical="center" wrapText="1"/>
    </xf>
    <xf numFmtId="0" fontId="23" fillId="0" borderId="280" xfId="0" applyFont="1" applyBorder="1" applyAlignment="1">
      <alignment horizontal="center" vertical="center" wrapText="1"/>
    </xf>
    <xf numFmtId="0" fontId="23" fillId="0" borderId="282" xfId="0" applyFont="1" applyBorder="1" applyAlignment="1">
      <alignment horizontal="center" vertical="center" wrapText="1"/>
    </xf>
    <xf numFmtId="167" fontId="23" fillId="0" borderId="57" xfId="0" applyNumberFormat="1" applyFont="1" applyBorder="1" applyAlignment="1">
      <alignment horizontal="center" vertical="top"/>
    </xf>
    <xf numFmtId="167" fontId="23" fillId="0" borderId="286" xfId="0" applyNumberFormat="1" applyFont="1" applyBorder="1" applyAlignment="1">
      <alignment horizontal="center" vertical="top"/>
    </xf>
    <xf numFmtId="167" fontId="23" fillId="0" borderId="287" xfId="0" applyNumberFormat="1" applyFont="1" applyBorder="1" applyAlignment="1">
      <alignment horizontal="center" vertical="top"/>
    </xf>
    <xf numFmtId="0" fontId="23" fillId="0" borderId="0" xfId="0" applyFont="1" applyFill="1" applyBorder="1" applyAlignment="1">
      <alignment horizontal="left" vertical="center"/>
    </xf>
    <xf numFmtId="167" fontId="21" fillId="0" borderId="95" xfId="4" applyNumberFormat="1" applyFont="1" applyBorder="1" applyAlignment="1">
      <alignment horizontal="center" vertical="top"/>
    </xf>
    <xf numFmtId="0" fontId="21" fillId="0" borderId="97" xfId="4" applyNumberFormat="1" applyFont="1" applyBorder="1" applyAlignment="1">
      <alignment vertical="top" wrapText="1"/>
    </xf>
    <xf numFmtId="167" fontId="21" fillId="0" borderId="98" xfId="4" applyNumberFormat="1" applyFont="1" applyBorder="1" applyAlignment="1">
      <alignment horizontal="center" vertical="top"/>
    </xf>
    <xf numFmtId="0" fontId="21" fillId="0" borderId="100" xfId="4" applyNumberFormat="1" applyFont="1" applyBorder="1" applyAlignment="1">
      <alignment vertical="top" wrapText="1"/>
    </xf>
    <xf numFmtId="167" fontId="21" fillId="0" borderId="280" xfId="4" applyNumberFormat="1" applyFont="1" applyBorder="1" applyAlignment="1">
      <alignment horizontal="center" vertical="top"/>
    </xf>
    <xf numFmtId="0" fontId="21" fillId="0" borderId="282" xfId="4" quotePrefix="1" applyNumberFormat="1" applyFont="1" applyBorder="1" applyAlignment="1">
      <alignment vertical="top" wrapText="1"/>
    </xf>
    <xf numFmtId="0" fontId="21" fillId="0" borderId="290" xfId="4" applyNumberFormat="1" applyFont="1" applyBorder="1" applyAlignment="1">
      <alignment vertical="top" wrapText="1"/>
    </xf>
    <xf numFmtId="0" fontId="21" fillId="0" borderId="55" xfId="4" applyNumberFormat="1" applyFont="1" applyBorder="1" applyAlignment="1">
      <alignment vertical="top" wrapText="1"/>
    </xf>
    <xf numFmtId="0" fontId="21" fillId="0" borderId="289" xfId="4" applyNumberFormat="1" applyFont="1" applyBorder="1" applyAlignment="1">
      <alignment vertical="top" wrapText="1"/>
    </xf>
    <xf numFmtId="0" fontId="21" fillId="0" borderId="288" xfId="4" quotePrefix="1" applyNumberFormat="1" applyFont="1" applyBorder="1" applyAlignment="1">
      <alignment vertical="top" wrapText="1"/>
    </xf>
    <xf numFmtId="0" fontId="21" fillId="0" borderId="57" xfId="4" quotePrefix="1" applyNumberFormat="1" applyFont="1" applyBorder="1" applyAlignment="1">
      <alignment vertical="top" wrapText="1"/>
    </xf>
    <xf numFmtId="0" fontId="23" fillId="0" borderId="58" xfId="0" applyFont="1" applyBorder="1" applyAlignment="1">
      <alignment horizontal="center" vertical="top"/>
    </xf>
    <xf numFmtId="167" fontId="21" fillId="0" borderId="66" xfId="4" applyNumberFormat="1" applyFont="1" applyBorder="1" applyAlignment="1">
      <alignment horizontal="center" vertical="top"/>
    </xf>
    <xf numFmtId="167" fontId="21" fillId="0" borderId="66" xfId="4" applyNumberFormat="1" applyFont="1" applyBorder="1" applyAlignment="1">
      <alignment vertical="top"/>
    </xf>
    <xf numFmtId="49" fontId="55" fillId="0" borderId="279" xfId="16" applyBorder="1">
      <alignment horizontal="center" vertical="center" wrapText="1"/>
    </xf>
    <xf numFmtId="0" fontId="22" fillId="0" borderId="93" xfId="4" applyNumberFormat="1" applyFont="1" applyBorder="1" applyAlignment="1">
      <alignment horizontal="center" vertical="center" wrapText="1"/>
    </xf>
    <xf numFmtId="49" fontId="21" fillId="0" borderId="291" xfId="4" applyNumberFormat="1" applyFont="1" applyBorder="1" applyAlignment="1">
      <alignment horizontal="left" vertical="top"/>
    </xf>
    <xf numFmtId="167" fontId="21" fillId="0" borderId="58" xfId="4" applyNumberFormat="1" applyFont="1" applyBorder="1" applyAlignment="1">
      <alignment horizontal="left" vertical="top"/>
    </xf>
    <xf numFmtId="49" fontId="21" fillId="0" borderId="253" xfId="4" applyNumberFormat="1" applyFont="1" applyBorder="1" applyAlignment="1">
      <alignment horizontal="left" vertical="top"/>
    </xf>
    <xf numFmtId="167" fontId="21" fillId="0" borderId="66" xfId="4" applyNumberFormat="1" applyFont="1" applyBorder="1" applyAlignment="1">
      <alignment horizontal="left" vertical="top"/>
    </xf>
    <xf numFmtId="0" fontId="8" fillId="17" borderId="293" xfId="4" applyNumberFormat="1" applyFont="1" applyFill="1" applyBorder="1" applyAlignment="1">
      <alignment horizontal="center" vertical="center" wrapText="1"/>
    </xf>
    <xf numFmtId="0" fontId="8" fillId="17" borderId="299" xfId="4" applyNumberFormat="1" applyFont="1" applyFill="1" applyBorder="1" applyAlignment="1">
      <alignment horizontal="center" vertical="center" wrapText="1"/>
    </xf>
    <xf numFmtId="49" fontId="21" fillId="0" borderId="253" xfId="4" quotePrefix="1" applyNumberFormat="1" applyFont="1" applyBorder="1" applyAlignment="1">
      <alignment vertical="top"/>
    </xf>
    <xf numFmtId="49" fontId="21" fillId="0" borderId="66" xfId="4" quotePrefix="1" applyNumberFormat="1" applyFont="1" applyBorder="1" applyAlignment="1">
      <alignment horizontal="center" vertical="top"/>
    </xf>
    <xf numFmtId="49" fontId="21" fillId="0" borderId="66" xfId="4" quotePrefix="1" applyNumberFormat="1" applyFont="1" applyBorder="1" applyAlignment="1">
      <alignment vertical="top"/>
    </xf>
    <xf numFmtId="0" fontId="21" fillId="0" borderId="253" xfId="4" applyNumberFormat="1" applyFont="1" applyBorder="1" applyAlignment="1">
      <alignment horizontal="left" vertical="top"/>
    </xf>
    <xf numFmtId="0" fontId="21" fillId="0" borderId="66" xfId="4" applyNumberFormat="1" applyFont="1" applyBorder="1" applyAlignment="1">
      <alignment horizontal="center" vertical="top"/>
    </xf>
    <xf numFmtId="0" fontId="21" fillId="0" borderId="66" xfId="4" applyNumberFormat="1" applyFont="1" applyBorder="1" applyAlignment="1">
      <alignment horizontal="left" vertical="top"/>
    </xf>
    <xf numFmtId="0" fontId="21" fillId="0" borderId="254" xfId="4" applyFont="1" applyBorder="1" applyAlignment="1" applyProtection="1">
      <alignment horizontal="left" vertical="top" wrapText="1"/>
      <protection locked="0"/>
    </xf>
    <xf numFmtId="49" fontId="21" fillId="0" borderId="102" xfId="4" applyNumberFormat="1" applyFont="1" applyBorder="1"/>
    <xf numFmtId="0" fontId="0" fillId="10" borderId="15" xfId="0" applyFill="1" applyBorder="1" applyProtection="1">
      <protection locked="0"/>
    </xf>
    <xf numFmtId="1" fontId="22" fillId="10" borderId="40" xfId="9" applyFont="1" applyBorder="1" applyProtection="1">
      <alignment horizontal="center" vertical="center"/>
      <protection locked="0"/>
    </xf>
    <xf numFmtId="0" fontId="22" fillId="0" borderId="34" xfId="12" applyFont="1" applyFill="1" applyBorder="1" applyProtection="1">
      <alignment horizontal="left" vertical="top" wrapText="1"/>
    </xf>
    <xf numFmtId="0" fontId="13" fillId="0" borderId="32" xfId="0" applyFont="1" applyBorder="1" applyAlignment="1">
      <alignment horizontal="left" vertical="top" wrapText="1"/>
    </xf>
    <xf numFmtId="0" fontId="3" fillId="0" borderId="68" xfId="0" applyFont="1" applyBorder="1"/>
    <xf numFmtId="0" fontId="3" fillId="0" borderId="0" xfId="0" applyFont="1" applyAlignment="1">
      <alignment horizontal="center" vertical="center"/>
    </xf>
    <xf numFmtId="0" fontId="13" fillId="10" borderId="112" xfId="0" applyFont="1" applyFill="1" applyBorder="1" applyAlignment="1" applyProtection="1">
      <alignment horizontal="center" vertical="center"/>
      <protection locked="0"/>
    </xf>
    <xf numFmtId="0" fontId="13" fillId="10" borderId="111" xfId="0" applyFont="1" applyFill="1" applyBorder="1" applyAlignment="1" applyProtection="1">
      <alignment horizontal="center" vertical="center"/>
      <protection locked="0"/>
    </xf>
    <xf numFmtId="0" fontId="21" fillId="6" borderId="1" xfId="4" applyFont="1" applyFill="1" applyBorder="1" applyAlignment="1">
      <alignment horizontal="center" vertical="center"/>
    </xf>
    <xf numFmtId="0" fontId="21" fillId="0" borderId="0" xfId="4" applyFont="1" applyAlignment="1">
      <alignment horizontal="left" vertical="top"/>
    </xf>
    <xf numFmtId="0" fontId="19" fillId="8" borderId="135" xfId="6" applyFont="1" applyBorder="1" applyAlignment="1">
      <alignment horizontal="center" vertical="center" wrapText="1"/>
    </xf>
    <xf numFmtId="1" fontId="22" fillId="10" borderId="285" xfId="9" applyFont="1" applyBorder="1" applyProtection="1">
      <alignment horizontal="center" vertical="center"/>
      <protection locked="0"/>
    </xf>
    <xf numFmtId="0" fontId="13" fillId="0" borderId="18"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66" xfId="0" applyFont="1" applyBorder="1" applyAlignment="1">
      <alignment horizontal="center" vertical="center" wrapText="1"/>
    </xf>
    <xf numFmtId="0" fontId="13" fillId="0" borderId="49" xfId="0" applyFont="1" applyBorder="1" applyAlignment="1">
      <alignment horizontal="center" vertical="center" wrapText="1"/>
    </xf>
    <xf numFmtId="0" fontId="13" fillId="15" borderId="258" xfId="15" applyFont="1" applyBorder="1" applyAlignment="1" applyProtection="1">
      <alignment horizontal="center" vertical="center"/>
    </xf>
    <xf numFmtId="0" fontId="1" fillId="0" borderId="0" xfId="0" applyFont="1" applyBorder="1"/>
    <xf numFmtId="0" fontId="0" fillId="0" borderId="0" xfId="0" applyBorder="1"/>
    <xf numFmtId="0" fontId="1" fillId="0" borderId="32" xfId="0" applyFont="1" applyBorder="1"/>
    <xf numFmtId="0" fontId="13" fillId="15" borderId="259" xfId="15" applyFont="1" applyBorder="1" applyAlignment="1" applyProtection="1">
      <alignment horizontal="center" vertical="center"/>
    </xf>
    <xf numFmtId="0" fontId="23" fillId="0" borderId="12" xfId="0" applyFont="1" applyBorder="1" applyAlignment="1">
      <alignment horizontal="left" vertical="top"/>
    </xf>
    <xf numFmtId="167" fontId="23" fillId="0" borderId="18" xfId="0" applyNumberFormat="1" applyFont="1" applyBorder="1" applyAlignment="1">
      <alignment horizontal="center" vertical="top"/>
    </xf>
    <xf numFmtId="167" fontId="23" fillId="0" borderId="0" xfId="0" applyNumberFormat="1" applyFont="1" applyBorder="1" applyAlignment="1">
      <alignment horizontal="center" vertical="top"/>
    </xf>
    <xf numFmtId="167" fontId="23" fillId="0" borderId="26" xfId="0" applyNumberFormat="1" applyFont="1" applyBorder="1" applyAlignment="1">
      <alignment horizontal="center" vertical="top"/>
    </xf>
    <xf numFmtId="0" fontId="23" fillId="0" borderId="0" xfId="0" applyFont="1" applyBorder="1" applyAlignment="1">
      <alignment vertical="top"/>
    </xf>
    <xf numFmtId="0" fontId="1" fillId="0" borderId="26" xfId="0" applyFont="1" applyBorder="1"/>
    <xf numFmtId="0" fontId="1" fillId="0" borderId="12" xfId="0" applyFont="1" applyBorder="1"/>
    <xf numFmtId="0" fontId="23" fillId="0" borderId="12" xfId="0" applyFont="1" applyBorder="1" applyAlignment="1">
      <alignment horizontal="left" vertical="top" wrapText="1"/>
    </xf>
    <xf numFmtId="167" fontId="23" fillId="0" borderId="18" xfId="0" applyNumberFormat="1" applyFont="1" applyBorder="1" applyAlignment="1" applyProtection="1">
      <alignment horizontal="center" vertical="top"/>
    </xf>
    <xf numFmtId="0" fontId="13" fillId="0" borderId="39" xfId="0" applyFont="1" applyBorder="1" applyAlignment="1" applyProtection="1">
      <alignment horizontal="center" vertical="center" wrapText="1"/>
    </xf>
    <xf numFmtId="0" fontId="21" fillId="0" borderId="0" xfId="4" applyFont="1" applyFill="1" applyBorder="1" applyAlignment="1">
      <alignment horizontal="left" vertical="top"/>
    </xf>
    <xf numFmtId="49" fontId="22" fillId="0" borderId="0" xfId="4" applyNumberFormat="1" applyFont="1" applyBorder="1" applyAlignment="1">
      <alignment horizontal="center" vertical="center" wrapText="1"/>
    </xf>
    <xf numFmtId="0" fontId="21" fillId="0" borderId="0" xfId="4" applyFont="1" applyBorder="1" applyAlignment="1">
      <alignment horizontal="center" vertical="center" wrapText="1"/>
    </xf>
    <xf numFmtId="49" fontId="55" fillId="0" borderId="49" xfId="16" applyBorder="1">
      <alignment horizontal="center" vertical="center" wrapText="1"/>
    </xf>
    <xf numFmtId="0" fontId="21" fillId="0" borderId="12" xfId="4" applyNumberFormat="1" applyFont="1" applyBorder="1" applyAlignment="1">
      <alignment horizontal="left" vertical="top"/>
    </xf>
    <xf numFmtId="0" fontId="21" fillId="0" borderId="13" xfId="4" applyFont="1" applyBorder="1" applyAlignment="1">
      <alignment horizontal="left" vertical="top"/>
    </xf>
    <xf numFmtId="0" fontId="23" fillId="0" borderId="0" xfId="0" applyFont="1" applyAlignment="1">
      <alignment wrapText="1"/>
    </xf>
    <xf numFmtId="0" fontId="15" fillId="0" borderId="116" xfId="12" applyFont="1" applyFill="1" applyBorder="1" applyAlignment="1" applyProtection="1">
      <alignment horizontal="center" vertical="center" wrapText="1"/>
    </xf>
    <xf numFmtId="0" fontId="30" fillId="0" borderId="313" xfId="0" applyFont="1" applyBorder="1" applyAlignment="1" applyProtection="1">
      <alignment horizontal="center" vertical="center" wrapText="1"/>
      <protection locked="0"/>
    </xf>
    <xf numFmtId="0" fontId="30" fillId="0" borderId="180" xfId="0" applyFont="1" applyBorder="1" applyAlignment="1">
      <alignment horizontal="center" vertical="center" wrapText="1"/>
    </xf>
    <xf numFmtId="0" fontId="30" fillId="0" borderId="85" xfId="0" applyFont="1" applyBorder="1" applyAlignment="1">
      <alignment horizontal="center" vertical="center"/>
    </xf>
    <xf numFmtId="49" fontId="23" fillId="0" borderId="107" xfId="0" applyNumberFormat="1" applyFont="1" applyBorder="1" applyAlignment="1" applyProtection="1">
      <alignment horizontal="center" vertical="center" wrapText="1"/>
      <protection locked="0"/>
    </xf>
    <xf numFmtId="49" fontId="23" fillId="0" borderId="105" xfId="0" applyNumberFormat="1" applyFont="1" applyBorder="1" applyAlignment="1" applyProtection="1">
      <alignment horizontal="center" vertical="center" wrapText="1"/>
      <protection locked="0"/>
    </xf>
    <xf numFmtId="0" fontId="23" fillId="0" borderId="34" xfId="0" applyFont="1" applyBorder="1" applyAlignment="1">
      <alignment horizontal="center" vertical="top" wrapText="1"/>
    </xf>
    <xf numFmtId="0" fontId="1" fillId="0" borderId="0" xfId="0" applyFont="1" applyAlignment="1">
      <alignment horizontal="left" vertical="top"/>
    </xf>
    <xf numFmtId="167" fontId="23" fillId="0" borderId="66" xfId="0" applyNumberFormat="1" applyFont="1" applyBorder="1" applyAlignment="1">
      <alignment horizontal="center" vertical="top" wrapText="1"/>
    </xf>
    <xf numFmtId="0" fontId="23" fillId="0" borderId="66" xfId="0" applyFont="1" applyBorder="1" applyAlignment="1">
      <alignment horizontal="center" vertical="top" wrapText="1"/>
    </xf>
    <xf numFmtId="0" fontId="23" fillId="0" borderId="57" xfId="0" applyFont="1" applyBorder="1" applyAlignment="1">
      <alignment horizontal="center" vertical="top" wrapText="1"/>
    </xf>
    <xf numFmtId="0" fontId="13" fillId="15" borderId="256" xfId="15" applyBorder="1" applyAlignment="1">
      <alignment horizontal="center" vertical="center"/>
    </xf>
    <xf numFmtId="0" fontId="13" fillId="15" borderId="275" xfId="15" applyBorder="1" applyAlignment="1">
      <alignment horizontal="center" vertical="center"/>
    </xf>
    <xf numFmtId="0" fontId="21" fillId="0" borderId="68" xfId="4" quotePrefix="1" applyNumberFormat="1" applyFont="1" applyBorder="1" applyAlignment="1">
      <alignment horizontal="center" vertical="top" wrapText="1"/>
    </xf>
    <xf numFmtId="0" fontId="21" fillId="0" borderId="68" xfId="4" quotePrefix="1" applyNumberFormat="1" applyFont="1" applyBorder="1" applyAlignment="1">
      <alignment horizontal="left" vertical="top" wrapText="1"/>
    </xf>
    <xf numFmtId="49" fontId="21" fillId="0" borderId="82" xfId="4" applyNumberFormat="1" applyFont="1" applyBorder="1"/>
    <xf numFmtId="167" fontId="21" fillId="0" borderId="83" xfId="4" applyNumberFormat="1" applyFont="1" applyBorder="1" applyAlignment="1">
      <alignment horizontal="center" vertical="top"/>
    </xf>
    <xf numFmtId="167" fontId="21" fillId="0" borderId="83" xfId="4" applyNumberFormat="1" applyFont="1" applyBorder="1" applyAlignment="1">
      <alignment vertical="top"/>
    </xf>
    <xf numFmtId="0" fontId="22" fillId="0" borderId="83" xfId="4" applyNumberFormat="1" applyFont="1" applyBorder="1" applyAlignment="1">
      <alignment horizontal="center" vertical="center" wrapText="1"/>
    </xf>
    <xf numFmtId="49" fontId="21" fillId="0" borderId="85" xfId="4" applyNumberFormat="1" applyFont="1" applyBorder="1" applyAlignment="1" applyProtection="1">
      <alignment vertical="top" wrapText="1"/>
    </xf>
    <xf numFmtId="0" fontId="23" fillId="0" borderId="69" xfId="0" applyFont="1" applyBorder="1" applyAlignment="1" applyProtection="1">
      <alignment vertical="top"/>
    </xf>
    <xf numFmtId="0" fontId="23" fillId="0" borderId="13" xfId="0" applyFont="1" applyBorder="1" applyAlignment="1" applyProtection="1">
      <alignment vertical="top"/>
      <protection locked="0"/>
    </xf>
    <xf numFmtId="49" fontId="22" fillId="0" borderId="24" xfId="4" applyNumberFormat="1" applyFont="1" applyBorder="1" applyAlignment="1">
      <alignment horizontal="center" vertical="center" wrapText="1"/>
    </xf>
    <xf numFmtId="1" fontId="22" fillId="0" borderId="24" xfId="4" applyNumberFormat="1" applyFont="1" applyBorder="1" applyAlignment="1">
      <alignment horizontal="center" vertical="center" wrapText="1"/>
    </xf>
    <xf numFmtId="1" fontId="22" fillId="0" borderId="327" xfId="4" applyNumberFormat="1" applyFont="1" applyBorder="1" applyAlignment="1">
      <alignment horizontal="center" vertical="center" wrapText="1"/>
    </xf>
    <xf numFmtId="1" fontId="26" fillId="10" borderId="15" xfId="9" applyBorder="1" applyAlignment="1" applyProtection="1">
      <alignment horizontal="center" vertical="center" wrapText="1"/>
      <protection locked="0"/>
    </xf>
    <xf numFmtId="0" fontId="0" fillId="0" borderId="12" xfId="0" applyFont="1" applyBorder="1" applyAlignment="1">
      <alignment horizontal="left" vertical="top"/>
    </xf>
    <xf numFmtId="0" fontId="23" fillId="0" borderId="254" xfId="0" applyFont="1" applyBorder="1" applyAlignment="1" applyProtection="1">
      <alignment vertical="top"/>
    </xf>
    <xf numFmtId="0" fontId="23" fillId="0" borderId="253" xfId="0" applyFont="1" applyBorder="1" applyAlignment="1" applyProtection="1">
      <alignment horizontal="left" vertical="top"/>
    </xf>
    <xf numFmtId="0" fontId="23" fillId="0" borderId="66" xfId="0" applyFont="1" applyBorder="1" applyAlignment="1" applyProtection="1">
      <alignment horizontal="center" vertical="top"/>
    </xf>
    <xf numFmtId="0" fontId="21" fillId="0" borderId="13" xfId="4" applyFont="1" applyBorder="1" applyAlignment="1" applyProtection="1">
      <alignment horizontal="left" vertical="top"/>
    </xf>
    <xf numFmtId="1" fontId="22" fillId="0" borderId="66" xfId="4" applyNumberFormat="1" applyFont="1" applyBorder="1" applyAlignment="1" applyProtection="1">
      <alignment horizontal="center" vertical="center" wrapText="1"/>
    </xf>
    <xf numFmtId="0" fontId="21" fillId="0" borderId="0" xfId="4" applyFont="1" applyBorder="1" applyAlignment="1" applyProtection="1">
      <alignment horizontal="center" vertical="center" wrapText="1"/>
    </xf>
    <xf numFmtId="49" fontId="55" fillId="0" borderId="326" xfId="16" applyBorder="1">
      <alignment horizontal="center" vertical="center" wrapText="1"/>
    </xf>
    <xf numFmtId="49" fontId="22" fillId="0" borderId="66" xfId="4" applyNumberFormat="1" applyFont="1" applyBorder="1" applyAlignment="1" applyProtection="1">
      <alignment horizontal="center" vertical="center" wrapText="1"/>
    </xf>
    <xf numFmtId="0" fontId="21" fillId="0" borderId="66" xfId="4" applyFont="1" applyBorder="1" applyAlignment="1" applyProtection="1">
      <alignment horizontal="center" vertical="center" wrapText="1"/>
    </xf>
    <xf numFmtId="166" fontId="21" fillId="0" borderId="12" xfId="4" applyNumberFormat="1" applyFont="1" applyBorder="1" applyAlignment="1" applyProtection="1">
      <alignment horizontal="left" vertical="top"/>
    </xf>
    <xf numFmtId="0" fontId="21" fillId="0" borderId="0" xfId="4" applyNumberFormat="1" applyFont="1" applyBorder="1" applyAlignment="1" applyProtection="1">
      <alignment horizontal="center" vertical="top"/>
    </xf>
    <xf numFmtId="0" fontId="21" fillId="0" borderId="0" xfId="4" applyNumberFormat="1" applyFont="1" applyBorder="1" applyAlignment="1" applyProtection="1">
      <alignment horizontal="left" vertical="top"/>
    </xf>
    <xf numFmtId="0" fontId="23" fillId="0" borderId="13" xfId="0" applyFont="1" applyBorder="1" applyAlignment="1" applyProtection="1">
      <alignment vertical="top" wrapText="1"/>
    </xf>
    <xf numFmtId="0" fontId="14" fillId="0" borderId="0" xfId="4" applyNumberFormat="1" applyFont="1" applyBorder="1" applyAlignment="1">
      <alignment horizontal="center" vertical="center" wrapText="1"/>
    </xf>
    <xf numFmtId="166" fontId="21" fillId="0" borderId="253" xfId="4" applyNumberFormat="1" applyFont="1" applyBorder="1" applyAlignment="1" applyProtection="1">
      <alignment horizontal="left" vertical="top"/>
      <protection locked="0"/>
    </xf>
    <xf numFmtId="166" fontId="21" fillId="0" borderId="66" xfId="4" applyNumberFormat="1" applyFont="1" applyBorder="1" applyAlignment="1" applyProtection="1">
      <alignment horizontal="center" vertical="top"/>
      <protection locked="0"/>
    </xf>
    <xf numFmtId="166" fontId="21" fillId="0" borderId="66" xfId="4" applyNumberFormat="1" applyFont="1" applyBorder="1" applyAlignment="1" applyProtection="1">
      <alignment horizontal="left" vertical="top"/>
      <protection locked="0"/>
    </xf>
    <xf numFmtId="0" fontId="22" fillId="0" borderId="66" xfId="4" applyNumberFormat="1" applyFont="1" applyBorder="1" applyAlignment="1" applyProtection="1">
      <alignment horizontal="center" vertical="center" wrapText="1"/>
      <protection locked="0"/>
    </xf>
    <xf numFmtId="0" fontId="13" fillId="15" borderId="304" xfId="15" applyBorder="1" applyProtection="1">
      <alignment horizontal="center" vertical="center"/>
    </xf>
    <xf numFmtId="0" fontId="21" fillId="0" borderId="254" xfId="4" applyFont="1" applyBorder="1" applyAlignment="1" applyProtection="1">
      <alignment horizontal="left" vertical="top" wrapText="1"/>
    </xf>
    <xf numFmtId="0" fontId="14" fillId="0" borderId="66" xfId="4" applyNumberFormat="1" applyFont="1" applyBorder="1" applyAlignment="1">
      <alignment horizontal="center" vertical="center" wrapText="1"/>
    </xf>
    <xf numFmtId="49" fontId="23" fillId="0" borderId="283" xfId="0" applyNumberFormat="1" applyFont="1" applyBorder="1" applyAlignment="1" applyProtection="1">
      <alignment horizontal="center" vertical="center"/>
      <protection locked="0"/>
    </xf>
    <xf numFmtId="49" fontId="23" fillId="0" borderId="330" xfId="0" applyNumberFormat="1" applyFont="1" applyBorder="1" applyAlignment="1" applyProtection="1">
      <alignment horizontal="center" vertical="center"/>
      <protection locked="0"/>
    </xf>
    <xf numFmtId="49" fontId="23" fillId="0" borderId="307" xfId="0" applyNumberFormat="1" applyFont="1" applyBorder="1" applyAlignment="1" applyProtection="1">
      <alignment horizontal="center" vertical="center"/>
      <protection locked="0"/>
    </xf>
    <xf numFmtId="0" fontId="23" fillId="0" borderId="13" xfId="0" applyFont="1" applyBorder="1" applyAlignment="1" applyProtection="1">
      <alignment horizontal="center" vertical="center"/>
      <protection locked="0"/>
    </xf>
    <xf numFmtId="49" fontId="23" fillId="0" borderId="13" xfId="0" applyNumberFormat="1" applyFont="1" applyBorder="1" applyAlignment="1" applyProtection="1">
      <alignment horizontal="center" vertical="center"/>
      <protection locked="0"/>
    </xf>
    <xf numFmtId="49" fontId="0" fillId="0" borderId="283" xfId="0" applyNumberFormat="1" applyBorder="1" applyAlignment="1" applyProtection="1">
      <alignment horizontal="center" vertical="center"/>
      <protection locked="0"/>
    </xf>
    <xf numFmtId="0" fontId="15" fillId="0" borderId="331" xfId="4" applyFont="1" applyBorder="1" applyAlignment="1" applyProtection="1">
      <alignment horizontal="center" vertical="center" wrapText="1"/>
      <protection locked="0"/>
    </xf>
    <xf numFmtId="0" fontId="15" fillId="0" borderId="138" xfId="4" applyFont="1" applyBorder="1" applyAlignment="1" applyProtection="1">
      <alignment horizontal="center" vertical="center" wrapText="1"/>
      <protection locked="0"/>
    </xf>
    <xf numFmtId="0" fontId="15" fillId="0" borderId="283" xfId="4" applyFont="1" applyBorder="1" applyAlignment="1" applyProtection="1">
      <alignment horizontal="center" vertical="center" wrapText="1"/>
      <protection locked="0"/>
    </xf>
    <xf numFmtId="0" fontId="15" fillId="0" borderId="107" xfId="4" applyFont="1" applyBorder="1" applyAlignment="1" applyProtection="1">
      <alignment horizontal="center" vertical="center" wrapText="1"/>
      <protection locked="0"/>
    </xf>
    <xf numFmtId="49" fontId="15" fillId="0" borderId="254" xfId="4" applyNumberFormat="1" applyFont="1" applyBorder="1" applyAlignment="1" applyProtection="1">
      <alignment horizontal="center" vertical="center" wrapText="1"/>
      <protection locked="0"/>
    </xf>
    <xf numFmtId="49" fontId="23" fillId="0" borderId="334" xfId="0" applyNumberFormat="1" applyFont="1" applyBorder="1" applyAlignment="1" applyProtection="1">
      <alignment horizontal="center" vertical="center"/>
      <protection locked="0"/>
    </xf>
    <xf numFmtId="0" fontId="23" fillId="0" borderId="0" xfId="0" applyFont="1" applyBorder="1" applyAlignment="1">
      <alignment horizontal="left" vertical="center" wrapText="1"/>
    </xf>
    <xf numFmtId="0" fontId="23" fillId="0" borderId="0" xfId="0" applyFont="1" applyBorder="1"/>
    <xf numFmtId="0" fontId="0" fillId="0" borderId="0" xfId="0" applyBorder="1"/>
    <xf numFmtId="0" fontId="23" fillId="0" borderId="0" xfId="0" applyFont="1" applyBorder="1" applyAlignment="1">
      <alignment horizontal="left" vertical="top" wrapText="1"/>
    </xf>
    <xf numFmtId="0" fontId="13" fillId="0" borderId="0" xfId="0" applyFont="1" applyBorder="1" applyAlignment="1">
      <alignment horizontal="left" vertical="top" wrapText="1"/>
    </xf>
    <xf numFmtId="0" fontId="23" fillId="0" borderId="0" xfId="0" applyFont="1" applyFill="1" applyBorder="1" applyAlignment="1">
      <alignment horizontal="left" vertical="center" wrapText="1"/>
    </xf>
    <xf numFmtId="0" fontId="0" fillId="0" borderId="0" xfId="0" applyBorder="1" applyProtection="1"/>
    <xf numFmtId="1" fontId="22" fillId="10" borderId="16" xfId="9" applyFont="1" applyBorder="1">
      <alignment horizontal="center" vertical="center"/>
      <protection locked="0"/>
    </xf>
    <xf numFmtId="0" fontId="0" fillId="0" borderId="0" xfId="0" applyFont="1" applyBorder="1"/>
    <xf numFmtId="0" fontId="22" fillId="10" borderId="15" xfId="9" applyNumberFormat="1" applyFont="1" applyBorder="1">
      <alignment horizontal="center" vertical="center"/>
      <protection locked="0"/>
    </xf>
    <xf numFmtId="1" fontId="26" fillId="10" borderId="112" xfId="9" applyBorder="1" applyAlignment="1" applyProtection="1">
      <alignment horizontal="center" vertical="center" wrapText="1"/>
      <protection locked="0"/>
    </xf>
    <xf numFmtId="0" fontId="23" fillId="0" borderId="0" xfId="0" applyFont="1" applyBorder="1" applyAlignment="1">
      <alignment horizontal="left" vertical="center" wrapText="1"/>
    </xf>
    <xf numFmtId="0" fontId="0" fillId="0" borderId="0" xfId="0" applyFont="1" applyBorder="1"/>
    <xf numFmtId="0" fontId="23" fillId="0" borderId="27" xfId="0" applyFont="1" applyBorder="1" applyAlignment="1" applyProtection="1">
      <alignment horizontal="left" vertical="center" wrapText="1" indent="1"/>
    </xf>
    <xf numFmtId="0" fontId="23" fillId="0" borderId="196" xfId="0" applyFont="1" applyBorder="1" applyAlignment="1" applyProtection="1">
      <alignment horizontal="left" vertical="center" wrapText="1" indent="1"/>
    </xf>
    <xf numFmtId="0" fontId="23" fillId="0" borderId="78" xfId="0" applyFont="1" applyBorder="1"/>
    <xf numFmtId="0" fontId="65" fillId="0" borderId="0" xfId="0" applyFont="1"/>
    <xf numFmtId="0" fontId="13" fillId="0" borderId="0" xfId="0" applyFont="1"/>
    <xf numFmtId="0" fontId="65" fillId="0" borderId="0" xfId="0" applyFont="1" applyBorder="1" applyAlignment="1">
      <alignment horizontal="left" vertical="top" wrapText="1"/>
    </xf>
    <xf numFmtId="0" fontId="65" fillId="0" borderId="0" xfId="0" applyFont="1" applyAlignment="1">
      <alignment horizontal="left" vertical="top"/>
    </xf>
    <xf numFmtId="0" fontId="13" fillId="0" borderId="0" xfId="0" applyFont="1" applyAlignment="1">
      <alignment horizontal="left" vertical="top"/>
    </xf>
    <xf numFmtId="0" fontId="23" fillId="0" borderId="0" xfId="0" applyFont="1" applyAlignment="1">
      <alignment horizontal="left" vertical="top"/>
    </xf>
    <xf numFmtId="0" fontId="13" fillId="0" borderId="0" xfId="0" applyFont="1"/>
    <xf numFmtId="0" fontId="57" fillId="0" borderId="0" xfId="0" applyFont="1"/>
    <xf numFmtId="9" fontId="23" fillId="0" borderId="0" xfId="0" applyNumberFormat="1" applyFont="1"/>
    <xf numFmtId="1" fontId="23" fillId="0" borderId="0" xfId="0" applyNumberFormat="1" applyFont="1"/>
    <xf numFmtId="1" fontId="22" fillId="10" borderId="170" xfId="9" applyFont="1" applyBorder="1" applyProtection="1">
      <alignment horizontal="center" vertical="center"/>
      <protection locked="0"/>
    </xf>
    <xf numFmtId="0" fontId="23" fillId="9" borderId="157" xfId="8" applyBorder="1" applyProtection="1">
      <alignment horizontal="left" vertical="top" wrapText="1"/>
    </xf>
    <xf numFmtId="1" fontId="22" fillId="10" borderId="336" xfId="9" applyFont="1" applyBorder="1" applyProtection="1">
      <alignment horizontal="center" vertical="center"/>
      <protection locked="0"/>
    </xf>
    <xf numFmtId="49" fontId="23" fillId="0" borderId="0" xfId="0" applyNumberFormat="1" applyFont="1"/>
    <xf numFmtId="49" fontId="0" fillId="0" borderId="0" xfId="0" applyNumberFormat="1" applyFont="1"/>
    <xf numFmtId="0" fontId="13" fillId="0" borderId="78" xfId="0" applyFont="1" applyBorder="1" applyAlignment="1">
      <alignment horizontal="center" vertical="center" wrapText="1"/>
    </xf>
    <xf numFmtId="0" fontId="23" fillId="0" borderId="78" xfId="0" applyNumberFormat="1" applyFont="1" applyBorder="1" applyAlignment="1">
      <alignment horizontal="center" vertical="center"/>
    </xf>
    <xf numFmtId="0" fontId="0" fillId="0" borderId="78" xfId="0" applyNumberFormat="1" applyBorder="1" applyAlignment="1">
      <alignment horizontal="center" vertical="center"/>
    </xf>
    <xf numFmtId="0" fontId="0" fillId="0" borderId="78" xfId="0" applyNumberFormat="1" applyFont="1" applyBorder="1" applyAlignment="1">
      <alignment horizontal="center" vertical="center"/>
    </xf>
    <xf numFmtId="0" fontId="3" fillId="0" borderId="0" xfId="0" applyFont="1" applyAlignment="1">
      <alignment horizontal="center" vertical="center" wrapText="1"/>
    </xf>
    <xf numFmtId="0" fontId="3" fillId="0" borderId="78" xfId="0" applyFont="1" applyBorder="1" applyAlignment="1">
      <alignment horizontal="center" vertical="center" wrapText="1"/>
    </xf>
    <xf numFmtId="0" fontId="3" fillId="0" borderId="78" xfId="0" applyFont="1" applyBorder="1" applyAlignment="1" applyProtection="1">
      <alignment horizontal="center" vertical="center" wrapText="1"/>
      <protection locked="0"/>
    </xf>
    <xf numFmtId="0" fontId="0" fillId="0" borderId="78" xfId="0" applyBorder="1"/>
    <xf numFmtId="0" fontId="0" fillId="0" borderId="78" xfId="0" applyFont="1" applyBorder="1"/>
    <xf numFmtId="0" fontId="0" fillId="0" borderId="78" xfId="0" applyFont="1" applyBorder="1" applyProtection="1">
      <protection locked="0"/>
    </xf>
    <xf numFmtId="0" fontId="0" fillId="0" borderId="0" xfId="0" applyFont="1" applyBorder="1" applyProtection="1">
      <protection locked="0"/>
    </xf>
    <xf numFmtId="0" fontId="0" fillId="0" borderId="346" xfId="0" applyFont="1" applyBorder="1"/>
    <xf numFmtId="0" fontId="23" fillId="0" borderId="0" xfId="0" applyFont="1" applyBorder="1" applyProtection="1">
      <protection locked="0"/>
    </xf>
    <xf numFmtId="0" fontId="23" fillId="0" borderId="346" xfId="0" applyFont="1" applyBorder="1"/>
    <xf numFmtId="0" fontId="23" fillId="0" borderId="300" xfId="0" applyFont="1" applyBorder="1" applyAlignment="1">
      <alignment horizontal="left" vertical="top" wrapText="1"/>
    </xf>
    <xf numFmtId="0" fontId="13" fillId="0" borderId="300" xfId="0" applyFont="1" applyBorder="1" applyAlignment="1">
      <alignment horizontal="center" vertical="center" wrapText="1"/>
    </xf>
    <xf numFmtId="0" fontId="23" fillId="0" borderId="300" xfId="0" applyFont="1" applyBorder="1" applyAlignment="1">
      <alignment horizontal="center" vertical="center" wrapText="1"/>
    </xf>
    <xf numFmtId="49" fontId="23" fillId="0" borderId="300" xfId="0" applyNumberFormat="1" applyFont="1" applyBorder="1" applyAlignment="1">
      <alignment horizontal="center" vertical="center" wrapText="1"/>
    </xf>
    <xf numFmtId="49" fontId="23" fillId="0" borderId="0" xfId="0" applyNumberFormat="1" applyFont="1" applyBorder="1" applyProtection="1">
      <protection locked="0"/>
    </xf>
    <xf numFmtId="49" fontId="23" fillId="0" borderId="0" xfId="0" applyNumberFormat="1" applyFont="1" applyBorder="1"/>
    <xf numFmtId="49" fontId="23" fillId="0" borderId="346" xfId="0" applyNumberFormat="1" applyFont="1" applyBorder="1"/>
    <xf numFmtId="49" fontId="0" fillId="0" borderId="300" xfId="0" applyNumberFormat="1" applyFont="1" applyBorder="1" applyAlignment="1">
      <alignment horizontal="center" vertical="center" wrapText="1"/>
    </xf>
    <xf numFmtId="49" fontId="0" fillId="0" borderId="0" xfId="0" applyNumberFormat="1" applyFont="1" applyBorder="1" applyProtection="1">
      <protection locked="0"/>
    </xf>
    <xf numFmtId="49" fontId="0" fillId="0" borderId="0" xfId="0" applyNumberFormat="1" applyFont="1" applyBorder="1"/>
    <xf numFmtId="49" fontId="0" fillId="0" borderId="346" xfId="0" applyNumberFormat="1" applyFont="1" applyBorder="1"/>
    <xf numFmtId="0" fontId="0" fillId="0" borderId="300" xfId="0" applyNumberFormat="1" applyFont="1" applyBorder="1" applyAlignment="1">
      <alignment horizontal="center" vertical="center" wrapText="1"/>
    </xf>
    <xf numFmtId="12" fontId="0" fillId="0" borderId="300" xfId="0" applyNumberFormat="1" applyFont="1" applyBorder="1" applyAlignment="1">
      <alignment horizontal="center" vertical="center" wrapText="1"/>
    </xf>
    <xf numFmtId="0" fontId="0" fillId="0" borderId="345" xfId="0" applyFont="1" applyBorder="1" applyAlignment="1">
      <alignment horizontal="left" vertical="top" wrapText="1"/>
    </xf>
    <xf numFmtId="0" fontId="3" fillId="0" borderId="300" xfId="0" applyFont="1" applyBorder="1" applyAlignment="1">
      <alignment horizontal="center" vertical="center" wrapText="1"/>
    </xf>
    <xf numFmtId="0" fontId="3" fillId="0" borderId="333" xfId="0" applyFont="1" applyBorder="1" applyAlignment="1">
      <alignment horizontal="center" vertical="center" wrapText="1"/>
    </xf>
    <xf numFmtId="0" fontId="0" fillId="0" borderId="300" xfId="0" applyFont="1" applyBorder="1" applyAlignment="1">
      <alignment horizontal="center" vertical="center" wrapText="1"/>
    </xf>
    <xf numFmtId="0" fontId="0" fillId="0" borderId="333" xfId="0" applyFont="1" applyBorder="1"/>
    <xf numFmtId="0" fontId="0" fillId="0" borderId="301" xfId="0" applyFont="1" applyBorder="1" applyAlignment="1">
      <alignment horizontal="center" vertical="center" wrapText="1"/>
    </xf>
    <xf numFmtId="0" fontId="0" fillId="0" borderId="302" xfId="0" applyBorder="1"/>
    <xf numFmtId="0" fontId="0" fillId="0" borderId="302" xfId="0" applyFont="1" applyBorder="1"/>
    <xf numFmtId="0" fontId="23" fillId="0" borderId="302" xfId="0" applyFont="1" applyBorder="1"/>
    <xf numFmtId="0" fontId="0" fillId="0" borderId="302" xfId="0" applyFont="1" applyBorder="1" applyProtection="1">
      <protection locked="0"/>
    </xf>
    <xf numFmtId="0" fontId="0" fillId="0" borderId="303" xfId="0" applyFont="1" applyBorder="1"/>
    <xf numFmtId="0" fontId="13" fillId="0" borderId="351" xfId="0" applyFont="1" applyBorder="1" applyAlignment="1">
      <alignment horizontal="center" wrapText="1"/>
    </xf>
    <xf numFmtId="0" fontId="13" fillId="0" borderId="351" xfId="0" applyFont="1" applyBorder="1" applyAlignment="1">
      <alignment horizontal="center" vertical="center" wrapText="1"/>
    </xf>
    <xf numFmtId="0" fontId="23" fillId="0" borderId="351" xfId="0" applyFont="1" applyBorder="1" applyAlignment="1">
      <alignment horizontal="center" vertical="center"/>
    </xf>
    <xf numFmtId="0" fontId="23" fillId="0" borderId="351" xfId="0" applyNumberFormat="1" applyFont="1" applyBorder="1" applyAlignment="1">
      <alignment horizontal="center" vertical="center"/>
    </xf>
    <xf numFmtId="0" fontId="0" fillId="0" borderId="352" xfId="0" applyNumberFormat="1" applyBorder="1" applyAlignment="1">
      <alignment horizontal="center" vertical="center"/>
    </xf>
    <xf numFmtId="0" fontId="0" fillId="0" borderId="352" xfId="0" applyNumberFormat="1" applyFont="1" applyBorder="1" applyAlignment="1">
      <alignment horizontal="center" vertical="center"/>
    </xf>
    <xf numFmtId="0" fontId="23" fillId="0" borderId="353" xfId="0" applyNumberFormat="1" applyFont="1" applyBorder="1" applyAlignment="1">
      <alignment horizontal="center" vertical="center"/>
    </xf>
    <xf numFmtId="0" fontId="0" fillId="0" borderId="355" xfId="0" applyNumberFormat="1" applyFont="1" applyBorder="1" applyAlignment="1">
      <alignment horizontal="center" vertical="center" wrapText="1"/>
    </xf>
    <xf numFmtId="166" fontId="13" fillId="0" borderId="93" xfId="0" applyNumberFormat="1" applyFont="1" applyBorder="1" applyAlignment="1" applyProtection="1">
      <alignment horizontal="center" vertical="center" wrapText="1"/>
    </xf>
    <xf numFmtId="166" fontId="22" fillId="0" borderId="93" xfId="12" applyNumberFormat="1" applyFont="1" applyFill="1" applyBorder="1" applyAlignment="1" applyProtection="1">
      <alignment horizontal="center" vertical="center" wrapText="1"/>
    </xf>
    <xf numFmtId="0" fontId="13" fillId="0" borderId="93" xfId="0" applyFont="1" applyBorder="1" applyAlignment="1" applyProtection="1">
      <alignment horizontal="center" vertical="center" wrapText="1"/>
    </xf>
    <xf numFmtId="0" fontId="13" fillId="0" borderId="58" xfId="0" applyFont="1" applyBorder="1" applyAlignment="1" applyProtection="1">
      <alignment horizontal="center" vertical="center" wrapText="1"/>
    </xf>
    <xf numFmtId="0" fontId="13" fillId="0" borderId="57" xfId="0" applyFont="1" applyBorder="1" applyAlignment="1">
      <alignment horizontal="center" vertical="center" wrapText="1"/>
    </xf>
    <xf numFmtId="1" fontId="22" fillId="13" borderId="181" xfId="18" applyBorder="1">
      <alignment horizontal="center" vertical="center"/>
      <protection locked="0"/>
    </xf>
    <xf numFmtId="1" fontId="22" fillId="13" borderId="362" xfId="18" applyBorder="1">
      <alignment horizontal="center" vertical="center"/>
      <protection locked="0"/>
    </xf>
    <xf numFmtId="167" fontId="23" fillId="0" borderId="66" xfId="0" applyNumberFormat="1" applyFont="1" applyBorder="1" applyAlignment="1" applyProtection="1">
      <alignment horizontal="center" vertical="top"/>
    </xf>
    <xf numFmtId="1" fontId="22" fillId="10" borderId="359" xfId="9" applyFont="1" applyBorder="1" applyProtection="1">
      <alignment horizontal="center" vertical="center"/>
      <protection locked="0"/>
    </xf>
    <xf numFmtId="1" fontId="26" fillId="10" borderId="359" xfId="9" applyBorder="1" applyProtection="1">
      <alignment horizontal="center" vertical="center"/>
      <protection locked="0"/>
    </xf>
    <xf numFmtId="1" fontId="22" fillId="13" borderId="362" xfId="18" applyBorder="1" applyProtection="1">
      <alignment horizontal="center" vertical="center"/>
      <protection locked="0"/>
    </xf>
    <xf numFmtId="1" fontId="22" fillId="10" borderId="174" xfId="9" applyFont="1" applyBorder="1" applyProtection="1">
      <alignment horizontal="center" vertical="center"/>
      <protection locked="0"/>
    </xf>
    <xf numFmtId="1" fontId="22" fillId="13" borderId="181" xfId="18" applyBorder="1" applyProtection="1">
      <alignment horizontal="center" vertical="center"/>
      <protection locked="0"/>
    </xf>
    <xf numFmtId="166" fontId="23" fillId="0" borderId="0" xfId="0" applyNumberFormat="1" applyFont="1" applyBorder="1" applyAlignment="1">
      <alignment horizontal="center" vertical="top"/>
    </xf>
    <xf numFmtId="49" fontId="55" fillId="0" borderId="26" xfId="16" applyBorder="1" applyProtection="1">
      <alignment horizontal="center" vertical="center" wrapText="1"/>
    </xf>
    <xf numFmtId="167" fontId="23" fillId="0" borderId="27" xfId="0" applyNumberFormat="1" applyFont="1" applyBorder="1" applyAlignment="1" applyProtection="1">
      <alignment horizontal="center" vertical="top"/>
    </xf>
    <xf numFmtId="0" fontId="13" fillId="0" borderId="27" xfId="0" applyFont="1" applyBorder="1" applyAlignment="1" applyProtection="1">
      <alignment horizontal="center" vertical="center" wrapText="1"/>
    </xf>
    <xf numFmtId="166" fontId="22" fillId="0" borderId="28" xfId="12" applyNumberFormat="1" applyFont="1" applyFill="1" applyBorder="1" applyAlignment="1" applyProtection="1">
      <alignment horizontal="center" vertical="center" wrapText="1"/>
    </xf>
    <xf numFmtId="167" fontId="23" fillId="0" borderId="36" xfId="0" applyNumberFormat="1" applyFont="1" applyBorder="1" applyAlignment="1" applyProtection="1">
      <alignment horizontal="center" vertical="top"/>
    </xf>
    <xf numFmtId="0" fontId="13" fillId="0" borderId="90" xfId="0" applyFont="1" applyBorder="1" applyAlignment="1" applyProtection="1">
      <alignment horizontal="center" vertical="center" wrapText="1"/>
    </xf>
    <xf numFmtId="1" fontId="22" fillId="13" borderId="366" xfId="18" applyBorder="1">
      <alignment horizontal="center" vertical="center"/>
      <protection locked="0"/>
    </xf>
    <xf numFmtId="0" fontId="13" fillId="0" borderId="36" xfId="0" applyFont="1" applyBorder="1" applyAlignment="1">
      <alignment horizontal="center" vertical="center" wrapText="1"/>
    </xf>
    <xf numFmtId="49" fontId="55" fillId="0" borderId="57" xfId="16" applyBorder="1">
      <alignment horizontal="center" vertical="center" wrapText="1"/>
    </xf>
    <xf numFmtId="0" fontId="13" fillId="0" borderId="306" xfId="0" applyFont="1" applyBorder="1" applyAlignment="1">
      <alignment horizontal="center" vertical="center" wrapText="1"/>
    </xf>
    <xf numFmtId="1" fontId="22" fillId="13" borderId="367" xfId="18" applyBorder="1" applyProtection="1">
      <alignment horizontal="center" vertical="center"/>
      <protection locked="0"/>
    </xf>
    <xf numFmtId="1" fontId="22" fillId="13" borderId="369" xfId="18" applyBorder="1" applyProtection="1">
      <alignment horizontal="center" vertical="center"/>
      <protection locked="0"/>
    </xf>
    <xf numFmtId="1" fontId="22" fillId="13" borderId="370" xfId="18" applyBorder="1" applyProtection="1">
      <alignment horizontal="center" vertical="center"/>
      <protection locked="0"/>
    </xf>
    <xf numFmtId="0" fontId="81" fillId="0" borderId="28" xfId="16" applyNumberFormat="1" applyFont="1" applyBorder="1">
      <alignment horizontal="center" vertical="center" wrapText="1"/>
    </xf>
    <xf numFmtId="0" fontId="23" fillId="9" borderId="283" xfId="8" applyBorder="1">
      <alignment horizontal="left" vertical="top" wrapText="1"/>
    </xf>
    <xf numFmtId="0" fontId="23" fillId="9" borderId="368" xfId="8" applyBorder="1">
      <alignment horizontal="left" vertical="top" wrapText="1"/>
    </xf>
    <xf numFmtId="0" fontId="23" fillId="9" borderId="284" xfId="8" applyBorder="1">
      <alignment horizontal="left" vertical="top" wrapText="1"/>
    </xf>
    <xf numFmtId="0" fontId="23" fillId="9" borderId="375" xfId="8" applyBorder="1">
      <alignment horizontal="left" vertical="top" wrapText="1"/>
    </xf>
    <xf numFmtId="0" fontId="23" fillId="9" borderId="371" xfId="8" applyBorder="1">
      <alignment horizontal="left" vertical="top" wrapText="1"/>
    </xf>
    <xf numFmtId="0" fontId="13" fillId="0" borderId="0" xfId="0" applyFont="1" applyBorder="1" applyAlignment="1">
      <alignment horizontal="left" vertical="center" wrapText="1"/>
    </xf>
    <xf numFmtId="0" fontId="57" fillId="0" borderId="0" xfId="0" applyFont="1" applyBorder="1" applyAlignment="1">
      <alignment horizontal="left" vertical="center" wrapText="1"/>
    </xf>
    <xf numFmtId="0" fontId="23" fillId="0" borderId="0" xfId="0" applyFont="1" applyAlignment="1">
      <alignment horizontal="right"/>
    </xf>
    <xf numFmtId="0" fontId="22" fillId="28" borderId="210" xfId="0" applyFont="1" applyFill="1" applyBorder="1" applyAlignment="1" applyProtection="1">
      <alignment horizontal="center" vertical="center"/>
    </xf>
    <xf numFmtId="1" fontId="21" fillId="28" borderId="210" xfId="0" applyNumberFormat="1" applyFont="1" applyFill="1" applyBorder="1" applyAlignment="1" applyProtection="1">
      <alignment horizontal="center" vertical="center" wrapText="1"/>
    </xf>
    <xf numFmtId="0" fontId="22" fillId="28" borderId="214" xfId="0" applyFont="1" applyFill="1" applyBorder="1" applyAlignment="1" applyProtection="1">
      <alignment horizontal="center" vertical="center"/>
    </xf>
    <xf numFmtId="1" fontId="21" fillId="28" borderId="214" xfId="0" applyNumberFormat="1" applyFont="1" applyFill="1" applyBorder="1" applyAlignment="1" applyProtection="1">
      <alignment horizontal="center" vertical="center" wrapText="1"/>
    </xf>
    <xf numFmtId="0" fontId="22" fillId="28" borderId="210" xfId="0" applyFont="1" applyFill="1" applyBorder="1" applyAlignment="1" applyProtection="1">
      <alignment horizontal="center" vertical="center" wrapText="1"/>
    </xf>
    <xf numFmtId="0" fontId="22" fillId="0" borderId="206" xfId="0" applyFont="1" applyFill="1" applyBorder="1" applyAlignment="1" applyProtection="1">
      <alignment horizontal="center" vertical="center" wrapText="1"/>
    </xf>
    <xf numFmtId="1" fontId="21" fillId="0" borderId="206" xfId="0" applyNumberFormat="1" applyFont="1" applyFill="1" applyBorder="1" applyAlignment="1" applyProtection="1">
      <alignment horizontal="center" vertical="center" wrapText="1"/>
    </xf>
    <xf numFmtId="0" fontId="0" fillId="28" borderId="210" xfId="0" applyFont="1" applyFill="1" applyBorder="1" applyAlignment="1">
      <alignment horizontal="center" vertical="center"/>
    </xf>
    <xf numFmtId="1" fontId="0" fillId="28" borderId="210" xfId="0" applyNumberFormat="1" applyFont="1" applyFill="1" applyBorder="1" applyAlignment="1">
      <alignment horizontal="center" vertical="center"/>
    </xf>
    <xf numFmtId="0" fontId="13" fillId="0" borderId="206" xfId="0" applyFont="1" applyBorder="1" applyAlignment="1">
      <alignment horizontal="center" vertical="center"/>
    </xf>
    <xf numFmtId="1" fontId="0" fillId="0" borderId="206" xfId="0" applyNumberFormat="1" applyFont="1" applyBorder="1" applyAlignment="1">
      <alignment horizontal="center" vertical="center"/>
    </xf>
    <xf numFmtId="0" fontId="13" fillId="0" borderId="210" xfId="0" applyFont="1" applyBorder="1" applyAlignment="1">
      <alignment horizontal="center" vertical="center"/>
    </xf>
    <xf numFmtId="1" fontId="23" fillId="0" borderId="210" xfId="0" applyNumberFormat="1" applyFont="1" applyBorder="1" applyAlignment="1">
      <alignment horizontal="center" vertical="center"/>
    </xf>
    <xf numFmtId="0" fontId="13" fillId="0" borderId="230" xfId="0" applyFont="1" applyBorder="1" applyAlignment="1">
      <alignment horizontal="center" vertical="center"/>
    </xf>
    <xf numFmtId="1" fontId="23" fillId="0" borderId="230" xfId="0" applyNumberFormat="1" applyFont="1" applyBorder="1" applyAlignment="1">
      <alignment horizontal="center" vertical="center"/>
    </xf>
    <xf numFmtId="0" fontId="23" fillId="0" borderId="0" xfId="0" applyFont="1" applyBorder="1" applyAlignment="1">
      <alignment horizontal="left" vertical="center" wrapText="1"/>
    </xf>
    <xf numFmtId="0" fontId="30" fillId="0" borderId="186" xfId="0" applyFont="1" applyBorder="1" applyAlignment="1" applyProtection="1">
      <alignment horizontal="center" vertical="center" wrapText="1"/>
      <protection locked="0"/>
    </xf>
    <xf numFmtId="0" fontId="23" fillId="0" borderId="32" xfId="0" applyFont="1" applyBorder="1" applyAlignment="1">
      <alignment horizontal="left" vertical="top" wrapText="1"/>
    </xf>
    <xf numFmtId="0" fontId="13" fillId="0" borderId="0" xfId="0" applyFont="1" applyBorder="1" applyAlignment="1">
      <alignment horizontal="center" vertical="center" wrapText="1"/>
    </xf>
    <xf numFmtId="0" fontId="30" fillId="0" borderId="13" xfId="0" applyFont="1" applyBorder="1" applyAlignment="1" applyProtection="1">
      <alignment horizontal="center" vertical="center" wrapText="1"/>
      <protection locked="0"/>
    </xf>
    <xf numFmtId="167" fontId="23" fillId="0" borderId="18" xfId="0" applyNumberFormat="1" applyFont="1" applyBorder="1" applyAlignment="1">
      <alignment horizontal="center" vertical="top"/>
    </xf>
    <xf numFmtId="0" fontId="13" fillId="0" borderId="68" xfId="0" applyFont="1" applyBorder="1" applyAlignment="1">
      <alignment horizontal="center" vertical="center" wrapText="1"/>
    </xf>
    <xf numFmtId="0" fontId="23" fillId="0" borderId="12" xfId="0" applyFont="1" applyBorder="1" applyAlignment="1">
      <alignment horizontal="left" vertical="top"/>
    </xf>
    <xf numFmtId="0" fontId="23" fillId="0" borderId="0" xfId="0" applyFont="1" applyBorder="1" applyAlignment="1">
      <alignment horizontal="center" vertical="top"/>
    </xf>
    <xf numFmtId="0" fontId="2" fillId="8" borderId="134" xfId="6" applyFont="1" applyBorder="1">
      <alignment horizontal="center" vertical="center" wrapText="1"/>
    </xf>
    <xf numFmtId="0" fontId="23" fillId="0" borderId="67" xfId="0" applyFont="1" applyBorder="1" applyAlignment="1">
      <alignment horizontal="left" vertical="top"/>
    </xf>
    <xf numFmtId="0" fontId="13" fillId="15" borderId="275" xfId="15" applyBorder="1">
      <alignment horizontal="center" vertical="center"/>
    </xf>
    <xf numFmtId="0" fontId="23" fillId="0" borderId="12" xfId="0" applyFont="1" applyBorder="1" applyAlignment="1" applyProtection="1">
      <alignment horizontal="left" vertical="top"/>
    </xf>
    <xf numFmtId="167" fontId="23" fillId="0" borderId="0" xfId="0" applyNumberFormat="1" applyFont="1" applyBorder="1" applyAlignment="1">
      <alignment horizontal="center" vertical="top"/>
    </xf>
    <xf numFmtId="0" fontId="23" fillId="0" borderId="0" xfId="0" applyFont="1" applyBorder="1" applyAlignment="1" applyProtection="1">
      <alignment horizontal="center" vertical="center" wrapText="1"/>
    </xf>
    <xf numFmtId="49" fontId="55" fillId="0" borderId="0" xfId="16" applyBorder="1">
      <alignment horizontal="center" vertical="center" wrapText="1"/>
    </xf>
    <xf numFmtId="0" fontId="1" fillId="0" borderId="0" xfId="0" applyFont="1" applyBorder="1"/>
    <xf numFmtId="0" fontId="23" fillId="9" borderId="14" xfId="8" applyBorder="1">
      <alignment horizontal="left" vertical="top" wrapText="1"/>
    </xf>
    <xf numFmtId="0" fontId="23" fillId="9" borderId="37" xfId="8" applyBorder="1">
      <alignment horizontal="left" vertical="top" wrapText="1"/>
    </xf>
    <xf numFmtId="0" fontId="13" fillId="15" borderId="118" xfId="15" applyBorder="1" applyProtection="1">
      <alignment horizontal="center" vertical="center"/>
    </xf>
    <xf numFmtId="0" fontId="13" fillId="15" borderId="275" xfId="15" applyBorder="1" applyProtection="1">
      <alignment horizontal="center" vertical="center"/>
    </xf>
    <xf numFmtId="0" fontId="13" fillId="0" borderId="18"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23" fillId="0" borderId="32" xfId="0" applyFont="1" applyBorder="1" applyAlignment="1" applyProtection="1">
      <alignment horizontal="left" vertical="top" wrapText="1"/>
    </xf>
    <xf numFmtId="0" fontId="23" fillId="0" borderId="34" xfId="0" applyFont="1" applyBorder="1" applyAlignment="1" applyProtection="1">
      <alignment horizontal="center" vertical="center" wrapText="1"/>
    </xf>
    <xf numFmtId="0" fontId="23" fillId="0" borderId="0" xfId="0" applyFont="1" applyBorder="1" applyAlignment="1">
      <alignment horizontal="center" vertical="center" wrapText="1"/>
    </xf>
    <xf numFmtId="167" fontId="23" fillId="0" borderId="0" xfId="0" applyNumberFormat="1" applyFont="1" applyBorder="1" applyAlignment="1" applyProtection="1">
      <alignment horizontal="center" vertical="top"/>
    </xf>
    <xf numFmtId="167" fontId="23" fillId="0" borderId="18" xfId="0" applyNumberFormat="1" applyFont="1" applyBorder="1" applyAlignment="1" applyProtection="1">
      <alignment horizontal="center" vertical="top"/>
    </xf>
    <xf numFmtId="0" fontId="23" fillId="0" borderId="18" xfId="0" applyFont="1" applyBorder="1" applyAlignment="1" applyProtection="1">
      <alignment horizontal="center" vertical="top"/>
    </xf>
    <xf numFmtId="0" fontId="23" fillId="0" borderId="0" xfId="0" applyFont="1" applyBorder="1" applyAlignment="1" applyProtection="1">
      <alignment horizontal="center" vertical="top"/>
    </xf>
    <xf numFmtId="0" fontId="0" fillId="0" borderId="34" xfId="0" applyBorder="1"/>
    <xf numFmtId="0" fontId="23" fillId="0" borderId="68" xfId="0" applyFont="1" applyBorder="1" applyAlignment="1">
      <alignment horizontal="center" vertical="top"/>
    </xf>
    <xf numFmtId="0" fontId="13" fillId="0" borderId="0" xfId="0" applyFont="1"/>
    <xf numFmtId="0" fontId="23" fillId="0" borderId="0" xfId="0" applyFont="1" applyBorder="1" applyAlignment="1">
      <alignment horizontal="left" vertical="center" wrapText="1"/>
    </xf>
    <xf numFmtId="0" fontId="0" fillId="0" borderId="0" xfId="0" applyBorder="1"/>
    <xf numFmtId="0" fontId="0" fillId="0" borderId="8" xfId="0" applyBorder="1"/>
    <xf numFmtId="0" fontId="1" fillId="0" borderId="0" xfId="0" applyFont="1" applyBorder="1"/>
    <xf numFmtId="0" fontId="0" fillId="0" borderId="0" xfId="0" applyFont="1" applyBorder="1"/>
    <xf numFmtId="0" fontId="0" fillId="0" borderId="8" xfId="0" applyFont="1" applyBorder="1"/>
    <xf numFmtId="0" fontId="13" fillId="0" borderId="0" xfId="0" applyFont="1"/>
    <xf numFmtId="167" fontId="23" fillId="0" borderId="18" xfId="0" applyNumberFormat="1" applyFont="1" applyFill="1" applyBorder="1" applyAlignment="1">
      <alignment horizontal="center" vertical="top"/>
    </xf>
    <xf numFmtId="0" fontId="23" fillId="0" borderId="0" xfId="0" applyFont="1" applyFill="1" applyBorder="1" applyAlignment="1">
      <alignment horizontal="center" vertical="top"/>
    </xf>
    <xf numFmtId="49" fontId="55" fillId="0" borderId="66" xfId="16" applyBorder="1" applyProtection="1">
      <alignment horizontal="center" vertical="center" wrapText="1"/>
    </xf>
    <xf numFmtId="0" fontId="23" fillId="0" borderId="57" xfId="0" applyFont="1" applyBorder="1" applyAlignment="1" applyProtection="1">
      <alignment horizontal="center" vertical="top"/>
    </xf>
    <xf numFmtId="0" fontId="13" fillId="0" borderId="57" xfId="0" applyFont="1" applyFill="1" applyBorder="1" applyAlignment="1" applyProtection="1">
      <alignment horizontal="center" vertical="center" wrapText="1"/>
    </xf>
    <xf numFmtId="0" fontId="13" fillId="15" borderId="367" xfId="15" applyBorder="1">
      <alignment horizontal="center" vertical="center"/>
    </xf>
    <xf numFmtId="0" fontId="0" fillId="0" borderId="57" xfId="0" applyFont="1" applyBorder="1" applyAlignment="1" applyProtection="1">
      <alignment horizontal="center" vertical="top"/>
    </xf>
    <xf numFmtId="0" fontId="22" fillId="0" borderId="57" xfId="12" applyNumberFormat="1" applyFont="1" applyFill="1" applyBorder="1" applyAlignment="1" applyProtection="1">
      <alignment horizontal="center" vertical="center" wrapText="1"/>
    </xf>
    <xf numFmtId="167" fontId="23" fillId="0" borderId="57" xfId="0" applyNumberFormat="1" applyFont="1" applyBorder="1" applyAlignment="1" applyProtection="1">
      <alignment horizontal="center" vertical="top"/>
    </xf>
    <xf numFmtId="0" fontId="23" fillId="0" borderId="31" xfId="0" applyFont="1" applyBorder="1" applyAlignment="1" applyProtection="1">
      <alignment horizontal="right" vertical="top"/>
    </xf>
    <xf numFmtId="0" fontId="23" fillId="0" borderId="32" xfId="0" applyFont="1" applyBorder="1" applyAlignment="1" applyProtection="1">
      <alignment horizontal="center" vertical="top"/>
    </xf>
    <xf numFmtId="0" fontId="13" fillId="0" borderId="57" xfId="0" applyFont="1" applyBorder="1" applyAlignment="1" applyProtection="1">
      <alignment horizontal="center" vertical="center" wrapText="1"/>
    </xf>
    <xf numFmtId="0" fontId="13" fillId="0" borderId="26" xfId="0" applyFont="1" applyBorder="1" applyAlignment="1" applyProtection="1">
      <alignment horizontal="center" vertical="center"/>
    </xf>
    <xf numFmtId="1" fontId="22" fillId="10" borderId="51" xfId="9" applyFont="1" applyBorder="1" applyProtection="1">
      <alignment horizontal="center" vertical="center"/>
      <protection locked="0"/>
    </xf>
    <xf numFmtId="0" fontId="23" fillId="0" borderId="68" xfId="0" applyFont="1" applyBorder="1" applyAlignment="1">
      <alignment horizontal="center" vertical="center" wrapText="1"/>
    </xf>
    <xf numFmtId="0" fontId="65" fillId="0" borderId="0" xfId="0" quotePrefix="1" applyFont="1"/>
    <xf numFmtId="0" fontId="21" fillId="0" borderId="143" xfId="0" quotePrefix="1" applyFont="1" applyBorder="1" applyAlignment="1" applyProtection="1">
      <alignment horizontal="center" vertical="center" wrapText="1"/>
      <protection locked="0"/>
    </xf>
    <xf numFmtId="0" fontId="23" fillId="0" borderId="12" xfId="0" applyFont="1" applyFill="1" applyBorder="1" applyAlignment="1">
      <alignment horizontal="left" vertical="top"/>
    </xf>
    <xf numFmtId="0" fontId="54" fillId="0" borderId="12" xfId="0" applyFont="1" applyFill="1" applyBorder="1" applyAlignment="1">
      <alignment vertical="top"/>
    </xf>
    <xf numFmtId="0" fontId="26" fillId="0" borderId="0" xfId="16" applyNumberFormat="1" applyFont="1" applyBorder="1">
      <alignment horizontal="center" vertical="center" wrapText="1"/>
    </xf>
    <xf numFmtId="0" fontId="23" fillId="0" borderId="139" xfId="0" quotePrefix="1" applyFont="1" applyBorder="1" applyAlignment="1" applyProtection="1">
      <alignment horizontal="center" vertical="center" wrapText="1"/>
      <protection locked="0"/>
    </xf>
    <xf numFmtId="0" fontId="23" fillId="9" borderId="391" xfId="8" applyBorder="1">
      <alignment horizontal="left" vertical="top" wrapText="1"/>
    </xf>
    <xf numFmtId="0" fontId="23" fillId="0" borderId="14" xfId="0" quotePrefix="1" applyFont="1" applyBorder="1" applyAlignment="1" applyProtection="1">
      <alignment horizontal="center" vertical="center" wrapText="1"/>
      <protection locked="0"/>
    </xf>
    <xf numFmtId="0" fontId="23" fillId="0" borderId="157" xfId="0" quotePrefix="1" applyFont="1" applyBorder="1" applyAlignment="1" applyProtection="1">
      <alignment horizontal="center" vertical="center" wrapText="1"/>
      <protection locked="0"/>
    </xf>
    <xf numFmtId="0" fontId="23" fillId="0" borderId="35" xfId="0" quotePrefix="1" applyFont="1" applyBorder="1" applyAlignment="1" applyProtection="1">
      <alignment horizontal="center" vertical="center" wrapText="1"/>
      <protection locked="0"/>
    </xf>
    <xf numFmtId="0" fontId="23" fillId="0" borderId="187" xfId="0" applyFont="1" applyBorder="1" applyAlignment="1" applyProtection="1">
      <alignment horizontal="left" vertical="top"/>
    </xf>
    <xf numFmtId="0" fontId="23" fillId="0" borderId="188" xfId="0" applyFont="1" applyBorder="1" applyAlignment="1" applyProtection="1">
      <alignment horizontal="center" vertical="top"/>
    </xf>
    <xf numFmtId="0" fontId="13" fillId="0" borderId="188" xfId="0" applyFont="1" applyBorder="1" applyAlignment="1" applyProtection="1">
      <alignment horizontal="center" vertical="center" wrapText="1"/>
    </xf>
    <xf numFmtId="0" fontId="23" fillId="9" borderId="69" xfId="8" applyBorder="1" applyProtection="1">
      <alignment horizontal="left" vertical="top" wrapText="1"/>
    </xf>
    <xf numFmtId="0" fontId="23" fillId="9" borderId="14" xfId="8" applyBorder="1" applyProtection="1">
      <alignment horizontal="left" vertical="top" wrapText="1"/>
    </xf>
    <xf numFmtId="1" fontId="22" fillId="10" borderId="15" xfId="9" applyFont="1" applyBorder="1" applyAlignment="1" applyProtection="1">
      <alignment horizontal="center" vertical="center" wrapText="1"/>
      <protection locked="0"/>
    </xf>
    <xf numFmtId="0" fontId="55" fillId="0" borderId="24" xfId="16" applyNumberFormat="1" applyBorder="1" applyProtection="1">
      <alignment horizontal="center" vertical="center" wrapText="1"/>
    </xf>
    <xf numFmtId="166" fontId="23" fillId="0" borderId="32" xfId="0" applyNumberFormat="1" applyFont="1" applyBorder="1" applyAlignment="1" applyProtection="1">
      <alignment horizontal="center" vertical="top"/>
    </xf>
    <xf numFmtId="0" fontId="23" fillId="9" borderId="37" xfId="8" applyBorder="1" applyProtection="1">
      <alignment horizontal="left" vertical="top" wrapText="1"/>
    </xf>
    <xf numFmtId="0" fontId="23" fillId="9" borderId="35" xfId="8" applyBorder="1" applyProtection="1">
      <alignment horizontal="left" vertical="top" wrapText="1"/>
    </xf>
    <xf numFmtId="0" fontId="23" fillId="0" borderId="38" xfId="0" applyFont="1" applyFill="1" applyBorder="1" applyAlignment="1" applyProtection="1">
      <alignment horizontal="left" vertical="top"/>
    </xf>
    <xf numFmtId="0" fontId="23" fillId="0" borderId="34" xfId="0" applyFont="1" applyFill="1" applyBorder="1" applyAlignment="1" applyProtection="1">
      <alignment horizontal="center" vertical="top"/>
    </xf>
    <xf numFmtId="49" fontId="55" fillId="0" borderId="326" xfId="16" applyBorder="1" applyProtection="1">
      <alignment horizontal="center" vertical="center" wrapText="1"/>
    </xf>
    <xf numFmtId="1" fontId="26" fillId="10" borderId="51" xfId="9" applyBorder="1" applyProtection="1">
      <alignment horizontal="center" vertical="center"/>
      <protection locked="0"/>
    </xf>
    <xf numFmtId="1" fontId="22" fillId="10" borderId="325" xfId="9" applyFont="1" applyBorder="1" applyAlignment="1" applyProtection="1">
      <alignment horizontal="center" vertical="center" wrapText="1"/>
      <protection locked="0"/>
    </xf>
    <xf numFmtId="0" fontId="23" fillId="0" borderId="116" xfId="0" quotePrefix="1" applyFont="1" applyBorder="1" applyAlignment="1" applyProtection="1">
      <alignment horizontal="center" vertical="center"/>
      <protection locked="0"/>
    </xf>
    <xf numFmtId="0" fontId="0" fillId="0" borderId="172" xfId="0" applyBorder="1" applyProtection="1"/>
    <xf numFmtId="0" fontId="23" fillId="9" borderId="136" xfId="8" applyBorder="1" applyProtection="1">
      <alignment horizontal="left" vertical="top" wrapText="1"/>
    </xf>
    <xf numFmtId="0" fontId="23" fillId="0" borderId="12" xfId="0" applyFont="1" applyFill="1" applyBorder="1" applyAlignment="1" applyProtection="1">
      <alignment horizontal="right" vertical="top"/>
    </xf>
    <xf numFmtId="0" fontId="23" fillId="0" borderId="0" xfId="0" applyFont="1" applyFill="1" applyBorder="1" applyAlignment="1" applyProtection="1">
      <alignment horizontal="center" vertical="top"/>
    </xf>
    <xf numFmtId="0" fontId="0" fillId="0" borderId="12" xfId="0" applyFont="1" applyFill="1" applyBorder="1" applyProtection="1"/>
    <xf numFmtId="167" fontId="23" fillId="0" borderId="0" xfId="0" applyNumberFormat="1" applyFont="1" applyFill="1" applyBorder="1" applyAlignment="1" applyProtection="1">
      <alignment horizontal="center" vertical="top"/>
    </xf>
    <xf numFmtId="167" fontId="23" fillId="0" borderId="27" xfId="0" applyNumberFormat="1" applyFont="1" applyFill="1" applyBorder="1" applyAlignment="1" applyProtection="1">
      <alignment horizontal="center" vertical="top"/>
    </xf>
    <xf numFmtId="167" fontId="23" fillId="0" borderId="18" xfId="0" applyNumberFormat="1" applyFont="1" applyFill="1" applyBorder="1" applyAlignment="1" applyProtection="1">
      <alignment horizontal="center" vertical="top"/>
    </xf>
    <xf numFmtId="0" fontId="13" fillId="15" borderId="185" xfId="15" applyBorder="1" applyProtection="1">
      <alignment horizontal="center" vertical="center"/>
    </xf>
    <xf numFmtId="0" fontId="23" fillId="0" borderId="173" xfId="0" applyFont="1" applyBorder="1" applyAlignment="1" applyProtection="1">
      <alignment horizontal="left" vertical="top"/>
    </xf>
    <xf numFmtId="0" fontId="13" fillId="0" borderId="270" xfId="0" applyFont="1" applyBorder="1" applyAlignment="1" applyProtection="1">
      <alignment horizontal="center" vertical="center" wrapText="1"/>
    </xf>
    <xf numFmtId="1" fontId="22" fillId="10" borderId="336" xfId="9" applyFont="1" applyBorder="1" applyAlignment="1" applyProtection="1">
      <alignment horizontal="center" vertical="center" wrapText="1"/>
      <protection locked="0"/>
    </xf>
    <xf numFmtId="0" fontId="23" fillId="0" borderId="140" xfId="0" applyFont="1" applyBorder="1" applyAlignment="1" applyProtection="1">
      <alignment vertical="top"/>
    </xf>
    <xf numFmtId="0" fontId="23" fillId="0" borderId="141" xfId="0" applyFont="1" applyBorder="1" applyAlignment="1" applyProtection="1">
      <alignment vertical="top"/>
    </xf>
    <xf numFmtId="2" fontId="23" fillId="0" borderId="38" xfId="0" applyNumberFormat="1" applyFont="1" applyBorder="1" applyAlignment="1" applyProtection="1">
      <alignment horizontal="left" vertical="top"/>
    </xf>
    <xf numFmtId="2" fontId="23" fillId="0" borderId="67" xfId="0" applyNumberFormat="1" applyFont="1" applyBorder="1" applyAlignment="1" applyProtection="1">
      <alignment horizontal="left" vertical="top"/>
    </xf>
    <xf numFmtId="0" fontId="23" fillId="0" borderId="68" xfId="0" applyFont="1" applyBorder="1" applyAlignment="1" applyProtection="1">
      <alignment horizontal="center" vertical="top"/>
    </xf>
    <xf numFmtId="0" fontId="13" fillId="0" borderId="68" xfId="0" applyFont="1" applyBorder="1" applyAlignment="1" applyProtection="1">
      <alignment horizontal="center" vertical="center" wrapText="1"/>
    </xf>
    <xf numFmtId="0" fontId="23" fillId="0" borderId="68" xfId="0" applyFont="1" applyBorder="1" applyAlignment="1" applyProtection="1">
      <alignment horizontal="center" vertical="center" wrapText="1"/>
    </xf>
    <xf numFmtId="0" fontId="0" fillId="0" borderId="31" xfId="0" applyFont="1" applyBorder="1" applyProtection="1"/>
    <xf numFmtId="1" fontId="22" fillId="13" borderId="73" xfId="18" applyBorder="1" applyProtection="1">
      <alignment horizontal="center" vertical="center"/>
      <protection locked="0"/>
    </xf>
    <xf numFmtId="166" fontId="23" fillId="0" borderId="38" xfId="0" applyNumberFormat="1" applyFont="1" applyBorder="1" applyAlignment="1" applyProtection="1">
      <alignment horizontal="left" vertical="top"/>
    </xf>
    <xf numFmtId="2" fontId="23" fillId="0" borderId="34" xfId="0" applyNumberFormat="1" applyFont="1" applyBorder="1" applyAlignment="1" applyProtection="1">
      <alignment horizontal="center" vertical="top"/>
    </xf>
    <xf numFmtId="0" fontId="13" fillId="15" borderId="382" xfId="15" applyBorder="1" applyProtection="1">
      <alignment horizontal="center" vertical="center"/>
    </xf>
    <xf numFmtId="0" fontId="21" fillId="0" borderId="379" xfId="0" applyFont="1" applyBorder="1" applyAlignment="1" applyProtection="1">
      <alignment horizontal="left" vertical="top" wrapText="1"/>
    </xf>
    <xf numFmtId="0" fontId="0" fillId="0" borderId="399" xfId="0" quotePrefix="1" applyBorder="1" applyAlignment="1" applyProtection="1">
      <alignment horizontal="center" vertical="center" wrapText="1"/>
      <protection locked="0"/>
    </xf>
    <xf numFmtId="0" fontId="13" fillId="15" borderId="168" xfId="15" applyBorder="1" applyProtection="1">
      <alignment horizontal="center" vertical="center"/>
    </xf>
    <xf numFmtId="0" fontId="13" fillId="15" borderId="181" xfId="15" applyBorder="1" applyProtection="1">
      <alignment horizontal="center" vertical="center"/>
    </xf>
    <xf numFmtId="166" fontId="21" fillId="0" borderId="32" xfId="4" quotePrefix="1" applyNumberFormat="1" applyFont="1" applyFill="1" applyBorder="1" applyAlignment="1" applyProtection="1">
      <alignment horizontal="center" vertical="top"/>
    </xf>
    <xf numFmtId="0" fontId="23" fillId="9" borderId="180" xfId="8" applyBorder="1" applyProtection="1">
      <alignment horizontal="left" vertical="top" wrapText="1"/>
    </xf>
    <xf numFmtId="0" fontId="23" fillId="0" borderId="0" xfId="0" applyFont="1" applyBorder="1" applyAlignment="1">
      <alignment horizontal="left" vertical="center" wrapText="1"/>
    </xf>
    <xf numFmtId="0" fontId="22" fillId="6" borderId="1" xfId="4" applyNumberFormat="1" applyFont="1" applyFill="1" applyBorder="1" applyAlignment="1">
      <alignment horizontal="center" vertical="center" wrapText="1"/>
    </xf>
    <xf numFmtId="0" fontId="22" fillId="6" borderId="1" xfId="4" applyFont="1" applyFill="1" applyBorder="1" applyAlignment="1">
      <alignment horizontal="center" vertical="center" wrapText="1"/>
    </xf>
    <xf numFmtId="1" fontId="22" fillId="6" borderId="1" xfId="4" applyNumberFormat="1" applyFont="1" applyFill="1" applyBorder="1" applyAlignment="1">
      <alignment horizontal="center" vertical="center" wrapText="1"/>
    </xf>
    <xf numFmtId="1" fontId="22" fillId="6" borderId="1" xfId="4" applyNumberFormat="1" applyFont="1" applyFill="1" applyBorder="1" applyAlignment="1">
      <alignment horizontal="center" vertical="center"/>
    </xf>
    <xf numFmtId="1" fontId="26" fillId="10" borderId="400" xfId="9" applyBorder="1" applyAlignment="1" applyProtection="1">
      <alignment horizontal="center" vertical="center" wrapText="1"/>
      <protection locked="0"/>
    </xf>
    <xf numFmtId="1" fontId="22" fillId="10" borderId="359" xfId="9" applyFont="1" applyBorder="1">
      <alignment horizontal="center" vertical="center"/>
      <protection locked="0"/>
    </xf>
    <xf numFmtId="0" fontId="3" fillId="0" borderId="76" xfId="0" applyFont="1" applyBorder="1"/>
    <xf numFmtId="0" fontId="2" fillId="29" borderId="406" xfId="0" applyFont="1" applyFill="1" applyBorder="1" applyAlignment="1">
      <alignment horizontal="left" vertical="top" wrapText="1"/>
    </xf>
    <xf numFmtId="0" fontId="0" fillId="0" borderId="410" xfId="0" applyFont="1" applyBorder="1" applyAlignment="1">
      <alignment horizontal="left" vertical="top" wrapText="1"/>
    </xf>
    <xf numFmtId="0" fontId="0" fillId="30" borderId="410" xfId="0" applyFont="1" applyFill="1" applyBorder="1" applyAlignment="1">
      <alignment horizontal="left" vertical="top" wrapText="1"/>
    </xf>
    <xf numFmtId="0" fontId="17" fillId="0" borderId="0" xfId="5" applyFont="1" applyFill="1" applyBorder="1" applyAlignment="1" applyProtection="1">
      <alignment horizontal="center" vertical="center" wrapText="1"/>
      <protection locked="0"/>
    </xf>
    <xf numFmtId="0" fontId="0" fillId="0" borderId="389" xfId="0" applyBorder="1"/>
    <xf numFmtId="0" fontId="0" fillId="0" borderId="81" xfId="0" applyBorder="1"/>
    <xf numFmtId="0" fontId="0" fillId="0" borderId="12" xfId="0" applyFont="1" applyBorder="1" applyAlignment="1">
      <alignment horizontal="left" vertical="top" wrapText="1"/>
    </xf>
    <xf numFmtId="0" fontId="0" fillId="0" borderId="102" xfId="0" applyFont="1" applyBorder="1" applyAlignment="1">
      <alignment horizontal="left" vertical="top" wrapText="1"/>
    </xf>
    <xf numFmtId="0" fontId="17" fillId="27" borderId="237" xfId="5" applyFill="1" applyBorder="1" applyAlignment="1" applyProtection="1">
      <alignment horizontal="center" vertical="center" wrapText="1"/>
      <protection locked="0"/>
    </xf>
    <xf numFmtId="0" fontId="65" fillId="0" borderId="12" xfId="0" applyFont="1" applyBorder="1" applyAlignment="1">
      <alignment horizontal="left" vertical="top"/>
    </xf>
    <xf numFmtId="0" fontId="30" fillId="0" borderId="186" xfId="0" applyFont="1" applyBorder="1" applyAlignment="1" applyProtection="1">
      <alignment horizontal="center" vertical="center"/>
      <protection locked="0"/>
    </xf>
    <xf numFmtId="0" fontId="23" fillId="0" borderId="0" xfId="0" applyFont="1" applyBorder="1" applyAlignment="1">
      <alignment horizontal="left" vertical="center" wrapText="1"/>
    </xf>
    <xf numFmtId="0" fontId="94" fillId="0" borderId="0" xfId="0" applyFont="1"/>
    <xf numFmtId="0" fontId="23" fillId="0" borderId="0" xfId="0" applyFont="1" applyBorder="1" applyAlignment="1">
      <alignment horizontal="left" vertical="center" wrapText="1"/>
    </xf>
    <xf numFmtId="0" fontId="30" fillId="0" borderId="138" xfId="0" applyFont="1" applyBorder="1" applyAlignment="1" applyProtection="1">
      <alignment horizontal="center" vertical="center" wrapText="1"/>
      <protection locked="0"/>
    </xf>
    <xf numFmtId="0" fontId="30" fillId="0" borderId="13" xfId="0" applyFont="1" applyBorder="1" applyAlignment="1" applyProtection="1">
      <alignment horizontal="center" vertical="center" wrapText="1"/>
      <protection locked="0"/>
    </xf>
    <xf numFmtId="0" fontId="23" fillId="0" borderId="18" xfId="0" applyFont="1" applyBorder="1" applyAlignment="1" applyProtection="1">
      <alignment vertical="top"/>
    </xf>
    <xf numFmtId="49" fontId="55" fillId="0" borderId="49" xfId="16" applyBorder="1" applyProtection="1">
      <alignment horizontal="center" vertical="center" wrapText="1"/>
    </xf>
    <xf numFmtId="0" fontId="30" fillId="0" borderId="139" xfId="0" applyFont="1" applyBorder="1" applyAlignment="1" applyProtection="1">
      <alignment horizontal="center" vertical="center" wrapText="1"/>
      <protection locked="0"/>
    </xf>
    <xf numFmtId="0" fontId="1" fillId="0" borderId="0" xfId="0" applyFont="1" applyBorder="1"/>
    <xf numFmtId="167" fontId="21" fillId="0" borderId="18" xfId="12" applyNumberFormat="1" applyFill="1" applyBorder="1" applyProtection="1">
      <alignment horizontal="left" vertical="top" wrapText="1"/>
    </xf>
    <xf numFmtId="0" fontId="23" fillId="9" borderId="14" xfId="8" applyBorder="1" applyProtection="1">
      <alignment horizontal="left" vertical="top" wrapText="1"/>
    </xf>
    <xf numFmtId="167" fontId="23" fillId="0" borderId="26" xfId="0" applyNumberFormat="1" applyFont="1" applyFill="1" applyBorder="1" applyAlignment="1" applyProtection="1">
      <alignment horizontal="center" vertical="top"/>
    </xf>
    <xf numFmtId="167" fontId="23" fillId="0" borderId="0" xfId="0" applyNumberFormat="1" applyFont="1" applyFill="1" applyBorder="1" applyAlignment="1" applyProtection="1">
      <alignment horizontal="center" vertical="top"/>
    </xf>
    <xf numFmtId="0" fontId="0" fillId="0" borderId="34" xfId="0" applyBorder="1" applyProtection="1"/>
    <xf numFmtId="0" fontId="13" fillId="0" borderId="0" xfId="0" applyFont="1"/>
    <xf numFmtId="0" fontId="95" fillId="0" borderId="0" xfId="0" applyFont="1"/>
    <xf numFmtId="0" fontId="23" fillId="0" borderId="0" xfId="0" applyFont="1"/>
    <xf numFmtId="0" fontId="0" fillId="0" borderId="0" xfId="0" applyBorder="1"/>
    <xf numFmtId="0" fontId="21" fillId="0" borderId="14" xfId="0" applyFont="1" applyBorder="1" applyAlignment="1" applyProtection="1">
      <alignment horizontal="left" vertical="top" wrapText="1"/>
    </xf>
    <xf numFmtId="0" fontId="21" fillId="0" borderId="38" xfId="4" applyFont="1" applyBorder="1" applyAlignment="1" applyProtection="1">
      <alignment horizontal="left"/>
    </xf>
    <xf numFmtId="0" fontId="21" fillId="0" borderId="34" xfId="4" applyFont="1" applyBorder="1" applyAlignment="1" applyProtection="1">
      <alignment horizontal="center" vertical="top"/>
    </xf>
    <xf numFmtId="0" fontId="21" fillId="0" borderId="34" xfId="4" applyFont="1" applyBorder="1" applyAlignment="1" applyProtection="1">
      <alignment horizontal="left"/>
    </xf>
    <xf numFmtId="0" fontId="21" fillId="0" borderId="34" xfId="4" applyFont="1" applyBorder="1" applyProtection="1"/>
    <xf numFmtId="0" fontId="21" fillId="0" borderId="12" xfId="17" applyFont="1" applyFill="1" applyBorder="1" applyProtection="1">
      <alignment horizontal="left" vertical="center"/>
    </xf>
    <xf numFmtId="0" fontId="21" fillId="0" borderId="0" xfId="17" applyFont="1" applyFill="1" applyBorder="1" applyAlignment="1" applyProtection="1">
      <alignment horizontal="center" vertical="top"/>
    </xf>
    <xf numFmtId="0" fontId="21" fillId="0" borderId="0" xfId="17" applyFont="1" applyFill="1" applyBorder="1" applyProtection="1">
      <alignment horizontal="left" vertical="center"/>
    </xf>
    <xf numFmtId="0" fontId="23" fillId="0" borderId="26" xfId="0" applyFont="1" applyBorder="1" applyAlignment="1" applyProtection="1">
      <alignment vertical="top"/>
    </xf>
    <xf numFmtId="0" fontId="23" fillId="0" borderId="18" xfId="0" applyFont="1" applyBorder="1" applyProtection="1"/>
    <xf numFmtId="167" fontId="23" fillId="0" borderId="18" xfId="0" applyNumberFormat="1" applyFont="1" applyBorder="1" applyAlignment="1" applyProtection="1">
      <alignment vertical="top"/>
    </xf>
    <xf numFmtId="0" fontId="54" fillId="0" borderId="12" xfId="0" applyFont="1" applyFill="1" applyBorder="1" applyAlignment="1" applyProtection="1">
      <alignment vertical="top"/>
    </xf>
    <xf numFmtId="0" fontId="30" fillId="0" borderId="13" xfId="0" applyFont="1" applyBorder="1" applyAlignment="1" applyProtection="1">
      <alignment horizontal="center" vertical="center"/>
    </xf>
    <xf numFmtId="167" fontId="23" fillId="0" borderId="416" xfId="0" applyNumberFormat="1" applyFont="1" applyBorder="1" applyAlignment="1" applyProtection="1">
      <alignment vertical="top"/>
    </xf>
    <xf numFmtId="49" fontId="55" fillId="0" borderId="273" xfId="16" applyBorder="1" applyProtection="1">
      <alignment horizontal="center" vertical="center" wrapText="1"/>
    </xf>
    <xf numFmtId="167" fontId="23" fillId="0" borderId="409" xfId="0" applyNumberFormat="1" applyFont="1" applyBorder="1" applyAlignment="1" applyProtection="1">
      <alignment vertical="top"/>
    </xf>
    <xf numFmtId="49" fontId="55" fillId="0" borderId="417" xfId="16" applyBorder="1" applyProtection="1">
      <alignment horizontal="center" vertical="center" wrapText="1"/>
    </xf>
    <xf numFmtId="0" fontId="23" fillId="0" borderId="277" xfId="0" applyFont="1" applyBorder="1" applyAlignment="1" applyProtection="1">
      <alignment vertical="top"/>
    </xf>
    <xf numFmtId="49" fontId="55" fillId="0" borderId="92" xfId="16" applyBorder="1" applyProtection="1">
      <alignment horizontal="center" vertical="center" wrapText="1"/>
    </xf>
    <xf numFmtId="0" fontId="23" fillId="0" borderId="66" xfId="0" applyFont="1" applyBorder="1" applyAlignment="1" applyProtection="1">
      <alignment vertical="top"/>
    </xf>
    <xf numFmtId="0" fontId="22" fillId="0" borderId="0" xfId="4" applyFont="1" applyAlignment="1" applyProtection="1">
      <alignment horizontal="center" vertical="center"/>
    </xf>
    <xf numFmtId="0" fontId="23" fillId="0" borderId="12" xfId="0" applyFont="1" applyBorder="1" applyAlignment="1" applyProtection="1">
      <alignment horizontal="left" vertical="center"/>
    </xf>
    <xf numFmtId="0" fontId="0" fillId="0" borderId="139" xfId="0" quotePrefix="1" applyBorder="1" applyAlignment="1" applyProtection="1">
      <alignment horizontal="center" vertical="center"/>
      <protection locked="0"/>
    </xf>
    <xf numFmtId="0" fontId="0" fillId="0" borderId="13" xfId="0" quotePrefix="1" applyBorder="1" applyAlignment="1" applyProtection="1">
      <alignment horizontal="center" vertical="center"/>
      <protection locked="0"/>
    </xf>
    <xf numFmtId="0" fontId="0" fillId="0" borderId="254" xfId="0" quotePrefix="1" applyBorder="1" applyAlignment="1" applyProtection="1">
      <alignment horizontal="center" vertical="center"/>
      <protection locked="0"/>
    </xf>
    <xf numFmtId="1" fontId="22" fillId="10" borderId="428" xfId="9" applyFont="1" applyBorder="1" applyProtection="1">
      <alignment horizontal="center" vertical="center"/>
      <protection locked="0"/>
    </xf>
    <xf numFmtId="0" fontId="21" fillId="0" borderId="0" xfId="4" applyFont="1" applyProtection="1"/>
    <xf numFmtId="0" fontId="21" fillId="0" borderId="0" xfId="4" applyFont="1" applyAlignment="1" applyProtection="1">
      <alignment horizontal="right"/>
    </xf>
    <xf numFmtId="0" fontId="8" fillId="4" borderId="1" xfId="4" applyFont="1" applyFill="1" applyBorder="1" applyAlignment="1" applyProtection="1">
      <alignment horizontal="center" vertical="center" wrapText="1"/>
    </xf>
    <xf numFmtId="0" fontId="9" fillId="5" borderId="1" xfId="4" applyFont="1" applyFill="1" applyBorder="1" applyAlignment="1" applyProtection="1">
      <alignment horizontal="center" vertical="center" wrapText="1"/>
    </xf>
    <xf numFmtId="0" fontId="10" fillId="5" borderId="1" xfId="4" applyFont="1" applyFill="1" applyBorder="1" applyAlignment="1" applyProtection="1">
      <alignment horizontal="center" vertical="center" wrapText="1"/>
    </xf>
    <xf numFmtId="0" fontId="11" fillId="5" borderId="1" xfId="4" applyFont="1" applyFill="1" applyBorder="1" applyAlignment="1" applyProtection="1">
      <alignment horizontal="center" vertical="center" wrapText="1"/>
    </xf>
    <xf numFmtId="0" fontId="12" fillId="5" borderId="1" xfId="4" applyFont="1" applyFill="1" applyBorder="1" applyAlignment="1" applyProtection="1">
      <alignment horizontal="center" vertical="center" wrapText="1"/>
    </xf>
    <xf numFmtId="0" fontId="13" fillId="6" borderId="1" xfId="0" applyFont="1" applyFill="1" applyBorder="1" applyAlignment="1" applyProtection="1">
      <alignment horizontal="center" vertical="center"/>
    </xf>
    <xf numFmtId="0" fontId="22" fillId="6" borderId="1" xfId="4" applyNumberFormat="1" applyFont="1" applyFill="1" applyBorder="1" applyAlignment="1" applyProtection="1">
      <alignment horizontal="center" vertical="center" wrapText="1"/>
    </xf>
    <xf numFmtId="0" fontId="13" fillId="7" borderId="3" xfId="0" applyFont="1" applyFill="1" applyBorder="1" applyAlignment="1" applyProtection="1">
      <alignment horizontal="center" vertical="center"/>
    </xf>
    <xf numFmtId="0" fontId="22" fillId="7" borderId="3" xfId="4" applyNumberFormat="1" applyFont="1" applyFill="1" applyBorder="1" applyAlignment="1" applyProtection="1">
      <alignment horizontal="center" vertical="center" wrapText="1"/>
    </xf>
    <xf numFmtId="0" fontId="15" fillId="7" borderId="3" xfId="4" applyFont="1" applyFill="1" applyBorder="1" applyAlignment="1" applyProtection="1">
      <alignment horizontal="center" vertical="center"/>
    </xf>
    <xf numFmtId="0" fontId="1" fillId="0" borderId="0" xfId="0" applyFont="1" applyProtection="1"/>
    <xf numFmtId="0" fontId="19" fillId="8" borderId="134" xfId="6" applyBorder="1" applyProtection="1">
      <alignment horizontal="center" vertical="center" wrapText="1"/>
    </xf>
    <xf numFmtId="0" fontId="19" fillId="8" borderId="135" xfId="6" applyBorder="1" applyProtection="1">
      <alignment horizontal="center" vertical="center" wrapText="1"/>
    </xf>
    <xf numFmtId="0" fontId="21" fillId="0" borderId="0" xfId="4" applyFont="1" applyAlignment="1" applyProtection="1">
      <alignment horizontal="right" vertical="center"/>
    </xf>
    <xf numFmtId="0" fontId="13" fillId="0" borderId="0" xfId="0" applyFont="1" applyAlignment="1">
      <alignment horizontal="right"/>
    </xf>
    <xf numFmtId="0" fontId="23" fillId="0" borderId="0" xfId="0" quotePrefix="1" applyFont="1"/>
    <xf numFmtId="0" fontId="13" fillId="0" borderId="0" xfId="0" applyFont="1" applyAlignment="1">
      <alignment horizontal="left"/>
    </xf>
    <xf numFmtId="0" fontId="13" fillId="0" borderId="0" xfId="0" quotePrefix="1" applyFont="1"/>
    <xf numFmtId="0" fontId="13" fillId="31" borderId="73" xfId="15" applyFill="1" applyBorder="1">
      <alignment horizontal="center" vertical="center"/>
    </xf>
    <xf numFmtId="49" fontId="49" fillId="0" borderId="68" xfId="4" applyNumberFormat="1" applyFont="1" applyBorder="1" applyAlignment="1" applyProtection="1">
      <alignment horizontal="center" vertical="center" wrapText="1"/>
    </xf>
    <xf numFmtId="0" fontId="21" fillId="0" borderId="205" xfId="0" applyFont="1" applyBorder="1" applyAlignment="1" applyProtection="1">
      <alignment horizontal="left" vertical="top" wrapText="1" indent="4"/>
    </xf>
    <xf numFmtId="0" fontId="22" fillId="0" borderId="0" xfId="12" applyFont="1" applyFill="1" applyBorder="1" applyProtection="1">
      <alignment horizontal="left" vertical="top" wrapText="1"/>
    </xf>
    <xf numFmtId="0" fontId="21" fillId="0" borderId="34" xfId="12" applyFill="1" applyBorder="1" applyProtection="1">
      <alignment horizontal="left" vertical="top" wrapText="1"/>
    </xf>
    <xf numFmtId="0" fontId="23" fillId="0" borderId="32" xfId="0" applyFont="1" applyBorder="1" applyAlignment="1">
      <alignment horizontal="left" vertical="top" wrapText="1"/>
    </xf>
    <xf numFmtId="0" fontId="21" fillId="0" borderId="0" xfId="12" applyFill="1" applyBorder="1" applyProtection="1">
      <alignment horizontal="left" vertical="top" wrapText="1"/>
    </xf>
    <xf numFmtId="0" fontId="13" fillId="0" borderId="0" xfId="0" applyFont="1" applyBorder="1" applyAlignment="1" applyProtection="1">
      <alignment horizontal="center" vertical="center" wrapText="1"/>
    </xf>
    <xf numFmtId="0" fontId="13" fillId="0" borderId="34" xfId="0" applyFont="1" applyBorder="1" applyAlignment="1" applyProtection="1">
      <alignment horizontal="center" vertical="center" wrapText="1"/>
    </xf>
    <xf numFmtId="49" fontId="55" fillId="0" borderId="24" xfId="16" applyBorder="1" applyProtection="1">
      <alignment horizontal="center" vertical="center" wrapText="1"/>
    </xf>
    <xf numFmtId="0" fontId="23" fillId="0" borderId="14" xfId="0" quotePrefix="1" applyFont="1" applyBorder="1" applyAlignment="1" applyProtection="1">
      <alignment horizontal="center" vertical="center" wrapText="1"/>
      <protection locked="0"/>
    </xf>
    <xf numFmtId="0" fontId="30" fillId="0" borderId="85" xfId="0" applyFont="1" applyBorder="1" applyAlignment="1" applyProtection="1">
      <alignment horizontal="center" vertical="center" wrapText="1"/>
    </xf>
    <xf numFmtId="1" fontId="26" fillId="10" borderId="285" xfId="9" applyFont="1" applyBorder="1" applyProtection="1">
      <alignment horizontal="center" vertical="center"/>
      <protection locked="0"/>
    </xf>
    <xf numFmtId="1" fontId="26" fillId="10" borderId="440" xfId="9" applyFont="1" applyBorder="1" applyProtection="1">
      <alignment horizontal="center" vertical="center"/>
      <protection locked="0"/>
    </xf>
    <xf numFmtId="0" fontId="15" fillId="0" borderId="85" xfId="12" applyFont="1" applyFill="1" applyBorder="1" applyAlignment="1" applyProtection="1">
      <alignment horizontal="center" vertical="center" wrapText="1"/>
    </xf>
    <xf numFmtId="0" fontId="13" fillId="15" borderId="275" xfId="15" applyFont="1" applyBorder="1" applyProtection="1">
      <alignment horizontal="center" vertical="center"/>
    </xf>
    <xf numFmtId="1" fontId="22" fillId="10" borderId="442" xfId="9" applyFont="1" applyBorder="1" applyProtection="1">
      <alignment horizontal="center" vertical="center"/>
      <protection locked="0"/>
    </xf>
    <xf numFmtId="1" fontId="26" fillId="10" borderId="400" xfId="9" applyFont="1" applyBorder="1" applyProtection="1">
      <alignment horizontal="center" vertical="center"/>
      <protection locked="0"/>
    </xf>
    <xf numFmtId="0" fontId="30" fillId="0" borderId="116" xfId="0" applyFont="1" applyBorder="1" applyAlignment="1" applyProtection="1">
      <alignment horizontal="center" vertical="center" wrapText="1"/>
    </xf>
    <xf numFmtId="1" fontId="22" fillId="10" borderId="400" xfId="9" applyFont="1" applyBorder="1" applyProtection="1">
      <alignment horizontal="center" vertical="center"/>
      <protection locked="0"/>
    </xf>
    <xf numFmtId="1" fontId="22" fillId="10" borderId="440" xfId="9" applyFont="1" applyBorder="1" applyProtection="1">
      <alignment horizontal="center" vertical="center"/>
      <protection locked="0"/>
    </xf>
    <xf numFmtId="0" fontId="3" fillId="0" borderId="34" xfId="0" applyFont="1" applyBorder="1" applyProtection="1"/>
    <xf numFmtId="0" fontId="1" fillId="0" borderId="13" xfId="0" applyFont="1" applyBorder="1" applyProtection="1"/>
    <xf numFmtId="0" fontId="22" fillId="28" borderId="210" xfId="0" applyFont="1" applyFill="1" applyBorder="1" applyAlignment="1" applyProtection="1">
      <alignment vertical="top" wrapText="1"/>
    </xf>
    <xf numFmtId="0" fontId="0" fillId="3" borderId="0" xfId="0" applyFont="1" applyFill="1"/>
    <xf numFmtId="0" fontId="19" fillId="28" borderId="99" xfId="6" applyFill="1" applyBorder="1" applyProtection="1">
      <alignment horizontal="center" vertical="center" wrapText="1"/>
    </xf>
    <xf numFmtId="0" fontId="81" fillId="3" borderId="453" xfId="6" applyFont="1" applyFill="1" applyBorder="1" applyAlignment="1" applyProtection="1">
      <alignment horizontal="left" vertical="top" wrapText="1"/>
    </xf>
    <xf numFmtId="0" fontId="81" fillId="3" borderId="452" xfId="6" applyFont="1" applyFill="1" applyBorder="1" applyProtection="1">
      <alignment horizontal="center" vertical="center" wrapText="1"/>
    </xf>
    <xf numFmtId="0" fontId="13" fillId="3" borderId="99" xfId="6" applyFont="1" applyFill="1" applyBorder="1" applyProtection="1">
      <alignment horizontal="center" vertical="center" wrapText="1"/>
    </xf>
    <xf numFmtId="0" fontId="13" fillId="3" borderId="454" xfId="6" applyFont="1" applyFill="1" applyBorder="1" applyProtection="1">
      <alignment horizontal="center" vertical="center" wrapText="1"/>
    </xf>
    <xf numFmtId="0" fontId="13" fillId="28" borderId="99" xfId="6" applyFont="1" applyFill="1" applyBorder="1" applyProtection="1">
      <alignment horizontal="center" vertical="center" wrapText="1"/>
    </xf>
    <xf numFmtId="0" fontId="23" fillId="0" borderId="99" xfId="6" applyFont="1" applyFill="1" applyBorder="1" applyProtection="1">
      <alignment horizontal="center" vertical="center" wrapText="1"/>
    </xf>
    <xf numFmtId="0" fontId="13" fillId="3" borderId="459" xfId="6" applyFont="1" applyFill="1" applyBorder="1" applyProtection="1">
      <alignment horizontal="center" vertical="center" wrapText="1"/>
    </xf>
    <xf numFmtId="0" fontId="13" fillId="28" borderId="456" xfId="6" applyFont="1" applyFill="1" applyBorder="1" applyProtection="1">
      <alignment horizontal="center" vertical="center" wrapText="1"/>
    </xf>
    <xf numFmtId="0" fontId="23" fillId="0" borderId="454" xfId="6" applyFont="1" applyFill="1" applyBorder="1" applyProtection="1">
      <alignment horizontal="center" vertical="center" wrapText="1"/>
    </xf>
    <xf numFmtId="0" fontId="23" fillId="28" borderId="456" xfId="6" applyFont="1" applyFill="1" applyBorder="1" applyProtection="1">
      <alignment horizontal="center" vertical="center" wrapText="1"/>
    </xf>
    <xf numFmtId="0" fontId="23" fillId="28" borderId="99" xfId="6" applyFont="1" applyFill="1" applyBorder="1" applyProtection="1">
      <alignment horizontal="center" vertical="center" wrapText="1"/>
    </xf>
    <xf numFmtId="0" fontId="13" fillId="3" borderId="458" xfId="6" applyFont="1" applyFill="1" applyBorder="1" applyProtection="1">
      <alignment horizontal="center" vertical="center" wrapText="1"/>
    </xf>
    <xf numFmtId="0" fontId="23" fillId="0" borderId="458" xfId="6" applyFont="1" applyFill="1" applyBorder="1" applyProtection="1">
      <alignment horizontal="center" vertical="center" wrapText="1"/>
    </xf>
    <xf numFmtId="0" fontId="13" fillId="28" borderId="465" xfId="6" applyFont="1" applyFill="1" applyBorder="1" applyProtection="1">
      <alignment horizontal="center" vertical="center" wrapText="1"/>
    </xf>
    <xf numFmtId="0" fontId="23" fillId="28" borderId="465" xfId="6" applyFont="1" applyFill="1" applyBorder="1" applyProtection="1">
      <alignment horizontal="center" vertical="center" wrapText="1"/>
    </xf>
    <xf numFmtId="0" fontId="13" fillId="3" borderId="467" xfId="6" applyFont="1" applyFill="1" applyBorder="1" applyProtection="1">
      <alignment horizontal="center" vertical="center" wrapText="1"/>
    </xf>
    <xf numFmtId="0" fontId="22" fillId="0" borderId="203" xfId="0" applyFont="1" applyBorder="1" applyAlignment="1" applyProtection="1">
      <alignment horizontal="left" vertical="top" wrapText="1" indent="8"/>
    </xf>
    <xf numFmtId="0" fontId="22" fillId="0" borderId="216" xfId="0" applyFont="1" applyBorder="1" applyAlignment="1" applyProtection="1">
      <alignment vertical="top" wrapText="1"/>
    </xf>
    <xf numFmtId="0" fontId="30" fillId="0" borderId="13" xfId="0" applyFont="1" applyBorder="1" applyAlignment="1" applyProtection="1">
      <alignment horizontal="center" vertical="center" wrapText="1"/>
      <protection locked="0"/>
    </xf>
    <xf numFmtId="0" fontId="30" fillId="0" borderId="138" xfId="0" applyFont="1" applyBorder="1" applyAlignment="1" applyProtection="1">
      <alignment horizontal="center" vertical="center" wrapText="1"/>
      <protection locked="0"/>
    </xf>
    <xf numFmtId="1" fontId="26" fillId="10" borderId="359" xfId="9" applyFont="1" applyBorder="1" applyProtection="1">
      <alignment horizontal="center" vertical="center"/>
      <protection locked="0"/>
    </xf>
    <xf numFmtId="0" fontId="30" fillId="0" borderId="186" xfId="0" applyFont="1" applyBorder="1" applyAlignment="1" applyProtection="1">
      <alignment horizontal="center" vertical="center" wrapText="1"/>
      <protection locked="0"/>
    </xf>
    <xf numFmtId="0" fontId="30" fillId="0" borderId="283" xfId="0" applyFont="1" applyBorder="1" applyAlignment="1" applyProtection="1">
      <alignment horizontal="center" vertical="center" wrapText="1"/>
      <protection locked="0"/>
    </xf>
    <xf numFmtId="0" fontId="30" fillId="0" borderId="254" xfId="0" applyFont="1" applyBorder="1" applyAlignment="1" applyProtection="1">
      <alignment horizontal="center" vertical="center" wrapText="1"/>
      <protection locked="0"/>
    </xf>
    <xf numFmtId="0" fontId="30" fillId="0" borderId="307" xfId="0" applyFont="1" applyBorder="1" applyAlignment="1" applyProtection="1">
      <alignment horizontal="center" vertical="center" wrapText="1"/>
      <protection locked="0"/>
    </xf>
    <xf numFmtId="0" fontId="30" fillId="0" borderId="180" xfId="0" applyFont="1" applyBorder="1" applyAlignment="1" applyProtection="1">
      <alignment horizontal="center" vertical="center" wrapText="1"/>
      <protection locked="0"/>
    </xf>
    <xf numFmtId="0" fontId="30" fillId="0" borderId="308" xfId="0" applyFont="1" applyBorder="1" applyAlignment="1" applyProtection="1">
      <alignment horizontal="center" vertical="center" wrapText="1"/>
      <protection locked="0"/>
    </xf>
    <xf numFmtId="0" fontId="30" fillId="0" borderId="139" xfId="0" applyFont="1" applyBorder="1" applyAlignment="1" applyProtection="1">
      <alignment horizontal="center" vertical="center" wrapText="1"/>
      <protection locked="0"/>
    </xf>
    <xf numFmtId="1" fontId="22" fillId="7" borderId="3" xfId="4" applyNumberFormat="1" applyFont="1" applyFill="1" applyBorder="1" applyAlignment="1" applyProtection="1">
      <alignment horizontal="center" vertical="center"/>
    </xf>
    <xf numFmtId="1" fontId="22" fillId="10" borderId="189" xfId="9" applyFont="1" applyBorder="1" applyProtection="1">
      <alignment horizontal="center" vertical="center"/>
      <protection locked="0"/>
    </xf>
    <xf numFmtId="0" fontId="23" fillId="0" borderId="191" xfId="0" quotePrefix="1" applyFont="1" applyBorder="1" applyAlignment="1" applyProtection="1">
      <alignment horizontal="center" vertical="center" wrapText="1"/>
      <protection locked="0"/>
    </xf>
    <xf numFmtId="0" fontId="13" fillId="0" borderId="0" xfId="0" applyFont="1" applyBorder="1" applyAlignment="1">
      <alignment horizontal="center" vertical="center" wrapText="1"/>
    </xf>
    <xf numFmtId="1" fontId="26" fillId="10" borderId="15" xfId="9" applyBorder="1" applyProtection="1">
      <alignment horizontal="center" vertical="center"/>
      <protection locked="0"/>
    </xf>
    <xf numFmtId="1" fontId="26" fillId="10" borderId="344" xfId="9" applyBorder="1" applyProtection="1">
      <alignment horizontal="center" vertical="center"/>
      <protection locked="0"/>
    </xf>
    <xf numFmtId="49" fontId="55" fillId="0" borderId="0" xfId="16" applyBorder="1" applyAlignment="1" applyProtection="1">
      <alignment horizontal="center" vertical="center" wrapText="1"/>
    </xf>
    <xf numFmtId="1" fontId="26" fillId="10" borderId="16" xfId="9" applyBorder="1" applyProtection="1">
      <alignment horizontal="center" vertical="center"/>
      <protection locked="0"/>
    </xf>
    <xf numFmtId="0" fontId="30" fillId="0" borderId="13" xfId="0" applyFont="1" applyBorder="1" applyAlignment="1" applyProtection="1">
      <alignment horizontal="center" vertical="center"/>
      <protection locked="0"/>
    </xf>
    <xf numFmtId="167" fontId="23" fillId="0" borderId="0" xfId="0" applyNumberFormat="1" applyFont="1" applyBorder="1" applyAlignment="1" applyProtection="1">
      <alignment horizontal="center" vertical="top"/>
    </xf>
    <xf numFmtId="0" fontId="13" fillId="0" borderId="66" xfId="0" applyFont="1" applyBorder="1" applyAlignment="1" applyProtection="1">
      <alignment horizontal="center" vertical="center" wrapText="1"/>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1" fontId="26" fillId="10" borderId="171" xfId="9" applyBorder="1" applyProtection="1">
      <alignment horizontal="center" vertical="center"/>
      <protection locked="0"/>
    </xf>
    <xf numFmtId="0" fontId="21" fillId="0" borderId="27" xfId="0" applyFont="1" applyBorder="1" applyAlignment="1" applyProtection="1">
      <alignment horizontal="left" vertical="center" indent="1"/>
    </xf>
    <xf numFmtId="0" fontId="13" fillId="0" borderId="0" xfId="0" applyFont="1"/>
    <xf numFmtId="49" fontId="50" fillId="0" borderId="471" xfId="4" applyNumberFormat="1" applyFont="1" applyBorder="1" applyAlignment="1" applyProtection="1">
      <alignment horizontal="center" vertical="center" wrapText="1"/>
      <protection locked="0"/>
    </xf>
    <xf numFmtId="1" fontId="26" fillId="10" borderId="400" xfId="9" applyBorder="1">
      <alignment horizontal="center" vertical="center"/>
      <protection locked="0"/>
    </xf>
    <xf numFmtId="0" fontId="23" fillId="0" borderId="116" xfId="8" applyFont="1" applyFill="1" applyBorder="1" applyAlignment="1">
      <alignment horizontal="left" vertical="top" wrapText="1"/>
    </xf>
    <xf numFmtId="1" fontId="26" fillId="10" borderId="285" xfId="9" applyBorder="1" applyAlignment="1" applyProtection="1">
      <alignment horizontal="center" vertical="center" wrapText="1"/>
      <protection locked="0"/>
    </xf>
    <xf numFmtId="0" fontId="0" fillId="0" borderId="66" xfId="0" applyBorder="1" applyProtection="1"/>
    <xf numFmtId="1" fontId="22" fillId="10" borderId="285" xfId="9" applyNumberFormat="1" applyFont="1" applyBorder="1">
      <alignment horizontal="center" vertical="center"/>
      <protection locked="0"/>
    </xf>
    <xf numFmtId="1" fontId="22" fillId="10" borderId="359" xfId="9" applyNumberFormat="1" applyFont="1" applyBorder="1">
      <alignment horizontal="center" vertical="center"/>
      <protection locked="0"/>
    </xf>
    <xf numFmtId="1" fontId="22" fillId="10" borderId="344" xfId="9" applyFont="1" applyBorder="1" applyProtection="1">
      <alignment horizontal="center" vertical="center"/>
      <protection locked="0"/>
    </xf>
    <xf numFmtId="1" fontId="22" fillId="10" borderId="285" xfId="9" applyNumberFormat="1" applyFont="1" applyBorder="1" applyProtection="1">
      <alignment horizontal="center" vertical="center"/>
      <protection locked="0"/>
    </xf>
    <xf numFmtId="1" fontId="22" fillId="10" borderId="359" xfId="9" applyNumberFormat="1" applyFont="1" applyBorder="1" applyProtection="1">
      <alignment horizontal="center" vertical="center"/>
      <protection locked="0"/>
    </xf>
    <xf numFmtId="0" fontId="13" fillId="0" borderId="0" xfId="0" applyFont="1" applyBorder="1" applyAlignment="1" applyProtection="1">
      <alignment horizontal="center" vertical="center" wrapText="1"/>
    </xf>
    <xf numFmtId="0" fontId="30" fillId="0" borderId="139" xfId="0" applyFont="1" applyBorder="1" applyAlignment="1" applyProtection="1">
      <alignment horizontal="center" vertical="center" wrapText="1"/>
      <protection locked="0"/>
    </xf>
    <xf numFmtId="0" fontId="13" fillId="15" borderId="275" xfId="15" applyBorder="1" applyProtection="1">
      <alignment horizontal="center" vertical="center"/>
    </xf>
    <xf numFmtId="1" fontId="26" fillId="10" borderId="16" xfId="9" applyBorder="1" applyProtection="1">
      <alignment horizontal="center" vertical="center"/>
      <protection locked="0"/>
    </xf>
    <xf numFmtId="167" fontId="23" fillId="0" borderId="0" xfId="0" applyNumberFormat="1" applyFont="1" applyBorder="1" applyAlignment="1" applyProtection="1">
      <alignment horizontal="center" vertical="top"/>
    </xf>
    <xf numFmtId="0" fontId="23" fillId="0" borderId="307" xfId="0" applyFont="1" applyBorder="1" applyAlignment="1" applyProtection="1">
      <alignment horizontal="center" vertical="center" wrapText="1"/>
      <protection locked="0"/>
    </xf>
    <xf numFmtId="0" fontId="23" fillId="0" borderId="283" xfId="0" applyFont="1" applyBorder="1" applyAlignment="1" applyProtection="1">
      <alignment horizontal="center" vertical="center"/>
      <protection locked="0"/>
    </xf>
    <xf numFmtId="0" fontId="13" fillId="10" borderId="443" xfId="0" applyFont="1" applyFill="1" applyBorder="1" applyAlignment="1" applyProtection="1">
      <alignment horizontal="center" vertical="center" wrapText="1"/>
      <protection locked="0"/>
    </xf>
    <xf numFmtId="49" fontId="23" fillId="0" borderId="283" xfId="0" applyNumberFormat="1" applyFont="1" applyBorder="1" applyAlignment="1" applyProtection="1">
      <alignment horizontal="center" vertical="center" wrapText="1"/>
      <protection locked="0"/>
    </xf>
    <xf numFmtId="0" fontId="0" fillId="0" borderId="472" xfId="0" applyBorder="1"/>
    <xf numFmtId="0" fontId="13" fillId="15" borderId="473" xfId="15" applyBorder="1">
      <alignment horizontal="center" vertical="center"/>
    </xf>
    <xf numFmtId="167" fontId="23" fillId="0" borderId="475" xfId="0" applyNumberFormat="1" applyFont="1" applyFill="1" applyBorder="1" applyAlignment="1" applyProtection="1">
      <alignment horizontal="center" vertical="top"/>
    </xf>
    <xf numFmtId="167" fontId="23" fillId="0" borderId="475" xfId="0" applyNumberFormat="1" applyFont="1" applyBorder="1" applyAlignment="1" applyProtection="1">
      <alignment vertical="top"/>
    </xf>
    <xf numFmtId="49" fontId="55" fillId="0" borderId="475" xfId="16" applyBorder="1" applyProtection="1">
      <alignment horizontal="center" vertical="center" wrapText="1"/>
    </xf>
    <xf numFmtId="0" fontId="0" fillId="0" borderId="475" xfId="0" applyBorder="1"/>
    <xf numFmtId="0" fontId="15" fillId="0" borderId="474" xfId="4" applyFont="1" applyBorder="1" applyAlignment="1" applyProtection="1">
      <alignment horizontal="center" vertical="center"/>
      <protection locked="0"/>
    </xf>
    <xf numFmtId="0" fontId="22" fillId="0" borderId="0" xfId="0" applyFont="1" applyFill="1" applyBorder="1" applyAlignment="1" applyProtection="1">
      <alignment horizontal="right"/>
    </xf>
    <xf numFmtId="0" fontId="32" fillId="0" borderId="155" xfId="0" applyFont="1" applyBorder="1" applyAlignment="1" applyProtection="1">
      <alignment horizontal="center" vertical="center" wrapText="1"/>
    </xf>
    <xf numFmtId="0" fontId="32" fillId="0" borderId="122" xfId="0" applyFont="1" applyBorder="1" applyAlignment="1" applyProtection="1">
      <alignment horizontal="center" vertical="center" wrapText="1"/>
    </xf>
    <xf numFmtId="0" fontId="32" fillId="0" borderId="477" xfId="0" applyFont="1" applyBorder="1" applyAlignment="1" applyProtection="1">
      <alignment horizontal="center" vertical="center" wrapText="1"/>
    </xf>
    <xf numFmtId="0" fontId="32" fillId="0" borderId="478" xfId="0" applyFont="1" applyBorder="1" applyAlignment="1" applyProtection="1">
      <alignment horizontal="center" vertical="center" wrapText="1"/>
    </xf>
    <xf numFmtId="0" fontId="32" fillId="0" borderId="479"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167" fontId="23" fillId="0" borderId="0" xfId="0" applyNumberFormat="1" applyFont="1" applyBorder="1" applyAlignment="1" applyProtection="1">
      <alignment horizontal="center" vertical="top"/>
    </xf>
    <xf numFmtId="1" fontId="22" fillId="10" borderId="359" xfId="9" applyFont="1" applyBorder="1" applyAlignment="1" applyProtection="1">
      <alignment horizontal="center" vertical="center" wrapText="1"/>
      <protection locked="0"/>
    </xf>
    <xf numFmtId="1" fontId="26" fillId="10" borderId="381" xfId="9" applyBorder="1" applyAlignment="1" applyProtection="1">
      <alignment horizontal="center" vertical="center" wrapText="1"/>
      <protection locked="0"/>
    </xf>
    <xf numFmtId="1" fontId="22" fillId="10" borderId="15" xfId="9" applyFont="1" applyBorder="1" applyAlignment="1">
      <alignment horizontal="center" vertical="center" wrapText="1"/>
      <protection locked="0"/>
    </xf>
    <xf numFmtId="0" fontId="23" fillId="0" borderId="116" xfId="8" applyFill="1" applyBorder="1" applyProtection="1">
      <alignment horizontal="left" vertical="top" wrapText="1"/>
    </xf>
    <xf numFmtId="0" fontId="23" fillId="0" borderId="85" xfId="8" applyFill="1" applyBorder="1" applyProtection="1">
      <alignment horizontal="left" vertical="top" wrapText="1"/>
    </xf>
    <xf numFmtId="0" fontId="30" fillId="0" borderId="332" xfId="0" applyFont="1" applyBorder="1" applyAlignment="1" applyProtection="1">
      <alignment horizontal="center" vertical="center" wrapText="1"/>
      <protection locked="0"/>
    </xf>
    <xf numFmtId="0" fontId="23" fillId="0" borderId="0" xfId="0" applyFont="1" applyBorder="1" applyAlignment="1" applyProtection="1">
      <alignment horizontal="left" vertical="center"/>
    </xf>
    <xf numFmtId="0" fontId="23" fillId="0" borderId="13" xfId="8" applyFill="1" applyBorder="1" applyAlignment="1" applyProtection="1">
      <alignment horizontal="left" vertical="center" wrapText="1"/>
    </xf>
    <xf numFmtId="0" fontId="0" fillId="0" borderId="0" xfId="0" applyFont="1" applyAlignment="1">
      <alignment horizontal="left" vertical="center"/>
    </xf>
    <xf numFmtId="0" fontId="96" fillId="0" borderId="0" xfId="0" applyFont="1"/>
    <xf numFmtId="0" fontId="21" fillId="0" borderId="13" xfId="4" applyFont="1" applyBorder="1" applyAlignment="1" applyProtection="1">
      <alignment horizontal="left" vertical="top" wrapText="1"/>
    </xf>
    <xf numFmtId="0" fontId="21" fillId="0" borderId="254" xfId="14" applyFont="1" applyFill="1" applyBorder="1" applyAlignment="1" applyProtection="1">
      <alignment horizontal="left" vertical="top" wrapText="1"/>
    </xf>
    <xf numFmtId="0" fontId="23" fillId="0" borderId="0" xfId="0" applyFont="1" applyBorder="1" applyAlignment="1">
      <alignment horizontal="left" vertical="center" wrapText="1"/>
    </xf>
    <xf numFmtId="0" fontId="32" fillId="0" borderId="0" xfId="0" applyFont="1" applyBorder="1" applyAlignment="1">
      <alignment horizontal="center" vertical="center" wrapText="1"/>
    </xf>
    <xf numFmtId="0" fontId="14" fillId="0" borderId="75" xfId="4" applyFont="1" applyBorder="1" applyAlignment="1">
      <alignment horizontal="center" vertical="center"/>
    </xf>
    <xf numFmtId="0" fontId="32" fillId="0" borderId="75" xfId="0" applyFont="1" applyBorder="1" applyAlignment="1">
      <alignment horizontal="center" vertical="center" wrapText="1"/>
    </xf>
    <xf numFmtId="0" fontId="32" fillId="0" borderId="76" xfId="0" applyFont="1" applyBorder="1" applyAlignment="1">
      <alignment horizontal="center" vertical="center" wrapText="1"/>
    </xf>
    <xf numFmtId="0" fontId="30" fillId="0" borderId="273" xfId="0" applyFont="1" applyBorder="1" applyAlignment="1">
      <alignment horizontal="center" vertical="center" wrapText="1"/>
    </xf>
    <xf numFmtId="0" fontId="13" fillId="0" borderId="34" xfId="0" applyFont="1" applyBorder="1" applyAlignment="1" applyProtection="1">
      <alignment horizontal="right" vertical="center" wrapText="1"/>
    </xf>
    <xf numFmtId="0" fontId="13" fillId="0" borderId="0" xfId="0" applyFont="1" applyBorder="1" applyAlignment="1">
      <alignment horizontal="center" vertical="center" wrapText="1"/>
    </xf>
    <xf numFmtId="0" fontId="21" fillId="0" borderId="0" xfId="4" applyNumberFormat="1" applyFont="1" applyFill="1" applyBorder="1" applyAlignment="1">
      <alignment vertical="top" wrapText="1"/>
    </xf>
    <xf numFmtId="0" fontId="2" fillId="8" borderId="134" xfId="6" applyFont="1" applyBorder="1">
      <alignment horizontal="center" vertical="center" wrapText="1"/>
    </xf>
    <xf numFmtId="0" fontId="30" fillId="0" borderId="13" xfId="0" applyFont="1" applyBorder="1" applyAlignment="1" applyProtection="1">
      <alignment horizontal="center" vertical="center" wrapText="1"/>
      <protection locked="0"/>
    </xf>
    <xf numFmtId="0" fontId="23" fillId="0" borderId="0" xfId="0" applyFont="1" applyBorder="1" applyAlignment="1">
      <alignment horizontal="left" vertical="top" wrapText="1"/>
    </xf>
    <xf numFmtId="167" fontId="23" fillId="0" borderId="18" xfId="0" applyNumberFormat="1" applyFont="1" applyBorder="1" applyAlignment="1">
      <alignment horizontal="center" vertical="top"/>
    </xf>
    <xf numFmtId="0" fontId="23" fillId="0" borderId="0" xfId="0" applyFont="1" applyBorder="1" applyAlignment="1">
      <alignment horizontal="center" vertical="top"/>
    </xf>
    <xf numFmtId="0" fontId="0" fillId="0" borderId="12" xfId="0" applyFont="1" applyBorder="1"/>
    <xf numFmtId="167" fontId="23" fillId="0" borderId="0" xfId="0" applyNumberFormat="1" applyFont="1" applyBorder="1" applyAlignment="1">
      <alignment horizontal="center" vertical="top"/>
    </xf>
    <xf numFmtId="1" fontId="26" fillId="10" borderId="15" xfId="9" applyBorder="1" applyProtection="1">
      <alignment horizontal="center" vertical="center"/>
      <protection locked="0"/>
    </xf>
    <xf numFmtId="49" fontId="55" fillId="0" borderId="26" xfId="16" applyBorder="1">
      <alignment horizontal="center" vertical="center" wrapText="1"/>
    </xf>
    <xf numFmtId="0" fontId="13" fillId="0" borderId="27" xfId="0" applyFont="1" applyBorder="1" applyAlignment="1" applyProtection="1">
      <alignment horizontal="center" vertical="center" wrapText="1"/>
    </xf>
    <xf numFmtId="0" fontId="13" fillId="0" borderId="66" xfId="0" applyFont="1" applyBorder="1" applyAlignment="1" applyProtection="1">
      <alignment horizontal="center" vertical="center" wrapText="1"/>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166" fontId="23" fillId="0" borderId="12" xfId="0" applyNumberFormat="1" applyFont="1" applyBorder="1" applyAlignment="1">
      <alignment horizontal="left" vertical="top"/>
    </xf>
    <xf numFmtId="0" fontId="21" fillId="0" borderId="32" xfId="4" applyNumberFormat="1" applyFont="1" applyFill="1" applyBorder="1" applyAlignment="1">
      <alignment vertical="top" wrapText="1"/>
    </xf>
    <xf numFmtId="0" fontId="0" fillId="0" borderId="102" xfId="0" applyFont="1" applyBorder="1"/>
    <xf numFmtId="2" fontId="0" fillId="0" borderId="0" xfId="0" applyNumberFormat="1" applyFont="1"/>
    <xf numFmtId="1" fontId="21" fillId="0" borderId="312" xfId="0" applyNumberFormat="1" applyFont="1" applyBorder="1" applyAlignment="1" applyProtection="1">
      <alignment horizontal="center" vertical="center" wrapText="1"/>
    </xf>
    <xf numFmtId="0" fontId="22" fillId="3" borderId="218" xfId="0" applyFont="1" applyFill="1" applyBorder="1" applyAlignment="1" applyProtection="1">
      <alignment horizontal="center" vertical="center" wrapText="1"/>
    </xf>
    <xf numFmtId="0" fontId="22" fillId="0" borderId="312" xfId="0" applyFont="1" applyBorder="1" applyAlignment="1" applyProtection="1">
      <alignment horizontal="center" vertical="center" wrapText="1"/>
    </xf>
    <xf numFmtId="1" fontId="21" fillId="28" borderId="312" xfId="0" applyNumberFormat="1" applyFont="1" applyFill="1" applyBorder="1" applyAlignment="1" applyProtection="1">
      <alignment horizontal="center" vertical="center" wrapText="1"/>
    </xf>
    <xf numFmtId="0" fontId="22" fillId="3" borderId="312" xfId="0" applyFont="1" applyFill="1" applyBorder="1" applyAlignment="1" applyProtection="1">
      <alignment horizontal="center" vertical="center"/>
    </xf>
    <xf numFmtId="0" fontId="22" fillId="28" borderId="312" xfId="0" applyFont="1" applyFill="1" applyBorder="1" applyAlignment="1" applyProtection="1">
      <alignment horizontal="center" vertical="center"/>
    </xf>
    <xf numFmtId="1" fontId="21" fillId="28" borderId="206" xfId="0" applyNumberFormat="1" applyFont="1" applyFill="1" applyBorder="1" applyAlignment="1" applyProtection="1">
      <alignment horizontal="center" vertical="center" wrapText="1"/>
    </xf>
    <xf numFmtId="1" fontId="21" fillId="3" borderId="312" xfId="0" applyNumberFormat="1" applyFont="1" applyFill="1" applyBorder="1" applyAlignment="1" applyProtection="1">
      <alignment horizontal="center" vertical="center" wrapText="1"/>
    </xf>
    <xf numFmtId="1" fontId="21" fillId="3" borderId="218" xfId="0" applyNumberFormat="1" applyFont="1" applyFill="1" applyBorder="1" applyAlignment="1" applyProtection="1">
      <alignment horizontal="center" vertical="center" wrapText="1"/>
    </xf>
    <xf numFmtId="1" fontId="21" fillId="3" borderId="206" xfId="0" applyNumberFormat="1" applyFont="1" applyFill="1" applyBorder="1" applyAlignment="1" applyProtection="1">
      <alignment horizontal="center" vertical="center" wrapText="1"/>
    </xf>
    <xf numFmtId="0" fontId="22" fillId="0" borderId="205" xfId="0" applyFont="1" applyBorder="1" applyAlignment="1" applyProtection="1">
      <alignment horizontal="left" vertical="top" wrapText="1"/>
    </xf>
    <xf numFmtId="0" fontId="22" fillId="3" borderId="312" xfId="0" applyFont="1" applyFill="1" applyBorder="1" applyAlignment="1" applyProtection="1">
      <alignment horizontal="center" vertical="center" wrapText="1"/>
    </xf>
    <xf numFmtId="0" fontId="21" fillId="3" borderId="201" xfId="0" applyFont="1" applyFill="1" applyBorder="1" applyAlignment="1" applyProtection="1">
      <alignment horizontal="center" vertical="center" wrapText="1"/>
    </xf>
    <xf numFmtId="0" fontId="21" fillId="0" borderId="203" xfId="0" applyFont="1" applyBorder="1" applyAlignment="1" applyProtection="1">
      <alignment horizontal="left" vertical="top" wrapText="1" indent="8"/>
    </xf>
    <xf numFmtId="1" fontId="22" fillId="0" borderId="312" xfId="0" applyNumberFormat="1" applyFont="1" applyBorder="1" applyAlignment="1" applyProtection="1">
      <alignment horizontal="center" vertical="center" wrapText="1"/>
    </xf>
    <xf numFmtId="0" fontId="21" fillId="0" borderId="201" xfId="0" applyFont="1" applyBorder="1" applyAlignment="1" applyProtection="1">
      <alignment horizontal="center" vertical="center" wrapText="1"/>
    </xf>
    <xf numFmtId="0" fontId="23" fillId="9" borderId="513" xfId="8" applyBorder="1">
      <alignment horizontal="left" vertical="top" wrapText="1"/>
    </xf>
    <xf numFmtId="0" fontId="22" fillId="0" borderId="312" xfId="0" applyFont="1" applyFill="1" applyBorder="1" applyAlignment="1" applyProtection="1">
      <alignment horizontal="center" vertical="center" wrapText="1"/>
    </xf>
    <xf numFmtId="0" fontId="21" fillId="22" borderId="312" xfId="0" applyFont="1" applyFill="1" applyBorder="1" applyAlignment="1" applyProtection="1">
      <alignment horizontal="left" vertical="top" wrapText="1" indent="4"/>
    </xf>
    <xf numFmtId="0" fontId="22" fillId="0" borderId="312" xfId="0" applyFont="1" applyBorder="1" applyAlignment="1" applyProtection="1">
      <alignment horizontal="center" vertical="center"/>
    </xf>
    <xf numFmtId="0" fontId="22" fillId="0" borderId="312" xfId="0" applyFont="1" applyFill="1" applyBorder="1" applyAlignment="1" applyProtection="1">
      <alignment horizontal="center" vertical="center"/>
    </xf>
    <xf numFmtId="1" fontId="21" fillId="0" borderId="312" xfId="0" applyNumberFormat="1" applyFont="1" applyFill="1" applyBorder="1" applyAlignment="1" applyProtection="1">
      <alignment horizontal="center" vertical="center" wrapText="1"/>
    </xf>
    <xf numFmtId="0" fontId="22" fillId="22" borderId="312" xfId="0" applyFont="1" applyFill="1" applyBorder="1" applyAlignment="1" applyProtection="1">
      <alignment horizontal="left" vertical="top" wrapText="1" indent="4"/>
    </xf>
    <xf numFmtId="0" fontId="21" fillId="22" borderId="312" xfId="0" applyFont="1" applyFill="1" applyBorder="1" applyAlignment="1" applyProtection="1">
      <alignment horizontal="left" indent="4"/>
    </xf>
    <xf numFmtId="0" fontId="13" fillId="0" borderId="209" xfId="0" applyFont="1" applyBorder="1" applyAlignment="1">
      <alignment wrapText="1"/>
    </xf>
    <xf numFmtId="0" fontId="13" fillId="0" borderId="203" xfId="0" applyFont="1" applyBorder="1" applyAlignment="1">
      <alignment horizontal="left" indent="4"/>
    </xf>
    <xf numFmtId="0" fontId="13" fillId="0" borderId="312" xfId="0" applyFont="1" applyBorder="1" applyAlignment="1">
      <alignment horizontal="center" vertical="center"/>
    </xf>
    <xf numFmtId="1" fontId="0" fillId="0" borderId="312" xfId="0" applyNumberFormat="1" applyFont="1" applyBorder="1" applyAlignment="1">
      <alignment horizontal="center" vertical="center"/>
    </xf>
    <xf numFmtId="0" fontId="13" fillId="0" borderId="205" xfId="0" applyFont="1" applyBorder="1" applyAlignment="1">
      <alignment horizontal="left" indent="4"/>
    </xf>
    <xf numFmtId="0" fontId="13" fillId="0" borderId="229" xfId="0" applyFont="1" applyBorder="1" applyAlignment="1">
      <alignment horizontal="left"/>
    </xf>
    <xf numFmtId="0" fontId="13" fillId="0" borderId="209" xfId="0" applyFont="1" applyFill="1" applyBorder="1" applyAlignment="1">
      <alignment horizontal="left" vertical="top" wrapText="1"/>
    </xf>
    <xf numFmtId="0" fontId="21" fillId="0" borderId="312" xfId="0" applyFont="1" applyBorder="1" applyAlignment="1" applyProtection="1">
      <alignment horizontal="center" vertical="center" wrapText="1"/>
    </xf>
    <xf numFmtId="0" fontId="81" fillId="3" borderId="203" xfId="6" applyFont="1" applyFill="1" applyBorder="1" applyAlignment="1" applyProtection="1">
      <alignment horizontal="left" vertical="top" wrapText="1"/>
    </xf>
    <xf numFmtId="0" fontId="81" fillId="3" borderId="522" xfId="6" applyFont="1" applyFill="1" applyBorder="1" applyAlignment="1" applyProtection="1">
      <alignment horizontal="left" vertical="top" wrapText="1"/>
    </xf>
    <xf numFmtId="0" fontId="81" fillId="3" borderId="524" xfId="6" applyFont="1" applyFill="1" applyBorder="1" applyAlignment="1" applyProtection="1">
      <alignment horizontal="left" vertical="top" wrapText="1"/>
    </xf>
    <xf numFmtId="0" fontId="81" fillId="3" borderId="526" xfId="6" applyFont="1" applyFill="1" applyBorder="1" applyAlignment="1" applyProtection="1">
      <alignment horizontal="left" vertical="top" wrapText="1"/>
    </xf>
    <xf numFmtId="0" fontId="81" fillId="3" borderId="528" xfId="6" applyFont="1" applyFill="1" applyBorder="1" applyAlignment="1" applyProtection="1">
      <alignment horizontal="left" vertical="top" wrapText="1"/>
    </xf>
    <xf numFmtId="0" fontId="81" fillId="3" borderId="529" xfId="6" applyFont="1" applyFill="1" applyBorder="1" applyAlignment="1" applyProtection="1">
      <alignment horizontal="left" vertical="top" wrapText="1"/>
    </xf>
    <xf numFmtId="0" fontId="81" fillId="3" borderId="528" xfId="6" applyFont="1" applyFill="1" applyBorder="1" applyAlignment="1" applyProtection="1">
      <alignment horizontal="left" vertical="top" wrapText="1" indent="4"/>
    </xf>
    <xf numFmtId="0" fontId="81" fillId="3" borderId="529" xfId="6" applyFont="1" applyFill="1" applyBorder="1" applyAlignment="1" applyProtection="1">
      <alignment horizontal="left" vertical="top" wrapText="1" indent="4"/>
    </xf>
    <xf numFmtId="0" fontId="81" fillId="0" borderId="530" xfId="6" applyFont="1" applyFill="1" applyBorder="1" applyAlignment="1" applyProtection="1">
      <alignment horizontal="left" vertical="top" wrapText="1"/>
    </xf>
    <xf numFmtId="0" fontId="81" fillId="0" borderId="526" xfId="6" applyFont="1" applyFill="1" applyBorder="1" applyAlignment="1" applyProtection="1">
      <alignment horizontal="left" vertical="top" wrapText="1"/>
    </xf>
    <xf numFmtId="0" fontId="81" fillId="0" borderId="528" xfId="6" applyFont="1" applyFill="1" applyBorder="1" applyAlignment="1" applyProtection="1">
      <alignment horizontal="left" vertical="top" wrapText="1" indent="4"/>
    </xf>
    <xf numFmtId="0" fontId="81" fillId="0" borderId="529" xfId="6" applyFont="1" applyFill="1" applyBorder="1" applyAlignment="1" applyProtection="1">
      <alignment horizontal="left" vertical="top" wrapText="1" indent="4"/>
    </xf>
    <xf numFmtId="0" fontId="81" fillId="0" borderId="534" xfId="6" applyFont="1" applyFill="1" applyBorder="1" applyAlignment="1" applyProtection="1">
      <alignment horizontal="left" vertical="top" wrapText="1"/>
    </xf>
    <xf numFmtId="0" fontId="81" fillId="0" borderId="536" xfId="6" applyFont="1" applyFill="1" applyBorder="1" applyAlignment="1" applyProtection="1">
      <alignment horizontal="left" vertical="top" wrapText="1"/>
    </xf>
    <xf numFmtId="1" fontId="21" fillId="13" borderId="312" xfId="0" applyNumberFormat="1" applyFont="1" applyFill="1" applyBorder="1" applyAlignment="1" applyProtection="1">
      <alignment horizontal="center" vertical="center" wrapText="1"/>
    </xf>
    <xf numFmtId="0" fontId="22" fillId="28" borderId="312" xfId="0" applyFont="1" applyFill="1" applyBorder="1" applyAlignment="1" applyProtection="1">
      <alignment horizontal="center" vertical="center" wrapText="1"/>
    </xf>
    <xf numFmtId="0" fontId="21" fillId="0" borderId="312" xfId="0" applyFont="1" applyFill="1" applyBorder="1" applyAlignment="1" applyProtection="1">
      <alignment horizontal="center" vertical="center" wrapText="1"/>
    </xf>
    <xf numFmtId="0" fontId="22" fillId="22" borderId="312" xfId="0" applyFont="1" applyFill="1" applyBorder="1" applyAlignment="1" applyProtection="1">
      <alignment horizontal="left" vertical="top" indent="2"/>
    </xf>
    <xf numFmtId="0" fontId="22" fillId="22" borderId="312" xfId="0" applyFont="1" applyFill="1" applyBorder="1" applyAlignment="1" applyProtection="1">
      <alignment horizontal="left" vertical="top" wrapText="1" indent="2"/>
    </xf>
    <xf numFmtId="1" fontId="21" fillId="22" borderId="312" xfId="0" applyNumberFormat="1" applyFont="1" applyFill="1" applyBorder="1" applyAlignment="1" applyProtection="1">
      <alignment horizontal="center" vertical="center" wrapText="1"/>
    </xf>
    <xf numFmtId="1" fontId="16" fillId="0" borderId="312" xfId="0" applyNumberFormat="1" applyFont="1" applyBorder="1" applyAlignment="1" applyProtection="1">
      <alignment horizontal="center" vertical="center" wrapText="1"/>
    </xf>
    <xf numFmtId="0" fontId="22" fillId="22" borderId="312" xfId="0" applyFont="1" applyFill="1" applyBorder="1" applyAlignment="1" applyProtection="1">
      <alignment horizontal="center" vertical="center" wrapText="1"/>
    </xf>
    <xf numFmtId="0" fontId="21" fillId="22" borderId="312" xfId="0" applyFont="1" applyFill="1" applyBorder="1" applyAlignment="1" applyProtection="1">
      <alignment horizontal="center" vertical="center" wrapText="1"/>
    </xf>
    <xf numFmtId="0" fontId="21" fillId="22" borderId="312" xfId="0" applyFont="1" applyFill="1" applyBorder="1" applyAlignment="1" applyProtection="1">
      <alignment horizontal="left" wrapText="1" indent="2"/>
    </xf>
    <xf numFmtId="0" fontId="22" fillId="0" borderId="312" xfId="0" applyNumberFormat="1" applyFont="1" applyBorder="1" applyAlignment="1" applyProtection="1">
      <alignment horizontal="center" vertical="center" wrapText="1"/>
    </xf>
    <xf numFmtId="0" fontId="22" fillId="0" borderId="312" xfId="0" quotePrefix="1" applyFont="1" applyBorder="1" applyAlignment="1" applyProtection="1">
      <alignment horizontal="center" vertical="center" wrapText="1"/>
    </xf>
    <xf numFmtId="0" fontId="13" fillId="0" borderId="312" xfId="0" applyFont="1" applyBorder="1" applyAlignment="1" applyProtection="1">
      <alignment horizontal="center" vertical="center" wrapText="1"/>
    </xf>
    <xf numFmtId="0" fontId="21" fillId="0" borderId="312" xfId="1" applyNumberFormat="1" applyFont="1" applyBorder="1" applyAlignment="1" applyProtection="1">
      <alignment horizontal="center" vertical="center" wrapText="1"/>
    </xf>
    <xf numFmtId="0" fontId="21" fillId="0" borderId="312" xfId="0" applyNumberFormat="1" applyFont="1" applyBorder="1" applyAlignment="1" applyProtection="1">
      <alignment horizontal="center" vertical="center" wrapText="1"/>
    </xf>
    <xf numFmtId="0" fontId="21" fillId="0" borderId="205" xfId="0" applyFont="1" applyBorder="1" applyAlignment="1" applyProtection="1">
      <alignment horizontal="left" vertical="top" wrapText="1" indent="8"/>
    </xf>
    <xf numFmtId="0" fontId="21" fillId="0" borderId="312" xfId="0" applyNumberFormat="1" applyFont="1" applyFill="1" applyBorder="1" applyAlignment="1" applyProtection="1">
      <alignment horizontal="center" vertical="center" wrapText="1"/>
    </xf>
    <xf numFmtId="0" fontId="22" fillId="0" borderId="200" xfId="0" applyNumberFormat="1" applyFont="1" applyBorder="1" applyAlignment="1" applyProtection="1">
      <alignment horizontal="left" vertical="top" wrapText="1" indent="4"/>
    </xf>
    <xf numFmtId="1" fontId="21" fillId="3" borderId="210" xfId="0" applyNumberFormat="1" applyFont="1" applyFill="1" applyBorder="1" applyAlignment="1" applyProtection="1">
      <alignment horizontal="center" vertical="center" wrapText="1"/>
    </xf>
    <xf numFmtId="0" fontId="22" fillId="3" borderId="210" xfId="0" applyFont="1" applyFill="1" applyBorder="1" applyAlignment="1" applyProtection="1">
      <alignment horizontal="center" vertical="center" wrapText="1"/>
    </xf>
    <xf numFmtId="0" fontId="21" fillId="3" borderId="210" xfId="0" applyFont="1" applyFill="1" applyBorder="1" applyAlignment="1" applyProtection="1">
      <alignment horizontal="center" vertical="center" wrapText="1"/>
    </xf>
    <xf numFmtId="0" fontId="21" fillId="3" borderId="312" xfId="0" applyFont="1" applyFill="1" applyBorder="1" applyAlignment="1" applyProtection="1">
      <alignment horizontal="center" vertical="center" wrapText="1"/>
    </xf>
    <xf numFmtId="0" fontId="21" fillId="0" borderId="0" xfId="0" applyFont="1" applyBorder="1" applyAlignment="1" applyProtection="1">
      <alignment vertical="top" wrapText="1"/>
    </xf>
    <xf numFmtId="0" fontId="23" fillId="0" borderId="0" xfId="0" applyFont="1"/>
    <xf numFmtId="0" fontId="21" fillId="22" borderId="210" xfId="0" applyFont="1" applyFill="1" applyBorder="1" applyAlignment="1" applyProtection="1">
      <alignment vertical="top" wrapText="1"/>
    </xf>
    <xf numFmtId="0" fontId="21" fillId="0" borderId="139" xfId="0" quotePrefix="1" applyFont="1" applyBorder="1" applyAlignment="1" applyProtection="1">
      <alignment horizontal="center" vertical="center" wrapText="1"/>
      <protection locked="0"/>
    </xf>
    <xf numFmtId="0" fontId="13" fillId="3" borderId="214" xfId="0" applyFont="1" applyFill="1" applyBorder="1" applyAlignment="1" applyProtection="1">
      <alignment horizontal="center" vertical="center" wrapText="1"/>
    </xf>
    <xf numFmtId="0" fontId="23" fillId="3" borderId="214" xfId="0" applyFont="1" applyFill="1" applyBorder="1" applyAlignment="1" applyProtection="1">
      <alignment horizontal="center" vertical="center" wrapText="1"/>
    </xf>
    <xf numFmtId="0" fontId="22" fillId="28" borderId="230" xfId="0" applyFont="1" applyFill="1" applyBorder="1" applyAlignment="1" applyProtection="1">
      <alignment horizontal="center" vertical="center" wrapText="1"/>
    </xf>
    <xf numFmtId="1" fontId="21" fillId="28" borderId="230" xfId="0" applyNumberFormat="1" applyFont="1" applyFill="1" applyBorder="1" applyAlignment="1" applyProtection="1">
      <alignment horizontal="center" vertical="center" wrapText="1"/>
    </xf>
    <xf numFmtId="0" fontId="95" fillId="0" borderId="99" xfId="6" applyFont="1" applyFill="1" applyBorder="1" applyProtection="1">
      <alignment horizontal="center" vertical="center" wrapText="1"/>
    </xf>
    <xf numFmtId="0" fontId="0" fillId="3" borderId="0" xfId="0" applyFont="1" applyFill="1" applyBorder="1" applyAlignment="1">
      <alignment horizontal="center" vertical="center"/>
    </xf>
    <xf numFmtId="0" fontId="23" fillId="34" borderId="467" xfId="6" applyFont="1" applyFill="1" applyBorder="1" applyProtection="1">
      <alignment horizontal="center" vertical="center" wrapText="1"/>
    </xf>
    <xf numFmtId="49" fontId="81" fillId="0" borderId="0" xfId="16" applyFont="1" applyBorder="1">
      <alignment horizontal="center" vertical="center" wrapText="1"/>
    </xf>
    <xf numFmtId="0" fontId="13" fillId="3" borderId="312" xfId="6" applyFont="1" applyFill="1" applyBorder="1" applyProtection="1">
      <alignment horizontal="center" vertical="center" wrapText="1"/>
    </xf>
    <xf numFmtId="0" fontId="22" fillId="0" borderId="217" xfId="0" applyFont="1" applyBorder="1" applyAlignment="1" applyProtection="1">
      <alignment horizontal="left" vertical="top" wrapText="1"/>
    </xf>
    <xf numFmtId="0" fontId="13" fillId="3" borderId="218" xfId="6" applyFont="1" applyFill="1" applyBorder="1" applyProtection="1">
      <alignment horizontal="center" vertical="center" wrapText="1"/>
    </xf>
    <xf numFmtId="0" fontId="13" fillId="28" borderId="230" xfId="6" applyFont="1" applyFill="1" applyBorder="1" applyProtection="1">
      <alignment horizontal="center" vertical="center" wrapText="1"/>
    </xf>
    <xf numFmtId="1" fontId="21" fillId="0" borderId="210" xfId="0" applyNumberFormat="1" applyFont="1" applyBorder="1" applyAlignment="1" applyProtection="1">
      <alignment horizontal="center" vertical="center" wrapText="1"/>
    </xf>
    <xf numFmtId="9" fontId="21" fillId="0" borderId="210" xfId="1" applyFont="1" applyBorder="1" applyAlignment="1" applyProtection="1">
      <alignment horizontal="center" vertical="center" wrapText="1"/>
    </xf>
    <xf numFmtId="0" fontId="21" fillId="0" borderId="200" xfId="0" applyFont="1" applyBorder="1" applyAlignment="1" applyProtection="1">
      <alignment vertical="top" wrapText="1"/>
    </xf>
    <xf numFmtId="0" fontId="21" fillId="0" borderId="205" xfId="0" applyFont="1" applyBorder="1" applyAlignment="1" applyProtection="1">
      <alignment vertical="top" wrapText="1"/>
    </xf>
    <xf numFmtId="0" fontId="22" fillId="28" borderId="201" xfId="0" applyFont="1" applyFill="1" applyBorder="1" applyAlignment="1" applyProtection="1">
      <alignment horizontal="center" vertical="center" wrapText="1"/>
    </xf>
    <xf numFmtId="1" fontId="21" fillId="28" borderId="201" xfId="0" applyNumberFormat="1" applyFont="1" applyFill="1" applyBorder="1" applyAlignment="1" applyProtection="1">
      <alignment horizontal="center" vertical="center" wrapText="1"/>
    </xf>
    <xf numFmtId="0" fontId="22" fillId="28" borderId="206" xfId="0" applyFont="1" applyFill="1" applyBorder="1" applyAlignment="1" applyProtection="1">
      <alignment horizontal="center" vertical="center" wrapText="1"/>
    </xf>
    <xf numFmtId="0" fontId="23" fillId="0" borderId="0" xfId="0" applyFont="1"/>
    <xf numFmtId="0" fontId="22" fillId="28" borderId="214" xfId="0" applyFont="1" applyFill="1" applyBorder="1" applyAlignment="1" applyProtection="1">
      <alignment horizontal="center" vertical="center" wrapText="1"/>
    </xf>
    <xf numFmtId="1" fontId="21" fillId="24" borderId="312" xfId="0" applyNumberFormat="1" applyFont="1" applyFill="1" applyBorder="1" applyAlignment="1" applyProtection="1">
      <alignment horizontal="center" vertical="center" wrapText="1"/>
    </xf>
    <xf numFmtId="0" fontId="21" fillId="0" borderId="217" xfId="0" applyFont="1" applyBorder="1" applyAlignment="1" applyProtection="1">
      <alignment horizontal="left" vertical="top" wrapText="1" indent="4"/>
    </xf>
    <xf numFmtId="1" fontId="21" fillId="24" borderId="218" xfId="0" applyNumberFormat="1" applyFont="1" applyFill="1" applyBorder="1" applyAlignment="1" applyProtection="1">
      <alignment horizontal="center" vertical="center" wrapText="1"/>
    </xf>
    <xf numFmtId="0" fontId="22" fillId="0" borderId="213" xfId="0" applyFont="1" applyBorder="1" applyAlignment="1" applyProtection="1">
      <alignment vertical="center" wrapText="1"/>
    </xf>
    <xf numFmtId="0" fontId="14" fillId="0" borderId="312" xfId="4" applyNumberFormat="1" applyFont="1" applyBorder="1" applyAlignment="1">
      <alignment horizontal="center" vertical="center" wrapText="1"/>
    </xf>
    <xf numFmtId="0" fontId="14" fillId="28" borderId="0" xfId="4" applyNumberFormat="1" applyFont="1" applyFill="1" applyBorder="1" applyAlignment="1">
      <alignment horizontal="center" vertical="center" wrapText="1"/>
    </xf>
    <xf numFmtId="0" fontId="22" fillId="0" borderId="312" xfId="4" applyNumberFormat="1" applyFont="1" applyBorder="1" applyAlignment="1">
      <alignment horizontal="center" vertical="center" wrapText="1"/>
    </xf>
    <xf numFmtId="0" fontId="14" fillId="3" borderId="0" xfId="4" applyNumberFormat="1" applyFont="1" applyFill="1" applyBorder="1" applyAlignment="1">
      <alignment horizontal="center" vertical="center" wrapText="1"/>
    </xf>
    <xf numFmtId="1" fontId="21" fillId="3" borderId="214" xfId="0" applyNumberFormat="1" applyFont="1" applyFill="1" applyBorder="1" applyAlignment="1" applyProtection="1">
      <alignment horizontal="center" vertical="center" wrapText="1"/>
    </xf>
    <xf numFmtId="0" fontId="13" fillId="35" borderId="304" xfId="15" applyFill="1" applyBorder="1">
      <alignment horizontal="center" vertical="center"/>
    </xf>
    <xf numFmtId="0" fontId="14" fillId="28" borderId="312" xfId="4" applyNumberFormat="1" applyFont="1" applyFill="1" applyBorder="1" applyAlignment="1">
      <alignment horizontal="center" vertical="center" wrapText="1"/>
    </xf>
    <xf numFmtId="1" fontId="21" fillId="0" borderId="218" xfId="0" applyNumberFormat="1" applyFont="1" applyFill="1" applyBorder="1" applyAlignment="1" applyProtection="1">
      <alignment horizontal="center" vertical="center" wrapText="1"/>
    </xf>
    <xf numFmtId="1" fontId="21" fillId="34" borderId="206" xfId="0" applyNumberFormat="1" applyFont="1" applyFill="1" applyBorder="1" applyAlignment="1" applyProtection="1">
      <alignment horizontal="center" vertical="center" wrapText="1"/>
    </xf>
    <xf numFmtId="2" fontId="21" fillId="34" borderId="548" xfId="0" applyNumberFormat="1" applyFont="1" applyFill="1" applyBorder="1" applyAlignment="1" applyProtection="1">
      <alignment horizontal="center" vertical="center" wrapText="1"/>
    </xf>
    <xf numFmtId="0" fontId="22" fillId="3" borderId="0" xfId="0" applyFont="1" applyFill="1" applyBorder="1" applyAlignment="1" applyProtection="1">
      <alignment horizontal="center" vertical="center" wrapText="1"/>
    </xf>
    <xf numFmtId="0" fontId="23" fillId="0" borderId="312" xfId="0" applyFont="1" applyBorder="1" applyAlignment="1">
      <alignment horizontal="center" vertical="center" wrapText="1"/>
    </xf>
    <xf numFmtId="0" fontId="22" fillId="0" borderId="206" xfId="0" applyFont="1" applyBorder="1" applyAlignment="1" applyProtection="1">
      <alignment horizontal="center" vertical="center" wrapText="1"/>
    </xf>
    <xf numFmtId="0" fontId="22" fillId="0" borderId="214" xfId="0" applyFont="1" applyBorder="1" applyAlignment="1" applyProtection="1">
      <alignment horizontal="center" vertical="center" wrapText="1"/>
    </xf>
    <xf numFmtId="0" fontId="22" fillId="0" borderId="201" xfId="0" applyFont="1" applyBorder="1" applyAlignment="1" applyProtection="1">
      <alignment horizontal="center" vertical="center" wrapText="1"/>
    </xf>
    <xf numFmtId="0" fontId="22" fillId="0" borderId="230" xfId="0" applyFont="1" applyBorder="1" applyAlignment="1" applyProtection="1">
      <alignment horizontal="center" vertical="center" wrapText="1"/>
    </xf>
    <xf numFmtId="0" fontId="22" fillId="3" borderId="206" xfId="0" applyFont="1" applyFill="1" applyBorder="1" applyAlignment="1" applyProtection="1">
      <alignment horizontal="center" vertical="center" wrapText="1"/>
    </xf>
    <xf numFmtId="0" fontId="22" fillId="0" borderId="205" xfId="0" applyFont="1" applyBorder="1" applyAlignment="1" applyProtection="1">
      <alignment horizontal="left" vertical="top" wrapText="1" indent="8"/>
    </xf>
    <xf numFmtId="0" fontId="22" fillId="0" borderId="205" xfId="0" applyFont="1" applyBorder="1" applyAlignment="1" applyProtection="1">
      <alignment horizontal="left" vertical="top" wrapText="1" indent="4"/>
    </xf>
    <xf numFmtId="0" fontId="22" fillId="0" borderId="205" xfId="0" applyFont="1" applyBorder="1" applyAlignment="1" applyProtection="1">
      <alignment vertical="top" wrapText="1"/>
    </xf>
    <xf numFmtId="0" fontId="22" fillId="0" borderId="225" xfId="0" applyFont="1" applyBorder="1" applyAlignment="1" applyProtection="1">
      <alignment vertical="top" wrapText="1"/>
    </xf>
    <xf numFmtId="0" fontId="22" fillId="0" borderId="229" xfId="0" applyFont="1" applyBorder="1" applyAlignment="1" applyProtection="1">
      <alignment vertical="top" wrapText="1"/>
    </xf>
    <xf numFmtId="0" fontId="22" fillId="0" borderId="213" xfId="0" applyFont="1" applyBorder="1" applyAlignment="1" applyProtection="1">
      <alignment vertical="top" wrapText="1"/>
    </xf>
    <xf numFmtId="0" fontId="23" fillId="0" borderId="459" xfId="6" applyFont="1" applyFill="1" applyBorder="1" applyProtection="1">
      <alignment horizontal="center" vertical="center" wrapText="1"/>
    </xf>
    <xf numFmtId="1" fontId="16" fillId="0" borderId="206" xfId="0" applyNumberFormat="1" applyFont="1" applyBorder="1" applyAlignment="1" applyProtection="1">
      <alignment horizontal="center" vertical="center" wrapText="1"/>
    </xf>
    <xf numFmtId="0" fontId="0" fillId="0" borderId="0" xfId="0" applyBorder="1"/>
    <xf numFmtId="0" fontId="23" fillId="32" borderId="0" xfId="22" applyBorder="1">
      <alignment horizontal="left" vertical="top" wrapText="1"/>
      <protection locked="0"/>
    </xf>
    <xf numFmtId="0" fontId="0" fillId="0" borderId="12" xfId="0" applyFont="1" applyBorder="1"/>
    <xf numFmtId="0" fontId="0" fillId="0" borderId="0" xfId="0"/>
    <xf numFmtId="0" fontId="0" fillId="0" borderId="0" xfId="0" applyFont="1" applyBorder="1"/>
    <xf numFmtId="0" fontId="0" fillId="0" borderId="8" xfId="0" applyFont="1" applyBorder="1"/>
    <xf numFmtId="0" fontId="0" fillId="0" borderId="0" xfId="0" applyFont="1" applyBorder="1" applyAlignment="1" applyProtection="1">
      <alignment horizontal="left" vertical="top" wrapText="1"/>
      <protection locked="0"/>
    </xf>
    <xf numFmtId="0" fontId="0" fillId="0" borderId="13" xfId="0" applyFont="1" applyBorder="1"/>
    <xf numFmtId="0" fontId="0" fillId="0" borderId="102" xfId="0" applyFont="1" applyBorder="1"/>
    <xf numFmtId="0" fontId="0" fillId="0" borderId="104" xfId="0" applyFont="1" applyBorder="1"/>
    <xf numFmtId="0" fontId="17" fillId="27" borderId="62" xfId="5" applyFill="1" applyBorder="1" applyAlignment="1" applyProtection="1">
      <alignment horizontal="center" vertical="center" wrapText="1"/>
      <protection locked="0"/>
    </xf>
    <xf numFmtId="0" fontId="0" fillId="28" borderId="0" xfId="0" applyFont="1" applyFill="1" applyBorder="1" applyAlignment="1">
      <alignment horizontal="center" vertical="center"/>
    </xf>
    <xf numFmtId="0" fontId="0" fillId="0" borderId="0" xfId="0"/>
    <xf numFmtId="0" fontId="23" fillId="0" borderId="0" xfId="0" applyFont="1"/>
    <xf numFmtId="0" fontId="17" fillId="27" borderId="244" xfId="5" applyFont="1" applyFill="1" applyBorder="1" applyAlignment="1" applyProtection="1">
      <alignment horizontal="center" vertical="center" wrapText="1"/>
      <protection locked="0"/>
    </xf>
    <xf numFmtId="0" fontId="17" fillId="27" borderId="244" xfId="5" applyFill="1" applyBorder="1" applyAlignment="1" applyProtection="1">
      <alignment horizontal="center" vertical="center" wrapText="1"/>
      <protection locked="0"/>
    </xf>
    <xf numFmtId="0" fontId="17" fillId="0" borderId="13" xfId="5" applyFont="1" applyFill="1" applyBorder="1" applyAlignment="1" applyProtection="1">
      <alignment horizontal="center" vertical="center" wrapText="1"/>
      <protection locked="0"/>
    </xf>
    <xf numFmtId="0" fontId="3" fillId="0" borderId="12" xfId="0" applyFont="1" applyBorder="1"/>
    <xf numFmtId="0" fontId="3" fillId="0" borderId="13" xfId="0" applyFont="1" applyBorder="1"/>
    <xf numFmtId="0" fontId="17" fillId="27" borderId="556" xfId="5" applyFill="1" applyBorder="1" applyAlignment="1" applyProtection="1">
      <alignment horizontal="center" vertical="center"/>
      <protection locked="0"/>
    </xf>
    <xf numFmtId="0" fontId="4" fillId="0" borderId="13" xfId="4" applyBorder="1"/>
    <xf numFmtId="0" fontId="17" fillId="7" borderId="61" xfId="5" applyFill="1" applyBorder="1" applyAlignment="1">
      <alignment horizontal="center" vertical="center"/>
    </xf>
    <xf numFmtId="0" fontId="21" fillId="0" borderId="0" xfId="4" applyFont="1" applyAlignment="1">
      <alignment horizontal="center"/>
    </xf>
    <xf numFmtId="0" fontId="21" fillId="0" borderId="0" xfId="4" applyFont="1" applyFill="1" applyAlignment="1">
      <alignment horizontal="center"/>
    </xf>
    <xf numFmtId="0" fontId="21" fillId="0" borderId="0" xfId="4" applyFont="1" applyAlignment="1">
      <alignment horizontal="center" wrapText="1"/>
    </xf>
    <xf numFmtId="0" fontId="1" fillId="0" borderId="0" xfId="0" applyFont="1" applyAlignment="1">
      <alignment horizontal="center"/>
    </xf>
    <xf numFmtId="0" fontId="39" fillId="0" borderId="0" xfId="4" applyFont="1" applyAlignment="1">
      <alignment horizontal="center"/>
    </xf>
    <xf numFmtId="0" fontId="0" fillId="0" borderId="0" xfId="0" applyAlignment="1">
      <alignment horizontal="center"/>
    </xf>
    <xf numFmtId="0" fontId="23" fillId="0" borderId="0" xfId="0" applyFont="1"/>
    <xf numFmtId="0" fontId="23" fillId="0" borderId="0" xfId="0" applyFont="1"/>
    <xf numFmtId="0" fontId="21" fillId="0" borderId="0" xfId="4" applyFont="1" applyAlignment="1" applyProtection="1">
      <alignment horizontal="center"/>
    </xf>
    <xf numFmtId="0" fontId="1" fillId="0" borderId="0" xfId="0" applyFont="1" applyAlignment="1" applyProtection="1">
      <alignment horizontal="center"/>
    </xf>
    <xf numFmtId="0" fontId="1" fillId="0" borderId="0" xfId="0" applyFont="1" applyFill="1" applyBorder="1" applyAlignment="1">
      <alignment horizontal="center"/>
    </xf>
    <xf numFmtId="0" fontId="23" fillId="0" borderId="0" xfId="0" applyFont="1" applyAlignment="1">
      <alignment horizontal="center"/>
    </xf>
    <xf numFmtId="0" fontId="23" fillId="0" borderId="0" xfId="0" applyFont="1"/>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23" fillId="0" borderId="0" xfId="0" applyFont="1"/>
    <xf numFmtId="1" fontId="26" fillId="36" borderId="15" xfId="9" applyFill="1" applyBorder="1" applyAlignment="1" applyProtection="1">
      <alignment horizontal="center" vertical="center" wrapText="1"/>
      <protection locked="0"/>
    </xf>
    <xf numFmtId="1" fontId="22" fillId="36" borderId="15" xfId="9" applyFont="1" applyFill="1" applyBorder="1" applyAlignment="1" applyProtection="1">
      <alignment horizontal="center" vertical="center" wrapText="1"/>
      <protection locked="0"/>
    </xf>
    <xf numFmtId="1" fontId="26" fillId="36" borderId="15" xfId="9" applyFill="1" applyBorder="1" applyAlignment="1">
      <alignment horizontal="center" vertical="center" wrapText="1"/>
      <protection locked="0"/>
    </xf>
    <xf numFmtId="1" fontId="26" fillId="36" borderId="15" xfId="9" applyFill="1" applyBorder="1">
      <alignment horizontal="center" vertical="center"/>
      <protection locked="0"/>
    </xf>
    <xf numFmtId="1" fontId="26" fillId="36" borderId="16" xfId="9" applyFill="1" applyBorder="1" applyAlignment="1">
      <alignment horizontal="center" vertical="center" wrapText="1"/>
      <protection locked="0"/>
    </xf>
    <xf numFmtId="1" fontId="22" fillId="36" borderId="16" xfId="9" applyFont="1" applyFill="1" applyBorder="1" applyAlignment="1" applyProtection="1">
      <alignment horizontal="center" vertical="center" wrapText="1"/>
      <protection locked="0"/>
    </xf>
    <xf numFmtId="0" fontId="13" fillId="36" borderId="344" xfId="0" applyFont="1" applyFill="1" applyBorder="1" applyAlignment="1" applyProtection="1">
      <alignment horizontal="center" vertical="center" wrapText="1"/>
      <protection locked="0"/>
    </xf>
    <xf numFmtId="49" fontId="13" fillId="36" borderId="441" xfId="0" applyNumberFormat="1" applyFont="1" applyFill="1" applyBorder="1" applyAlignment="1" applyProtection="1">
      <alignment horizontal="center" vertical="center" wrapText="1"/>
      <protection locked="0"/>
    </xf>
    <xf numFmtId="0" fontId="13" fillId="36" borderId="441" xfId="0" applyFont="1" applyFill="1" applyBorder="1" applyAlignment="1" applyProtection="1">
      <alignment horizontal="center" vertical="center" wrapText="1"/>
      <protection locked="0"/>
    </xf>
    <xf numFmtId="1" fontId="26" fillId="36" borderId="325" xfId="9" applyFill="1" applyBorder="1" applyAlignment="1">
      <alignment horizontal="center" vertical="center" wrapText="1"/>
      <protection locked="0"/>
    </xf>
    <xf numFmtId="49" fontId="26" fillId="36" borderId="15" xfId="9" applyNumberFormat="1" applyFill="1" applyBorder="1" applyAlignment="1">
      <alignment horizontal="center" vertical="center" wrapText="1"/>
      <protection locked="0"/>
    </xf>
    <xf numFmtId="9" fontId="26" fillId="36" borderId="325" xfId="1" applyNumberFormat="1" applyFont="1" applyFill="1" applyBorder="1" applyAlignment="1" applyProtection="1">
      <alignment horizontal="center" vertical="center"/>
      <protection locked="0"/>
    </xf>
    <xf numFmtId="49" fontId="26" fillId="37" borderId="344" xfId="9" applyNumberFormat="1" applyFill="1" applyBorder="1" applyAlignment="1">
      <alignment horizontal="center" vertical="center" wrapText="1"/>
      <protection locked="0"/>
    </xf>
    <xf numFmtId="49" fontId="26" fillId="36" borderId="15" xfId="9" applyNumberFormat="1" applyFill="1" applyBorder="1">
      <alignment horizontal="center" vertical="center"/>
      <protection locked="0"/>
    </xf>
    <xf numFmtId="1" fontId="22" fillId="36" borderId="344" xfId="9" applyNumberFormat="1" applyFont="1" applyFill="1" applyBorder="1">
      <alignment horizontal="center" vertical="center"/>
      <protection locked="0"/>
    </xf>
    <xf numFmtId="49" fontId="26" fillId="36" borderId="344" xfId="9" applyNumberFormat="1" applyFill="1" applyBorder="1" applyAlignment="1" applyProtection="1">
      <alignment horizontal="center" vertical="center" wrapText="1"/>
      <protection locked="0"/>
    </xf>
    <xf numFmtId="1" fontId="22" fillId="36" borderId="171" xfId="9" applyFont="1" applyFill="1" applyBorder="1" applyAlignment="1" applyProtection="1">
      <alignment horizontal="center" vertical="center" wrapText="1"/>
      <protection locked="0"/>
    </xf>
    <xf numFmtId="1" fontId="22" fillId="36" borderId="427" xfId="9" applyFont="1" applyFill="1" applyBorder="1" applyAlignment="1" applyProtection="1">
      <alignment horizontal="center" vertical="center" wrapText="1"/>
      <protection locked="0"/>
    </xf>
    <xf numFmtId="1" fontId="22" fillId="36" borderId="325" xfId="9" applyFont="1" applyFill="1" applyBorder="1" applyAlignment="1" applyProtection="1">
      <alignment horizontal="center" vertical="center" wrapText="1"/>
      <protection locked="0"/>
    </xf>
    <xf numFmtId="1" fontId="26" fillId="36" borderId="325" xfId="9" applyFill="1" applyBorder="1" applyAlignment="1" applyProtection="1">
      <alignment horizontal="center" vertical="center" wrapText="1"/>
      <protection locked="0"/>
    </xf>
    <xf numFmtId="0" fontId="0" fillId="36" borderId="73" xfId="0" applyFill="1" applyBorder="1" applyAlignment="1">
      <alignment horizontal="left" vertical="center" wrapText="1" indent="1"/>
    </xf>
    <xf numFmtId="0" fontId="0" fillId="38" borderId="0" xfId="0" applyFill="1" applyBorder="1" applyAlignment="1">
      <alignment horizontal="left" vertical="center" wrapText="1" indent="1"/>
    </xf>
    <xf numFmtId="1" fontId="22" fillId="36" borderId="174" xfId="9" applyFont="1" applyFill="1" applyBorder="1" applyProtection="1">
      <alignment horizontal="center" vertical="center"/>
      <protection locked="0"/>
    </xf>
    <xf numFmtId="1" fontId="26" fillId="36" borderId="174" xfId="9" applyFill="1" applyBorder="1" applyProtection="1">
      <alignment horizontal="center" vertical="center"/>
      <protection locked="0"/>
    </xf>
    <xf numFmtId="1" fontId="22" fillId="36" borderId="360" xfId="9" applyFont="1" applyFill="1" applyBorder="1" applyProtection="1">
      <alignment horizontal="center" vertical="center"/>
      <protection locked="0"/>
    </xf>
    <xf numFmtId="1" fontId="22" fillId="36" borderId="359" xfId="9" applyFont="1" applyFill="1" applyBorder="1" applyProtection="1">
      <alignment horizontal="center" vertical="center"/>
      <protection locked="0"/>
    </xf>
    <xf numFmtId="1" fontId="26" fillId="36" borderId="359" xfId="9" applyFill="1" applyBorder="1" applyProtection="1">
      <alignment horizontal="center" vertical="center"/>
      <protection locked="0"/>
    </xf>
    <xf numFmtId="1" fontId="26" fillId="36" borderId="336" xfId="9" applyFill="1" applyBorder="1" applyProtection="1">
      <alignment horizontal="center" vertical="center"/>
      <protection locked="0"/>
    </xf>
    <xf numFmtId="1" fontId="22" fillId="13" borderId="362" xfId="18" applyFill="1" applyBorder="1" applyProtection="1">
      <alignment horizontal="center" vertical="center"/>
      <protection locked="0"/>
    </xf>
    <xf numFmtId="1" fontId="22" fillId="13" borderId="366" xfId="18" applyFill="1" applyBorder="1" applyProtection="1">
      <alignment horizontal="center" vertical="center"/>
      <protection locked="0"/>
    </xf>
    <xf numFmtId="0" fontId="23" fillId="0" borderId="0" xfId="0" applyFont="1" applyBorder="1" applyAlignment="1">
      <alignment horizontal="left" vertical="center" wrapText="1"/>
    </xf>
    <xf numFmtId="0" fontId="0" fillId="0" borderId="0" xfId="0"/>
    <xf numFmtId="1" fontId="49" fillId="10" borderId="50" xfId="9" applyFont="1" applyBorder="1" applyAlignment="1">
      <alignment horizontal="center" vertical="center" wrapText="1"/>
      <protection locked="0"/>
    </xf>
    <xf numFmtId="0" fontId="23" fillId="0" borderId="0" xfId="0" applyFont="1" applyBorder="1" applyAlignment="1">
      <alignment horizontal="left" vertical="center" wrapText="1"/>
    </xf>
    <xf numFmtId="0" fontId="13" fillId="0" borderId="84" xfId="0" applyFont="1" applyBorder="1" applyAlignment="1">
      <alignment horizontal="center" vertical="center" wrapText="1"/>
    </xf>
    <xf numFmtId="0" fontId="23" fillId="0" borderId="84" xfId="0" applyFont="1" applyBorder="1"/>
    <xf numFmtId="0" fontId="0" fillId="0" borderId="0" xfId="0" applyBorder="1"/>
    <xf numFmtId="49" fontId="23" fillId="0" borderId="308" xfId="0" applyNumberFormat="1" applyFont="1" applyBorder="1" applyAlignment="1" applyProtection="1">
      <alignment horizontal="center" vertical="center" wrapText="1"/>
      <protection locked="0"/>
    </xf>
    <xf numFmtId="0" fontId="30" fillId="0" borderId="0" xfId="0" applyFont="1" applyBorder="1" applyAlignment="1">
      <alignment horizontal="center" vertical="center" wrapText="1"/>
    </xf>
    <xf numFmtId="0" fontId="23" fillId="0" borderId="312" xfId="0" applyFont="1" applyBorder="1" applyAlignment="1">
      <alignment horizontal="center" vertical="center" wrapText="1"/>
    </xf>
    <xf numFmtId="0" fontId="0" fillId="0" borderId="0" xfId="0"/>
    <xf numFmtId="0" fontId="23" fillId="0" borderId="0" xfId="0" applyFont="1"/>
    <xf numFmtId="0" fontId="23" fillId="0" borderId="0" xfId="0" applyFont="1" applyBorder="1" applyAlignment="1">
      <alignment horizontal="left" vertical="center" wrapText="1"/>
    </xf>
    <xf numFmtId="0" fontId="0" fillId="0" borderId="0" xfId="0"/>
    <xf numFmtId="1" fontId="85" fillId="10" borderId="164" xfId="9" applyFont="1" applyBorder="1" applyAlignment="1" applyProtection="1">
      <alignment horizontal="center" vertical="center" wrapText="1"/>
      <protection locked="0"/>
    </xf>
    <xf numFmtId="1" fontId="85" fillId="10" borderId="15" xfId="9" applyFont="1" applyBorder="1" applyAlignment="1" applyProtection="1">
      <alignment horizontal="center" vertical="center" wrapText="1"/>
      <protection locked="0"/>
    </xf>
    <xf numFmtId="1" fontId="85" fillId="10" borderId="381" xfId="9" applyFont="1" applyBorder="1" applyAlignment="1">
      <alignment horizontal="center" vertical="center" wrapText="1"/>
      <protection locked="0"/>
    </xf>
    <xf numFmtId="1" fontId="99" fillId="10" borderId="50" xfId="9" applyFont="1" applyBorder="1" applyAlignment="1">
      <alignment horizontal="center" vertical="center" wrapText="1"/>
      <protection locked="0"/>
    </xf>
    <xf numFmtId="1" fontId="85" fillId="10" borderId="344" xfId="9" applyFont="1" applyBorder="1" applyAlignment="1">
      <alignment horizontal="center" vertical="center" wrapText="1"/>
      <protection locked="0"/>
    </xf>
    <xf numFmtId="166" fontId="26" fillId="10" borderId="16" xfId="9" applyNumberFormat="1" applyBorder="1" applyAlignment="1" applyProtection="1">
      <alignment horizontal="center" vertical="center"/>
      <protection locked="0"/>
    </xf>
    <xf numFmtId="0" fontId="0" fillId="0" borderId="0" xfId="0" applyFill="1" applyBorder="1" applyProtection="1">
      <protection locked="0"/>
    </xf>
    <xf numFmtId="0" fontId="21" fillId="3" borderId="206" xfId="0" applyFont="1" applyFill="1" applyBorder="1" applyAlignment="1" applyProtection="1">
      <alignment horizontal="center" vertical="center" wrapText="1"/>
    </xf>
    <xf numFmtId="0" fontId="0" fillId="0" borderId="0" xfId="0"/>
    <xf numFmtId="0" fontId="0" fillId="0" borderId="0" xfId="0" applyFont="1" applyBorder="1"/>
    <xf numFmtId="1" fontId="49" fillId="36" borderId="171" xfId="9" applyFont="1" applyFill="1" applyBorder="1" applyAlignment="1" applyProtection="1">
      <alignment horizontal="center" vertical="center" wrapText="1"/>
      <protection locked="0"/>
    </xf>
    <xf numFmtId="1" fontId="49" fillId="36" borderId="15" xfId="9" applyFont="1" applyFill="1" applyBorder="1" applyAlignment="1" applyProtection="1">
      <alignment horizontal="center" vertical="center" wrapText="1"/>
      <protection locked="0"/>
    </xf>
    <xf numFmtId="0" fontId="22" fillId="22" borderId="211" xfId="0" applyFont="1" applyFill="1" applyBorder="1" applyAlignment="1" applyProtection="1">
      <alignment horizontal="left" vertical="top" wrapText="1"/>
    </xf>
    <xf numFmtId="0" fontId="22" fillId="22" borderId="202" xfId="0" applyFont="1" applyFill="1" applyBorder="1" applyAlignment="1" applyProtection="1">
      <alignment vertical="top" wrapText="1"/>
    </xf>
    <xf numFmtId="0" fontId="22" fillId="22" borderId="211" xfId="0" applyFont="1" applyFill="1" applyBorder="1" applyAlignment="1" applyProtection="1">
      <alignment wrapText="1"/>
    </xf>
    <xf numFmtId="0" fontId="22" fillId="22" borderId="211" xfId="0" applyFont="1" applyFill="1" applyBorder="1" applyAlignment="1" applyProtection="1"/>
    <xf numFmtId="1" fontId="21" fillId="28" borderId="211" xfId="0" applyNumberFormat="1" applyFont="1" applyFill="1" applyBorder="1" applyAlignment="1" applyProtection="1">
      <alignment horizontal="center" vertical="center" wrapText="1"/>
    </xf>
    <xf numFmtId="0" fontId="22" fillId="28" borderId="211" xfId="0" applyFont="1" applyFill="1" applyBorder="1" applyAlignment="1" applyProtection="1">
      <alignment vertical="top" wrapText="1"/>
    </xf>
    <xf numFmtId="1" fontId="21" fillId="28" borderId="215" xfId="0" applyNumberFormat="1" applyFont="1" applyFill="1" applyBorder="1" applyAlignment="1" applyProtection="1">
      <alignment horizontal="center" vertical="center" wrapText="1"/>
    </xf>
    <xf numFmtId="1" fontId="0" fillId="28" borderId="224" xfId="0" applyNumberFormat="1" applyFont="1" applyFill="1" applyBorder="1" applyAlignment="1">
      <alignment horizontal="center" vertical="center"/>
    </xf>
    <xf numFmtId="167" fontId="21" fillId="23" borderId="219" xfId="10" applyFont="1" applyFill="1" applyBorder="1" applyProtection="1">
      <alignment horizontal="left" vertical="top" wrapText="1"/>
    </xf>
    <xf numFmtId="0" fontId="21" fillId="22" borderId="211" xfId="0" applyFont="1" applyFill="1" applyBorder="1" applyAlignment="1" applyProtection="1">
      <alignment wrapText="1"/>
    </xf>
    <xf numFmtId="0" fontId="22" fillId="22" borderId="211" xfId="0" applyFont="1" applyFill="1" applyBorder="1" applyAlignment="1" applyProtection="1">
      <alignment vertical="top" wrapText="1"/>
    </xf>
    <xf numFmtId="0" fontId="23" fillId="0" borderId="422" xfId="6" applyFont="1" applyFill="1" applyBorder="1" applyProtection="1">
      <alignment horizontal="center" vertical="center" wrapText="1"/>
    </xf>
    <xf numFmtId="0" fontId="23" fillId="28" borderId="457" xfId="6" applyFont="1" applyFill="1" applyBorder="1" applyProtection="1">
      <alignment horizontal="center" vertical="center" wrapText="1"/>
    </xf>
    <xf numFmtId="0" fontId="23" fillId="28" borderId="422" xfId="6" applyFont="1" applyFill="1" applyBorder="1" applyProtection="1">
      <alignment horizontal="center" vertical="center" wrapText="1"/>
    </xf>
    <xf numFmtId="0" fontId="22" fillId="22" borderId="211" xfId="0" applyFont="1" applyFill="1" applyBorder="1" applyAlignment="1" applyProtection="1">
      <alignment vertical="top"/>
    </xf>
    <xf numFmtId="0" fontId="22" fillId="22" borderId="211" xfId="0" applyFont="1" applyFill="1" applyBorder="1" applyAlignment="1" applyProtection="1">
      <alignment horizontal="left" vertical="top" indent="2"/>
    </xf>
    <xf numFmtId="0" fontId="22" fillId="22" borderId="202" xfId="0" applyFont="1" applyFill="1" applyBorder="1" applyAlignment="1" applyProtection="1">
      <alignment wrapText="1"/>
    </xf>
    <xf numFmtId="1" fontId="21" fillId="3" borderId="211" xfId="0" applyNumberFormat="1" applyFont="1" applyFill="1" applyBorder="1" applyAlignment="1" applyProtection="1">
      <alignment horizontal="center" vertical="center" wrapText="1"/>
    </xf>
    <xf numFmtId="0" fontId="21" fillId="22" borderId="211" xfId="0" applyFont="1" applyFill="1" applyBorder="1" applyAlignment="1" applyProtection="1">
      <alignment vertical="top" wrapText="1"/>
    </xf>
    <xf numFmtId="0" fontId="22" fillId="22" borderId="215" xfId="0" applyFont="1" applyFill="1" applyBorder="1" applyAlignment="1" applyProtection="1">
      <alignment vertical="top" wrapText="1"/>
    </xf>
    <xf numFmtId="0" fontId="21" fillId="0" borderId="211" xfId="0" applyFont="1" applyFill="1" applyBorder="1" applyAlignment="1" applyProtection="1">
      <alignment horizontal="center" vertical="center" wrapText="1"/>
    </xf>
    <xf numFmtId="0" fontId="22" fillId="22" borderId="202" xfId="0" applyFont="1" applyFill="1" applyBorder="1" applyAlignment="1" applyProtection="1">
      <alignment vertical="center" wrapText="1"/>
    </xf>
    <xf numFmtId="0" fontId="22" fillId="22" borderId="211" xfId="0" applyFont="1" applyFill="1" applyBorder="1" applyAlignment="1" applyProtection="1">
      <alignment vertical="center" wrapText="1"/>
    </xf>
    <xf numFmtId="0" fontId="22" fillId="22" borderId="211" xfId="0" applyFont="1" applyFill="1" applyBorder="1" applyAlignment="1" applyProtection="1">
      <alignment vertical="center"/>
    </xf>
    <xf numFmtId="0" fontId="21" fillId="22" borderId="211" xfId="0" applyFont="1" applyFill="1" applyBorder="1" applyAlignment="1" applyProtection="1">
      <alignment vertical="center" wrapText="1"/>
    </xf>
    <xf numFmtId="0" fontId="22" fillId="22" borderId="211" xfId="0" applyFont="1" applyFill="1" applyBorder="1" applyAlignment="1" applyProtection="1">
      <alignment horizontal="left" vertical="center"/>
    </xf>
    <xf numFmtId="0" fontId="22" fillId="22" borderId="215" xfId="0" applyFont="1" applyFill="1" applyBorder="1" applyAlignment="1" applyProtection="1">
      <alignment vertical="center" wrapText="1"/>
    </xf>
    <xf numFmtId="1" fontId="26" fillId="10" borderId="16" xfId="9" applyBorder="1" applyAlignment="1" applyProtection="1">
      <alignment horizontal="center" vertical="center" wrapText="1"/>
      <protection locked="0"/>
    </xf>
    <xf numFmtId="14" fontId="0" fillId="0" borderId="0" xfId="0" applyNumberFormat="1" applyBorder="1"/>
    <xf numFmtId="1" fontId="21" fillId="41" borderId="0" xfId="0" applyNumberFormat="1" applyFont="1" applyFill="1" applyBorder="1" applyAlignment="1" applyProtection="1">
      <alignment horizontal="left" vertical="center" wrapText="1"/>
    </xf>
    <xf numFmtId="0" fontId="15" fillId="0" borderId="308" xfId="4" applyFont="1" applyBorder="1" applyAlignment="1" applyProtection="1">
      <alignment horizontal="center" vertical="center" wrapText="1"/>
      <protection locked="0"/>
    </xf>
    <xf numFmtId="2" fontId="0" fillId="0" borderId="0" xfId="0" applyNumberFormat="1" applyBorder="1" applyAlignment="1">
      <alignment horizontal="left" vertical="top" wrapText="1"/>
    </xf>
    <xf numFmtId="1" fontId="23" fillId="0" borderId="0" xfId="0" applyNumberFormat="1" applyFont="1" applyAlignment="1">
      <alignment horizontal="center"/>
    </xf>
    <xf numFmtId="1" fontId="21" fillId="0" borderId="0" xfId="0" applyNumberFormat="1" applyFont="1" applyBorder="1" applyAlignment="1" applyProtection="1">
      <alignment horizontal="left" vertical="center" wrapText="1"/>
      <protection locked="0"/>
    </xf>
    <xf numFmtId="1" fontId="21" fillId="0" borderId="202" xfId="0" applyNumberFormat="1" applyFont="1" applyBorder="1" applyAlignment="1" applyProtection="1">
      <alignment horizontal="left" vertical="center" wrapText="1"/>
      <protection locked="0"/>
    </xf>
    <xf numFmtId="1" fontId="21" fillId="0" borderId="219" xfId="0" applyNumberFormat="1" applyFont="1" applyBorder="1" applyAlignment="1" applyProtection="1">
      <alignment horizontal="center" vertical="center" wrapText="1"/>
      <protection locked="0"/>
    </xf>
    <xf numFmtId="1" fontId="23" fillId="0" borderId="230" xfId="0" applyNumberFormat="1" applyFont="1" applyBorder="1" applyAlignment="1" applyProtection="1">
      <alignment horizontal="center" vertical="center"/>
      <protection locked="0"/>
    </xf>
    <xf numFmtId="1" fontId="23" fillId="0" borderId="210" xfId="0" applyNumberFormat="1" applyFont="1" applyBorder="1" applyAlignment="1" applyProtection="1">
      <alignment horizontal="center" vertical="center"/>
      <protection locked="0"/>
    </xf>
    <xf numFmtId="1" fontId="21" fillId="0" borderId="223" xfId="0" applyNumberFormat="1" applyFont="1" applyBorder="1" applyAlignment="1" applyProtection="1">
      <alignment horizontal="center" vertical="center" wrapText="1"/>
      <protection locked="0"/>
    </xf>
    <xf numFmtId="1" fontId="21" fillId="0" borderId="224" xfId="0" applyNumberFormat="1" applyFont="1" applyBorder="1" applyAlignment="1" applyProtection="1">
      <alignment horizontal="center" vertical="center" wrapText="1"/>
      <protection locked="0"/>
    </xf>
    <xf numFmtId="0" fontId="95" fillId="0" borderId="422" xfId="6" applyFont="1" applyFill="1" applyBorder="1" applyAlignment="1" applyProtection="1">
      <alignment horizontal="center" vertical="center" wrapText="1"/>
      <protection locked="0"/>
    </xf>
    <xf numFmtId="0" fontId="23" fillId="0" borderId="455" xfId="6" applyFont="1" applyFill="1" applyBorder="1" applyProtection="1">
      <alignment horizontal="center" vertical="center" wrapText="1"/>
      <protection locked="0"/>
    </xf>
    <xf numFmtId="0" fontId="23" fillId="0" borderId="422" xfId="6" applyFont="1" applyFill="1" applyBorder="1" applyProtection="1">
      <alignment horizontal="center" vertical="center" wrapText="1"/>
      <protection locked="0"/>
    </xf>
    <xf numFmtId="0" fontId="23" fillId="0" borderId="461" xfId="6" applyFont="1" applyFill="1" applyBorder="1" applyProtection="1">
      <alignment horizontal="center" vertical="center" wrapText="1"/>
      <protection locked="0"/>
    </xf>
    <xf numFmtId="1" fontId="21" fillId="0" borderId="215" xfId="0" applyNumberFormat="1" applyFont="1" applyBorder="1" applyAlignment="1" applyProtection="1">
      <alignment horizontal="center" vertical="center" wrapText="1"/>
      <protection locked="0"/>
    </xf>
    <xf numFmtId="1" fontId="21" fillId="0" borderId="202" xfId="0" applyNumberFormat="1" applyFont="1" applyFill="1" applyBorder="1" applyAlignment="1" applyProtection="1">
      <alignment horizontal="center" vertical="center" wrapText="1"/>
      <protection locked="0"/>
    </xf>
    <xf numFmtId="1" fontId="21" fillId="0" borderId="211" xfId="0" applyNumberFormat="1" applyFont="1" applyBorder="1" applyAlignment="1" applyProtection="1">
      <alignment horizontal="center" vertical="center" wrapText="1"/>
      <protection locked="0"/>
    </xf>
    <xf numFmtId="1" fontId="21" fillId="0" borderId="219" xfId="0" applyNumberFormat="1" applyFont="1" applyFill="1" applyBorder="1" applyAlignment="1" applyProtection="1">
      <alignment horizontal="center" vertical="center" wrapText="1"/>
      <protection locked="0"/>
    </xf>
    <xf numFmtId="1" fontId="21" fillId="34" borderId="219" xfId="0" applyNumberFormat="1" applyFont="1" applyFill="1" applyBorder="1" applyAlignment="1" applyProtection="1">
      <alignment horizontal="center" vertical="center" wrapText="1"/>
      <protection locked="0"/>
    </xf>
    <xf numFmtId="0" fontId="21" fillId="3" borderId="202" xfId="0" applyFont="1" applyFill="1" applyBorder="1" applyAlignment="1" applyProtection="1">
      <alignment horizontal="center" vertical="center"/>
      <protection locked="0"/>
    </xf>
    <xf numFmtId="0" fontId="21" fillId="3" borderId="211" xfId="0" applyFont="1" applyFill="1" applyBorder="1" applyAlignment="1" applyProtection="1">
      <alignment horizontal="center" vertical="center" wrapText="1"/>
      <protection locked="0"/>
    </xf>
    <xf numFmtId="0" fontId="21" fillId="0" borderId="202" xfId="0" applyFont="1" applyBorder="1" applyAlignment="1" applyProtection="1">
      <alignment horizontal="center" vertical="center" wrapText="1"/>
      <protection locked="0"/>
    </xf>
    <xf numFmtId="1" fontId="21" fillId="41" borderId="202" xfId="0" applyNumberFormat="1" applyFont="1" applyFill="1" applyBorder="1" applyAlignment="1" applyProtection="1">
      <alignment horizontal="center" vertical="center" wrapText="1"/>
      <protection locked="0"/>
    </xf>
    <xf numFmtId="0" fontId="21" fillId="0" borderId="202" xfId="0" applyNumberFormat="1" applyFont="1" applyFill="1" applyBorder="1" applyAlignment="1" applyProtection="1">
      <alignment horizontal="center" vertical="center" wrapText="1"/>
      <protection locked="0"/>
    </xf>
    <xf numFmtId="1" fontId="21" fillId="3" borderId="219" xfId="0" applyNumberFormat="1" applyFont="1" applyFill="1" applyBorder="1" applyAlignment="1" applyProtection="1">
      <alignment horizontal="center" vertical="center" wrapText="1"/>
      <protection locked="0"/>
    </xf>
    <xf numFmtId="0" fontId="21" fillId="3" borderId="224" xfId="0" applyFont="1" applyFill="1" applyBorder="1" applyAlignment="1" applyProtection="1">
      <alignment horizontal="center" vertical="center" wrapText="1"/>
      <protection locked="0"/>
    </xf>
    <xf numFmtId="0" fontId="23" fillId="3" borderId="215" xfId="0" applyFont="1" applyFill="1" applyBorder="1" applyAlignment="1" applyProtection="1">
      <alignment horizontal="center" vertical="center" wrapText="1"/>
      <protection locked="0"/>
    </xf>
    <xf numFmtId="0" fontId="21" fillId="0" borderId="211" xfId="0" applyNumberFormat="1" applyFont="1" applyFill="1" applyBorder="1" applyAlignment="1" applyProtection="1">
      <alignment horizontal="center" vertical="center" wrapText="1"/>
      <protection locked="0"/>
    </xf>
    <xf numFmtId="0" fontId="0" fillId="0" borderId="0" xfId="0"/>
    <xf numFmtId="0" fontId="0" fillId="0" borderId="0" xfId="0" applyBorder="1"/>
    <xf numFmtId="0" fontId="22" fillId="0" borderId="0" xfId="0" applyFont="1" applyBorder="1" applyAlignment="1" applyProtection="1">
      <alignment horizontal="right"/>
    </xf>
    <xf numFmtId="0" fontId="22" fillId="0" borderId="0" xfId="0" applyFont="1" applyBorder="1" applyAlignment="1" applyProtection="1">
      <alignment horizontal="right" vertical="center"/>
    </xf>
    <xf numFmtId="0" fontId="13" fillId="0" borderId="0" xfId="0" applyFont="1" applyBorder="1" applyAlignment="1" applyProtection="1">
      <alignment horizontal="right" vertical="center"/>
    </xf>
    <xf numFmtId="0" fontId="23" fillId="0" borderId="0" xfId="0" applyFont="1" applyBorder="1" applyAlignment="1" applyProtection="1">
      <alignment horizontal="left" vertical="center" wrapText="1"/>
    </xf>
    <xf numFmtId="0" fontId="23" fillId="0" borderId="60" xfId="0" applyFont="1" applyBorder="1" applyAlignment="1" applyProtection="1">
      <alignment horizontal="left" vertical="center"/>
    </xf>
    <xf numFmtId="0" fontId="21" fillId="0" borderId="0" xfId="0" applyFont="1" applyBorder="1" applyAlignment="1" applyProtection="1">
      <alignment horizontal="left" vertical="center"/>
    </xf>
    <xf numFmtId="0" fontId="23" fillId="0" borderId="0" xfId="0" applyFont="1" applyBorder="1" applyAlignment="1">
      <alignment horizontal="left" vertical="center"/>
    </xf>
    <xf numFmtId="0" fontId="0" fillId="0" borderId="0" xfId="0" applyBorder="1" applyAlignment="1"/>
    <xf numFmtId="0" fontId="0" fillId="0" borderId="0" xfId="0" applyBorder="1" applyAlignment="1">
      <alignment horizontal="right"/>
    </xf>
    <xf numFmtId="0" fontId="104" fillId="0" borderId="215" xfId="0" applyFont="1" applyFill="1" applyBorder="1" applyAlignment="1">
      <alignment horizontal="center" wrapText="1"/>
    </xf>
    <xf numFmtId="0" fontId="104" fillId="0" borderId="75" xfId="0" applyFont="1" applyFill="1" applyBorder="1" applyAlignment="1">
      <alignment horizontal="center"/>
    </xf>
    <xf numFmtId="0" fontId="104" fillId="0" borderId="75" xfId="0" applyFont="1" applyFill="1" applyBorder="1" applyAlignment="1">
      <alignment horizontal="center" wrapText="1"/>
    </xf>
    <xf numFmtId="0" fontId="103" fillId="25" borderId="553" xfId="0" applyFont="1" applyFill="1" applyBorder="1" applyAlignment="1">
      <alignment horizontal="center" vertical="center"/>
    </xf>
    <xf numFmtId="0" fontId="106" fillId="0" borderId="273" xfId="0" applyFont="1" applyBorder="1" applyAlignment="1">
      <alignment horizontal="center" vertical="center"/>
    </xf>
    <xf numFmtId="0" fontId="106" fillId="0" borderId="0" xfId="0" applyFont="1" applyBorder="1" applyAlignment="1">
      <alignment horizontal="center" vertical="center"/>
    </xf>
    <xf numFmtId="0" fontId="0" fillId="0" borderId="0" xfId="0" applyBorder="1" applyAlignment="1">
      <alignment horizontal="center" vertical="center"/>
    </xf>
    <xf numFmtId="0" fontId="108" fillId="0" borderId="576" xfId="0" applyFont="1" applyBorder="1" applyAlignment="1" applyProtection="1">
      <alignment horizontal="right"/>
    </xf>
    <xf numFmtId="0" fontId="108" fillId="0" borderId="577" xfId="0" applyFont="1" applyBorder="1" applyAlignment="1" applyProtection="1">
      <alignment horizontal="right"/>
    </xf>
    <xf numFmtId="0" fontId="108" fillId="0" borderId="207" xfId="0" applyFont="1" applyBorder="1" applyAlignment="1" applyProtection="1">
      <alignment horizontal="right"/>
    </xf>
    <xf numFmtId="0" fontId="109" fillId="0" borderId="578" xfId="5" applyFont="1" applyBorder="1" applyAlignment="1" applyProtection="1">
      <protection locked="0"/>
    </xf>
    <xf numFmtId="0" fontId="108" fillId="0" borderId="573" xfId="0" applyFont="1" applyBorder="1" applyAlignment="1" applyProtection="1">
      <alignment horizontal="right"/>
    </xf>
    <xf numFmtId="0" fontId="108" fillId="0" borderId="580" xfId="0" applyFont="1" applyBorder="1" applyAlignment="1" applyProtection="1">
      <protection locked="0"/>
    </xf>
    <xf numFmtId="0" fontId="108" fillId="0" borderId="411" xfId="0" applyFont="1" applyBorder="1" applyAlignment="1" applyProtection="1">
      <alignment horizontal="right" vertical="top" wrapText="1"/>
    </xf>
    <xf numFmtId="0" fontId="102" fillId="0" borderId="0" xfId="0" applyFont="1" applyBorder="1" applyAlignment="1"/>
    <xf numFmtId="0" fontId="104" fillId="0" borderId="0" xfId="0" applyFont="1" applyFill="1" applyBorder="1" applyAlignment="1">
      <alignment horizontal="right"/>
    </xf>
    <xf numFmtId="0" fontId="0" fillId="0" borderId="0" xfId="0" applyFill="1" applyBorder="1" applyAlignment="1">
      <alignment horizontal="center" vertical="center"/>
    </xf>
    <xf numFmtId="0" fontId="0" fillId="0" borderId="582" xfId="0" applyBorder="1"/>
    <xf numFmtId="0" fontId="104" fillId="0" borderId="582" xfId="0" applyFont="1" applyFill="1" applyBorder="1" applyAlignment="1">
      <alignment horizontal="right"/>
    </xf>
    <xf numFmtId="0" fontId="104" fillId="0" borderId="582" xfId="0" applyFont="1" applyFill="1" applyBorder="1" applyAlignment="1">
      <alignment horizontal="center"/>
    </xf>
    <xf numFmtId="0" fontId="22" fillId="0" borderId="273" xfId="0" applyFont="1" applyBorder="1" applyAlignment="1" applyProtection="1">
      <alignment horizontal="right"/>
    </xf>
    <xf numFmtId="0" fontId="0" fillId="0" borderId="416" xfId="0" applyBorder="1"/>
    <xf numFmtId="0" fontId="22" fillId="0" borderId="273" xfId="0" applyFont="1" applyBorder="1" applyAlignment="1" applyProtection="1">
      <alignment horizontal="right" vertical="center"/>
    </xf>
    <xf numFmtId="0" fontId="0" fillId="0" borderId="0" xfId="0" applyBorder="1" applyAlignment="1">
      <alignment horizontal="left"/>
    </xf>
    <xf numFmtId="0" fontId="22" fillId="0" borderId="273" xfId="0" applyFont="1" applyFill="1" applyBorder="1" applyAlignment="1" applyProtection="1">
      <alignment horizontal="right"/>
    </xf>
    <xf numFmtId="0" fontId="100" fillId="0" borderId="0" xfId="0" applyFont="1" applyBorder="1" applyAlignment="1">
      <alignment vertical="center"/>
    </xf>
    <xf numFmtId="0" fontId="0" fillId="0" borderId="0" xfId="0" applyFont="1" applyBorder="1" applyAlignment="1">
      <alignment vertical="center"/>
    </xf>
    <xf numFmtId="1" fontId="0" fillId="0" borderId="0" xfId="0" applyNumberFormat="1" applyFont="1" applyBorder="1" applyAlignment="1">
      <alignment horizontal="center" vertical="center"/>
    </xf>
    <xf numFmtId="1" fontId="3" fillId="0" borderId="0" xfId="0" applyNumberFormat="1" applyFont="1" applyBorder="1" applyAlignment="1">
      <alignment horizontal="right" vertical="center"/>
    </xf>
    <xf numFmtId="0" fontId="0" fillId="0" borderId="273" xfId="0" applyBorder="1"/>
    <xf numFmtId="0" fontId="0" fillId="0" borderId="273" xfId="0" applyBorder="1" applyAlignment="1">
      <alignment horizontal="center"/>
    </xf>
    <xf numFmtId="0" fontId="106" fillId="0" borderId="416" xfId="0" applyFont="1" applyFill="1" applyBorder="1" applyAlignment="1">
      <alignment horizontal="center" vertical="center" wrapText="1"/>
    </xf>
    <xf numFmtId="0" fontId="106" fillId="0" borderId="273" xfId="0" applyFont="1" applyBorder="1" applyAlignment="1">
      <alignment horizontal="left"/>
    </xf>
    <xf numFmtId="0" fontId="107" fillId="0" borderId="416" xfId="0" applyFont="1" applyBorder="1" applyAlignment="1" applyProtection="1">
      <alignment horizontal="right"/>
      <protection locked="0"/>
    </xf>
    <xf numFmtId="0" fontId="108" fillId="0" borderId="586" xfId="0" applyFont="1" applyBorder="1" applyAlignment="1" applyProtection="1">
      <alignment horizontal="center"/>
    </xf>
    <xf numFmtId="0" fontId="0" fillId="0" borderId="273" xfId="0" applyBorder="1" applyAlignment="1"/>
    <xf numFmtId="0" fontId="108" fillId="0" borderId="416" xfId="0" applyFont="1" applyBorder="1" applyAlignment="1">
      <alignment horizontal="center"/>
    </xf>
    <xf numFmtId="0" fontId="106" fillId="0" borderId="273" xfId="0" applyFont="1" applyBorder="1" applyAlignment="1"/>
    <xf numFmtId="0" fontId="0" fillId="0" borderId="416" xfId="0" applyBorder="1" applyAlignment="1"/>
    <xf numFmtId="0" fontId="0" fillId="0" borderId="587" xfId="0" applyBorder="1"/>
    <xf numFmtId="0" fontId="23" fillId="0" borderId="0" xfId="0" applyFont="1" applyBorder="1" applyAlignment="1" applyProtection="1">
      <alignment horizontal="left" vertical="center" wrapText="1"/>
      <protection locked="0"/>
    </xf>
    <xf numFmtId="0" fontId="41" fillId="0" borderId="273" xfId="0" applyFont="1" applyBorder="1" applyAlignment="1">
      <alignment horizontal="right"/>
    </xf>
    <xf numFmtId="0" fontId="13" fillId="0" borderId="0" xfId="0" applyFont="1"/>
    <xf numFmtId="0" fontId="23" fillId="12" borderId="26" xfId="0" applyFont="1" applyFill="1" applyBorder="1" applyAlignment="1" applyProtection="1"/>
    <xf numFmtId="0" fontId="23" fillId="25" borderId="597" xfId="0" applyFont="1" applyFill="1" applyBorder="1" applyAlignment="1" applyProtection="1"/>
    <xf numFmtId="0" fontId="22" fillId="13" borderId="0" xfId="0" applyFont="1" applyFill="1"/>
    <xf numFmtId="0" fontId="21" fillId="13" borderId="0" xfId="0" applyFont="1" applyFill="1"/>
    <xf numFmtId="0" fontId="21" fillId="13" borderId="0" xfId="0" applyFont="1" applyFill="1" applyAlignment="1">
      <alignment horizontal="right"/>
    </xf>
    <xf numFmtId="0" fontId="57" fillId="0" borderId="0" xfId="0" applyFont="1" applyBorder="1" applyAlignment="1">
      <alignment horizontal="right" vertical="center" wrapText="1"/>
    </xf>
    <xf numFmtId="0" fontId="23" fillId="0" borderId="0" xfId="0" applyFont="1" applyBorder="1" applyAlignment="1">
      <alignment horizontal="right" vertical="center" wrapText="1"/>
    </xf>
    <xf numFmtId="0" fontId="23" fillId="13" borderId="0" xfId="0" applyFont="1" applyFill="1"/>
    <xf numFmtId="1" fontId="21" fillId="41" borderId="599" xfId="0" applyNumberFormat="1" applyFont="1" applyFill="1" applyBorder="1" applyAlignment="1" applyProtection="1">
      <alignment vertical="center" wrapText="1"/>
    </xf>
    <xf numFmtId="0" fontId="95" fillId="41" borderId="422" xfId="6" applyFont="1" applyFill="1" applyBorder="1" applyAlignment="1" applyProtection="1">
      <alignment horizontal="center" vertical="center" wrapText="1"/>
      <protection locked="0"/>
    </xf>
    <xf numFmtId="0" fontId="21" fillId="3" borderId="222" xfId="0" applyFont="1" applyFill="1" applyBorder="1" applyAlignment="1" applyProtection="1">
      <alignment horizontal="center" vertical="center"/>
      <protection locked="0"/>
    </xf>
    <xf numFmtId="0" fontId="21" fillId="0" borderId="599" xfId="0" applyFont="1" applyFill="1" applyBorder="1" applyAlignment="1" applyProtection="1">
      <alignment horizontal="left" vertical="center" wrapText="1"/>
    </xf>
    <xf numFmtId="1" fontId="21" fillId="0" borderId="26" xfId="0" applyNumberFormat="1" applyFont="1" applyBorder="1" applyAlignment="1" applyProtection="1">
      <alignment horizontal="left" vertical="center" wrapText="1"/>
      <protection locked="0"/>
    </xf>
    <xf numFmtId="0" fontId="21" fillId="0" borderId="599" xfId="0" applyFont="1" applyFill="1" applyBorder="1" applyAlignment="1" applyProtection="1">
      <alignment horizontal="left"/>
    </xf>
    <xf numFmtId="0" fontId="21" fillId="0" borderId="599" xfId="1" applyNumberFormat="1" applyFont="1" applyBorder="1" applyAlignment="1" applyProtection="1">
      <alignment horizontal="left" vertical="center" wrapText="1"/>
    </xf>
    <xf numFmtId="0" fontId="0" fillId="0" borderId="0" xfId="0"/>
    <xf numFmtId="1" fontId="21" fillId="0" borderId="32" xfId="0" applyNumberFormat="1" applyFont="1" applyBorder="1" applyAlignment="1" applyProtection="1">
      <alignment horizontal="center" vertical="center" wrapText="1"/>
      <protection locked="0"/>
    </xf>
    <xf numFmtId="0" fontId="0" fillId="0" borderId="0" xfId="0"/>
    <xf numFmtId="0" fontId="0" fillId="0" borderId="0" xfId="0" applyFill="1" applyBorder="1"/>
    <xf numFmtId="0" fontId="13" fillId="0" borderId="0" xfId="0" applyFont="1" applyAlignment="1">
      <alignment horizontal="right" vertical="top" wrapText="1"/>
    </xf>
    <xf numFmtId="0" fontId="0" fillId="0" borderId="0" xfId="0"/>
    <xf numFmtId="0" fontId="21" fillId="0" borderId="211" xfId="0" applyFont="1" applyBorder="1" applyAlignment="1" applyProtection="1">
      <alignment horizontal="left" vertical="center" wrapText="1"/>
    </xf>
    <xf numFmtId="9" fontId="21" fillId="0" borderId="230" xfId="1" applyFont="1" applyBorder="1" applyAlignment="1" applyProtection="1">
      <alignment vertical="center" wrapText="1"/>
    </xf>
    <xf numFmtId="1" fontId="21" fillId="24" borderId="215" xfId="0" applyNumberFormat="1" applyFont="1" applyFill="1" applyBorder="1" applyAlignment="1" applyProtection="1">
      <alignment horizontal="left" vertical="center" wrapText="1"/>
    </xf>
    <xf numFmtId="0" fontId="28" fillId="0" borderId="210" xfId="0" applyFont="1" applyBorder="1" applyAlignment="1" applyProtection="1">
      <alignment horizontal="center" vertical="center" wrapText="1"/>
    </xf>
    <xf numFmtId="0" fontId="63" fillId="0" borderId="617" xfId="4" applyNumberFormat="1" applyFont="1" applyBorder="1" applyAlignment="1">
      <alignment horizontal="center" vertical="center" wrapText="1"/>
    </xf>
    <xf numFmtId="0" fontId="78" fillId="0" borderId="0" xfId="6" applyFont="1" applyFill="1" applyBorder="1" applyAlignment="1" applyProtection="1">
      <alignment horizontal="left" vertical="center" wrapText="1"/>
    </xf>
    <xf numFmtId="1" fontId="0" fillId="0" borderId="0" xfId="0" applyNumberFormat="1" applyFont="1"/>
    <xf numFmtId="1" fontId="21" fillId="0" borderId="599" xfId="0" applyNumberFormat="1" applyFont="1" applyBorder="1" applyAlignment="1" applyProtection="1">
      <alignment vertical="center" wrapText="1"/>
    </xf>
    <xf numFmtId="0" fontId="63" fillId="3" borderId="0" xfId="4" applyNumberFormat="1" applyFont="1" applyFill="1" applyBorder="1" applyAlignment="1">
      <alignment horizontal="center" vertical="center" wrapText="1"/>
    </xf>
    <xf numFmtId="0" fontId="23" fillId="0" borderId="618" xfId="0" applyFont="1" applyBorder="1" applyAlignment="1" applyProtection="1">
      <alignment horizontal="left" vertical="top" wrapText="1"/>
    </xf>
    <xf numFmtId="1" fontId="21" fillId="0" borderId="599" xfId="0" applyNumberFormat="1" applyFont="1" applyFill="1" applyBorder="1" applyAlignment="1" applyProtection="1">
      <alignment horizontal="left" vertical="center" wrapText="1"/>
    </xf>
    <xf numFmtId="0" fontId="20" fillId="28" borderId="422" xfId="6" applyFont="1" applyFill="1" applyBorder="1" applyAlignment="1" applyProtection="1">
      <alignment horizontal="left" vertical="center" wrapText="1"/>
    </xf>
    <xf numFmtId="0" fontId="22" fillId="0" borderId="230" xfId="0" applyFont="1" applyFill="1" applyBorder="1" applyAlignment="1" applyProtection="1">
      <alignment wrapText="1"/>
    </xf>
    <xf numFmtId="0" fontId="0" fillId="3" borderId="0" xfId="0" applyFont="1" applyFill="1" applyAlignment="1"/>
    <xf numFmtId="1" fontId="21" fillId="0" borderId="619" xfId="0" applyNumberFormat="1" applyFont="1" applyBorder="1" applyAlignment="1" applyProtection="1">
      <alignment horizontal="center" vertical="center" wrapText="1"/>
      <protection locked="0"/>
    </xf>
    <xf numFmtId="1" fontId="21" fillId="41" borderId="619" xfId="0" applyNumberFormat="1" applyFont="1" applyFill="1" applyBorder="1" applyAlignment="1" applyProtection="1">
      <alignment horizontal="center" vertical="center" wrapText="1"/>
      <protection locked="0"/>
    </xf>
    <xf numFmtId="1" fontId="21" fillId="0" borderId="620" xfId="0" applyNumberFormat="1" applyFont="1" applyBorder="1" applyAlignment="1" applyProtection="1">
      <alignment horizontal="center" vertical="center" wrapText="1"/>
      <protection locked="0"/>
    </xf>
    <xf numFmtId="1" fontId="21" fillId="41" borderId="620" xfId="0" applyNumberFormat="1" applyFont="1" applyFill="1" applyBorder="1" applyAlignment="1" applyProtection="1">
      <alignment horizontal="center" vertical="center" wrapText="1"/>
      <protection locked="0"/>
    </xf>
    <xf numFmtId="1" fontId="21" fillId="41" borderId="621" xfId="0" applyNumberFormat="1" applyFont="1" applyFill="1" applyBorder="1" applyAlignment="1" applyProtection="1">
      <alignment horizontal="center" vertical="center" wrapText="1"/>
      <protection locked="0"/>
    </xf>
    <xf numFmtId="1" fontId="21" fillId="0" borderId="214" xfId="0" applyNumberFormat="1" applyFont="1" applyFill="1" applyBorder="1" applyAlignment="1" applyProtection="1">
      <alignment vertical="center" wrapText="1"/>
      <protection locked="0"/>
    </xf>
    <xf numFmtId="0" fontId="22" fillId="0" borderId="210" xfId="0" applyFont="1" applyFill="1" applyBorder="1" applyAlignment="1" applyProtection="1">
      <alignment horizontal="center" vertical="center" wrapText="1"/>
      <protection locked="0"/>
    </xf>
    <xf numFmtId="0" fontId="51" fillId="0" borderId="0" xfId="6" applyFont="1" applyFill="1" applyBorder="1" applyAlignment="1" applyProtection="1">
      <alignment horizontal="left" vertical="center" wrapText="1"/>
    </xf>
    <xf numFmtId="0" fontId="22" fillId="0" borderId="599" xfId="0" applyFont="1" applyFill="1" applyBorder="1" applyAlignment="1" applyProtection="1">
      <alignment vertical="top" wrapText="1"/>
    </xf>
    <xf numFmtId="0" fontId="23" fillId="0" borderId="66" xfId="6" applyFont="1" applyFill="1" applyBorder="1" applyAlignment="1" applyProtection="1">
      <alignment horizontal="left" vertical="center" wrapText="1"/>
    </xf>
    <xf numFmtId="0" fontId="23" fillId="0" borderId="607" xfId="6" applyFont="1" applyFill="1" applyBorder="1" applyAlignment="1" applyProtection="1">
      <alignment horizontal="left" vertical="center" wrapText="1"/>
    </xf>
    <xf numFmtId="0" fontId="23" fillId="0" borderId="459" xfId="6" applyFont="1" applyFill="1" applyBorder="1" applyAlignment="1" applyProtection="1">
      <alignment horizontal="left" vertical="center" wrapText="1"/>
    </xf>
    <xf numFmtId="1" fontId="21" fillId="0" borderId="202" xfId="0" applyNumberFormat="1" applyFont="1" applyBorder="1" applyAlignment="1" applyProtection="1">
      <alignment horizontal="left" wrapText="1"/>
    </xf>
    <xf numFmtId="1" fontId="21" fillId="0" borderId="202" xfId="0" applyNumberFormat="1" applyFont="1" applyBorder="1" applyAlignment="1" applyProtection="1">
      <alignment horizontal="left" vertical="center" wrapText="1"/>
    </xf>
    <xf numFmtId="1" fontId="21" fillId="24" borderId="599" xfId="0" applyNumberFormat="1" applyFont="1" applyFill="1" applyBorder="1" applyAlignment="1" applyProtection="1">
      <alignment horizontal="left" vertical="center" wrapText="1"/>
    </xf>
    <xf numFmtId="1" fontId="21" fillId="0" borderId="215" xfId="0" applyNumberFormat="1" applyFont="1" applyBorder="1" applyAlignment="1" applyProtection="1">
      <alignment horizontal="left" vertical="center" wrapText="1"/>
    </xf>
    <xf numFmtId="1" fontId="15" fillId="0" borderId="219" xfId="0" applyNumberFormat="1" applyFont="1" applyFill="1" applyBorder="1" applyAlignment="1" applyProtection="1">
      <alignment horizontal="center" vertical="center" wrapText="1"/>
      <protection locked="0"/>
    </xf>
    <xf numFmtId="1" fontId="21" fillId="68" borderId="219" xfId="0" applyNumberFormat="1" applyFont="1" applyFill="1" applyBorder="1" applyAlignment="1" applyProtection="1">
      <alignment horizontal="center" vertical="center" wrapText="1"/>
    </xf>
    <xf numFmtId="0" fontId="0" fillId="0" borderId="0" xfId="0"/>
    <xf numFmtId="0" fontId="31" fillId="3" borderId="452" xfId="6" applyFont="1" applyFill="1" applyBorder="1" applyProtection="1">
      <alignment horizontal="center" vertical="center" wrapText="1"/>
    </xf>
    <xf numFmtId="0" fontId="28" fillId="3" borderId="99" xfId="6" applyFont="1" applyFill="1" applyBorder="1" applyProtection="1">
      <alignment horizontal="center" vertical="center" wrapText="1"/>
    </xf>
    <xf numFmtId="0" fontId="63" fillId="3" borderId="454" xfId="6" applyFont="1" applyFill="1" applyBorder="1" applyProtection="1">
      <alignment horizontal="center" vertical="center" wrapText="1"/>
    </xf>
    <xf numFmtId="49" fontId="31" fillId="0" borderId="0" xfId="16" applyFont="1" applyBorder="1">
      <alignment horizontal="center" vertical="center" wrapText="1"/>
    </xf>
    <xf numFmtId="0" fontId="28" fillId="0" borderId="218" xfId="0" applyFont="1" applyBorder="1" applyAlignment="1" applyProtection="1">
      <alignment horizontal="center" vertical="center" wrapText="1"/>
    </xf>
    <xf numFmtId="0" fontId="28" fillId="3" borderId="210" xfId="0" applyFont="1" applyFill="1" applyBorder="1" applyAlignment="1" applyProtection="1">
      <alignment horizontal="center" vertical="center" wrapText="1"/>
    </xf>
    <xf numFmtId="0" fontId="28" fillId="3" borderId="214" xfId="0" applyFont="1" applyFill="1" applyBorder="1" applyAlignment="1" applyProtection="1">
      <alignment horizontal="center" vertical="center" wrapText="1"/>
    </xf>
    <xf numFmtId="1" fontId="21" fillId="34" borderId="214" xfId="0" applyNumberFormat="1" applyFont="1" applyFill="1" applyBorder="1" applyAlignment="1" applyProtection="1">
      <alignment horizontal="center" vertical="center" wrapText="1"/>
    </xf>
    <xf numFmtId="2" fontId="21" fillId="34" borderId="215" xfId="0" applyNumberFormat="1" applyFont="1" applyFill="1" applyBorder="1" applyAlignment="1" applyProtection="1">
      <alignment horizontal="left" vertical="center" wrapText="1"/>
      <protection locked="0"/>
    </xf>
    <xf numFmtId="0" fontId="21" fillId="68" borderId="223" xfId="0" applyFont="1" applyFill="1" applyBorder="1" applyAlignment="1" applyProtection="1">
      <alignment horizontal="center" vertical="center"/>
    </xf>
    <xf numFmtId="0" fontId="71" fillId="0" borderId="0" xfId="0" applyFont="1"/>
    <xf numFmtId="2" fontId="23" fillId="0" borderId="0" xfId="0" applyNumberFormat="1" applyFont="1"/>
    <xf numFmtId="2" fontId="65" fillId="0" borderId="0" xfId="0" applyNumberFormat="1" applyFont="1"/>
    <xf numFmtId="1" fontId="21" fillId="68" borderId="202" xfId="0" applyNumberFormat="1" applyFont="1" applyFill="1" applyBorder="1" applyAlignment="1" applyProtection="1">
      <alignment horizontal="center" vertical="center" wrapText="1"/>
    </xf>
    <xf numFmtId="0" fontId="23" fillId="3" borderId="618" xfId="0" applyFont="1" applyFill="1" applyBorder="1" applyAlignment="1" applyProtection="1">
      <alignment horizontal="left" vertical="top" wrapText="1"/>
    </xf>
    <xf numFmtId="0" fontId="21" fillId="68" borderId="202" xfId="0" applyFont="1" applyFill="1" applyBorder="1" applyAlignment="1" applyProtection="1">
      <alignment horizontal="center" vertical="center" wrapText="1"/>
    </xf>
    <xf numFmtId="0" fontId="0" fillId="0" borderId="0" xfId="0"/>
    <xf numFmtId="0" fontId="28" fillId="0" borderId="599" xfId="0" applyFont="1" applyBorder="1" applyAlignment="1" applyProtection="1">
      <alignment horizontal="center" vertical="center" wrapText="1"/>
    </xf>
    <xf numFmtId="1" fontId="21" fillId="34" borderId="599" xfId="0" applyNumberFormat="1" applyFont="1" applyFill="1" applyBorder="1" applyAlignment="1" applyProtection="1">
      <alignment horizontal="center" vertical="center" wrapText="1"/>
    </xf>
    <xf numFmtId="1" fontId="21" fillId="68" borderId="603" xfId="0" applyNumberFormat="1" applyFont="1" applyFill="1" applyBorder="1" applyAlignment="1" applyProtection="1">
      <alignment horizontal="center" vertical="center" wrapText="1"/>
    </xf>
    <xf numFmtId="1" fontId="21" fillId="34" borderId="603" xfId="0" applyNumberFormat="1" applyFont="1" applyFill="1" applyBorder="1" applyAlignment="1" applyProtection="1">
      <alignment horizontal="center" vertical="center" wrapText="1"/>
      <protection locked="0"/>
    </xf>
    <xf numFmtId="1" fontId="21" fillId="68" borderId="215" xfId="0" applyNumberFormat="1" applyFont="1" applyFill="1" applyBorder="1" applyAlignment="1" applyProtection="1">
      <alignment horizontal="center" vertical="center" wrapText="1"/>
    </xf>
    <xf numFmtId="0" fontId="0" fillId="0" borderId="0" xfId="0"/>
    <xf numFmtId="0" fontId="71" fillId="0" borderId="599" xfId="0" applyFont="1" applyBorder="1" applyAlignment="1" applyProtection="1">
      <alignment horizontal="center" vertical="center" wrapText="1"/>
      <protection locked="0"/>
    </xf>
    <xf numFmtId="0" fontId="23" fillId="67" borderId="201" xfId="0" applyFont="1" applyFill="1" applyBorder="1" applyAlignment="1" applyProtection="1">
      <alignment horizontal="center" vertical="center" wrapText="1"/>
    </xf>
    <xf numFmtId="0" fontId="21" fillId="68" borderId="202" xfId="0" applyNumberFormat="1" applyFont="1" applyFill="1" applyBorder="1" applyAlignment="1" applyProtection="1">
      <alignment horizontal="center" vertical="center" wrapText="1"/>
    </xf>
    <xf numFmtId="0" fontId="15" fillId="0" borderId="202" xfId="0" applyNumberFormat="1" applyFont="1" applyFill="1" applyBorder="1" applyAlignment="1" applyProtection="1">
      <alignment horizontal="center" vertical="center" wrapText="1"/>
      <protection locked="0"/>
    </xf>
    <xf numFmtId="1" fontId="21" fillId="66" borderId="211" xfId="0" applyNumberFormat="1" applyFont="1" applyFill="1" applyBorder="1" applyAlignment="1" applyProtection="1">
      <alignment horizontal="center" vertical="center" wrapText="1"/>
    </xf>
    <xf numFmtId="1" fontId="21" fillId="0" borderId="601" xfId="0" applyNumberFormat="1" applyFont="1" applyBorder="1" applyAlignment="1" applyProtection="1">
      <alignment horizontal="center" vertical="center" wrapText="1"/>
      <protection locked="0"/>
    </xf>
    <xf numFmtId="0" fontId="21" fillId="68" borderId="211" xfId="0" applyFont="1" applyFill="1" applyBorder="1" applyAlignment="1" applyProtection="1">
      <alignment horizontal="center" vertical="center" wrapText="1"/>
    </xf>
    <xf numFmtId="1" fontId="21" fillId="68" borderId="223" xfId="0" applyNumberFormat="1" applyFont="1" applyFill="1" applyBorder="1" applyAlignment="1" applyProtection="1">
      <alignment horizontal="center" vertical="center" wrapText="1"/>
    </xf>
    <xf numFmtId="1" fontId="21" fillId="0" borderId="601" xfId="0" applyNumberFormat="1" applyFont="1" applyFill="1" applyBorder="1" applyAlignment="1" applyProtection="1">
      <alignment horizontal="center" vertical="center" wrapText="1"/>
    </xf>
    <xf numFmtId="1" fontId="21" fillId="0" borderId="218" xfId="0" applyNumberFormat="1" applyFont="1" applyBorder="1" applyAlignment="1" applyProtection="1">
      <alignment horizontal="center" vertical="center" wrapText="1"/>
      <protection locked="0"/>
    </xf>
    <xf numFmtId="1" fontId="21" fillId="0" borderId="601" xfId="0" applyNumberFormat="1" applyFont="1" applyFill="1" applyBorder="1" applyAlignment="1" applyProtection="1">
      <alignment horizontal="center" vertical="center" wrapText="1"/>
      <protection locked="0"/>
    </xf>
    <xf numFmtId="1" fontId="21" fillId="69" borderId="612" xfId="0" applyNumberFormat="1" applyFont="1" applyFill="1" applyBorder="1" applyAlignment="1" applyProtection="1">
      <alignment vertical="center" wrapText="1"/>
    </xf>
    <xf numFmtId="0" fontId="23" fillId="68" borderId="215" xfId="0" applyFont="1" applyFill="1" applyBorder="1" applyAlignment="1" applyProtection="1">
      <alignment horizontal="center" vertical="center" wrapText="1"/>
    </xf>
    <xf numFmtId="0" fontId="21" fillId="67" borderId="202" xfId="0" applyFont="1" applyFill="1" applyBorder="1" applyAlignment="1" applyProtection="1">
      <alignment horizontal="center" vertical="center" wrapText="1"/>
    </xf>
    <xf numFmtId="0" fontId="21" fillId="68" borderId="211" xfId="0" applyNumberFormat="1" applyFont="1" applyFill="1" applyBorder="1" applyAlignment="1" applyProtection="1">
      <alignment horizontal="center" vertical="center" wrapText="1"/>
    </xf>
    <xf numFmtId="0" fontId="21" fillId="70" borderId="211" xfId="0" applyFont="1" applyFill="1" applyBorder="1" applyAlignment="1" applyProtection="1">
      <alignment horizontal="center" vertical="center" wrapText="1"/>
    </xf>
    <xf numFmtId="0" fontId="21" fillId="67" borderId="211" xfId="0" applyFont="1" applyFill="1" applyBorder="1" applyAlignment="1" applyProtection="1">
      <alignment horizontal="center" vertical="center" wrapText="1"/>
    </xf>
    <xf numFmtId="49" fontId="55" fillId="0" borderId="0" xfId="16" applyBorder="1" applyAlignment="1">
      <alignment horizontal="center" vertical="center" wrapText="1"/>
    </xf>
    <xf numFmtId="0" fontId="71" fillId="0" borderId="454" xfId="6" applyFont="1" applyFill="1" applyBorder="1" applyProtection="1">
      <alignment horizontal="center" vertical="center" wrapText="1"/>
    </xf>
    <xf numFmtId="0" fontId="0" fillId="0" borderId="0" xfId="0"/>
    <xf numFmtId="0" fontId="23" fillId="68" borderId="422" xfId="6" applyFont="1" applyFill="1" applyBorder="1" applyAlignment="1" applyProtection="1">
      <alignment horizontal="center" vertical="center" wrapText="1"/>
    </xf>
    <xf numFmtId="0" fontId="0" fillId="0" borderId="0" xfId="0" applyBorder="1" applyAlignment="1"/>
    <xf numFmtId="0" fontId="0" fillId="0" borderId="0" xfId="0" applyBorder="1"/>
    <xf numFmtId="0" fontId="23" fillId="0" borderId="0" xfId="0" applyFont="1" applyBorder="1" applyAlignment="1" applyProtection="1">
      <alignment horizontal="left" vertical="center" wrapText="1"/>
    </xf>
    <xf numFmtId="0" fontId="0" fillId="0" borderId="0" xfId="0"/>
    <xf numFmtId="1" fontId="0" fillId="0" borderId="214" xfId="0" applyNumberFormat="1" applyBorder="1" applyAlignment="1" applyProtection="1">
      <alignment horizontal="left" vertical="center"/>
      <protection locked="0"/>
    </xf>
    <xf numFmtId="1" fontId="21" fillId="41" borderId="222" xfId="0" applyNumberFormat="1" applyFont="1" applyFill="1" applyBorder="1" applyAlignment="1" applyProtection="1">
      <alignment horizontal="center" vertical="center" wrapText="1"/>
      <protection locked="0"/>
    </xf>
    <xf numFmtId="0" fontId="13" fillId="0" borderId="0" xfId="0" applyFont="1" applyBorder="1" applyAlignment="1" applyProtection="1">
      <alignment horizontal="center" vertical="center" wrapText="1"/>
    </xf>
    <xf numFmtId="0" fontId="23" fillId="0" borderId="0" xfId="0" applyFont="1" applyBorder="1" applyAlignment="1" applyProtection="1">
      <alignment horizontal="center" vertical="top"/>
    </xf>
    <xf numFmtId="0" fontId="22" fillId="0" borderId="213" xfId="0" applyFont="1" applyBorder="1" applyAlignment="1" applyProtection="1">
      <alignment horizontal="left" vertical="top" wrapText="1"/>
    </xf>
    <xf numFmtId="0" fontId="22" fillId="0" borderId="214" xfId="0" applyFont="1" applyBorder="1" applyAlignment="1" applyProtection="1">
      <alignment horizontal="center" vertical="center" wrapText="1"/>
    </xf>
    <xf numFmtId="0" fontId="23" fillId="3" borderId="215" xfId="0" applyFont="1" applyFill="1" applyBorder="1" applyAlignment="1" applyProtection="1">
      <alignment horizontal="left" vertical="top" wrapText="1"/>
    </xf>
    <xf numFmtId="0" fontId="23" fillId="3" borderId="433" xfId="0" applyFont="1" applyFill="1" applyBorder="1" applyAlignment="1" applyProtection="1">
      <alignment horizontal="left" vertical="top" wrapText="1"/>
    </xf>
    <xf numFmtId="1" fontId="21" fillId="0" borderId="201" xfId="0" applyNumberFormat="1" applyFont="1" applyBorder="1" applyAlignment="1" applyProtection="1">
      <alignment horizontal="center" vertical="center" wrapText="1"/>
    </xf>
    <xf numFmtId="14" fontId="0" fillId="0" borderId="342" xfId="0" applyNumberFormat="1" applyFill="1" applyBorder="1" applyProtection="1">
      <protection locked="0"/>
    </xf>
    <xf numFmtId="168" fontId="0" fillId="0" borderId="579" xfId="0" applyNumberFormat="1" applyFill="1" applyBorder="1" applyAlignment="1" applyProtection="1">
      <protection locked="0"/>
    </xf>
    <xf numFmtId="14" fontId="0" fillId="0" borderId="579" xfId="0" applyNumberFormat="1" applyFill="1" applyBorder="1" applyAlignment="1" applyProtection="1">
      <protection locked="0"/>
    </xf>
    <xf numFmtId="0" fontId="109" fillId="0" borderId="636" xfId="5" applyFont="1" applyBorder="1" applyAlignment="1" applyProtection="1">
      <protection locked="0"/>
    </xf>
    <xf numFmtId="0" fontId="0" fillId="0" borderId="636" xfId="0" applyBorder="1" applyAlignment="1" applyProtection="1">
      <protection locked="0"/>
    </xf>
    <xf numFmtId="0" fontId="0" fillId="0" borderId="598" xfId="0" applyBorder="1" applyAlignment="1" applyProtection="1">
      <alignment horizontal="left" vertical="top" wrapText="1"/>
      <protection locked="0"/>
    </xf>
    <xf numFmtId="0" fontId="0" fillId="0" borderId="597" xfId="0" applyBorder="1" applyAlignment="1" applyProtection="1">
      <alignment horizontal="left" vertical="top" wrapText="1"/>
      <protection locked="0"/>
    </xf>
    <xf numFmtId="0" fontId="0" fillId="0" borderId="635" xfId="0" applyBorder="1" applyAlignment="1" applyProtection="1">
      <alignment horizontal="right" vertical="top" wrapText="1"/>
    </xf>
    <xf numFmtId="0" fontId="0" fillId="0" borderId="598" xfId="0" applyBorder="1" applyAlignment="1" applyProtection="1">
      <alignment horizontal="left" vertical="top" wrapText="1"/>
    </xf>
    <xf numFmtId="0" fontId="0" fillId="0" borderId="639" xfId="0" applyBorder="1" applyAlignment="1" applyProtection="1">
      <alignment horizontal="left" vertical="top" wrapText="1"/>
    </xf>
    <xf numFmtId="0" fontId="0" fillId="0" borderId="638" xfId="0" applyBorder="1" applyAlignment="1" applyProtection="1">
      <alignment horizontal="left" vertical="top" wrapText="1"/>
    </xf>
    <xf numFmtId="0" fontId="0" fillId="0" borderId="273" xfId="0" applyBorder="1" applyAlignment="1" applyProtection="1">
      <alignment horizontal="right" vertical="top" wrapText="1"/>
    </xf>
    <xf numFmtId="14" fontId="0" fillId="0" borderId="642" xfId="0" applyNumberFormat="1" applyFill="1" applyBorder="1" applyAlignment="1" applyProtection="1">
      <protection locked="0"/>
    </xf>
    <xf numFmtId="2" fontId="23" fillId="0" borderId="12" xfId="0" applyNumberFormat="1" applyFont="1" applyBorder="1" applyAlignment="1" applyProtection="1">
      <alignment horizontal="left" vertical="top"/>
    </xf>
    <xf numFmtId="1" fontId="22" fillId="10" borderId="0" xfId="9" applyFont="1" applyBorder="1" applyAlignment="1" applyProtection="1">
      <alignment horizontal="center" vertical="center" wrapText="1"/>
      <protection locked="0"/>
    </xf>
    <xf numFmtId="49" fontId="23" fillId="0" borderId="0" xfId="0" applyNumberFormat="1" applyFont="1" applyBorder="1" applyAlignment="1" applyProtection="1">
      <alignment horizontal="center" vertical="top"/>
    </xf>
    <xf numFmtId="0" fontId="21" fillId="0" borderId="213" xfId="0" applyFont="1" applyBorder="1" applyAlignment="1" applyProtection="1">
      <alignment horizontal="left" vertical="top" wrapText="1" indent="4"/>
    </xf>
    <xf numFmtId="0" fontId="22" fillId="70" borderId="214" xfId="0" applyFont="1" applyFill="1" applyBorder="1" applyAlignment="1" applyProtection="1">
      <alignment horizontal="center" vertical="center" wrapText="1"/>
    </xf>
    <xf numFmtId="1" fontId="21" fillId="70" borderId="214" xfId="0" applyNumberFormat="1" applyFont="1" applyFill="1" applyBorder="1" applyAlignment="1" applyProtection="1">
      <alignment horizontal="center" vertical="center" wrapText="1"/>
    </xf>
    <xf numFmtId="0" fontId="23" fillId="70" borderId="215" xfId="0" applyFont="1" applyFill="1" applyBorder="1" applyAlignment="1" applyProtection="1">
      <alignment horizontal="left" vertical="top" wrapText="1"/>
    </xf>
    <xf numFmtId="0" fontId="23" fillId="70" borderId="433" xfId="0" applyFont="1" applyFill="1" applyBorder="1" applyAlignment="1" applyProtection="1">
      <alignment horizontal="left" vertical="top" wrapText="1"/>
    </xf>
    <xf numFmtId="1" fontId="21" fillId="70" borderId="215" xfId="0" applyNumberFormat="1" applyFont="1" applyFill="1" applyBorder="1" applyAlignment="1" applyProtection="1">
      <alignment horizontal="center" vertical="center" wrapText="1"/>
    </xf>
    <xf numFmtId="1" fontId="21" fillId="0" borderId="645" xfId="0" applyNumberFormat="1" applyFont="1" applyBorder="1" applyAlignment="1" applyProtection="1">
      <alignment horizontal="center" vertical="center" wrapText="1"/>
    </xf>
    <xf numFmtId="0" fontId="28" fillId="0" borderId="214" xfId="0" applyFont="1" applyFill="1" applyBorder="1" applyAlignment="1" applyProtection="1">
      <alignment horizontal="center" vertical="center" wrapText="1"/>
    </xf>
    <xf numFmtId="0" fontId="0" fillId="0" borderId="0" xfId="0" applyFont="1" applyAlignment="1" applyProtection="1">
      <alignment horizontal="left" vertical="top"/>
      <protection locked="0"/>
    </xf>
    <xf numFmtId="0" fontId="0" fillId="0" borderId="0" xfId="0" applyFont="1" applyProtection="1"/>
    <xf numFmtId="0" fontId="0" fillId="0" borderId="0" xfId="0" applyFont="1" applyAlignment="1" applyProtection="1">
      <alignment horizontal="left" vertical="top"/>
    </xf>
    <xf numFmtId="0" fontId="0" fillId="0" borderId="0" xfId="0" applyFont="1" applyFill="1" applyBorder="1" applyProtection="1">
      <protection locked="0"/>
    </xf>
    <xf numFmtId="0" fontId="0" fillId="0" borderId="0" xfId="0" applyFont="1" applyFill="1" applyProtection="1"/>
    <xf numFmtId="0" fontId="0" fillId="0" borderId="0" xfId="0" applyFont="1" applyFill="1" applyProtection="1">
      <protection locked="0"/>
    </xf>
    <xf numFmtId="0" fontId="134" fillId="8" borderId="26" xfId="6" applyFont="1" applyFill="1" applyBorder="1" applyAlignment="1" applyProtection="1">
      <alignment horizontal="left" vertical="center" wrapText="1"/>
    </xf>
    <xf numFmtId="0" fontId="30" fillId="8" borderId="26" xfId="0" applyFont="1" applyFill="1" applyBorder="1" applyAlignment="1">
      <alignment horizontal="center"/>
    </xf>
    <xf numFmtId="0" fontId="30" fillId="8" borderId="567" xfId="0" applyFont="1" applyFill="1" applyBorder="1"/>
    <xf numFmtId="49" fontId="134" fillId="8" borderId="560" xfId="6" applyNumberFormat="1" applyFont="1" applyBorder="1" applyAlignment="1" applyProtection="1">
      <alignment horizontal="center" vertical="center" wrapText="1"/>
    </xf>
    <xf numFmtId="0" fontId="71" fillId="0" borderId="422" xfId="6" applyFont="1" applyFill="1" applyBorder="1" applyAlignment="1" applyProtection="1">
      <alignment horizontal="center" vertical="center" wrapText="1"/>
      <protection locked="0"/>
    </xf>
    <xf numFmtId="0" fontId="0" fillId="0" borderId="0" xfId="0"/>
    <xf numFmtId="0" fontId="5" fillId="3" borderId="0" xfId="4" applyFont="1" applyFill="1" applyBorder="1" applyAlignment="1">
      <alignment horizontal="left" vertical="top" wrapText="1"/>
    </xf>
    <xf numFmtId="0" fontId="30" fillId="0" borderId="138" xfId="0" applyFont="1" applyBorder="1" applyAlignment="1" applyProtection="1">
      <alignment horizontal="center" vertical="center" wrapText="1"/>
      <protection locked="0"/>
    </xf>
    <xf numFmtId="0" fontId="30" fillId="0" borderId="283" xfId="0" applyFont="1" applyBorder="1" applyAlignment="1" applyProtection="1">
      <alignment horizontal="center" vertical="center" wrapText="1"/>
      <protection locked="0"/>
    </xf>
    <xf numFmtId="0" fontId="30" fillId="0" borderId="254"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xf>
    <xf numFmtId="0" fontId="30" fillId="0" borderId="13" xfId="0" applyFont="1" applyBorder="1" applyAlignment="1" applyProtection="1">
      <alignment horizontal="center" vertical="center" wrapText="1"/>
      <protection locked="0"/>
    </xf>
    <xf numFmtId="0" fontId="13" fillId="0" borderId="26" xfId="0" applyFont="1" applyBorder="1" applyAlignment="1">
      <alignment horizontal="center" vertical="center" wrapText="1"/>
    </xf>
    <xf numFmtId="1" fontId="26" fillId="10" borderId="15" xfId="9" applyBorder="1">
      <alignment horizontal="center" vertical="center"/>
      <protection locked="0"/>
    </xf>
    <xf numFmtId="167" fontId="23" fillId="0" borderId="26" xfId="0" applyNumberFormat="1" applyFont="1" applyBorder="1" applyAlignment="1">
      <alignment horizontal="center" vertical="top"/>
    </xf>
    <xf numFmtId="0" fontId="23" fillId="0" borderId="12"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xf>
    <xf numFmtId="0" fontId="13" fillId="0" borderId="34" xfId="0" applyFont="1" applyBorder="1" applyAlignment="1">
      <alignment horizontal="center" vertical="center" wrapText="1"/>
    </xf>
    <xf numFmtId="0" fontId="13" fillId="0" borderId="0" xfId="0" applyFont="1" applyBorder="1" applyAlignment="1">
      <alignment horizontal="center" vertical="center" wrapText="1"/>
    </xf>
    <xf numFmtId="1" fontId="26" fillId="10" borderId="359" xfId="9" applyBorder="1">
      <alignment horizontal="center" vertical="center"/>
      <protection locked="0"/>
    </xf>
    <xf numFmtId="0" fontId="0" fillId="0" borderId="0" xfId="0" applyBorder="1"/>
    <xf numFmtId="0" fontId="21" fillId="0" borderId="34" xfId="4" quotePrefix="1" applyNumberFormat="1" applyFont="1" applyBorder="1" applyAlignment="1" applyProtection="1">
      <alignment horizontal="center" vertical="top"/>
    </xf>
    <xf numFmtId="0" fontId="21" fillId="0" borderId="34" xfId="4" quotePrefix="1" applyNumberFormat="1" applyFont="1" applyBorder="1" applyAlignment="1" applyProtection="1">
      <alignment horizontal="left" vertical="top"/>
    </xf>
    <xf numFmtId="0" fontId="21" fillId="0" borderId="0" xfId="4" applyNumberFormat="1" applyFont="1" applyBorder="1" applyAlignment="1">
      <alignment vertical="top" wrapText="1"/>
    </xf>
    <xf numFmtId="49" fontId="0" fillId="0" borderId="13" xfId="0" applyNumberFormat="1" applyBorder="1" applyAlignment="1" applyProtection="1">
      <alignment horizontal="center" vertical="center"/>
      <protection locked="0"/>
    </xf>
    <xf numFmtId="0" fontId="15" fillId="0" borderId="13" xfId="4" applyFont="1" applyBorder="1" applyAlignment="1" applyProtection="1">
      <alignment horizontal="center" vertical="center" wrapText="1"/>
      <protection locked="0"/>
    </xf>
    <xf numFmtId="0" fontId="21" fillId="0" borderId="0" xfId="4" applyNumberFormat="1" applyFont="1" applyBorder="1" applyAlignment="1" applyProtection="1">
      <alignment vertical="top" wrapText="1"/>
    </xf>
    <xf numFmtId="0" fontId="21" fillId="0" borderId="0" xfId="4" applyFont="1" applyBorder="1"/>
    <xf numFmtId="49" fontId="0" fillId="0" borderId="307" xfId="0" applyNumberFormat="1" applyBorder="1" applyAlignment="1" applyProtection="1">
      <alignment horizontal="center" vertical="center"/>
      <protection locked="0"/>
    </xf>
    <xf numFmtId="0" fontId="22" fillId="0" borderId="34" xfId="4" applyNumberFormat="1" applyFont="1" applyBorder="1" applyAlignment="1">
      <alignment horizontal="center" vertical="center" wrapText="1"/>
    </xf>
    <xf numFmtId="0" fontId="15" fillId="0" borderId="116" xfId="4" applyNumberFormat="1" applyFont="1" applyBorder="1" applyAlignment="1" applyProtection="1">
      <alignment horizontal="center" vertical="center" wrapText="1"/>
      <protection locked="0"/>
    </xf>
    <xf numFmtId="0" fontId="22" fillId="0" borderId="0" xfId="4" applyNumberFormat="1" applyFont="1" applyBorder="1" applyAlignment="1">
      <alignment horizontal="center" vertical="center" wrapText="1"/>
    </xf>
    <xf numFmtId="1" fontId="26" fillId="10" borderId="15" xfId="9" applyBorder="1" applyProtection="1">
      <alignment horizontal="center" vertical="center"/>
      <protection locked="0"/>
    </xf>
    <xf numFmtId="0" fontId="22" fillId="0" borderId="34" xfId="4" applyNumberFormat="1" applyFont="1" applyBorder="1" applyAlignment="1" applyProtection="1">
      <alignment horizontal="center" vertical="center" wrapText="1"/>
    </xf>
    <xf numFmtId="0" fontId="21" fillId="0" borderId="32" xfId="4" applyNumberFormat="1" applyFont="1" applyBorder="1" applyAlignment="1" applyProtection="1">
      <alignment vertical="top" wrapText="1"/>
    </xf>
    <xf numFmtId="0" fontId="23" fillId="0" borderId="0" xfId="0" applyFont="1" applyBorder="1" applyAlignment="1">
      <alignment horizontal="left" vertical="top"/>
    </xf>
    <xf numFmtId="0" fontId="23" fillId="0" borderId="116" xfId="0" applyFont="1" applyBorder="1" applyAlignment="1" applyProtection="1">
      <alignment vertical="top"/>
    </xf>
    <xf numFmtId="0" fontId="0" fillId="0" borderId="34" xfId="0" applyBorder="1" applyProtection="1"/>
    <xf numFmtId="0" fontId="13" fillId="15" borderId="118" xfId="15" applyBorder="1">
      <alignment horizontal="center" vertical="center"/>
    </xf>
    <xf numFmtId="0" fontId="0" fillId="0" borderId="68" xfId="0" applyBorder="1" applyProtection="1"/>
    <xf numFmtId="0" fontId="0" fillId="0" borderId="0" xfId="0" applyBorder="1" applyAlignment="1">
      <alignment horizontal="left" vertical="top"/>
    </xf>
    <xf numFmtId="0" fontId="19" fillId="8" borderId="134" xfId="6" applyBorder="1">
      <alignment horizontal="center" vertical="center" wrapText="1"/>
    </xf>
    <xf numFmtId="0" fontId="13" fillId="15" borderId="275" xfId="15" applyBorder="1">
      <alignment horizontal="center" vertical="center"/>
    </xf>
    <xf numFmtId="0" fontId="22" fillId="0" borderId="66"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3" fillId="0" borderId="0" xfId="0" applyFont="1" applyBorder="1" applyAlignment="1" applyProtection="1">
      <alignment horizontal="center" vertical="center" wrapText="1"/>
    </xf>
    <xf numFmtId="0" fontId="21" fillId="0" borderId="66" xfId="4" quotePrefix="1" applyNumberFormat="1" applyFont="1" applyBorder="1" applyAlignment="1">
      <alignment horizontal="left" vertical="top"/>
    </xf>
    <xf numFmtId="0" fontId="0" fillId="0" borderId="12" xfId="0" applyFont="1" applyBorder="1"/>
    <xf numFmtId="167" fontId="23" fillId="0" borderId="0" xfId="0" applyNumberFormat="1" applyFont="1" applyBorder="1" applyAlignment="1">
      <alignment horizontal="center" vertical="top"/>
    </xf>
    <xf numFmtId="1" fontId="22" fillId="0" borderId="0" xfId="4" applyNumberFormat="1" applyFont="1" applyBorder="1" applyAlignment="1">
      <alignment horizontal="center" vertical="center" wrapText="1"/>
    </xf>
    <xf numFmtId="0" fontId="21" fillId="0" borderId="34" xfId="4" quotePrefix="1" applyNumberFormat="1" applyFont="1" applyBorder="1" applyAlignment="1">
      <alignment horizontal="left" vertical="top"/>
    </xf>
    <xf numFmtId="0" fontId="30" fillId="0" borderId="0" xfId="0" applyFont="1" applyBorder="1" applyAlignment="1">
      <alignment horizontal="center" vertical="center" wrapText="1"/>
    </xf>
    <xf numFmtId="2" fontId="21" fillId="0" borderId="324" xfId="4" quotePrefix="1" applyNumberFormat="1" applyFont="1" applyBorder="1" applyAlignment="1">
      <alignment horizontal="left" vertical="top"/>
    </xf>
    <xf numFmtId="0" fontId="21" fillId="0" borderId="67" xfId="4" quotePrefix="1" applyNumberFormat="1" applyFont="1" applyBorder="1" applyAlignment="1" applyProtection="1">
      <alignment horizontal="left" vertical="top"/>
    </xf>
    <xf numFmtId="0" fontId="21" fillId="0" borderId="12"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15" fillId="0" borderId="254" xfId="4" applyFont="1" applyBorder="1" applyAlignment="1" applyProtection="1">
      <alignment horizontal="center" vertical="center" wrapText="1"/>
      <protection locked="0"/>
    </xf>
    <xf numFmtId="0" fontId="23" fillId="0" borderId="66" xfId="0" applyFont="1" applyBorder="1" applyAlignment="1" applyProtection="1">
      <alignment horizontal="center" vertical="center" wrapText="1"/>
    </xf>
    <xf numFmtId="0" fontId="21" fillId="0" borderId="253" xfId="4" quotePrefix="1" applyNumberFormat="1" applyFont="1" applyBorder="1" applyAlignment="1">
      <alignment horizontal="left" vertical="top"/>
    </xf>
    <xf numFmtId="0" fontId="13" fillId="15" borderId="118" xfId="15" applyBorder="1" applyProtection="1">
      <alignment horizontal="center" vertical="center"/>
    </xf>
    <xf numFmtId="167" fontId="21" fillId="0" borderId="0" xfId="4" applyNumberFormat="1" applyFont="1" applyBorder="1" applyAlignment="1">
      <alignment horizontal="center" vertical="top"/>
    </xf>
    <xf numFmtId="0" fontId="23" fillId="0" borderId="32" xfId="0" applyFont="1" applyBorder="1" applyAlignment="1">
      <alignment vertical="top"/>
    </xf>
    <xf numFmtId="0" fontId="22" fillId="0" borderId="66" xfId="4" applyNumberFormat="1" applyFont="1" applyBorder="1" applyAlignment="1">
      <alignment horizontal="center" vertical="center" wrapText="1"/>
    </xf>
    <xf numFmtId="0" fontId="21" fillId="0" borderId="0" xfId="4" quotePrefix="1" applyNumberFormat="1" applyFont="1" applyBorder="1" applyAlignment="1">
      <alignment horizontal="center" vertical="top"/>
    </xf>
    <xf numFmtId="0" fontId="32" fillId="0" borderId="24" xfId="0" applyFont="1" applyBorder="1" applyAlignment="1">
      <alignment horizontal="right" vertical="center" wrapText="1"/>
    </xf>
    <xf numFmtId="0" fontId="23" fillId="0" borderId="0" xfId="0" applyFont="1" applyBorder="1" applyAlignment="1" applyProtection="1">
      <alignment vertical="top"/>
    </xf>
    <xf numFmtId="0" fontId="0" fillId="0" borderId="0" xfId="0" applyBorder="1" applyProtection="1"/>
    <xf numFmtId="0" fontId="23" fillId="0" borderId="32" xfId="0" applyFont="1" applyBorder="1" applyAlignment="1" applyProtection="1">
      <alignment vertical="top"/>
    </xf>
    <xf numFmtId="0" fontId="0" fillId="0" borderId="0" xfId="0"/>
    <xf numFmtId="1" fontId="26" fillId="10" borderId="16" xfId="9" applyBorder="1" applyProtection="1">
      <alignment horizontal="center" vertical="center"/>
      <protection locked="0"/>
    </xf>
    <xf numFmtId="0" fontId="23" fillId="0" borderId="34" xfId="0" applyFont="1" applyBorder="1" applyAlignment="1">
      <alignment horizontal="center" vertical="center" wrapText="1"/>
    </xf>
    <xf numFmtId="0" fontId="23" fillId="0" borderId="0" xfId="0" applyFont="1" applyBorder="1" applyAlignment="1" applyProtection="1">
      <alignment horizontal="center" vertical="top"/>
    </xf>
    <xf numFmtId="0" fontId="23" fillId="0" borderId="66" xfId="0" applyFont="1" applyBorder="1" applyAlignment="1" applyProtection="1">
      <alignment horizontal="center" vertical="top"/>
    </xf>
    <xf numFmtId="0" fontId="13" fillId="0" borderId="66" xfId="0" applyFont="1" applyBorder="1" applyAlignment="1" applyProtection="1">
      <alignment horizontal="center" vertical="center" wrapText="1"/>
    </xf>
    <xf numFmtId="0" fontId="0" fillId="0" borderId="34" xfId="0" applyBorder="1"/>
    <xf numFmtId="0" fontId="23" fillId="0" borderId="0" xfId="0" applyFont="1" applyBorder="1" applyAlignment="1">
      <alignment horizontal="center" vertical="center" wrapText="1"/>
    </xf>
    <xf numFmtId="166" fontId="23" fillId="0" borderId="648" xfId="0" applyNumberFormat="1" applyFont="1" applyBorder="1" applyAlignment="1">
      <alignment horizontal="left" vertical="top"/>
    </xf>
    <xf numFmtId="167" fontId="21" fillId="0" borderId="597" xfId="4" applyNumberFormat="1" applyFont="1" applyBorder="1" applyAlignment="1">
      <alignment horizontal="center" vertical="top"/>
    </xf>
    <xf numFmtId="167" fontId="21" fillId="0" borderId="597" xfId="4" applyNumberFormat="1" applyFont="1" applyBorder="1" applyAlignment="1">
      <alignment vertical="top"/>
    </xf>
    <xf numFmtId="0" fontId="22" fillId="0" borderId="597" xfId="4" applyNumberFormat="1" applyFont="1" applyBorder="1" applyAlignment="1">
      <alignment horizontal="center" vertical="center" wrapText="1"/>
    </xf>
    <xf numFmtId="0" fontId="21" fillId="0" borderId="651" xfId="4" quotePrefix="1" applyNumberFormat="1" applyFont="1" applyBorder="1" applyAlignment="1">
      <alignment horizontal="center" vertical="top"/>
    </xf>
    <xf numFmtId="0" fontId="21" fillId="0" borderId="651" xfId="4" quotePrefix="1" applyNumberFormat="1" applyFont="1" applyBorder="1" applyAlignment="1">
      <alignment horizontal="left" vertical="top"/>
    </xf>
    <xf numFmtId="0" fontId="22" fillId="0" borderId="651" xfId="4" applyNumberFormat="1" applyFont="1" applyBorder="1" applyAlignment="1">
      <alignment horizontal="center" vertical="center" wrapText="1"/>
    </xf>
    <xf numFmtId="1" fontId="22" fillId="10" borderId="652" xfId="9" applyFont="1" applyBorder="1" applyProtection="1">
      <alignment horizontal="center" vertical="center"/>
      <protection locked="0"/>
    </xf>
    <xf numFmtId="0" fontId="21" fillId="0" borderId="653" xfId="4" quotePrefix="1" applyNumberFormat="1" applyFont="1" applyBorder="1" applyAlignment="1">
      <alignment horizontal="left" vertical="top"/>
    </xf>
    <xf numFmtId="1" fontId="22" fillId="0" borderId="597" xfId="4" applyNumberFormat="1" applyFont="1" applyBorder="1" applyAlignment="1">
      <alignment horizontal="center" vertical="center" wrapText="1"/>
    </xf>
    <xf numFmtId="0" fontId="21" fillId="0" borderId="653" xfId="4" quotePrefix="1" applyNumberFormat="1" applyFont="1" applyBorder="1" applyAlignment="1" applyProtection="1">
      <alignment horizontal="left" vertical="top"/>
    </xf>
    <xf numFmtId="0" fontId="21" fillId="0" borderId="654" xfId="4" applyFont="1" applyBorder="1" applyAlignment="1" applyProtection="1">
      <alignment horizontal="center"/>
    </xf>
    <xf numFmtId="0" fontId="21" fillId="0" borderId="640" xfId="4" applyNumberFormat="1" applyFont="1" applyBorder="1" applyAlignment="1" applyProtection="1">
      <alignment horizontal="center" vertical="top" wrapText="1"/>
    </xf>
    <xf numFmtId="0" fontId="21" fillId="0" borderId="655" xfId="4" applyNumberFormat="1" applyFont="1" applyBorder="1" applyAlignment="1" applyProtection="1">
      <alignment vertical="top" wrapText="1"/>
    </xf>
    <xf numFmtId="0" fontId="21" fillId="0" borderId="656" xfId="4" applyFont="1" applyBorder="1" applyAlignment="1" applyProtection="1">
      <alignment vertical="top" wrapText="1"/>
    </xf>
    <xf numFmtId="166" fontId="23" fillId="0" borderId="648" xfId="0" applyNumberFormat="1" applyFont="1" applyBorder="1" applyAlignment="1" applyProtection="1">
      <alignment horizontal="left" vertical="top"/>
    </xf>
    <xf numFmtId="0" fontId="0" fillId="0" borderId="658" xfId="0" applyBorder="1"/>
    <xf numFmtId="0" fontId="23" fillId="0" borderId="659" xfId="0" applyFont="1" applyBorder="1" applyAlignment="1" applyProtection="1">
      <alignment horizontal="left" vertical="top"/>
    </xf>
    <xf numFmtId="0" fontId="23" fillId="0" borderId="647" xfId="0" applyFont="1" applyBorder="1" applyAlignment="1" applyProtection="1">
      <alignment horizontal="center" vertical="top"/>
    </xf>
    <xf numFmtId="0" fontId="13" fillId="0" borderId="647" xfId="0" applyFont="1" applyBorder="1" applyAlignment="1" applyProtection="1">
      <alignment horizontal="center" vertical="center" wrapText="1"/>
    </xf>
    <xf numFmtId="0" fontId="23" fillId="0" borderId="647" xfId="0" applyFont="1" applyBorder="1" applyAlignment="1">
      <alignment horizontal="center" vertical="center" wrapText="1"/>
    </xf>
    <xf numFmtId="0" fontId="23" fillId="0" borderId="597" xfId="0" applyFont="1" applyBorder="1" applyAlignment="1" applyProtection="1">
      <alignment horizontal="center" vertical="top"/>
    </xf>
    <xf numFmtId="0" fontId="13" fillId="0" borderId="661" xfId="0" applyFont="1" applyBorder="1" applyAlignment="1" applyProtection="1">
      <alignment horizontal="center" vertical="center" wrapText="1"/>
    </xf>
    <xf numFmtId="49" fontId="0" fillId="0" borderId="643" xfId="0" applyNumberFormat="1" applyBorder="1" applyAlignment="1" applyProtection="1">
      <alignment horizontal="center" vertical="center"/>
      <protection locked="0"/>
    </xf>
    <xf numFmtId="49" fontId="21" fillId="0" borderId="647" xfId="4" quotePrefix="1" applyNumberFormat="1" applyFont="1" applyBorder="1" applyAlignment="1">
      <alignment vertical="top"/>
    </xf>
    <xf numFmtId="0" fontId="22" fillId="0" borderId="647" xfId="4" applyNumberFormat="1" applyFont="1" applyBorder="1" applyAlignment="1">
      <alignment horizontal="center" vertical="center" wrapText="1"/>
    </xf>
    <xf numFmtId="0" fontId="23" fillId="0" borderId="653" xfId="0" applyFont="1" applyBorder="1" applyAlignment="1">
      <alignment horizontal="left" vertical="top"/>
    </xf>
    <xf numFmtId="167" fontId="23" fillId="0" borderId="647" xfId="0" applyNumberFormat="1" applyFont="1" applyBorder="1" applyAlignment="1">
      <alignment horizontal="center" vertical="top"/>
    </xf>
    <xf numFmtId="0" fontId="23" fillId="0" borderId="647" xfId="0" applyFont="1" applyBorder="1" applyAlignment="1">
      <alignment horizontal="center" vertical="top"/>
    </xf>
    <xf numFmtId="0" fontId="13" fillId="0" borderId="647" xfId="0" applyFont="1" applyBorder="1" applyAlignment="1">
      <alignment horizontal="center" vertical="center" wrapText="1"/>
    </xf>
    <xf numFmtId="0" fontId="0" fillId="0" borderId="379" xfId="0" applyBorder="1"/>
    <xf numFmtId="49" fontId="55" fillId="0" borderId="647" xfId="16" applyBorder="1">
      <alignment horizontal="center" vertical="center" wrapText="1"/>
    </xf>
    <xf numFmtId="0" fontId="30" fillId="0" borderId="663" xfId="0" applyFont="1" applyBorder="1" applyAlignment="1" applyProtection="1">
      <alignment horizontal="center" vertical="center" wrapText="1"/>
      <protection locked="0"/>
    </xf>
    <xf numFmtId="0" fontId="30" fillId="0" borderId="643" xfId="0" applyFont="1" applyBorder="1" applyAlignment="1" applyProtection="1">
      <alignment horizontal="center" vertical="center" wrapText="1"/>
      <protection locked="0"/>
    </xf>
    <xf numFmtId="0" fontId="22" fillId="0" borderId="662" xfId="4" applyFont="1" applyBorder="1" applyAlignment="1">
      <alignment horizontal="center" vertical="center"/>
    </xf>
    <xf numFmtId="0" fontId="81" fillId="0" borderId="647" xfId="16" applyNumberFormat="1" applyFont="1" applyBorder="1">
      <alignment horizontal="center" vertical="center" wrapText="1"/>
    </xf>
    <xf numFmtId="0" fontId="15" fillId="0" borderId="643" xfId="4" applyFont="1" applyBorder="1" applyAlignment="1" applyProtection="1">
      <alignment horizontal="center" vertical="center" wrapText="1"/>
      <protection locked="0"/>
    </xf>
    <xf numFmtId="166" fontId="21" fillId="0" borderId="653" xfId="4" quotePrefix="1" applyNumberFormat="1" applyFont="1" applyBorder="1" applyAlignment="1">
      <alignment horizontal="left" vertical="top"/>
    </xf>
    <xf numFmtId="1" fontId="26" fillId="36" borderId="666" xfId="9" applyFill="1" applyBorder="1" applyAlignment="1" applyProtection="1">
      <alignment horizontal="center" vertical="center" wrapText="1"/>
      <protection locked="0"/>
    </xf>
    <xf numFmtId="49" fontId="0" fillId="0" borderId="667" xfId="0" applyNumberFormat="1" applyBorder="1" applyAlignment="1" applyProtection="1">
      <alignment horizontal="center" vertical="center"/>
      <protection locked="0"/>
    </xf>
    <xf numFmtId="0" fontId="21" fillId="0" borderId="656" xfId="4" applyFont="1" applyBorder="1" applyAlignment="1" applyProtection="1">
      <alignment horizontal="left" vertical="top" wrapText="1"/>
    </xf>
    <xf numFmtId="0" fontId="21" fillId="0" borderId="669" xfId="4" quotePrefix="1" applyNumberFormat="1" applyFont="1" applyBorder="1" applyAlignment="1">
      <alignment horizontal="center" vertical="center" wrapText="1"/>
    </xf>
    <xf numFmtId="0" fontId="21" fillId="0" borderId="672" xfId="4" applyNumberFormat="1" applyFont="1" applyBorder="1" applyAlignment="1">
      <alignment horizontal="center" vertical="center" wrapText="1"/>
    </xf>
    <xf numFmtId="0" fontId="21" fillId="0" borderId="675" xfId="4" quotePrefix="1" applyNumberFormat="1" applyFont="1" applyBorder="1" applyAlignment="1">
      <alignment horizontal="center" vertical="center" wrapText="1"/>
    </xf>
    <xf numFmtId="0" fontId="21" fillId="0" borderId="678" xfId="4" quotePrefix="1" applyNumberFormat="1" applyFont="1" applyBorder="1" applyAlignment="1">
      <alignment horizontal="center" vertical="center" wrapText="1"/>
    </xf>
    <xf numFmtId="0" fontId="21" fillId="0" borderId="681" xfId="4" applyNumberFormat="1" applyFont="1" applyBorder="1" applyAlignment="1">
      <alignment horizontal="center" vertical="center" wrapText="1"/>
    </xf>
    <xf numFmtId="1" fontId="26" fillId="10" borderId="666" xfId="9" applyBorder="1" applyProtection="1">
      <alignment horizontal="center" vertical="center"/>
      <protection locked="0"/>
    </xf>
    <xf numFmtId="1" fontId="26" fillId="10" borderId="652" xfId="9" applyBorder="1" applyProtection="1">
      <alignment horizontal="center" vertical="center"/>
      <protection locked="0"/>
    </xf>
    <xf numFmtId="167" fontId="21" fillId="0" borderId="597" xfId="4" applyNumberFormat="1" applyFont="1" applyBorder="1" applyAlignment="1">
      <alignment horizontal="right" vertical="top"/>
    </xf>
    <xf numFmtId="0" fontId="49" fillId="0" borderId="662" xfId="4" applyNumberFormat="1" applyFont="1" applyBorder="1" applyAlignment="1">
      <alignment horizontal="center" vertical="center" wrapText="1"/>
    </xf>
    <xf numFmtId="0" fontId="15" fillId="0" borderId="601" xfId="4" applyFont="1" applyBorder="1" applyAlignment="1">
      <alignment horizontal="center" vertical="center"/>
    </xf>
    <xf numFmtId="0" fontId="30" fillId="0" borderId="601" xfId="0" applyFont="1" applyBorder="1" applyAlignment="1">
      <alignment horizontal="center" vertical="center" wrapText="1"/>
    </xf>
    <xf numFmtId="0" fontId="30" fillId="0" borderId="640" xfId="0" applyFont="1" applyBorder="1" applyAlignment="1">
      <alignment horizontal="center" vertical="center" wrapText="1"/>
    </xf>
    <xf numFmtId="0" fontId="15" fillId="0" borderId="688" xfId="4" applyFont="1" applyBorder="1" applyAlignment="1">
      <alignment horizontal="center" vertical="center"/>
    </xf>
    <xf numFmtId="0" fontId="30" fillId="0" borderId="688" xfId="0" applyFont="1" applyBorder="1" applyAlignment="1">
      <alignment horizontal="center" vertical="center" wrapText="1"/>
    </xf>
    <xf numFmtId="0" fontId="30" fillId="0" borderId="689" xfId="0" applyFont="1" applyBorder="1" applyAlignment="1">
      <alignment horizontal="center" vertical="center" wrapText="1"/>
    </xf>
    <xf numFmtId="0" fontId="22" fillId="0" borderId="662" xfId="4" applyNumberFormat="1" applyFont="1" applyBorder="1" applyAlignment="1">
      <alignment horizontal="center" vertical="center" wrapText="1"/>
    </xf>
    <xf numFmtId="167" fontId="21" fillId="0" borderId="690" xfId="4" applyNumberFormat="1" applyFont="1" applyBorder="1" applyAlignment="1">
      <alignment horizontal="center" vertical="top"/>
    </xf>
    <xf numFmtId="167" fontId="21" fillId="0" borderId="690" xfId="4" applyNumberFormat="1" applyFont="1" applyBorder="1" applyAlignment="1">
      <alignment vertical="top"/>
    </xf>
    <xf numFmtId="0" fontId="22" fillId="0" borderId="690" xfId="4" applyNumberFormat="1" applyFont="1" applyBorder="1" applyAlignment="1">
      <alignment horizontal="center" vertical="center" wrapText="1"/>
    </xf>
    <xf numFmtId="0" fontId="23" fillId="7" borderId="3" xfId="0" applyFont="1" applyFill="1" applyBorder="1" applyAlignment="1">
      <alignment horizontal="center" vertical="center"/>
    </xf>
    <xf numFmtId="0" fontId="15" fillId="7" borderId="3" xfId="4" applyFont="1" applyFill="1" applyBorder="1" applyAlignment="1">
      <alignment horizontal="center" vertical="center"/>
    </xf>
    <xf numFmtId="0" fontId="15" fillId="7" borderId="3" xfId="4" applyNumberFormat="1" applyFont="1" applyFill="1" applyBorder="1" applyAlignment="1">
      <alignment horizontal="center" vertical="center" wrapText="1"/>
    </xf>
    <xf numFmtId="0" fontId="21" fillId="3" borderId="0" xfId="4" applyFont="1" applyFill="1" applyBorder="1" applyAlignment="1"/>
    <xf numFmtId="0" fontId="0" fillId="3" borderId="0" xfId="0" applyFill="1" applyProtection="1"/>
    <xf numFmtId="0" fontId="13" fillId="7" borderId="3" xfId="0" applyFont="1" applyFill="1" applyBorder="1" applyAlignment="1">
      <alignment horizontal="center" vertical="center"/>
    </xf>
    <xf numFmtId="1" fontId="22" fillId="7" borderId="3" xfId="4" applyNumberFormat="1" applyFont="1" applyFill="1" applyBorder="1" applyAlignment="1">
      <alignment horizontal="center" vertical="center" wrapText="1"/>
    </xf>
    <xf numFmtId="0" fontId="22" fillId="7" borderId="3" xfId="4" applyNumberFormat="1" applyFont="1" applyFill="1" applyBorder="1" applyAlignment="1">
      <alignment horizontal="center" vertical="center" wrapText="1"/>
    </xf>
    <xf numFmtId="1" fontId="14" fillId="7" borderId="3" xfId="4" applyNumberFormat="1" applyFont="1" applyFill="1" applyBorder="1" applyAlignment="1">
      <alignment horizontal="center" vertical="center" wrapText="1"/>
    </xf>
    <xf numFmtId="0" fontId="14" fillId="7" borderId="3" xfId="4" applyNumberFormat="1" applyFont="1" applyFill="1" applyBorder="1" applyAlignment="1">
      <alignment horizontal="center" vertical="center" wrapText="1"/>
    </xf>
    <xf numFmtId="1" fontId="22" fillId="7" borderId="3" xfId="4" applyNumberFormat="1" applyFont="1" applyFill="1" applyBorder="1" applyAlignment="1">
      <alignment horizontal="center" vertical="center"/>
    </xf>
    <xf numFmtId="0" fontId="21" fillId="7" borderId="3" xfId="4" applyFont="1" applyFill="1" applyBorder="1" applyAlignment="1">
      <alignment horizontal="center" vertical="center"/>
    </xf>
    <xf numFmtId="0" fontId="3" fillId="3" borderId="0" xfId="0" applyFont="1" applyFill="1" applyAlignment="1">
      <alignment vertical="top" wrapText="1"/>
    </xf>
    <xf numFmtId="0" fontId="3" fillId="3" borderId="8" xfId="0" applyFont="1" applyFill="1" applyBorder="1" applyAlignment="1">
      <alignment horizontal="center" vertical="center" wrapText="1"/>
    </xf>
    <xf numFmtId="0" fontId="3" fillId="3" borderId="574" xfId="0" applyFont="1" applyFill="1" applyBorder="1" applyAlignment="1">
      <alignment vertical="top" wrapText="1"/>
    </xf>
    <xf numFmtId="0" fontId="3" fillId="3" borderId="273" xfId="0" applyFont="1" applyFill="1" applyBorder="1" applyAlignment="1">
      <alignment horizontal="center" vertical="center" wrapText="1"/>
    </xf>
    <xf numFmtId="0" fontId="23" fillId="3" borderId="257" xfId="0" applyNumberFormat="1" applyFont="1" applyFill="1" applyBorder="1" applyAlignment="1">
      <alignment wrapText="1"/>
    </xf>
    <xf numFmtId="0" fontId="23" fillId="3" borderId="408" xfId="0" applyNumberFormat="1" applyFont="1" applyFill="1" applyBorder="1" applyAlignment="1">
      <alignment wrapText="1"/>
    </xf>
    <xf numFmtId="0" fontId="69" fillId="0" borderId="0" xfId="0" applyFont="1" applyAlignment="1">
      <alignment vertical="top" wrapText="1"/>
    </xf>
    <xf numFmtId="0" fontId="23" fillId="0" borderId="8" xfId="0" applyFont="1" applyBorder="1" applyAlignment="1">
      <alignment vertical="center" wrapText="1"/>
    </xf>
    <xf numFmtId="1" fontId="133" fillId="3" borderId="0" xfId="0" applyNumberFormat="1" applyFont="1" applyFill="1" applyAlignment="1">
      <alignment vertical="center" wrapText="1"/>
    </xf>
    <xf numFmtId="0" fontId="41" fillId="0" borderId="0" xfId="4" applyFont="1" applyBorder="1" applyAlignment="1">
      <alignment vertical="top"/>
    </xf>
    <xf numFmtId="15" fontId="0" fillId="0" borderId="694" xfId="0" applyNumberFormat="1" applyBorder="1"/>
    <xf numFmtId="0" fontId="0" fillId="0" borderId="694" xfId="0" applyBorder="1"/>
    <xf numFmtId="15" fontId="0" fillId="0" borderId="694" xfId="0" applyNumberFormat="1" applyFont="1" applyBorder="1" applyAlignment="1">
      <alignment vertical="top"/>
    </xf>
    <xf numFmtId="0" fontId="0" fillId="0" borderId="694" xfId="0" applyFont="1" applyFill="1" applyBorder="1"/>
    <xf numFmtId="0" fontId="23" fillId="3" borderId="0" xfId="0" applyFont="1" applyFill="1" applyBorder="1" applyAlignment="1">
      <alignment vertical="center"/>
    </xf>
    <xf numFmtId="0" fontId="23" fillId="3" borderId="0" xfId="0" applyFont="1" applyFill="1" applyBorder="1" applyAlignment="1">
      <alignment horizontal="right" vertical="center"/>
    </xf>
    <xf numFmtId="0" fontId="0" fillId="3" borderId="0" xfId="0" applyFont="1" applyFill="1" applyProtection="1"/>
    <xf numFmtId="1" fontId="130" fillId="3" borderId="0" xfId="0" applyNumberFormat="1" applyFont="1" applyFill="1" applyAlignment="1">
      <alignment horizontal="center" vertical="center" wrapText="1"/>
    </xf>
    <xf numFmtId="0" fontId="6" fillId="0" borderId="0" xfId="2" applyFill="1" applyAlignment="1">
      <alignment horizontal="left" vertical="center"/>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0" xfId="0" applyBorder="1" applyAlignment="1">
      <alignment horizontal="right" vertical="center" wrapText="1"/>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3" fillId="0" borderId="0" xfId="0" applyFont="1" applyBorder="1" applyAlignment="1">
      <alignment horizontal="right"/>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0" fillId="0" borderId="0" xfId="0" applyBorder="1" applyAlignment="1">
      <alignment horizontal="left" vertical="top" wrapText="1"/>
    </xf>
    <xf numFmtId="0" fontId="0" fillId="0" borderId="13" xfId="0" applyBorder="1" applyAlignment="1">
      <alignment horizontal="left" vertical="top" wrapText="1"/>
    </xf>
    <xf numFmtId="0" fontId="23" fillId="0" borderId="0" xfId="0" applyFont="1" applyBorder="1" applyAlignment="1">
      <alignment horizontal="left" vertical="top" wrapText="1"/>
    </xf>
    <xf numFmtId="0" fontId="23" fillId="0" borderId="0" xfId="0" applyFont="1" applyBorder="1" applyAlignment="1">
      <alignment horizontal="left" vertical="top"/>
    </xf>
    <xf numFmtId="0" fontId="0" fillId="0" borderId="0" xfId="0" applyBorder="1" applyAlignment="1">
      <alignment horizontal="left" vertical="top"/>
    </xf>
    <xf numFmtId="0" fontId="0" fillId="0" borderId="0" xfId="0" applyBorder="1" applyAlignment="1">
      <alignment horizontal="right" vertical="center"/>
    </xf>
    <xf numFmtId="0" fontId="0" fillId="0" borderId="0" xfId="0"/>
    <xf numFmtId="0" fontId="0" fillId="0" borderId="694" xfId="0" applyFont="1" applyBorder="1"/>
    <xf numFmtId="0" fontId="3" fillId="3" borderId="694" xfId="0" applyFont="1" applyFill="1" applyBorder="1"/>
    <xf numFmtId="15" fontId="0" fillId="3" borderId="694" xfId="0" applyNumberFormat="1" applyFill="1" applyBorder="1"/>
    <xf numFmtId="0" fontId="0" fillId="3" borderId="694" xfId="0" applyFont="1" applyFill="1" applyBorder="1"/>
    <xf numFmtId="0" fontId="0" fillId="0" borderId="0" xfId="0" applyAlignment="1">
      <alignment horizontal="right"/>
    </xf>
    <xf numFmtId="0" fontId="23" fillId="0" borderId="601" xfId="0" applyFont="1" applyBorder="1" applyAlignment="1">
      <alignment horizontal="center" vertical="center" wrapText="1"/>
    </xf>
    <xf numFmtId="0" fontId="0" fillId="0" borderId="0" xfId="0"/>
    <xf numFmtId="0" fontId="22" fillId="0" borderId="214" xfId="0" applyFont="1" applyBorder="1" applyAlignment="1" applyProtection="1">
      <alignment horizontal="center" vertical="center" wrapText="1"/>
    </xf>
    <xf numFmtId="0" fontId="22" fillId="0" borderId="201" xfId="0" applyFont="1" applyBorder="1" applyAlignment="1" applyProtection="1">
      <alignment horizontal="center" vertical="center" wrapText="1"/>
    </xf>
    <xf numFmtId="0" fontId="22" fillId="0" borderId="230" xfId="0" applyFont="1" applyBorder="1" applyAlignment="1" applyProtection="1">
      <alignment horizontal="center" vertical="center" wrapText="1"/>
    </xf>
    <xf numFmtId="0" fontId="23" fillId="3" borderId="462" xfId="6" applyFont="1" applyFill="1" applyBorder="1" applyAlignment="1" applyProtection="1">
      <alignment horizontal="left" vertical="top" wrapText="1"/>
    </xf>
    <xf numFmtId="1" fontId="21" fillId="28" borderId="230" xfId="0" applyNumberFormat="1" applyFont="1" applyFill="1" applyBorder="1" applyAlignment="1" applyProtection="1">
      <alignment horizontal="center" vertical="center" wrapText="1"/>
    </xf>
    <xf numFmtId="1" fontId="21" fillId="0" borderId="599" xfId="0" applyNumberFormat="1" applyFont="1" applyBorder="1" applyAlignment="1" applyProtection="1">
      <alignment horizontal="center" vertical="center" wrapText="1"/>
    </xf>
    <xf numFmtId="1" fontId="21" fillId="0" borderId="214" xfId="0" applyNumberFormat="1" applyFont="1" applyBorder="1" applyAlignment="1" applyProtection="1">
      <alignment horizontal="center" vertical="center" wrapText="1"/>
    </xf>
    <xf numFmtId="1" fontId="21" fillId="0" borderId="214" xfId="0" applyNumberFormat="1" applyFont="1" applyBorder="1" applyAlignment="1" applyProtection="1">
      <alignment horizontal="left" vertical="center" wrapText="1"/>
      <protection locked="0"/>
    </xf>
    <xf numFmtId="1" fontId="21" fillId="41" borderId="599" xfId="0" applyNumberFormat="1" applyFont="1" applyFill="1" applyBorder="1" applyAlignment="1" applyProtection="1">
      <alignment horizontal="center" vertical="center" wrapText="1"/>
      <protection locked="0"/>
    </xf>
    <xf numFmtId="0" fontId="23" fillId="3" borderId="603" xfId="0" applyFont="1" applyFill="1" applyBorder="1" applyAlignment="1" applyProtection="1">
      <alignment horizontal="left" vertical="top" wrapText="1"/>
    </xf>
    <xf numFmtId="1" fontId="21" fillId="0" borderId="201" xfId="0" applyNumberFormat="1" applyFont="1" applyBorder="1" applyAlignment="1" applyProtection="1">
      <alignment horizontal="center" vertical="center" wrapText="1"/>
    </xf>
    <xf numFmtId="1" fontId="21" fillId="0" borderId="599" xfId="0" applyNumberFormat="1" applyFont="1" applyFill="1" applyBorder="1" applyAlignment="1" applyProtection="1">
      <alignment horizontal="center" vertical="center" wrapText="1"/>
      <protection locked="0"/>
    </xf>
    <xf numFmtId="0" fontId="22" fillId="0" borderId="599" xfId="0" applyFont="1" applyBorder="1" applyAlignment="1" applyProtection="1">
      <alignment horizontal="center" vertical="center" wrapText="1"/>
    </xf>
    <xf numFmtId="1" fontId="21" fillId="0" borderId="605" xfId="0" applyNumberFormat="1" applyFont="1" applyBorder="1" applyAlignment="1" applyProtection="1">
      <alignment horizontal="left" vertical="center" wrapText="1"/>
      <protection locked="0"/>
    </xf>
    <xf numFmtId="1" fontId="21" fillId="0" borderId="230" xfId="0" applyNumberFormat="1" applyFont="1" applyBorder="1" applyAlignment="1" applyProtection="1">
      <alignment horizontal="center" vertical="center" wrapText="1"/>
    </xf>
    <xf numFmtId="0" fontId="22" fillId="0" borderId="599" xfId="0" applyFont="1" applyBorder="1" applyAlignment="1" applyProtection="1">
      <alignment horizontal="center" vertical="center"/>
    </xf>
    <xf numFmtId="1" fontId="21" fillId="0" borderId="599" xfId="0" applyNumberFormat="1" applyFont="1" applyBorder="1" applyAlignment="1" applyProtection="1">
      <alignment horizontal="left" vertical="center" wrapText="1"/>
    </xf>
    <xf numFmtId="1" fontId="21" fillId="0" borderId="603" xfId="0" applyNumberFormat="1" applyFont="1" applyBorder="1" applyAlignment="1" applyProtection="1">
      <alignment horizontal="center" vertical="center" wrapText="1"/>
      <protection locked="0"/>
    </xf>
    <xf numFmtId="1" fontId="21" fillId="0" borderId="202" xfId="0" applyNumberFormat="1" applyFont="1" applyBorder="1" applyAlignment="1" applyProtection="1">
      <alignment horizontal="center" vertical="center" wrapText="1"/>
      <protection locked="0"/>
    </xf>
    <xf numFmtId="0" fontId="21" fillId="0" borderId="201" xfId="0" applyFont="1" applyBorder="1" applyAlignment="1" applyProtection="1">
      <alignment horizontal="center" vertical="center" wrapText="1"/>
    </xf>
    <xf numFmtId="0" fontId="22" fillId="3" borderId="599" xfId="0" applyFont="1" applyFill="1" applyBorder="1" applyAlignment="1" applyProtection="1">
      <alignment horizontal="center" vertical="center" wrapText="1"/>
    </xf>
    <xf numFmtId="1" fontId="21" fillId="3" borderId="599" xfId="0" applyNumberFormat="1" applyFont="1" applyFill="1" applyBorder="1" applyAlignment="1" applyProtection="1">
      <alignment horizontal="center" vertical="center" wrapText="1"/>
    </xf>
    <xf numFmtId="1" fontId="21" fillId="3" borderId="214" xfId="0" applyNumberFormat="1" applyFont="1" applyFill="1" applyBorder="1" applyAlignment="1" applyProtection="1">
      <alignment horizontal="center" vertical="center" wrapText="1"/>
    </xf>
    <xf numFmtId="1" fontId="21" fillId="0" borderId="599" xfId="0" applyNumberFormat="1" applyFont="1" applyFill="1" applyBorder="1" applyAlignment="1" applyProtection="1">
      <alignment horizontal="center" vertical="center" wrapText="1"/>
    </xf>
    <xf numFmtId="1" fontId="21" fillId="0" borderId="603" xfId="0" applyNumberFormat="1" applyFont="1" applyFill="1" applyBorder="1" applyAlignment="1" applyProtection="1">
      <alignment horizontal="center" vertical="center" wrapText="1"/>
      <protection locked="0"/>
    </xf>
    <xf numFmtId="1" fontId="21" fillId="41" borderId="603" xfId="0" applyNumberFormat="1" applyFont="1" applyFill="1" applyBorder="1" applyAlignment="1" applyProtection="1">
      <alignment horizontal="center" vertical="center" wrapText="1"/>
      <protection locked="0"/>
    </xf>
    <xf numFmtId="0" fontId="0" fillId="0" borderId="214" xfId="0" applyBorder="1" applyAlignment="1" applyProtection="1">
      <alignment horizontal="center" vertical="center" wrapText="1"/>
      <protection locked="0"/>
    </xf>
    <xf numFmtId="1" fontId="21" fillId="28" borderId="224" xfId="0" applyNumberFormat="1" applyFont="1" applyFill="1" applyBorder="1" applyAlignment="1" applyProtection="1">
      <alignment horizontal="center" vertical="center" wrapText="1"/>
    </xf>
    <xf numFmtId="1" fontId="21" fillId="28" borderId="202" xfId="0" applyNumberFormat="1" applyFont="1" applyFill="1" applyBorder="1" applyAlignment="1" applyProtection="1">
      <alignment horizontal="center" vertical="center" wrapText="1"/>
    </xf>
    <xf numFmtId="1" fontId="21" fillId="67" borderId="202" xfId="0" applyNumberFormat="1" applyFont="1" applyFill="1" applyBorder="1" applyAlignment="1" applyProtection="1">
      <alignment horizontal="center" vertical="center" wrapText="1"/>
    </xf>
    <xf numFmtId="0" fontId="28" fillId="3" borderId="0" xfId="0" applyFont="1" applyFill="1" applyBorder="1" applyAlignment="1" applyProtection="1">
      <alignment horizontal="center" vertical="center"/>
    </xf>
    <xf numFmtId="0" fontId="0" fillId="3" borderId="0" xfId="0" applyFont="1" applyFill="1" applyBorder="1" applyAlignment="1"/>
    <xf numFmtId="0" fontId="3" fillId="3" borderId="603" xfId="0" applyFont="1" applyFill="1" applyBorder="1" applyAlignment="1" applyProtection="1">
      <alignment vertical="top" wrapText="1"/>
    </xf>
    <xf numFmtId="1" fontId="130" fillId="3" borderId="647" xfId="0" applyNumberFormat="1" applyFont="1" applyFill="1" applyBorder="1" applyAlignment="1" applyProtection="1">
      <alignment horizontal="center" vertical="center" wrapText="1"/>
    </xf>
    <xf numFmtId="0" fontId="22" fillId="0" borderId="215" xfId="0" applyFont="1" applyBorder="1" applyAlignment="1" applyProtection="1">
      <alignment horizontal="right"/>
    </xf>
    <xf numFmtId="0" fontId="22" fillId="0" borderId="215" xfId="0" applyFont="1" applyBorder="1" applyAlignment="1" applyProtection="1">
      <alignment horizontal="right" vertical="center"/>
    </xf>
    <xf numFmtId="0" fontId="22" fillId="0" borderId="215" xfId="0" applyFont="1" applyFill="1" applyBorder="1" applyAlignment="1" applyProtection="1">
      <alignment horizontal="right"/>
    </xf>
    <xf numFmtId="0" fontId="7" fillId="0" borderId="215" xfId="0" applyFont="1" applyBorder="1" applyAlignment="1">
      <alignment horizontal="right"/>
    </xf>
    <xf numFmtId="0" fontId="134" fillId="8" borderId="647" xfId="6" applyFont="1" applyBorder="1" applyAlignment="1" applyProtection="1">
      <alignment horizontal="center" vertical="center" wrapText="1"/>
    </xf>
    <xf numFmtId="0" fontId="134" fillId="8" borderId="710" xfId="6" applyFont="1" applyBorder="1" applyAlignment="1" applyProtection="1">
      <alignment horizontal="center" vertical="center" wrapText="1"/>
    </xf>
    <xf numFmtId="0" fontId="134" fillId="8" borderId="603" xfId="6" applyFont="1" applyBorder="1" applyAlignment="1" applyProtection="1">
      <alignment horizontal="left" vertical="center" wrapText="1"/>
    </xf>
    <xf numFmtId="0" fontId="134" fillId="8" borderId="647" xfId="6" applyFont="1" applyFill="1" applyBorder="1" applyAlignment="1" applyProtection="1">
      <alignment horizontal="left" vertical="center" wrapText="1"/>
    </xf>
    <xf numFmtId="0" fontId="30" fillId="8" borderId="647" xfId="0" applyFont="1" applyFill="1" applyBorder="1"/>
    <xf numFmtId="0" fontId="30" fillId="8" borderId="712" xfId="0" applyFont="1" applyFill="1" applyBorder="1"/>
    <xf numFmtId="0" fontId="134" fillId="8" borderId="202" xfId="6" applyFont="1" applyBorder="1" applyAlignment="1" applyProtection="1">
      <alignment horizontal="left" vertical="center" wrapText="1"/>
    </xf>
    <xf numFmtId="0" fontId="22" fillId="0" borderId="601" xfId="0" applyFont="1" applyBorder="1" applyAlignment="1" applyProtection="1">
      <alignment horizontal="left" vertical="top" wrapText="1" indent="4"/>
    </xf>
    <xf numFmtId="0" fontId="22" fillId="0" borderId="601" xfId="0" applyFont="1" applyBorder="1" applyAlignment="1" applyProtection="1">
      <alignment horizontal="center" vertical="center" wrapText="1"/>
    </xf>
    <xf numFmtId="1" fontId="21" fillId="0" borderId="601" xfId="0" applyNumberFormat="1" applyFont="1" applyBorder="1" applyAlignment="1" applyProtection="1">
      <alignment horizontal="center" vertical="center" wrapText="1"/>
    </xf>
    <xf numFmtId="1" fontId="21" fillId="0" borderId="618" xfId="0" applyNumberFormat="1" applyFont="1" applyBorder="1" applyAlignment="1" applyProtection="1">
      <alignment horizontal="center" vertical="center" wrapText="1"/>
      <protection locked="0"/>
    </xf>
    <xf numFmtId="1" fontId="21" fillId="41" borderId="601" xfId="0" applyNumberFormat="1" applyFont="1" applyFill="1" applyBorder="1" applyAlignment="1" applyProtection="1">
      <alignment horizontal="center" vertical="center" wrapText="1"/>
      <protection locked="0"/>
    </xf>
    <xf numFmtId="1" fontId="21" fillId="0" borderId="618" xfId="0" applyNumberFormat="1" applyFont="1" applyBorder="1" applyAlignment="1" applyProtection="1">
      <alignment horizontal="left" vertical="center" wrapText="1"/>
      <protection locked="0"/>
    </xf>
    <xf numFmtId="0" fontId="22" fillId="0" borderId="599" xfId="0" applyFont="1" applyBorder="1" applyAlignment="1" applyProtection="1">
      <alignment horizontal="left" vertical="top" wrapText="1" indent="4"/>
    </xf>
    <xf numFmtId="0" fontId="21" fillId="0" borderId="599" xfId="0" applyFont="1" applyFill="1" applyBorder="1" applyAlignment="1" applyProtection="1">
      <alignment horizontal="left" vertical="top" wrapText="1"/>
    </xf>
    <xf numFmtId="0" fontId="22" fillId="0" borderId="601" xfId="0" applyFont="1" applyBorder="1" applyAlignment="1" applyProtection="1">
      <alignment horizontal="left" vertical="top" wrapText="1"/>
    </xf>
    <xf numFmtId="1" fontId="21" fillId="41" borderId="618" xfId="0" applyNumberFormat="1" applyFont="1" applyFill="1" applyBorder="1" applyAlignment="1" applyProtection="1">
      <alignment horizontal="center" vertical="center" wrapText="1"/>
      <protection locked="0"/>
    </xf>
    <xf numFmtId="0" fontId="22" fillId="0" borderId="599" xfId="0" applyFont="1" applyBorder="1" applyAlignment="1" applyProtection="1">
      <alignment horizontal="left" vertical="top" wrapText="1"/>
    </xf>
    <xf numFmtId="1" fontId="21" fillId="0" borderId="603" xfId="0" applyNumberFormat="1" applyFont="1" applyBorder="1" applyAlignment="1" applyProtection="1">
      <alignment horizontal="left" vertical="center" wrapText="1"/>
      <protection locked="0"/>
    </xf>
    <xf numFmtId="0" fontId="22" fillId="0" borderId="601" xfId="0" applyFont="1" applyFill="1" applyBorder="1" applyAlignment="1" applyProtection="1">
      <alignment horizontal="center" vertical="center" wrapText="1"/>
    </xf>
    <xf numFmtId="0" fontId="21" fillId="0" borderId="601" xfId="0" applyFont="1" applyFill="1" applyBorder="1" applyAlignment="1" applyProtection="1">
      <alignment horizontal="center" vertical="center" wrapText="1"/>
    </xf>
    <xf numFmtId="0" fontId="21" fillId="0" borderId="618" xfId="0" applyFont="1" applyFill="1" applyBorder="1" applyAlignment="1" applyProtection="1">
      <alignment horizontal="center" vertical="center" wrapText="1"/>
      <protection locked="0"/>
    </xf>
    <xf numFmtId="0" fontId="21" fillId="22" borderId="603" xfId="0" applyFont="1" applyFill="1" applyBorder="1" applyAlignment="1" applyProtection="1">
      <alignment horizontal="left" vertical="top" wrapText="1" indent="4"/>
    </xf>
    <xf numFmtId="0" fontId="22" fillId="0" borderId="601" xfId="0" applyFont="1" applyBorder="1" applyAlignment="1" applyProtection="1">
      <alignment horizontal="left" vertical="top" wrapText="1" indent="6"/>
    </xf>
    <xf numFmtId="1" fontId="21" fillId="0" borderId="618" xfId="0" applyNumberFormat="1" applyFont="1" applyFill="1" applyBorder="1" applyAlignment="1" applyProtection="1">
      <alignment horizontal="center" vertical="center" wrapText="1"/>
      <protection locked="0"/>
    </xf>
    <xf numFmtId="0" fontId="22" fillId="0" borderId="601" xfId="0" applyFont="1" applyBorder="1" applyAlignment="1" applyProtection="1">
      <alignment horizontal="center" vertical="center"/>
    </xf>
    <xf numFmtId="0" fontId="22" fillId="0" borderId="601" xfId="0" applyFont="1" applyFill="1" applyBorder="1" applyAlignment="1" applyProtection="1">
      <alignment horizontal="center" vertical="center"/>
    </xf>
    <xf numFmtId="0" fontId="22" fillId="0" borderId="601" xfId="0" applyFont="1" applyBorder="1" applyAlignment="1" applyProtection="1">
      <alignment horizontal="left" vertical="top" wrapText="1" indent="1"/>
    </xf>
    <xf numFmtId="0" fontId="22" fillId="22" borderId="603" xfId="0" applyFont="1" applyFill="1" applyBorder="1" applyAlignment="1" applyProtection="1">
      <alignment horizontal="left" vertical="top" wrapText="1" indent="4"/>
    </xf>
    <xf numFmtId="0" fontId="22" fillId="0" borderId="210" xfId="0" applyFont="1" applyBorder="1" applyAlignment="1" applyProtection="1">
      <alignment horizontal="left" vertical="top" wrapText="1"/>
    </xf>
    <xf numFmtId="0" fontId="21" fillId="22" borderId="603" xfId="0" applyFont="1" applyFill="1" applyBorder="1" applyAlignment="1" applyProtection="1">
      <alignment horizontal="left" indent="4"/>
    </xf>
    <xf numFmtId="1" fontId="22" fillId="0" borderId="601" xfId="0" applyNumberFormat="1" applyFont="1" applyBorder="1" applyAlignment="1" applyProtection="1">
      <alignment horizontal="center" vertical="center" wrapText="1"/>
    </xf>
    <xf numFmtId="0" fontId="21" fillId="0" borderId="601" xfId="0" applyNumberFormat="1" applyFont="1" applyBorder="1" applyAlignment="1" applyProtection="1">
      <alignment horizontal="center" vertical="center" wrapText="1"/>
    </xf>
    <xf numFmtId="0" fontId="22" fillId="0" borderId="218" xfId="0" applyFont="1" applyBorder="1" applyAlignment="1" applyProtection="1">
      <alignment horizontal="left" vertical="top" wrapText="1"/>
    </xf>
    <xf numFmtId="1" fontId="21" fillId="0" borderId="713" xfId="0" applyNumberFormat="1" applyFont="1" applyBorder="1" applyAlignment="1" applyProtection="1">
      <alignment horizontal="center" vertical="center" wrapText="1"/>
      <protection locked="0"/>
    </xf>
    <xf numFmtId="0" fontId="22" fillId="0" borderId="604" xfId="0" applyFont="1" applyBorder="1" applyAlignment="1" applyProtection="1">
      <alignment horizontal="center" vertical="center"/>
    </xf>
    <xf numFmtId="1" fontId="21" fillId="28" borderId="603" xfId="0" applyNumberFormat="1" applyFont="1" applyFill="1" applyBorder="1" applyAlignment="1" applyProtection="1">
      <alignment horizontal="center" vertical="center" wrapText="1"/>
    </xf>
    <xf numFmtId="0" fontId="22" fillId="0" borderId="218" xfId="0" applyFont="1" applyBorder="1" applyAlignment="1" applyProtection="1">
      <alignment horizontal="left" vertical="top" wrapText="1" indent="6"/>
    </xf>
    <xf numFmtId="0" fontId="13" fillId="0" borderId="601" xfId="0" applyFont="1" applyBorder="1" applyAlignment="1">
      <alignment horizontal="left" indent="4"/>
    </xf>
    <xf numFmtId="0" fontId="13" fillId="0" borderId="601" xfId="0" applyFont="1" applyBorder="1" applyAlignment="1">
      <alignment horizontal="center" vertical="center"/>
    </xf>
    <xf numFmtId="1" fontId="0" fillId="0" borderId="601" xfId="0" applyNumberFormat="1" applyFont="1" applyBorder="1" applyAlignment="1">
      <alignment horizontal="center" vertical="center"/>
    </xf>
    <xf numFmtId="1" fontId="0" fillId="0" borderId="599" xfId="0" applyNumberFormat="1" applyFont="1" applyBorder="1" applyAlignment="1" applyProtection="1">
      <alignment vertical="center"/>
    </xf>
    <xf numFmtId="0" fontId="13" fillId="0" borderId="599" xfId="0" applyFont="1" applyBorder="1" applyAlignment="1">
      <alignment horizontal="left" indent="4"/>
    </xf>
    <xf numFmtId="0" fontId="13" fillId="0" borderId="599" xfId="0" applyFont="1" applyBorder="1" applyAlignment="1">
      <alignment horizontal="center" vertical="center"/>
    </xf>
    <xf numFmtId="1" fontId="0" fillId="0" borderId="599" xfId="0" applyNumberFormat="1" applyFont="1" applyBorder="1" applyAlignment="1">
      <alignment horizontal="center" vertical="center"/>
    </xf>
    <xf numFmtId="1" fontId="0" fillId="0" borderId="697" xfId="0" applyNumberFormat="1" applyFont="1" applyBorder="1" applyAlignment="1" applyProtection="1">
      <alignment horizontal="left" vertical="center"/>
    </xf>
    <xf numFmtId="0" fontId="13" fillId="0" borderId="230" xfId="0" applyFont="1" applyBorder="1" applyAlignment="1">
      <alignment horizontal="left"/>
    </xf>
    <xf numFmtId="0" fontId="13" fillId="0" borderId="210" xfId="0" applyFont="1" applyFill="1" applyBorder="1" applyAlignment="1">
      <alignment horizontal="left" vertical="top" wrapText="1"/>
    </xf>
    <xf numFmtId="1" fontId="0" fillId="22" borderId="601" xfId="0" applyNumberFormat="1" applyFont="1" applyFill="1" applyBorder="1" applyAlignment="1" applyProtection="1">
      <alignment horizontal="center"/>
    </xf>
    <xf numFmtId="0" fontId="0" fillId="22" borderId="597" xfId="0" applyFont="1" applyFill="1" applyBorder="1" applyAlignment="1" applyProtection="1"/>
    <xf numFmtId="0" fontId="22" fillId="0" borderId="601" xfId="0" applyFont="1" applyBorder="1" applyAlignment="1" applyProtection="1">
      <alignment horizontal="left" vertical="center" indent="4"/>
    </xf>
    <xf numFmtId="0" fontId="22" fillId="0" borderId="218" xfId="0" applyFont="1" applyBorder="1" applyAlignment="1" applyProtection="1">
      <alignment horizontal="left" vertical="top" wrapText="1" indent="4"/>
    </xf>
    <xf numFmtId="0" fontId="22" fillId="0" borderId="222" xfId="0" applyFont="1" applyBorder="1" applyAlignment="1" applyProtection="1">
      <alignment vertical="top" wrapText="1"/>
    </xf>
    <xf numFmtId="0" fontId="22" fillId="0" borderId="210" xfId="0" applyFont="1" applyBorder="1" applyAlignment="1" applyProtection="1">
      <alignment vertical="top" wrapText="1"/>
    </xf>
    <xf numFmtId="0" fontId="21" fillId="0" borderId="601" xfId="0" applyFont="1" applyBorder="1" applyAlignment="1" applyProtection="1">
      <alignment horizontal="left" vertical="top" wrapText="1" indent="4"/>
    </xf>
    <xf numFmtId="0" fontId="21" fillId="0" borderId="601" xfId="0" applyFont="1" applyBorder="1" applyAlignment="1" applyProtection="1">
      <alignment horizontal="center" vertical="center" wrapText="1"/>
    </xf>
    <xf numFmtId="0" fontId="21" fillId="0" borderId="218" xfId="0" applyFont="1" applyBorder="1" applyAlignment="1" applyProtection="1">
      <alignment horizontal="left" vertical="top" wrapText="1" indent="4"/>
    </xf>
    <xf numFmtId="0" fontId="81" fillId="3" borderId="601" xfId="6" applyFont="1" applyFill="1" applyBorder="1" applyAlignment="1" applyProtection="1">
      <alignment horizontal="left" vertical="top" wrapText="1"/>
    </xf>
    <xf numFmtId="0" fontId="81" fillId="3" borderId="720" xfId="6" applyFont="1" applyFill="1" applyBorder="1" applyAlignment="1" applyProtection="1">
      <alignment horizontal="left" vertical="top" wrapText="1"/>
    </xf>
    <xf numFmtId="0" fontId="81" fillId="3" borderId="728" xfId="6" applyFont="1" applyFill="1" applyBorder="1" applyAlignment="1" applyProtection="1">
      <alignment horizontal="left" vertical="top" wrapText="1"/>
    </xf>
    <xf numFmtId="0" fontId="81" fillId="3" borderId="729" xfId="6" applyFont="1" applyFill="1" applyBorder="1" applyAlignment="1" applyProtection="1">
      <alignment horizontal="left" vertical="top" wrapText="1"/>
    </xf>
    <xf numFmtId="0" fontId="23" fillId="3" borderId="704" xfId="6" applyFont="1" applyFill="1" applyBorder="1" applyAlignment="1" applyProtection="1">
      <alignment horizontal="left" vertical="top" wrapText="1"/>
    </xf>
    <xf numFmtId="0" fontId="81" fillId="3" borderId="728" xfId="6" applyFont="1" applyFill="1" applyBorder="1" applyAlignment="1" applyProtection="1">
      <alignment horizontal="left" vertical="top" wrapText="1" indent="4"/>
    </xf>
    <xf numFmtId="0" fontId="81" fillId="3" borderId="729" xfId="6" applyFont="1" applyFill="1" applyBorder="1" applyAlignment="1" applyProtection="1">
      <alignment horizontal="left" vertical="top" wrapText="1" indent="4"/>
    </xf>
    <xf numFmtId="0" fontId="81" fillId="0" borderId="731" xfId="6" applyFont="1" applyFill="1" applyBorder="1" applyAlignment="1" applyProtection="1">
      <alignment horizontal="left" vertical="top" wrapText="1"/>
    </xf>
    <xf numFmtId="0" fontId="81" fillId="0" borderId="728" xfId="6" applyFont="1" applyFill="1" applyBorder="1" applyAlignment="1" applyProtection="1">
      <alignment horizontal="left" vertical="top" wrapText="1" indent="4"/>
    </xf>
    <xf numFmtId="0" fontId="81" fillId="0" borderId="729" xfId="6" applyFont="1" applyFill="1" applyBorder="1" applyAlignment="1" applyProtection="1">
      <alignment horizontal="left" vertical="top" wrapText="1" indent="4"/>
    </xf>
    <xf numFmtId="0" fontId="128" fillId="0" borderId="601" xfId="0" applyFont="1" applyBorder="1" applyAlignment="1" applyProtection="1">
      <alignment horizontal="center" vertical="center" wrapText="1"/>
    </xf>
    <xf numFmtId="1" fontId="21" fillId="68" borderId="618" xfId="0" applyNumberFormat="1" applyFont="1" applyFill="1" applyBorder="1" applyAlignment="1" applyProtection="1">
      <alignment horizontal="center" vertical="center" wrapText="1"/>
    </xf>
    <xf numFmtId="1" fontId="21" fillId="28" borderId="618" xfId="0" applyNumberFormat="1" applyFont="1" applyFill="1" applyBorder="1" applyAlignment="1" applyProtection="1">
      <alignment horizontal="center" vertical="center" wrapText="1"/>
    </xf>
    <xf numFmtId="0" fontId="22" fillId="0" borderId="601" xfId="0" applyFont="1" applyBorder="1" applyAlignment="1" applyProtection="1">
      <alignment horizontal="left" vertical="top" wrapText="1" indent="3"/>
    </xf>
    <xf numFmtId="0" fontId="22" fillId="0" borderId="222" xfId="0" applyFont="1" applyBorder="1" applyAlignment="1" applyProtection="1">
      <alignment horizontal="left" vertical="top" wrapText="1"/>
    </xf>
    <xf numFmtId="0" fontId="13" fillId="3" borderId="601" xfId="6" applyFont="1" applyFill="1" applyBorder="1" applyProtection="1">
      <alignment horizontal="center" vertical="center" wrapText="1"/>
    </xf>
    <xf numFmtId="0" fontId="28" fillId="0" borderId="601" xfId="0" applyFont="1" applyBorder="1" applyAlignment="1" applyProtection="1">
      <alignment horizontal="center" vertical="center" wrapText="1"/>
    </xf>
    <xf numFmtId="0" fontId="22" fillId="0" borderId="230" xfId="0" applyFont="1" applyBorder="1" applyAlignment="1" applyProtection="1">
      <alignment vertical="top" wrapText="1"/>
    </xf>
    <xf numFmtId="1" fontId="21" fillId="0" borderId="603" xfId="0" applyNumberFormat="1" applyFont="1" applyBorder="1" applyAlignment="1" applyProtection="1">
      <alignment horizontal="left" vertical="center" wrapText="1"/>
    </xf>
    <xf numFmtId="0" fontId="22" fillId="0" borderId="214" xfId="0" applyFont="1" applyBorder="1" applyAlignment="1" applyProtection="1">
      <alignment vertical="top" wrapText="1"/>
    </xf>
    <xf numFmtId="1" fontId="21" fillId="24" borderId="601" xfId="0" applyNumberFormat="1" applyFont="1" applyFill="1" applyBorder="1" applyAlignment="1" applyProtection="1">
      <alignment horizontal="center" vertical="center" wrapText="1"/>
    </xf>
    <xf numFmtId="0" fontId="22" fillId="0" borderId="599" xfId="0" applyFont="1" applyBorder="1" applyAlignment="1" applyProtection="1">
      <alignment vertical="top" wrapText="1"/>
    </xf>
    <xf numFmtId="1" fontId="16" fillId="0" borderId="599" xfId="0" applyNumberFormat="1" applyFont="1" applyBorder="1" applyAlignment="1" applyProtection="1">
      <alignment horizontal="center" vertical="center" wrapText="1"/>
      <protection locked="0"/>
    </xf>
    <xf numFmtId="0" fontId="63" fillId="0" borderId="601" xfId="4" applyNumberFormat="1" applyFont="1" applyBorder="1" applyAlignment="1">
      <alignment horizontal="center" vertical="center" wrapText="1"/>
    </xf>
    <xf numFmtId="1" fontId="56" fillId="0" borderId="601" xfId="0" applyNumberFormat="1" applyFont="1" applyBorder="1" applyAlignment="1" applyProtection="1">
      <alignment horizontal="center" vertical="center" wrapText="1"/>
    </xf>
    <xf numFmtId="0" fontId="22" fillId="0" borderId="601" xfId="4" applyNumberFormat="1" applyFont="1" applyBorder="1" applyAlignment="1">
      <alignment horizontal="center" vertical="center" wrapText="1"/>
    </xf>
    <xf numFmtId="0" fontId="23" fillId="0" borderId="612" xfId="0" applyFont="1" applyBorder="1" applyAlignment="1" applyProtection="1">
      <alignment horizontal="left" vertical="top" wrapText="1"/>
    </xf>
    <xf numFmtId="0" fontId="22" fillId="0" borderId="601" xfId="0" applyFont="1" applyBorder="1" applyAlignment="1" applyProtection="1">
      <alignment vertical="top" wrapText="1"/>
    </xf>
    <xf numFmtId="0" fontId="22" fillId="0" borderId="210" xfId="0" applyFont="1" applyBorder="1" applyAlignment="1" applyProtection="1">
      <alignment vertical="top"/>
    </xf>
    <xf numFmtId="0" fontId="22" fillId="0" borderId="601" xfId="0" applyFont="1" applyBorder="1" applyAlignment="1" applyProtection="1">
      <alignment horizontal="left" vertical="top" indent="2"/>
    </xf>
    <xf numFmtId="0" fontId="22" fillId="22" borderId="601" xfId="0" applyFont="1" applyFill="1" applyBorder="1" applyAlignment="1" applyProtection="1">
      <alignment horizontal="left" vertical="top" indent="2"/>
    </xf>
    <xf numFmtId="0" fontId="22" fillId="22" borderId="618" xfId="0" applyFont="1" applyFill="1" applyBorder="1" applyAlignment="1" applyProtection="1">
      <alignment horizontal="left" vertical="center"/>
    </xf>
    <xf numFmtId="0" fontId="22" fillId="22" borderId="618" xfId="0" applyFont="1" applyFill="1" applyBorder="1" applyAlignment="1" applyProtection="1">
      <alignment horizontal="left" vertical="top" indent="2"/>
    </xf>
    <xf numFmtId="0" fontId="22" fillId="0" borderId="210" xfId="0" applyFont="1" applyBorder="1" applyAlignment="1" applyProtection="1">
      <alignment horizontal="left" vertical="top" indent="2"/>
    </xf>
    <xf numFmtId="1" fontId="21" fillId="34" borderId="618" xfId="0" applyNumberFormat="1" applyFont="1" applyFill="1" applyBorder="1" applyAlignment="1" applyProtection="1">
      <alignment horizontal="center" vertical="center" wrapText="1"/>
      <protection locked="0"/>
    </xf>
    <xf numFmtId="0" fontId="28" fillId="3" borderId="601" xfId="0" applyFont="1" applyFill="1" applyBorder="1" applyAlignment="1" applyProtection="1">
      <alignment horizontal="center" vertical="center"/>
    </xf>
    <xf numFmtId="0" fontId="23" fillId="3" borderId="612" xfId="0" applyFont="1" applyFill="1" applyBorder="1" applyAlignment="1" applyProtection="1">
      <alignment horizontal="left" vertical="top" wrapText="1"/>
    </xf>
    <xf numFmtId="1" fontId="21" fillId="28" borderId="599" xfId="0" applyNumberFormat="1" applyFont="1" applyFill="1" applyBorder="1" applyAlignment="1" applyProtection="1">
      <alignment horizontal="center" vertical="center" wrapText="1"/>
    </xf>
    <xf numFmtId="1" fontId="21" fillId="28" borderId="603" xfId="0" applyNumberFormat="1" applyFont="1" applyFill="1" applyBorder="1" applyAlignment="1" applyProtection="1">
      <alignment horizontal="center" vertical="center" wrapText="1"/>
      <protection locked="0"/>
    </xf>
    <xf numFmtId="1" fontId="21" fillId="34" borderId="603" xfId="0" applyNumberFormat="1" applyFont="1" applyFill="1" applyBorder="1" applyAlignment="1" applyProtection="1">
      <alignment horizontal="left" vertical="center" wrapText="1"/>
    </xf>
    <xf numFmtId="0" fontId="22" fillId="0" borderId="601" xfId="0" applyFont="1" applyBorder="1" applyAlignment="1" applyProtection="1">
      <alignment horizontal="left" vertical="top" wrapText="1" indent="8"/>
    </xf>
    <xf numFmtId="0" fontId="28" fillId="3" borderId="601" xfId="0" applyFont="1" applyFill="1" applyBorder="1" applyAlignment="1" applyProtection="1">
      <alignment horizontal="center" vertical="center" wrapText="1"/>
    </xf>
    <xf numFmtId="0" fontId="21" fillId="3" borderId="618" xfId="0" applyFont="1" applyFill="1" applyBorder="1" applyAlignment="1" applyProtection="1">
      <alignment horizontal="center" vertical="center"/>
      <protection locked="0"/>
    </xf>
    <xf numFmtId="0" fontId="21" fillId="3" borderId="599" xfId="0" applyFont="1" applyFill="1" applyBorder="1" applyAlignment="1" applyProtection="1">
      <alignment horizontal="center" vertical="center" wrapText="1"/>
    </xf>
    <xf numFmtId="0" fontId="21" fillId="0" borderId="603" xfId="0" applyFont="1" applyFill="1" applyBorder="1" applyAlignment="1" applyProtection="1">
      <alignment horizontal="center" vertical="center" wrapText="1"/>
      <protection locked="0"/>
    </xf>
    <xf numFmtId="0" fontId="21" fillId="3" borderId="603" xfId="0" applyFont="1" applyFill="1" applyBorder="1" applyAlignment="1" applyProtection="1">
      <alignment horizontal="center" vertical="center" wrapText="1"/>
      <protection locked="0"/>
    </xf>
    <xf numFmtId="0" fontId="22" fillId="0" borderId="210" xfId="0" applyFont="1" applyBorder="1" applyAlignment="1" applyProtection="1">
      <alignment horizontal="left" vertical="top" wrapText="1" indent="2"/>
    </xf>
    <xf numFmtId="0" fontId="22" fillId="0" borderId="201" xfId="0" applyFont="1" applyBorder="1" applyAlignment="1" applyProtection="1">
      <alignment vertical="top" wrapText="1"/>
    </xf>
    <xf numFmtId="0" fontId="22" fillId="0" borderId="601" xfId="0" applyFont="1" applyBorder="1" applyAlignment="1" applyProtection="1">
      <alignment horizontal="left" vertical="top" wrapText="1" indent="2"/>
    </xf>
    <xf numFmtId="0" fontId="22" fillId="28" borderId="601" xfId="0" applyFont="1" applyFill="1" applyBorder="1" applyAlignment="1" applyProtection="1">
      <alignment horizontal="center" vertical="center" wrapText="1"/>
    </xf>
    <xf numFmtId="1" fontId="21" fillId="28" borderId="601" xfId="0" applyNumberFormat="1" applyFont="1" applyFill="1" applyBorder="1" applyAlignment="1" applyProtection="1">
      <alignment horizontal="center" vertical="center" wrapText="1"/>
    </xf>
    <xf numFmtId="0" fontId="22" fillId="0" borderId="218" xfId="0" applyFont="1" applyBorder="1" applyAlignment="1" applyProtection="1">
      <alignment horizontal="left" vertical="top" wrapText="1" indent="2"/>
    </xf>
    <xf numFmtId="0" fontId="22" fillId="22" borderId="601" xfId="0" applyFont="1" applyFill="1" applyBorder="1" applyAlignment="1" applyProtection="1">
      <alignment horizontal="left" vertical="top" wrapText="1" indent="2"/>
    </xf>
    <xf numFmtId="0" fontId="22" fillId="22" borderId="618" xfId="0" applyFont="1" applyFill="1" applyBorder="1" applyAlignment="1" applyProtection="1">
      <alignment horizontal="left" vertical="center" wrapText="1"/>
    </xf>
    <xf numFmtId="0" fontId="22" fillId="22" borderId="618" xfId="0" applyFont="1" applyFill="1" applyBorder="1" applyAlignment="1" applyProtection="1">
      <alignment horizontal="left" vertical="top" wrapText="1" indent="2"/>
    </xf>
    <xf numFmtId="0" fontId="23" fillId="3" borderId="604" xfId="0" applyFont="1" applyFill="1" applyBorder="1" applyAlignment="1" applyProtection="1">
      <alignment horizontal="left" vertical="top" wrapText="1"/>
    </xf>
    <xf numFmtId="0" fontId="22" fillId="3" borderId="601" xfId="0" applyFont="1" applyFill="1" applyBorder="1" applyAlignment="1" applyProtection="1">
      <alignment horizontal="center" vertical="center" wrapText="1"/>
    </xf>
    <xf numFmtId="0" fontId="21" fillId="3" borderId="601" xfId="0" applyFont="1" applyFill="1" applyBorder="1" applyAlignment="1" applyProtection="1">
      <alignment horizontal="center" vertical="center" wrapText="1"/>
    </xf>
    <xf numFmtId="0" fontId="21" fillId="68" borderId="618" xfId="0" applyFont="1" applyFill="1" applyBorder="1" applyAlignment="1" applyProtection="1">
      <alignment horizontal="center" vertical="center" wrapText="1"/>
    </xf>
    <xf numFmtId="0" fontId="21" fillId="3" borderId="618" xfId="0" applyFont="1" applyFill="1" applyBorder="1" applyAlignment="1" applyProtection="1">
      <alignment horizontal="center" vertical="center" wrapText="1"/>
      <protection locked="0"/>
    </xf>
    <xf numFmtId="1" fontId="21" fillId="28" borderId="618" xfId="0" applyNumberFormat="1" applyFont="1" applyFill="1" applyBorder="1" applyAlignment="1" applyProtection="1">
      <alignment horizontal="left" vertical="center" wrapText="1"/>
    </xf>
    <xf numFmtId="1" fontId="21" fillId="3" borderId="601" xfId="0" applyNumberFormat="1" applyFont="1" applyFill="1" applyBorder="1" applyAlignment="1" applyProtection="1">
      <alignment horizontal="center" vertical="center" wrapText="1"/>
    </xf>
    <xf numFmtId="1" fontId="21" fillId="3" borderId="618" xfId="0" applyNumberFormat="1" applyFont="1" applyFill="1" applyBorder="1" applyAlignment="1" applyProtection="1">
      <alignment horizontal="center" vertical="center" wrapText="1"/>
      <protection locked="0"/>
    </xf>
    <xf numFmtId="0" fontId="21" fillId="68" borderId="603" xfId="0" applyFont="1" applyFill="1" applyBorder="1" applyAlignment="1" applyProtection="1">
      <alignment horizontal="center" vertical="center" wrapText="1"/>
    </xf>
    <xf numFmtId="0" fontId="23" fillId="12" borderId="292" xfId="0" applyFont="1" applyFill="1" applyBorder="1" applyAlignment="1" applyProtection="1"/>
    <xf numFmtId="0" fontId="21" fillId="0" borderId="601" xfId="0" applyFont="1" applyBorder="1" applyAlignment="1" applyProtection="1">
      <alignment horizontal="left" vertical="top" wrapText="1" indent="8"/>
    </xf>
    <xf numFmtId="0" fontId="22" fillId="0" borderId="599" xfId="0" applyFont="1" applyBorder="1" applyAlignment="1" applyProtection="1">
      <alignment horizontal="left" vertical="top" wrapText="1" indent="8"/>
    </xf>
    <xf numFmtId="0" fontId="22" fillId="0" borderId="201" xfId="0" applyFont="1" applyBorder="1" applyAlignment="1" applyProtection="1">
      <alignment horizontal="left" vertical="top" wrapText="1"/>
    </xf>
    <xf numFmtId="0" fontId="23" fillId="25" borderId="612" xfId="0" applyFont="1" applyFill="1" applyBorder="1" applyAlignment="1" applyProtection="1"/>
    <xf numFmtId="0" fontId="21" fillId="0" borderId="599" xfId="0" applyFont="1" applyBorder="1" applyAlignment="1" applyProtection="1">
      <alignment horizontal="left" vertical="top" wrapText="1" indent="8"/>
    </xf>
    <xf numFmtId="0" fontId="71" fillId="0" borderId="601" xfId="0" applyFont="1" applyBorder="1" applyAlignment="1">
      <alignment horizontal="center" vertical="center" wrapText="1"/>
    </xf>
    <xf numFmtId="1" fontId="56" fillId="0" borderId="601" xfId="0" applyNumberFormat="1" applyFont="1" applyFill="1" applyBorder="1" applyAlignment="1" applyProtection="1">
      <alignment horizontal="center" vertical="center" wrapText="1"/>
    </xf>
    <xf numFmtId="1" fontId="56" fillId="0" borderId="603" xfId="0" applyNumberFormat="1" applyFont="1" applyFill="1" applyBorder="1" applyAlignment="1" applyProtection="1">
      <alignment horizontal="center" vertical="center" wrapText="1"/>
      <protection locked="0"/>
    </xf>
    <xf numFmtId="0" fontId="21" fillId="0" borderId="601" xfId="0" applyNumberFormat="1" applyFont="1" applyFill="1" applyBorder="1" applyAlignment="1" applyProtection="1">
      <alignment horizontal="center" vertical="center" wrapText="1"/>
    </xf>
    <xf numFmtId="0" fontId="21" fillId="41" borderId="618" xfId="0" applyNumberFormat="1" applyFont="1" applyFill="1" applyBorder="1" applyAlignment="1" applyProtection="1">
      <alignment horizontal="center" vertical="center" wrapText="1"/>
    </xf>
    <xf numFmtId="0" fontId="21" fillId="67" borderId="618" xfId="0" applyNumberFormat="1" applyFont="1" applyFill="1" applyBorder="1" applyAlignment="1" applyProtection="1">
      <alignment horizontal="center" vertical="center" wrapText="1"/>
    </xf>
    <xf numFmtId="0" fontId="21" fillId="0" borderId="618" xfId="0" applyNumberFormat="1" applyFont="1" applyFill="1" applyBorder="1" applyAlignment="1" applyProtection="1">
      <alignment horizontal="center" vertical="center" wrapText="1"/>
      <protection locked="0"/>
    </xf>
    <xf numFmtId="1" fontId="21" fillId="41" borderId="618" xfId="0" applyNumberFormat="1" applyFont="1" applyFill="1" applyBorder="1" applyAlignment="1" applyProtection="1">
      <alignment horizontal="center" vertical="center" wrapText="1"/>
    </xf>
    <xf numFmtId="0" fontId="22" fillId="0" borderId="201" xfId="0" applyNumberFormat="1" applyFont="1" applyBorder="1" applyAlignment="1" applyProtection="1">
      <alignment horizontal="left" vertical="top" wrapText="1" indent="4"/>
    </xf>
    <xf numFmtId="0" fontId="22" fillId="22" borderId="601" xfId="0" applyFont="1" applyFill="1" applyBorder="1" applyAlignment="1" applyProtection="1">
      <alignment horizontal="center" vertical="center" wrapText="1"/>
    </xf>
    <xf numFmtId="0" fontId="22" fillId="22" borderId="601" xfId="0" applyFont="1" applyFill="1" applyBorder="1" applyAlignment="1" applyProtection="1">
      <alignment horizontal="left" vertical="top" wrapText="1" indent="4"/>
    </xf>
    <xf numFmtId="0" fontId="22" fillId="22" borderId="618" xfId="0" applyFont="1" applyFill="1" applyBorder="1" applyAlignment="1" applyProtection="1">
      <alignment horizontal="left" vertical="top" wrapText="1" indent="4"/>
    </xf>
    <xf numFmtId="1" fontId="21" fillId="68" borderId="713" xfId="0" applyNumberFormat="1" applyFont="1" applyFill="1" applyBorder="1" applyAlignment="1" applyProtection="1">
      <alignment horizontal="center" vertical="center" wrapText="1"/>
    </xf>
    <xf numFmtId="0" fontId="21" fillId="0" borderId="214" xfId="0" applyFont="1" applyBorder="1" applyAlignment="1" applyProtection="1">
      <alignment vertical="top" wrapText="1"/>
    </xf>
    <xf numFmtId="0" fontId="23" fillId="70" borderId="605" xfId="0" applyFont="1" applyFill="1" applyBorder="1" applyAlignment="1" applyProtection="1">
      <alignment horizontal="left" vertical="top" wrapText="1"/>
    </xf>
    <xf numFmtId="0" fontId="21" fillId="0" borderId="214" xfId="0" applyFont="1" applyBorder="1" applyAlignment="1" applyProtection="1">
      <alignment horizontal="left" vertical="top" wrapText="1" indent="4"/>
    </xf>
    <xf numFmtId="0" fontId="22" fillId="0" borderId="697" xfId="0" applyFont="1" applyBorder="1" applyAlignment="1" applyProtection="1">
      <alignment vertical="top" wrapText="1"/>
    </xf>
    <xf numFmtId="0" fontId="22" fillId="22" borderId="697" xfId="0" applyFont="1" applyFill="1" applyBorder="1" applyAlignment="1" applyProtection="1">
      <alignment vertical="top" wrapText="1"/>
    </xf>
    <xf numFmtId="0" fontId="22" fillId="22" borderId="713" xfId="0" applyFont="1" applyFill="1" applyBorder="1" applyAlignment="1" applyProtection="1">
      <alignment vertical="center" wrapText="1"/>
    </xf>
    <xf numFmtId="0" fontId="22" fillId="22" borderId="713" xfId="0" applyFont="1" applyFill="1" applyBorder="1" applyAlignment="1" applyProtection="1">
      <alignment vertical="top" wrapText="1"/>
    </xf>
    <xf numFmtId="1" fontId="56" fillId="0" borderId="618" xfId="0" applyNumberFormat="1" applyFont="1" applyFill="1" applyBorder="1" applyAlignment="1" applyProtection="1">
      <alignment horizontal="center" vertical="center" wrapText="1"/>
      <protection locked="0"/>
    </xf>
    <xf numFmtId="0" fontId="21" fillId="22" borderId="601" xfId="0" applyFont="1" applyFill="1" applyBorder="1" applyAlignment="1" applyProtection="1">
      <alignment horizontal="center" vertical="center" wrapText="1"/>
    </xf>
    <xf numFmtId="0" fontId="21" fillId="22" borderId="601" xfId="0" applyFont="1" applyFill="1" applyBorder="1" applyAlignment="1" applyProtection="1">
      <alignment horizontal="left" wrapText="1" indent="2"/>
    </xf>
    <xf numFmtId="0" fontId="21" fillId="22" borderId="618" xfId="0" applyFont="1" applyFill="1" applyBorder="1" applyAlignment="1" applyProtection="1">
      <alignment horizontal="left" vertical="center" wrapText="1"/>
    </xf>
    <xf numFmtId="0" fontId="21" fillId="22" borderId="618" xfId="0" applyFont="1" applyFill="1" applyBorder="1" applyAlignment="1" applyProtection="1">
      <alignment horizontal="left" wrapText="1" indent="2"/>
    </xf>
    <xf numFmtId="0" fontId="28" fillId="0" borderId="601" xfId="0" applyFont="1" applyFill="1" applyBorder="1" applyAlignment="1" applyProtection="1">
      <alignment horizontal="center" vertical="center" wrapText="1"/>
    </xf>
    <xf numFmtId="0" fontId="21" fillId="67" borderId="603" xfId="0" applyFont="1" applyFill="1" applyBorder="1" applyAlignment="1" applyProtection="1">
      <alignment horizontal="center" vertical="center" wrapText="1"/>
    </xf>
    <xf numFmtId="1" fontId="21" fillId="0" borderId="713" xfId="0" applyNumberFormat="1" applyFont="1" applyFill="1" applyBorder="1" applyAlignment="1" applyProtection="1">
      <alignment horizontal="center" vertical="center" wrapText="1"/>
    </xf>
    <xf numFmtId="0" fontId="56" fillId="3" borderId="601" xfId="0" applyFont="1" applyFill="1" applyBorder="1" applyAlignment="1" applyProtection="1">
      <alignment horizontal="center" vertical="center" wrapText="1"/>
    </xf>
    <xf numFmtId="0" fontId="56" fillId="41" borderId="618" xfId="0" applyFont="1" applyFill="1" applyBorder="1" applyAlignment="1" applyProtection="1">
      <alignment horizontal="center" vertical="center" wrapText="1"/>
    </xf>
    <xf numFmtId="0" fontId="56" fillId="66" borderId="618" xfId="0" applyFont="1" applyFill="1" applyBorder="1" applyAlignment="1" applyProtection="1">
      <alignment horizontal="center" vertical="center" wrapText="1"/>
    </xf>
    <xf numFmtId="0" fontId="21" fillId="3" borderId="618" xfId="0" applyFont="1" applyFill="1" applyBorder="1" applyAlignment="1" applyProtection="1">
      <alignment horizontal="center" vertical="center" wrapText="1"/>
    </xf>
    <xf numFmtId="1" fontId="21" fillId="0" borderId="603" xfId="0" applyNumberFormat="1" applyFont="1" applyFill="1" applyBorder="1" applyAlignment="1" applyProtection="1">
      <alignment horizontal="left" vertical="center" wrapText="1"/>
      <protection locked="0"/>
    </xf>
    <xf numFmtId="1" fontId="21" fillId="22" borderId="601" xfId="0" applyNumberFormat="1" applyFont="1" applyFill="1" applyBorder="1" applyAlignment="1" applyProtection="1">
      <alignment horizontal="center" vertical="center" wrapText="1"/>
    </xf>
    <xf numFmtId="1" fontId="21" fillId="22" borderId="618" xfId="0" applyNumberFormat="1" applyFont="1" applyFill="1" applyBorder="1" applyAlignment="1" applyProtection="1">
      <alignment horizontal="center" vertical="center" wrapText="1"/>
    </xf>
    <xf numFmtId="0" fontId="22" fillId="0" borderId="601" xfId="0" applyNumberFormat="1" applyFont="1" applyBorder="1" applyAlignment="1" applyProtection="1">
      <alignment horizontal="center" vertical="center" wrapText="1"/>
    </xf>
    <xf numFmtId="0" fontId="22" fillId="0" borderId="599" xfId="0" applyNumberFormat="1" applyFont="1" applyBorder="1" applyAlignment="1" applyProtection="1">
      <alignment horizontal="center" vertical="center" wrapText="1"/>
    </xf>
    <xf numFmtId="1" fontId="21" fillId="13" borderId="601" xfId="0" applyNumberFormat="1" applyFont="1" applyFill="1" applyBorder="1" applyAlignment="1" applyProtection="1">
      <alignment horizontal="center" vertical="center" wrapText="1"/>
    </xf>
    <xf numFmtId="1" fontId="21" fillId="70" borderId="618" xfId="0" applyNumberFormat="1" applyFont="1" applyFill="1" applyBorder="1" applyAlignment="1" applyProtection="1">
      <alignment horizontal="center" vertical="center" wrapText="1"/>
    </xf>
    <xf numFmtId="1" fontId="21" fillId="70" borderId="603" xfId="0" applyNumberFormat="1" applyFont="1" applyFill="1" applyBorder="1" applyAlignment="1" applyProtection="1">
      <alignment horizontal="center" vertical="center" wrapText="1"/>
    </xf>
    <xf numFmtId="0" fontId="22" fillId="0" borderId="601" xfId="0" quotePrefix="1" applyFont="1" applyBorder="1" applyAlignment="1" applyProtection="1">
      <alignment horizontal="center" vertical="center" wrapText="1"/>
    </xf>
    <xf numFmtId="0" fontId="13" fillId="0" borderId="601" xfId="0" applyFont="1" applyBorder="1" applyAlignment="1" applyProtection="1">
      <alignment horizontal="center" vertical="center" wrapText="1"/>
    </xf>
    <xf numFmtId="0" fontId="0" fillId="0" borderId="0" xfId="0"/>
    <xf numFmtId="15" fontId="0" fillId="0" borderId="0" xfId="0" applyNumberFormat="1"/>
    <xf numFmtId="0" fontId="0" fillId="0" borderId="0" xfId="0"/>
    <xf numFmtId="0" fontId="17" fillId="3" borderId="12" xfId="5" applyFont="1" applyFill="1" applyBorder="1" applyAlignment="1">
      <alignment wrapText="1"/>
    </xf>
    <xf numFmtId="0" fontId="17" fillId="3" borderId="0" xfId="5" applyFont="1" applyFill="1" applyBorder="1" applyAlignment="1">
      <alignment wrapText="1"/>
    </xf>
    <xf numFmtId="15" fontId="0" fillId="3" borderId="0" xfId="0" applyNumberFormat="1" applyFill="1" applyBorder="1"/>
    <xf numFmtId="0" fontId="17" fillId="0" borderId="13" xfId="5" applyFill="1" applyBorder="1" applyAlignment="1" applyProtection="1">
      <alignment horizontal="center" vertical="center" wrapText="1"/>
      <protection locked="0"/>
    </xf>
    <xf numFmtId="0" fontId="142" fillId="0" borderId="737" xfId="0" applyFont="1" applyBorder="1" applyAlignment="1">
      <alignment horizontal="center" vertical="center" wrapText="1"/>
    </xf>
    <xf numFmtId="0" fontId="141" fillId="0" borderId="416" xfId="0" applyFont="1" applyBorder="1" applyAlignment="1">
      <alignment horizontal="center" vertical="center" wrapText="1"/>
    </xf>
    <xf numFmtId="0" fontId="141" fillId="0" borderId="738" xfId="0" applyFont="1" applyBorder="1" applyAlignment="1">
      <alignment horizontal="center" vertical="center" wrapText="1"/>
    </xf>
    <xf numFmtId="0" fontId="142" fillId="0" borderId="740" xfId="0" applyFont="1" applyBorder="1" applyAlignment="1">
      <alignment horizontal="center" vertical="center" wrapText="1"/>
    </xf>
    <xf numFmtId="0" fontId="142" fillId="0" borderId="413" xfId="0" applyFont="1" applyBorder="1" applyAlignment="1">
      <alignment horizontal="center" vertical="center" wrapText="1"/>
    </xf>
    <xf numFmtId="0" fontId="142" fillId="0" borderId="736" xfId="0" applyFont="1" applyBorder="1" applyAlignment="1">
      <alignment horizontal="center" vertical="center" wrapText="1"/>
    </xf>
    <xf numFmtId="0" fontId="142" fillId="0" borderId="738" xfId="0" applyFont="1" applyBorder="1" applyAlignment="1">
      <alignment horizontal="center" vertical="center" wrapText="1"/>
    </xf>
    <xf numFmtId="0" fontId="142" fillId="71" borderId="736" xfId="0" applyFont="1" applyFill="1" applyBorder="1" applyAlignment="1">
      <alignment horizontal="center" vertical="center" wrapText="1"/>
    </xf>
    <xf numFmtId="0" fontId="142" fillId="71" borderId="738" xfId="0" applyFont="1" applyFill="1" applyBorder="1" applyAlignment="1">
      <alignment horizontal="center" vertical="center" wrapText="1"/>
    </xf>
    <xf numFmtId="0" fontId="142" fillId="0" borderId="416" xfId="0" applyFont="1" applyBorder="1" applyAlignment="1">
      <alignment horizontal="center" vertical="center" wrapText="1"/>
    </xf>
    <xf numFmtId="0" fontId="142" fillId="0" borderId="0" xfId="0" applyFont="1" applyAlignment="1">
      <alignment horizontal="left" vertical="center" indent="2"/>
    </xf>
    <xf numFmtId="0" fontId="142" fillId="0" borderId="0" xfId="0" applyFont="1" applyAlignment="1">
      <alignment horizontal="left" vertical="center"/>
    </xf>
    <xf numFmtId="0" fontId="17" fillId="0" borderId="13" xfId="5" applyBorder="1" applyProtection="1">
      <protection locked="0"/>
    </xf>
    <xf numFmtId="0" fontId="0" fillId="0" borderId="12" xfId="0" applyFont="1" applyBorder="1" applyAlignment="1" applyProtection="1">
      <alignment horizontal="left" vertical="top" wrapText="1"/>
      <protection locked="0"/>
    </xf>
    <xf numFmtId="169" fontId="21" fillId="0" borderId="12" xfId="4" quotePrefix="1" applyNumberFormat="1" applyFont="1" applyFill="1" applyBorder="1" applyAlignment="1">
      <alignment horizontal="left" vertical="top"/>
    </xf>
    <xf numFmtId="169" fontId="21" fillId="0" borderId="12" xfId="3" applyNumberFormat="1" applyFont="1" applyFill="1" applyBorder="1" applyAlignment="1">
      <alignment horizontal="left" vertical="top"/>
    </xf>
    <xf numFmtId="0" fontId="71" fillId="0" borderId="38" xfId="0" applyFont="1" applyBorder="1" applyAlignment="1">
      <alignment horizontal="left" vertical="top" wrapText="1"/>
    </xf>
    <xf numFmtId="169" fontId="23" fillId="0" borderId="31" xfId="0" applyNumberFormat="1" applyFont="1" applyBorder="1" applyAlignment="1">
      <alignment horizontal="left" vertical="top" wrapText="1"/>
    </xf>
    <xf numFmtId="0" fontId="71" fillId="0" borderId="38" xfId="0" applyFont="1" applyBorder="1" applyAlignment="1">
      <alignment horizontal="left" vertical="top"/>
    </xf>
    <xf numFmtId="0" fontId="71" fillId="0" borderId="12" xfId="0" applyFont="1" applyBorder="1" applyAlignment="1">
      <alignment horizontal="left" vertical="top"/>
    </xf>
    <xf numFmtId="0" fontId="71" fillId="0" borderId="67" xfId="0" applyFont="1" applyBorder="1" applyAlignment="1">
      <alignment horizontal="left" vertical="top"/>
    </xf>
    <xf numFmtId="0" fontId="71" fillId="0" borderId="12" xfId="0" applyFont="1" applyBorder="1" applyAlignment="1">
      <alignment horizontal="left" vertical="top" wrapText="1"/>
    </xf>
    <xf numFmtId="0" fontId="71" fillId="0" borderId="12" xfId="0" applyFont="1" applyBorder="1"/>
    <xf numFmtId="0" fontId="71" fillId="0" borderId="12" xfId="0" applyFont="1" applyBorder="1" applyAlignment="1">
      <alignment vertical="top"/>
    </xf>
    <xf numFmtId="0" fontId="71" fillId="0" borderId="67" xfId="0" applyFont="1" applyBorder="1" applyAlignment="1">
      <alignment horizontal="left" vertical="top" wrapText="1"/>
    </xf>
    <xf numFmtId="0" fontId="71" fillId="0" borderId="82" xfId="0" applyFont="1" applyBorder="1" applyAlignment="1">
      <alignment horizontal="left" vertical="top"/>
    </xf>
    <xf numFmtId="0" fontId="71" fillId="0" borderId="309" xfId="0" applyFont="1" applyBorder="1" applyAlignment="1">
      <alignment horizontal="left" vertical="top"/>
    </xf>
    <xf numFmtId="0" fontId="71" fillId="0" borderId="310" xfId="0" applyFont="1" applyBorder="1" applyAlignment="1">
      <alignment horizontal="left" vertical="top"/>
    </xf>
    <xf numFmtId="169" fontId="71" fillId="0" borderId="31" xfId="0" applyNumberFormat="1" applyFont="1" applyBorder="1" applyAlignment="1">
      <alignment horizontal="left" vertical="top" wrapText="1"/>
    </xf>
    <xf numFmtId="0" fontId="0" fillId="0" borderId="13" xfId="0" applyBorder="1" applyAlignment="1"/>
    <xf numFmtId="0" fontId="23" fillId="0" borderId="0" xfId="0" applyFont="1" applyBorder="1" applyAlignment="1">
      <alignment vertical="top" wrapText="1"/>
    </xf>
    <xf numFmtId="166" fontId="23" fillId="0" borderId="12" xfId="0" applyNumberFormat="1" applyFont="1" applyBorder="1" applyAlignment="1">
      <alignment horizontal="left" vertical="top"/>
    </xf>
    <xf numFmtId="0" fontId="30" fillId="0" borderId="13"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xf>
    <xf numFmtId="0" fontId="23" fillId="32" borderId="0" xfId="22" applyBorder="1">
      <alignment horizontal="left" vertical="top" wrapText="1"/>
      <protection locked="0"/>
    </xf>
    <xf numFmtId="0" fontId="23" fillId="0" borderId="12" xfId="0" applyFont="1" applyBorder="1" applyAlignment="1" applyProtection="1">
      <alignment horizontal="left" vertical="top"/>
    </xf>
    <xf numFmtId="0" fontId="21" fillId="0" borderId="13" xfId="0" applyFont="1" applyBorder="1" applyAlignment="1" applyProtection="1">
      <alignment horizontal="center" vertical="center" wrapText="1"/>
      <protection locked="0"/>
    </xf>
    <xf numFmtId="167" fontId="28" fillId="0" borderId="0" xfId="19" applyFont="1" applyBorder="1" applyAlignment="1" applyProtection="1">
      <alignment horizontal="left" vertical="top" wrapText="1"/>
    </xf>
    <xf numFmtId="167" fontId="23" fillId="0" borderId="0" xfId="0" applyNumberFormat="1" applyFont="1" applyBorder="1" applyAlignment="1" applyProtection="1">
      <alignment horizontal="center" vertical="top"/>
    </xf>
    <xf numFmtId="0" fontId="23" fillId="0" borderId="0" xfId="0" applyFont="1" applyBorder="1" applyAlignment="1" applyProtection="1">
      <alignment horizontal="center" vertical="top"/>
    </xf>
    <xf numFmtId="0" fontId="23" fillId="9" borderId="13" xfId="8" applyBorder="1">
      <alignment horizontal="left" vertical="top" wrapText="1"/>
    </xf>
    <xf numFmtId="0" fontId="146" fillId="0" borderId="0" xfId="0" applyFont="1" applyBorder="1" applyAlignment="1">
      <alignment horizontal="center" vertical="center"/>
    </xf>
    <xf numFmtId="0" fontId="147" fillId="0" borderId="0" xfId="0" applyFont="1" applyBorder="1" applyAlignment="1" applyProtection="1">
      <alignment horizontal="center" vertical="center" wrapText="1"/>
    </xf>
    <xf numFmtId="167" fontId="22" fillId="0" borderId="12" xfId="19" applyFont="1" applyBorder="1" applyAlignment="1" applyProtection="1">
      <alignment horizontal="left" vertical="top"/>
    </xf>
    <xf numFmtId="1" fontId="15" fillId="10" borderId="15" xfId="9" applyFont="1" applyBorder="1" applyAlignment="1">
      <alignment horizontal="center" vertical="center" wrapText="1"/>
      <protection locked="0"/>
    </xf>
    <xf numFmtId="1" fontId="26" fillId="36" borderId="0" xfId="9" applyFill="1" applyBorder="1" applyProtection="1">
      <alignment horizontal="center" vertical="center"/>
      <protection locked="0"/>
    </xf>
    <xf numFmtId="1" fontId="26" fillId="36" borderId="285" xfId="9" applyFill="1" applyBorder="1" applyAlignment="1">
      <alignment horizontal="center" vertical="center" wrapText="1"/>
      <protection locked="0"/>
    </xf>
    <xf numFmtId="1" fontId="85" fillId="36" borderId="285" xfId="9" applyFont="1" applyFill="1" applyBorder="1" applyAlignment="1" applyProtection="1">
      <alignment horizontal="center" vertical="center" wrapText="1"/>
      <protection locked="0"/>
    </xf>
    <xf numFmtId="1" fontId="22" fillId="10" borderId="480" xfId="9" applyFont="1" applyBorder="1" applyAlignment="1" applyProtection="1">
      <alignment horizontal="center" vertical="center" wrapText="1"/>
      <protection locked="0"/>
    </xf>
    <xf numFmtId="1" fontId="99" fillId="10" borderId="15" xfId="9" applyFont="1" applyBorder="1" applyAlignment="1" applyProtection="1">
      <alignment horizontal="center" vertical="center" wrapText="1"/>
      <protection locked="0"/>
    </xf>
    <xf numFmtId="1" fontId="99" fillId="10" borderId="170" xfId="9" applyFont="1" applyBorder="1" applyAlignment="1" applyProtection="1">
      <alignment horizontal="center" vertical="center" wrapText="1"/>
      <protection locked="0"/>
    </xf>
    <xf numFmtId="1" fontId="85" fillId="10" borderId="170" xfId="9" applyFont="1" applyBorder="1" applyAlignment="1" applyProtection="1">
      <alignment horizontal="center" vertical="center" wrapText="1"/>
      <protection locked="0"/>
    </xf>
    <xf numFmtId="1" fontId="85" fillId="10" borderId="16" xfId="9" applyFont="1" applyBorder="1" applyAlignment="1" applyProtection="1">
      <alignment horizontal="center" vertical="center" wrapText="1"/>
      <protection locked="0"/>
    </xf>
    <xf numFmtId="1" fontId="85" fillId="10" borderId="344" xfId="9" applyFont="1" applyBorder="1" applyAlignment="1" applyProtection="1">
      <alignment horizontal="center" vertical="center" wrapText="1"/>
      <protection locked="0"/>
    </xf>
    <xf numFmtId="49" fontId="20" fillId="0" borderId="0" xfId="7" applyFill="1" applyBorder="1">
      <alignment horizontal="left" vertical="center" wrapText="1"/>
    </xf>
    <xf numFmtId="49" fontId="78" fillId="0" borderId="0" xfId="7" applyFont="1" applyFill="1" applyBorder="1" applyAlignment="1">
      <alignment horizontal="left" vertical="center" wrapText="1"/>
    </xf>
    <xf numFmtId="0" fontId="0" fillId="0" borderId="0" xfId="0" applyFont="1" applyAlignment="1">
      <alignment horizontal="left" vertical="center" wrapText="1"/>
    </xf>
    <xf numFmtId="9" fontId="15" fillId="6" borderId="1" xfId="4" applyNumberFormat="1" applyFont="1" applyFill="1" applyBorder="1" applyAlignment="1" applyProtection="1">
      <alignment horizontal="center" vertical="center"/>
    </xf>
    <xf numFmtId="0" fontId="20" fillId="0" borderId="0" xfId="7" applyNumberFormat="1" applyFill="1" applyBorder="1">
      <alignment horizontal="left" vertical="center" wrapText="1"/>
    </xf>
    <xf numFmtId="0" fontId="0" fillId="0" borderId="0" xfId="0" applyNumberFormat="1"/>
    <xf numFmtId="1" fontId="78" fillId="0" borderId="0" xfId="7" applyNumberFormat="1" applyFont="1" applyFill="1" applyBorder="1">
      <alignment horizontal="left" vertical="center" wrapText="1"/>
    </xf>
    <xf numFmtId="1" fontId="20" fillId="0" borderId="0" xfId="7" applyNumberFormat="1" applyFill="1" applyBorder="1">
      <alignment horizontal="left" vertical="center" wrapText="1"/>
    </xf>
    <xf numFmtId="9" fontId="22" fillId="6" borderId="1" xfId="4" applyNumberFormat="1" applyFont="1" applyFill="1" applyBorder="1" applyAlignment="1" applyProtection="1">
      <alignment horizontal="center" vertical="center"/>
    </xf>
    <xf numFmtId="0" fontId="21" fillId="0" borderId="0" xfId="4" applyNumberFormat="1" applyFont="1" applyFill="1" applyBorder="1" applyAlignment="1">
      <alignment vertical="top" wrapText="1"/>
    </xf>
    <xf numFmtId="0" fontId="21" fillId="0" borderId="0" xfId="4" applyNumberFormat="1" applyFont="1" applyFill="1" applyBorder="1" applyAlignment="1">
      <alignment horizontal="center" vertical="top" wrapText="1"/>
    </xf>
    <xf numFmtId="0" fontId="0" fillId="0" borderId="0" xfId="0" applyAlignment="1">
      <alignment vertical="top" wrapText="1"/>
    </xf>
    <xf numFmtId="0" fontId="20" fillId="72" borderId="0" xfId="7" applyNumberFormat="1" applyFill="1" applyBorder="1">
      <alignment horizontal="left" vertical="center" wrapText="1"/>
    </xf>
    <xf numFmtId="1" fontId="20" fillId="73" borderId="0" xfId="7" applyNumberFormat="1" applyFill="1" applyBorder="1" applyAlignment="1">
      <alignment horizontal="right" vertical="center" wrapText="1"/>
    </xf>
    <xf numFmtId="0" fontId="21" fillId="0" borderId="12" xfId="4" quotePrefix="1" applyNumberFormat="1" applyFont="1" applyBorder="1" applyAlignment="1">
      <alignment horizontal="left" vertical="top"/>
    </xf>
    <xf numFmtId="0" fontId="21" fillId="0" borderId="0" xfId="4" applyNumberFormat="1" applyFont="1" applyFill="1" applyBorder="1" applyAlignment="1">
      <alignment vertical="top" wrapText="1"/>
    </xf>
    <xf numFmtId="0" fontId="21" fillId="0" borderId="0" xfId="4" applyNumberFormat="1" applyFont="1" applyFill="1" applyBorder="1" applyAlignment="1">
      <alignment horizontal="center"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right" vertical="top" wrapText="1"/>
    </xf>
    <xf numFmtId="0" fontId="0" fillId="66" borderId="0" xfId="0" applyFill="1" applyAlignment="1" applyProtection="1">
      <alignment vertical="top" wrapText="1"/>
    </xf>
    <xf numFmtId="0" fontId="30" fillId="0" borderId="0" xfId="0" applyFont="1" applyAlignment="1" applyProtection="1">
      <alignment vertical="top" wrapText="1"/>
    </xf>
    <xf numFmtId="0" fontId="0" fillId="0" borderId="0" xfId="0" applyAlignment="1" applyProtection="1">
      <alignment vertical="top" wrapText="1"/>
    </xf>
    <xf numFmtId="0" fontId="3" fillId="0" borderId="0" xfId="0" applyFont="1" applyAlignment="1" applyProtection="1">
      <alignment horizontal="center" vertical="top" wrapText="1"/>
    </xf>
    <xf numFmtId="0" fontId="0" fillId="0" borderId="0" xfId="0" applyAlignment="1">
      <alignment horizontal="right" vertical="top"/>
    </xf>
    <xf numFmtId="0" fontId="15" fillId="0" borderId="67" xfId="4" quotePrefix="1" applyNumberFormat="1" applyFont="1" applyBorder="1" applyAlignment="1">
      <alignment horizontal="left" vertical="top" wrapText="1"/>
    </xf>
    <xf numFmtId="169" fontId="23" fillId="0" borderId="648" xfId="0" applyNumberFormat="1" applyFont="1" applyBorder="1" applyAlignment="1">
      <alignment horizontal="left" vertical="top"/>
    </xf>
    <xf numFmtId="169" fontId="21" fillId="0" borderId="31" xfId="4" quotePrefix="1" applyNumberFormat="1" applyFont="1" applyFill="1" applyBorder="1" applyAlignment="1" applyProtection="1">
      <alignment horizontal="left" vertical="top"/>
    </xf>
    <xf numFmtId="169" fontId="23" fillId="0" borderId="31" xfId="0" applyNumberFormat="1" applyFont="1" applyBorder="1" applyAlignment="1">
      <alignment horizontal="left" vertical="top"/>
    </xf>
    <xf numFmtId="169" fontId="23" fillId="0" borderId="31" xfId="0" applyNumberFormat="1" applyFont="1" applyBorder="1" applyAlignment="1" applyProtection="1">
      <alignment horizontal="left" vertical="top"/>
    </xf>
    <xf numFmtId="0" fontId="23" fillId="3" borderId="612" xfId="0" applyFont="1" applyFill="1" applyBorder="1" applyAlignment="1" applyProtection="1">
      <alignment horizontal="left" vertical="top" wrapText="1"/>
    </xf>
    <xf numFmtId="0" fontId="22" fillId="0" borderId="215" xfId="0" applyFont="1" applyBorder="1" applyAlignment="1" applyProtection="1">
      <alignment horizontal="left" vertical="top" wrapText="1" indent="2"/>
    </xf>
    <xf numFmtId="0" fontId="28" fillId="3" borderId="0" xfId="0" applyFont="1" applyFill="1" applyBorder="1" applyAlignment="1" applyProtection="1">
      <alignment horizontal="center" vertical="center" wrapText="1"/>
    </xf>
    <xf numFmtId="0" fontId="21" fillId="3" borderId="0" xfId="0" applyFont="1" applyFill="1" applyBorder="1" applyAlignment="1" applyProtection="1">
      <alignment horizontal="center" vertical="center" wrapText="1"/>
    </xf>
    <xf numFmtId="0" fontId="21" fillId="0" borderId="0" xfId="0" applyFont="1" applyFill="1" applyBorder="1" applyAlignment="1" applyProtection="1">
      <alignment horizontal="center" vertical="center" wrapText="1"/>
      <protection locked="0"/>
    </xf>
    <xf numFmtId="0" fontId="21" fillId="3" borderId="0" xfId="0" applyFont="1" applyFill="1" applyBorder="1" applyAlignment="1" applyProtection="1">
      <alignment horizontal="center" vertical="center" wrapText="1"/>
      <protection locked="0"/>
    </xf>
    <xf numFmtId="0" fontId="21" fillId="3" borderId="0" xfId="0" applyFont="1" applyFill="1" applyBorder="1" applyAlignment="1" applyProtection="1">
      <alignment horizontal="center" vertical="center"/>
      <protection locked="0"/>
    </xf>
    <xf numFmtId="0" fontId="23" fillId="3" borderId="0" xfId="0" applyFont="1" applyFill="1" applyBorder="1" applyAlignment="1" applyProtection="1">
      <alignment horizontal="left" vertical="top" wrapText="1"/>
    </xf>
    <xf numFmtId="0" fontId="28" fillId="3" borderId="0" xfId="0" applyFont="1" applyFill="1" applyBorder="1" applyAlignment="1" applyProtection="1">
      <alignment horizontal="right" vertical="center" wrapText="1"/>
    </xf>
    <xf numFmtId="0" fontId="19" fillId="0" borderId="597" xfId="6" applyFill="1" applyBorder="1" applyProtection="1">
      <alignment horizontal="center" vertical="center" wrapText="1"/>
    </xf>
    <xf numFmtId="0" fontId="19" fillId="0" borderId="612" xfId="6" applyFill="1" applyBorder="1" applyProtection="1">
      <alignment horizontal="center" vertical="center" wrapText="1"/>
    </xf>
    <xf numFmtId="49" fontId="150" fillId="8" borderId="26" xfId="6" applyNumberFormat="1" applyFont="1" applyBorder="1" applyAlignment="1" applyProtection="1">
      <alignment horizontal="center" vertical="center" wrapText="1"/>
    </xf>
    <xf numFmtId="1" fontId="56" fillId="34" borderId="599" xfId="0" applyNumberFormat="1" applyFont="1" applyFill="1" applyBorder="1" applyAlignment="1" applyProtection="1">
      <alignment horizontal="center" vertical="center" wrapText="1"/>
    </xf>
    <xf numFmtId="1" fontId="56" fillId="34" borderId="218" xfId="0" applyNumberFormat="1" applyFont="1" applyFill="1" applyBorder="1" applyAlignment="1" applyProtection="1">
      <alignment horizontal="center" vertical="center" wrapText="1"/>
    </xf>
    <xf numFmtId="0" fontId="21" fillId="0" borderId="747" xfId="0" applyFont="1" applyFill="1" applyBorder="1" applyAlignment="1" applyProtection="1">
      <alignment horizontal="center" vertical="center" wrapText="1"/>
      <protection locked="0"/>
    </xf>
    <xf numFmtId="0" fontId="21" fillId="3" borderId="746" xfId="0" applyFont="1" applyFill="1" applyBorder="1" applyAlignment="1" applyProtection="1">
      <alignment horizontal="center" vertical="center" wrapText="1"/>
      <protection locked="0"/>
    </xf>
    <xf numFmtId="1" fontId="56" fillId="34" borderId="601" xfId="0" applyNumberFormat="1" applyFont="1" applyFill="1" applyBorder="1" applyAlignment="1" applyProtection="1">
      <alignment horizontal="center" vertical="center" wrapText="1"/>
    </xf>
    <xf numFmtId="1" fontId="56" fillId="0" borderId="599" xfId="0" applyNumberFormat="1" applyFont="1" applyFill="1" applyBorder="1" applyAlignment="1" applyProtection="1">
      <alignment horizontal="center" vertical="center" wrapText="1"/>
      <protection locked="0"/>
    </xf>
    <xf numFmtId="1" fontId="56" fillId="0" borderId="219" xfId="0" applyNumberFormat="1" applyFont="1" applyFill="1" applyBorder="1" applyAlignment="1" applyProtection="1">
      <alignment horizontal="center" vertical="center" wrapText="1"/>
      <protection locked="0"/>
    </xf>
    <xf numFmtId="1" fontId="21" fillId="0" borderId="618" xfId="0" applyNumberFormat="1" applyFont="1" applyFill="1" applyBorder="1" applyAlignment="1" applyProtection="1">
      <alignment vertical="center" wrapText="1"/>
      <protection locked="0"/>
    </xf>
    <xf numFmtId="0" fontId="56" fillId="3" borderId="222" xfId="0" applyFont="1" applyFill="1" applyBorder="1" applyAlignment="1" applyProtection="1">
      <alignment horizontal="center" vertical="center" wrapText="1"/>
    </xf>
    <xf numFmtId="0" fontId="56" fillId="3" borderId="223" xfId="0" applyFont="1" applyFill="1" applyBorder="1" applyAlignment="1" applyProtection="1">
      <alignment horizontal="center" vertical="center" wrapText="1"/>
      <protection locked="0"/>
    </xf>
    <xf numFmtId="0" fontId="56" fillId="3" borderId="618" xfId="0" applyFont="1" applyFill="1" applyBorder="1" applyAlignment="1" applyProtection="1">
      <alignment horizontal="center" vertical="center" wrapText="1"/>
      <protection locked="0"/>
    </xf>
    <xf numFmtId="0" fontId="22" fillId="0" borderId="618" xfId="0" applyFont="1" applyBorder="1" applyAlignment="1" applyProtection="1">
      <alignment horizontal="left" vertical="top" wrapText="1" indent="2"/>
    </xf>
    <xf numFmtId="0" fontId="28" fillId="3" borderId="597" xfId="0" applyFont="1" applyFill="1" applyBorder="1" applyAlignment="1" applyProtection="1">
      <alignment horizontal="center" vertical="center" wrapText="1"/>
    </xf>
    <xf numFmtId="0" fontId="21" fillId="3" borderId="597" xfId="0" applyFont="1" applyFill="1" applyBorder="1" applyAlignment="1" applyProtection="1">
      <alignment horizontal="center" vertical="center" wrapText="1"/>
    </xf>
    <xf numFmtId="0" fontId="21" fillId="3" borderId="597" xfId="0" applyFont="1" applyFill="1" applyBorder="1" applyAlignment="1" applyProtection="1">
      <alignment horizontal="center" vertical="center"/>
      <protection locked="0"/>
    </xf>
    <xf numFmtId="0" fontId="23" fillId="3" borderId="597" xfId="0" applyFont="1" applyFill="1" applyBorder="1" applyAlignment="1" applyProtection="1">
      <alignment horizontal="left" vertical="top" wrapText="1"/>
    </xf>
    <xf numFmtId="1" fontId="56" fillId="0" borderId="222" xfId="0" applyNumberFormat="1" applyFont="1" applyBorder="1" applyAlignment="1" applyProtection="1">
      <alignment horizontal="center" vertical="center" wrapText="1"/>
    </xf>
    <xf numFmtId="1" fontId="26" fillId="10" borderId="344" xfId="9" applyBorder="1" applyAlignment="1">
      <alignment horizontal="center" vertical="center" wrapText="1"/>
      <protection locked="0"/>
    </xf>
    <xf numFmtId="0" fontId="19" fillId="0" borderId="647" xfId="6" applyFill="1" applyBorder="1" applyProtection="1">
      <alignment horizontal="center" vertical="center" wrapText="1"/>
    </xf>
    <xf numFmtId="0" fontId="19" fillId="0" borderId="604" xfId="6" applyFill="1" applyBorder="1" applyProtection="1">
      <alignment horizontal="center" vertical="center" wrapText="1"/>
    </xf>
    <xf numFmtId="0" fontId="19" fillId="0" borderId="26" xfId="6" applyFill="1" applyBorder="1" applyProtection="1">
      <alignment horizontal="center" vertical="center" wrapText="1"/>
    </xf>
    <xf numFmtId="0" fontId="19" fillId="0" borderId="292" xfId="6" applyFill="1" applyBorder="1" applyProtection="1">
      <alignment horizontal="center" vertical="center" wrapText="1"/>
    </xf>
    <xf numFmtId="0" fontId="22" fillId="3" borderId="0" xfId="0" applyFont="1" applyFill="1" applyBorder="1" applyAlignment="1" applyProtection="1">
      <alignment horizontal="right" vertical="center" wrapText="1"/>
    </xf>
    <xf numFmtId="0" fontId="22" fillId="0" borderId="200" xfId="0" applyFont="1" applyBorder="1" applyAlignment="1" applyProtection="1">
      <alignment horizontal="left" vertical="top" wrapText="1"/>
    </xf>
    <xf numFmtId="0" fontId="22" fillId="0" borderId="201" xfId="0" applyFont="1" applyBorder="1" applyAlignment="1" applyProtection="1">
      <alignment horizontal="center" vertical="center" wrapText="1"/>
    </xf>
    <xf numFmtId="0" fontId="23" fillId="0" borderId="253" xfId="0" applyFont="1" applyBorder="1" applyAlignment="1">
      <alignment vertical="top"/>
    </xf>
    <xf numFmtId="0" fontId="0" fillId="0" borderId="66" xfId="0" applyBorder="1" applyAlignment="1">
      <alignment vertical="top"/>
    </xf>
    <xf numFmtId="0" fontId="23" fillId="0" borderId="335" xfId="0" applyFont="1" applyBorder="1" applyAlignment="1">
      <alignment vertical="top"/>
    </xf>
    <xf numFmtId="0" fontId="0" fillId="0" borderId="57" xfId="0" applyBorder="1" applyAlignment="1">
      <alignment vertical="top"/>
    </xf>
    <xf numFmtId="0" fontId="3" fillId="0" borderId="0" xfId="0" applyFont="1" applyAlignment="1">
      <alignment horizontal="right" vertical="center" wrapText="1"/>
    </xf>
    <xf numFmtId="0" fontId="0" fillId="73" borderId="0" xfId="0" applyFill="1" applyAlignment="1">
      <alignment vertical="top" wrapText="1"/>
    </xf>
    <xf numFmtId="0" fontId="0" fillId="36" borderId="0" xfId="0" applyFill="1" applyAlignment="1" applyProtection="1">
      <alignment vertical="top" wrapText="1"/>
      <protection locked="0"/>
    </xf>
    <xf numFmtId="49" fontId="78" fillId="36" borderId="0" xfId="7" applyFont="1" applyFill="1" applyBorder="1" applyAlignment="1" applyProtection="1">
      <alignment horizontal="right" vertical="center" wrapText="1"/>
      <protection locked="0"/>
    </xf>
    <xf numFmtId="1" fontId="78" fillId="36" borderId="0" xfId="7" applyNumberFormat="1" applyFont="1" applyFill="1" applyBorder="1" applyAlignment="1" applyProtection="1">
      <alignment horizontal="right" vertical="center" wrapText="1"/>
      <protection locked="0"/>
    </xf>
    <xf numFmtId="2" fontId="21" fillId="0" borderId="653" xfId="4" quotePrefix="1" applyNumberFormat="1" applyFont="1" applyBorder="1" applyAlignment="1" applyProtection="1">
      <alignment horizontal="left" vertical="top"/>
    </xf>
    <xf numFmtId="2" fontId="21" fillId="0" borderId="648" xfId="4" quotePrefix="1" applyNumberFormat="1" applyFont="1" applyBorder="1" applyAlignment="1" applyProtection="1">
      <alignment horizontal="left" vertical="top"/>
    </xf>
    <xf numFmtId="0" fontId="21" fillId="0" borderId="34" xfId="4" quotePrefix="1" applyNumberFormat="1" applyFont="1" applyBorder="1" applyAlignment="1" applyProtection="1">
      <alignment horizontal="left" vertical="top"/>
    </xf>
    <xf numFmtId="0" fontId="21" fillId="0" borderId="32" xfId="4" quotePrefix="1" applyNumberFormat="1" applyFont="1" applyBorder="1" applyAlignment="1" applyProtection="1">
      <alignment horizontal="left" vertical="top"/>
    </xf>
    <xf numFmtId="0" fontId="22" fillId="0" borderId="230" xfId="0" applyFont="1" applyBorder="1" applyAlignment="1" applyProtection="1">
      <alignment horizontal="center" vertical="center" wrapText="1"/>
    </xf>
    <xf numFmtId="0" fontId="23" fillId="3" borderId="224" xfId="0" applyFont="1" applyFill="1" applyBorder="1" applyAlignment="1" applyProtection="1">
      <alignment horizontal="left" vertical="top" wrapText="1"/>
    </xf>
    <xf numFmtId="1" fontId="21" fillId="0" borderId="603" xfId="0" applyNumberFormat="1" applyFont="1" applyFill="1" applyBorder="1" applyAlignment="1" applyProtection="1">
      <alignment horizontal="center" vertical="center" wrapText="1"/>
      <protection locked="0"/>
    </xf>
    <xf numFmtId="0" fontId="21" fillId="0" borderId="599" xfId="0" applyFont="1" applyBorder="1" applyAlignment="1" applyProtection="1">
      <alignment horizontal="left" vertical="top" wrapText="1"/>
    </xf>
    <xf numFmtId="1" fontId="21" fillId="0" borderId="230" xfId="0" applyNumberFormat="1" applyFont="1" applyBorder="1" applyAlignment="1" applyProtection="1">
      <alignment horizontal="center" vertical="center" wrapText="1"/>
    </xf>
    <xf numFmtId="0" fontId="28" fillId="0" borderId="214" xfId="0" applyFont="1" applyBorder="1" applyAlignment="1" applyProtection="1">
      <alignment horizontal="center" vertical="center" wrapText="1"/>
    </xf>
    <xf numFmtId="1" fontId="21" fillId="0" borderId="603" xfId="0" applyNumberFormat="1" applyFont="1" applyBorder="1" applyAlignment="1" applyProtection="1">
      <alignment horizontal="center" vertical="center" wrapText="1"/>
      <protection locked="0"/>
    </xf>
    <xf numFmtId="0" fontId="23" fillId="3" borderId="633" xfId="0" applyFont="1" applyFill="1" applyBorder="1" applyAlignment="1" applyProtection="1">
      <alignment horizontal="left" vertical="top" wrapText="1"/>
    </xf>
    <xf numFmtId="0" fontId="22" fillId="0" borderId="230" xfId="0" applyFont="1" applyBorder="1" applyAlignment="1" applyProtection="1">
      <alignment vertical="top" wrapText="1"/>
    </xf>
    <xf numFmtId="1" fontId="56" fillId="0" borderId="312" xfId="0" applyNumberFormat="1" applyFont="1" applyFill="1" applyBorder="1" applyAlignment="1" applyProtection="1">
      <alignment horizontal="center" vertical="center" wrapText="1"/>
    </xf>
    <xf numFmtId="1" fontId="56" fillId="0" borderId="218" xfId="0" applyNumberFormat="1" applyFont="1" applyFill="1" applyBorder="1" applyAlignment="1" applyProtection="1">
      <alignment horizontal="center" vertical="center" wrapText="1"/>
    </xf>
    <xf numFmtId="1" fontId="56" fillId="34" borderId="312" xfId="0" applyNumberFormat="1" applyFont="1" applyFill="1" applyBorder="1" applyAlignment="1" applyProtection="1">
      <alignment horizontal="center" vertical="center" wrapText="1"/>
    </xf>
    <xf numFmtId="1" fontId="56" fillId="34" borderId="206" xfId="0" applyNumberFormat="1" applyFont="1" applyFill="1" applyBorder="1" applyAlignment="1" applyProtection="1">
      <alignment horizontal="center" vertical="center" wrapText="1"/>
    </xf>
    <xf numFmtId="0" fontId="21" fillId="3" borderId="222" xfId="0" applyFont="1" applyFill="1" applyBorder="1" applyAlignment="1" applyProtection="1">
      <alignment horizontal="center" vertical="center" wrapText="1"/>
    </xf>
    <xf numFmtId="0" fontId="56" fillId="3" borderId="201" xfId="0" applyFont="1" applyFill="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23" fillId="0" borderId="18" xfId="0" applyFont="1" applyBorder="1" applyAlignment="1" applyProtection="1">
      <alignment horizontal="center" vertical="top"/>
    </xf>
    <xf numFmtId="1" fontId="22" fillId="10" borderId="170" xfId="9" applyFont="1" applyBorder="1" applyAlignment="1" applyProtection="1">
      <alignment horizontal="center" vertical="center"/>
      <protection locked="0"/>
    </xf>
    <xf numFmtId="0" fontId="21" fillId="0" borderId="157" xfId="14" quotePrefix="1" applyFont="1" applyFill="1" applyBorder="1" applyAlignment="1" applyProtection="1">
      <alignment horizontal="center" vertical="center" wrapText="1"/>
      <protection locked="0"/>
    </xf>
    <xf numFmtId="0" fontId="21" fillId="0" borderId="210" xfId="0" applyFont="1" applyBorder="1" applyAlignment="1" applyProtection="1">
      <alignment vertical="top" wrapText="1"/>
    </xf>
    <xf numFmtId="1" fontId="21" fillId="3" borderId="215" xfId="0" applyNumberFormat="1" applyFont="1" applyFill="1" applyBorder="1" applyAlignment="1" applyProtection="1">
      <alignment horizontal="center" vertical="center" wrapText="1"/>
      <protection locked="0"/>
    </xf>
    <xf numFmtId="1" fontId="21" fillId="68" borderId="601" xfId="0" applyNumberFormat="1" applyFont="1" applyFill="1" applyBorder="1" applyAlignment="1" applyProtection="1">
      <alignment horizontal="center" vertical="center" wrapText="1"/>
    </xf>
    <xf numFmtId="2" fontId="0" fillId="0" borderId="0" xfId="0" applyNumberFormat="1"/>
    <xf numFmtId="0" fontId="3" fillId="0" borderId="273" xfId="0" applyFont="1" applyBorder="1" applyAlignment="1">
      <alignment horizontal="left"/>
    </xf>
    <xf numFmtId="0" fontId="0" fillId="41" borderId="273" xfId="0" applyFill="1" applyBorder="1" applyAlignment="1" applyProtection="1">
      <alignment horizontal="left" vertical="top"/>
      <protection locked="0"/>
    </xf>
    <xf numFmtId="0" fontId="0" fillId="41" borderId="0" xfId="0" applyFill="1" applyBorder="1" applyAlignment="1" applyProtection="1">
      <alignment horizontal="left" vertical="top"/>
      <protection locked="0"/>
    </xf>
    <xf numFmtId="0" fontId="0" fillId="41" borderId="416" xfId="0" applyFill="1" applyBorder="1" applyAlignment="1" applyProtection="1">
      <alignment horizontal="left" vertical="top"/>
      <protection locked="0"/>
    </xf>
    <xf numFmtId="0" fontId="0" fillId="41" borderId="273" xfId="0" applyFill="1" applyBorder="1" applyAlignment="1"/>
    <xf numFmtId="0" fontId="0" fillId="41" borderId="0" xfId="0" applyFill="1" applyBorder="1" applyAlignment="1"/>
    <xf numFmtId="0" fontId="108" fillId="41" borderId="416" xfId="0" applyFont="1" applyFill="1" applyBorder="1" applyAlignment="1">
      <alignment horizontal="center"/>
    </xf>
    <xf numFmtId="0" fontId="0" fillId="41" borderId="0" xfId="0" applyFill="1"/>
    <xf numFmtId="49" fontId="78" fillId="0" borderId="0" xfId="7" applyFont="1" applyFill="1" applyBorder="1" applyAlignment="1" applyProtection="1">
      <alignment horizontal="right" vertical="center" wrapText="1"/>
      <protection locked="0"/>
    </xf>
    <xf numFmtId="0" fontId="21" fillId="0" borderId="0" xfId="0" applyFont="1" applyFill="1" applyBorder="1" applyAlignment="1" applyProtection="1">
      <alignment horizontal="center" vertical="center" wrapText="1"/>
    </xf>
    <xf numFmtId="2" fontId="21" fillId="0" borderId="0" xfId="0" applyNumberFormat="1" applyFont="1" applyFill="1" applyBorder="1" applyAlignment="1" applyProtection="1">
      <alignment horizontal="center" vertical="center" wrapText="1"/>
    </xf>
    <xf numFmtId="166" fontId="21" fillId="0" borderId="0" xfId="0" applyNumberFormat="1" applyFont="1" applyFill="1" applyBorder="1" applyAlignment="1" applyProtection="1">
      <alignment horizontal="center" vertical="center" wrapText="1"/>
    </xf>
    <xf numFmtId="0" fontId="152" fillId="42" borderId="134" xfId="6" applyFont="1" applyFill="1" applyBorder="1">
      <alignment horizontal="center" vertical="center" wrapText="1"/>
    </xf>
    <xf numFmtId="0" fontId="152" fillId="42" borderId="135" xfId="6" applyFont="1" applyFill="1" applyBorder="1">
      <alignment horizontal="center" vertical="center" wrapText="1"/>
    </xf>
    <xf numFmtId="0" fontId="70" fillId="42" borderId="134" xfId="6" applyFont="1" applyFill="1" applyBorder="1">
      <alignment horizontal="center" vertical="center" wrapText="1"/>
    </xf>
    <xf numFmtId="0" fontId="32" fillId="6" borderId="1" xfId="0" applyFont="1" applyFill="1" applyBorder="1" applyAlignment="1">
      <alignment horizontal="center" vertical="center"/>
    </xf>
    <xf numFmtId="0" fontId="32" fillId="7" borderId="3" xfId="0" applyFont="1" applyFill="1" applyBorder="1" applyAlignment="1">
      <alignment horizontal="center" vertical="center"/>
    </xf>
    <xf numFmtId="49" fontId="44" fillId="10" borderId="15" xfId="9" applyNumberFormat="1" applyFont="1" applyBorder="1" applyAlignment="1">
      <alignment horizontal="left" vertical="center" indent="1"/>
      <protection locked="0"/>
    </xf>
    <xf numFmtId="0" fontId="71" fillId="3" borderId="752" xfId="0" applyNumberFormat="1" applyFont="1" applyFill="1" applyBorder="1" applyAlignment="1" applyProtection="1">
      <alignment vertical="center" wrapText="1"/>
    </xf>
    <xf numFmtId="1" fontId="26" fillId="36" borderId="16" xfId="9" applyFill="1" applyBorder="1" applyAlignment="1" applyProtection="1">
      <alignment horizontal="center" vertical="center" wrapText="1"/>
      <protection locked="0"/>
    </xf>
    <xf numFmtId="0" fontId="3" fillId="0" borderId="0" xfId="0" applyFont="1" applyBorder="1" applyAlignment="1">
      <alignment horizontal="right" vertical="top"/>
    </xf>
    <xf numFmtId="0" fontId="0" fillId="0" borderId="0" xfId="0" applyBorder="1" applyAlignment="1">
      <alignment horizontal="center" vertical="top" wrapText="1"/>
    </xf>
    <xf numFmtId="0" fontId="23" fillId="0" borderId="0" xfId="0" applyFont="1" applyBorder="1" applyAlignment="1">
      <alignment horizontal="left" vertical="top"/>
    </xf>
    <xf numFmtId="49" fontId="20" fillId="0" borderId="0" xfId="7" applyFill="1" applyBorder="1" applyAlignment="1">
      <alignment horizontal="right" vertical="center" wrapText="1"/>
    </xf>
    <xf numFmtId="0" fontId="23" fillId="3" borderId="605" xfId="0" applyFont="1" applyFill="1" applyBorder="1" applyAlignment="1" applyProtection="1">
      <alignment horizontal="left" vertical="top" wrapText="1"/>
    </xf>
    <xf numFmtId="0" fontId="30" fillId="0" borderId="38" xfId="0" applyFont="1" applyBorder="1" applyAlignment="1" applyProtection="1">
      <alignment horizontal="left" vertical="top"/>
    </xf>
    <xf numFmtId="0" fontId="0" fillId="0" borderId="640" xfId="0" applyBorder="1" applyAlignment="1" applyProtection="1">
      <alignment vertical="top" wrapText="1"/>
      <protection locked="0"/>
    </xf>
    <xf numFmtId="0" fontId="108" fillId="0" borderId="166" xfId="0" applyFont="1" applyBorder="1" applyAlignment="1" applyProtection="1">
      <alignment horizontal="right" wrapText="1"/>
    </xf>
    <xf numFmtId="0" fontId="108" fillId="0" borderId="338" xfId="0" applyFont="1" applyBorder="1" applyAlignment="1" applyProtection="1">
      <alignment horizontal="right" wrapText="1"/>
    </xf>
    <xf numFmtId="0" fontId="23" fillId="0" borderId="68" xfId="0" applyFont="1" applyBorder="1" applyAlignment="1">
      <alignment vertical="top"/>
    </xf>
    <xf numFmtId="0" fontId="23" fillId="0" borderId="253" xfId="0" applyFont="1" applyFill="1" applyBorder="1" applyAlignment="1" applyProtection="1">
      <alignment vertical="top"/>
    </xf>
    <xf numFmtId="2" fontId="20" fillId="73" borderId="0" xfId="7" applyNumberFormat="1" applyFill="1" applyBorder="1" applyAlignment="1">
      <alignment horizontal="right" vertical="center" wrapText="1"/>
    </xf>
    <xf numFmtId="1" fontId="0" fillId="73" borderId="0" xfId="0" applyNumberFormat="1" applyFill="1" applyAlignment="1" applyProtection="1">
      <alignment vertical="top" wrapText="1"/>
    </xf>
    <xf numFmtId="1" fontId="0" fillId="66" borderId="0" xfId="0" applyNumberFormat="1" applyFill="1" applyAlignment="1" applyProtection="1">
      <alignment vertical="top" wrapText="1"/>
    </xf>
    <xf numFmtId="1" fontId="0" fillId="0" borderId="0" xfId="0" applyNumberFormat="1" applyAlignment="1" applyProtection="1">
      <alignment vertical="top" wrapText="1"/>
    </xf>
    <xf numFmtId="1" fontId="30" fillId="0" borderId="0" xfId="0" applyNumberFormat="1" applyFont="1" applyAlignment="1" applyProtection="1">
      <alignment vertical="top" wrapText="1"/>
    </xf>
    <xf numFmtId="1" fontId="21" fillId="0" borderId="0" xfId="4" applyNumberFormat="1" applyFont="1" applyFill="1" applyBorder="1" applyAlignment="1" applyProtection="1">
      <alignment horizontal="center" vertical="top" wrapText="1"/>
    </xf>
    <xf numFmtId="1" fontId="21" fillId="0" borderId="0" xfId="4" applyNumberFormat="1" applyFont="1" applyFill="1" applyBorder="1" applyAlignment="1">
      <alignment horizontal="center" vertical="top" wrapText="1"/>
    </xf>
    <xf numFmtId="1" fontId="0" fillId="0" borderId="0" xfId="0" applyNumberFormat="1" applyAlignment="1">
      <alignment vertical="top" wrapText="1"/>
    </xf>
    <xf numFmtId="166" fontId="0" fillId="73" borderId="0" xfId="0" applyNumberFormat="1" applyFill="1" applyAlignment="1">
      <alignment vertical="top" wrapText="1"/>
    </xf>
    <xf numFmtId="0" fontId="56" fillId="0" borderId="0" xfId="0" applyFont="1" applyBorder="1" applyAlignment="1" applyProtection="1">
      <alignment horizontal="left" vertical="top"/>
    </xf>
    <xf numFmtId="0" fontId="100" fillId="0" borderId="0" xfId="0" applyFont="1" applyBorder="1" applyAlignment="1">
      <alignment horizontal="left" vertical="top"/>
    </xf>
    <xf numFmtId="0" fontId="21" fillId="0" borderId="0" xfId="0" applyFont="1" applyBorder="1" applyAlignment="1" applyProtection="1">
      <alignment horizontal="left" vertical="top" indent="1"/>
      <protection locked="0"/>
    </xf>
    <xf numFmtId="0" fontId="0" fillId="0" borderId="0" xfId="0" applyFont="1" applyBorder="1" applyAlignment="1">
      <alignment horizontal="left" vertical="top"/>
    </xf>
    <xf numFmtId="1" fontId="0" fillId="0" borderId="0" xfId="0" applyNumberFormat="1" applyFont="1" applyBorder="1" applyAlignment="1" applyProtection="1">
      <alignment horizontal="left" vertical="top"/>
      <protection locked="0"/>
    </xf>
    <xf numFmtId="1" fontId="56" fillId="0" borderId="223" xfId="0" applyNumberFormat="1" applyFont="1" applyBorder="1" applyAlignment="1" applyProtection="1">
      <alignment horizontal="center" vertical="center" wrapText="1"/>
      <protection locked="0"/>
    </xf>
    <xf numFmtId="1" fontId="56" fillId="41" borderId="223" xfId="0" applyNumberFormat="1" applyFont="1" applyFill="1" applyBorder="1" applyAlignment="1" applyProtection="1">
      <alignment horizontal="center" vertical="center" wrapText="1"/>
      <protection locked="0"/>
    </xf>
    <xf numFmtId="1" fontId="56" fillId="41" borderId="618" xfId="0" applyNumberFormat="1" applyFont="1" applyFill="1" applyBorder="1" applyAlignment="1" applyProtection="1">
      <alignment horizontal="center" vertical="center" wrapText="1"/>
      <protection locked="0"/>
    </xf>
    <xf numFmtId="1" fontId="56" fillId="0" borderId="618" xfId="0" applyNumberFormat="1" applyFont="1" applyBorder="1" applyAlignment="1" applyProtection="1">
      <alignment horizontal="center" vertical="center" wrapText="1"/>
      <protection locked="0"/>
    </xf>
    <xf numFmtId="0" fontId="56" fillId="68" borderId="618" xfId="0" applyFont="1" applyFill="1" applyBorder="1" applyAlignment="1" applyProtection="1">
      <alignment horizontal="center" vertical="center" wrapText="1"/>
    </xf>
    <xf numFmtId="0" fontId="0" fillId="0" borderId="0" xfId="0" applyAlignment="1">
      <alignment vertical="center" wrapText="1"/>
    </xf>
    <xf numFmtId="49" fontId="20" fillId="0" borderId="215" xfId="7" applyFill="1" applyBorder="1" applyAlignment="1">
      <alignment horizontal="center" vertical="center" wrapText="1"/>
    </xf>
    <xf numFmtId="0" fontId="0" fillId="0" borderId="0" xfId="0" applyBorder="1" applyAlignment="1">
      <alignment horizontal="center" vertical="center" wrapText="1"/>
    </xf>
    <xf numFmtId="0" fontId="0" fillId="0" borderId="605" xfId="0" applyBorder="1" applyAlignment="1">
      <alignment horizontal="center" vertical="center" wrapText="1"/>
    </xf>
    <xf numFmtId="0" fontId="0" fillId="0" borderId="0" xfId="0" applyBorder="1" applyAlignment="1" applyProtection="1">
      <alignment horizontal="center" vertical="center" wrapText="1"/>
      <protection locked="0"/>
    </xf>
    <xf numFmtId="0" fontId="30" fillId="0" borderId="0" xfId="0" applyFont="1" applyBorder="1" applyAlignment="1" applyProtection="1">
      <alignment vertical="top" wrapText="1"/>
    </xf>
    <xf numFmtId="0" fontId="30" fillId="0" borderId="0" xfId="0" applyFont="1" applyBorder="1" applyAlignment="1" applyProtection="1">
      <alignment horizontal="center" vertical="top" wrapText="1"/>
    </xf>
    <xf numFmtId="0" fontId="0" fillId="66" borderId="0" xfId="0" applyFill="1" applyBorder="1" applyAlignment="1" applyProtection="1">
      <alignment vertical="top" wrapText="1"/>
    </xf>
    <xf numFmtId="0" fontId="0" fillId="66" borderId="0" xfId="0" applyFill="1" applyBorder="1" applyAlignment="1" applyProtection="1">
      <alignment horizontal="center" vertical="top" wrapText="1"/>
    </xf>
    <xf numFmtId="0" fontId="0" fillId="36" borderId="0" xfId="0" applyFill="1" applyBorder="1" applyAlignment="1" applyProtection="1">
      <alignment vertical="top" wrapText="1"/>
      <protection locked="0"/>
    </xf>
    <xf numFmtId="0" fontId="0" fillId="73" borderId="0" xfId="0" applyFill="1" applyBorder="1" applyAlignment="1" applyProtection="1">
      <alignment horizontal="center" vertical="top" wrapText="1"/>
    </xf>
    <xf numFmtId="0" fontId="0" fillId="0" borderId="215" xfId="0" applyBorder="1" applyAlignment="1" applyProtection="1">
      <alignment horizontal="right" vertical="top" wrapText="1"/>
      <protection locked="0"/>
    </xf>
    <xf numFmtId="0" fontId="0" fillId="0" borderId="0" xfId="0" applyBorder="1" applyAlignment="1" applyProtection="1">
      <alignment horizontal="right" vertical="top" wrapText="1"/>
      <protection locked="0"/>
    </xf>
    <xf numFmtId="0" fontId="0" fillId="0" borderId="0" xfId="0" applyBorder="1" applyAlignment="1" applyProtection="1">
      <alignment vertical="top" wrapText="1"/>
      <protection locked="0"/>
    </xf>
    <xf numFmtId="0" fontId="0" fillId="0" borderId="0" xfId="0" applyBorder="1" applyAlignment="1" applyProtection="1">
      <alignment horizontal="center" vertical="top" wrapText="1"/>
    </xf>
    <xf numFmtId="0" fontId="0" fillId="0" borderId="0" xfId="0" applyBorder="1" applyAlignment="1" applyProtection="1">
      <alignment vertical="top" wrapText="1"/>
    </xf>
    <xf numFmtId="0" fontId="3" fillId="0" borderId="215" xfId="0" applyFont="1" applyBorder="1" applyAlignment="1" applyProtection="1">
      <alignment horizontal="center" vertical="top" wrapText="1"/>
    </xf>
    <xf numFmtId="0" fontId="3" fillId="0" borderId="0" xfId="0" applyFont="1" applyBorder="1" applyAlignment="1" applyProtection="1">
      <alignment horizontal="center" vertical="top" wrapText="1"/>
    </xf>
    <xf numFmtId="0" fontId="0" fillId="0" borderId="215" xfId="0" applyBorder="1" applyAlignment="1">
      <alignment horizontal="right" vertical="top" wrapText="1"/>
    </xf>
    <xf numFmtId="0" fontId="0" fillId="0" borderId="0" xfId="0" applyBorder="1" applyAlignment="1">
      <alignment horizontal="right" vertical="top" wrapText="1"/>
    </xf>
    <xf numFmtId="0" fontId="0" fillId="0" borderId="0" xfId="0" applyBorder="1" applyAlignment="1">
      <alignment vertical="top" wrapText="1"/>
    </xf>
    <xf numFmtId="0" fontId="0" fillId="73" borderId="0" xfId="0" applyFill="1" applyBorder="1" applyAlignment="1">
      <alignment horizontal="center" vertical="top" wrapText="1"/>
    </xf>
    <xf numFmtId="0" fontId="0" fillId="0" borderId="0" xfId="0" applyBorder="1" applyAlignment="1">
      <alignment horizontal="right" vertical="top"/>
    </xf>
    <xf numFmtId="0" fontId="0" fillId="73" borderId="0" xfId="0" applyFill="1" applyBorder="1" applyAlignment="1">
      <alignment vertical="top" wrapText="1"/>
    </xf>
    <xf numFmtId="9" fontId="15" fillId="6" borderId="1" xfId="4" applyNumberFormat="1" applyFont="1" applyFill="1" applyBorder="1" applyAlignment="1">
      <alignment horizontal="center" vertical="center"/>
    </xf>
    <xf numFmtId="167" fontId="23" fillId="0" borderId="66" xfId="0" applyNumberFormat="1" applyFont="1" applyFill="1" applyBorder="1" applyAlignment="1" applyProtection="1">
      <alignment vertical="top"/>
    </xf>
    <xf numFmtId="0" fontId="23" fillId="0" borderId="648" xfId="0" applyFont="1" applyFill="1" applyBorder="1" applyAlignment="1" applyProtection="1">
      <alignment vertical="top"/>
    </xf>
    <xf numFmtId="167" fontId="23" fillId="0" borderId="32" xfId="0" applyNumberFormat="1" applyFont="1" applyFill="1" applyBorder="1" applyAlignment="1" applyProtection="1">
      <alignment vertical="top"/>
    </xf>
    <xf numFmtId="166" fontId="23" fillId="0" borderId="653" xfId="0" applyNumberFormat="1" applyFont="1" applyBorder="1" applyAlignment="1">
      <alignment vertical="top"/>
    </xf>
    <xf numFmtId="0" fontId="23" fillId="0" borderId="34" xfId="0" applyFont="1" applyBorder="1" applyAlignment="1">
      <alignment vertical="top"/>
    </xf>
    <xf numFmtId="166" fontId="23" fillId="0" borderId="12" xfId="0" applyNumberFormat="1" applyFont="1" applyBorder="1" applyAlignment="1">
      <alignment vertical="top"/>
    </xf>
    <xf numFmtId="166" fontId="23" fillId="0" borderId="67" xfId="0" applyNumberFormat="1" applyFont="1" applyBorder="1" applyAlignment="1">
      <alignment vertical="top"/>
    </xf>
    <xf numFmtId="0" fontId="23" fillId="0" borderId="0" xfId="0" applyFont="1" applyBorder="1" applyAlignment="1" applyProtection="1">
      <alignment horizontal="left" vertical="top" wrapText="1"/>
    </xf>
    <xf numFmtId="0" fontId="23" fillId="0" borderId="0" xfId="0" applyFont="1" applyBorder="1" applyAlignment="1" applyProtection="1">
      <alignment horizontal="left" vertical="center" wrapText="1"/>
    </xf>
    <xf numFmtId="0" fontId="21" fillId="0" borderId="0" xfId="0" applyFont="1" applyBorder="1" applyAlignment="1" applyProtection="1">
      <alignment horizontal="left" vertical="top"/>
    </xf>
    <xf numFmtId="0" fontId="21" fillId="0" borderId="0" xfId="0" applyFont="1" applyFill="1" applyBorder="1" applyAlignment="1" applyProtection="1">
      <alignment horizontal="left" vertical="center" indent="1"/>
    </xf>
    <xf numFmtId="0" fontId="0" fillId="0" borderId="0" xfId="0" applyFont="1" applyBorder="1" applyProtection="1"/>
    <xf numFmtId="0" fontId="0" fillId="0" borderId="0" xfId="0" applyFont="1" applyBorder="1" applyAlignment="1" applyProtection="1">
      <alignment vertical="center"/>
    </xf>
    <xf numFmtId="0" fontId="0" fillId="0" borderId="416" xfId="0" applyBorder="1" applyProtection="1"/>
    <xf numFmtId="0" fontId="0" fillId="0" borderId="0" xfId="0" applyBorder="1" applyAlignment="1" applyProtection="1">
      <alignment horizontal="left"/>
    </xf>
    <xf numFmtId="0" fontId="21" fillId="0" borderId="583" xfId="0" applyFont="1" applyBorder="1" applyAlignment="1" applyProtection="1">
      <alignment horizontal="left" vertical="center"/>
    </xf>
    <xf numFmtId="0" fontId="0" fillId="0" borderId="0" xfId="0" applyBorder="1" applyAlignment="1" applyProtection="1"/>
    <xf numFmtId="0" fontId="68" fillId="3" borderId="0" xfId="0" applyFont="1" applyFill="1" applyBorder="1" applyAlignment="1">
      <alignment horizontal="center" vertical="center" wrapText="1"/>
    </xf>
    <xf numFmtId="0" fontId="6" fillId="43" borderId="0" xfId="2" applyBorder="1" applyAlignment="1">
      <alignment vertical="top" wrapText="1"/>
    </xf>
    <xf numFmtId="0" fontId="6" fillId="43" borderId="2" xfId="2" applyBorder="1" applyAlignment="1">
      <alignment vertical="top" wrapText="1"/>
    </xf>
    <xf numFmtId="165" fontId="16" fillId="3" borderId="0" xfId="4" applyNumberFormat="1" applyFont="1" applyFill="1" applyBorder="1" applyAlignment="1">
      <alignment horizontal="left" wrapText="1"/>
    </xf>
    <xf numFmtId="165" fontId="16" fillId="3" borderId="2" xfId="4" applyNumberFormat="1" applyFont="1" applyFill="1" applyBorder="1" applyAlignment="1">
      <alignment horizontal="left" wrapText="1"/>
    </xf>
    <xf numFmtId="0" fontId="43" fillId="21" borderId="0" xfId="0" applyFont="1" applyFill="1" applyBorder="1" applyAlignment="1">
      <alignment horizontal="center" vertical="center"/>
    </xf>
    <xf numFmtId="0" fontId="138" fillId="0" borderId="3" xfId="0" applyFont="1" applyBorder="1" applyAlignment="1">
      <alignment horizontal="center" vertical="center"/>
    </xf>
    <xf numFmtId="0" fontId="138" fillId="0" borderId="7" xfId="0" applyFont="1" applyBorder="1" applyAlignment="1">
      <alignment horizontal="center" vertic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0" borderId="6" xfId="4" applyFont="1" applyBorder="1" applyAlignment="1">
      <alignment horizontal="center" vertical="center"/>
    </xf>
    <xf numFmtId="0" fontId="13" fillId="6" borderId="4"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 xfId="0" applyFont="1" applyFill="1" applyBorder="1" applyAlignment="1">
      <alignment horizontal="center" vertical="center"/>
    </xf>
    <xf numFmtId="0" fontId="34" fillId="8" borderId="62" xfId="13" applyBorder="1">
      <alignment horizontal="left" vertical="center" wrapText="1"/>
    </xf>
    <xf numFmtId="0" fontId="34" fillId="8" borderId="63" xfId="13" applyBorder="1">
      <alignment horizontal="left" vertical="center" wrapText="1"/>
    </xf>
    <xf numFmtId="0" fontId="34" fillId="8" borderId="64" xfId="13" applyBorder="1">
      <alignment horizontal="left" vertical="center" wrapText="1"/>
    </xf>
    <xf numFmtId="0" fontId="18" fillId="0" borderId="692" xfId="5" applyFont="1" applyBorder="1" applyAlignment="1">
      <alignment horizontal="left" vertical="center" wrapText="1"/>
    </xf>
    <xf numFmtId="0" fontId="0" fillId="0" borderId="12" xfId="0" applyBorder="1" applyAlignment="1">
      <alignment horizontal="left" vertical="top" wrapText="1" indent="1"/>
    </xf>
    <xf numFmtId="0" fontId="1" fillId="0" borderId="0" xfId="0" applyFont="1" applyBorder="1" applyAlignment="1">
      <alignment horizontal="left" vertical="top" wrapText="1" indent="1"/>
    </xf>
    <xf numFmtId="0" fontId="1" fillId="0" borderId="13" xfId="0" applyFont="1" applyBorder="1" applyAlignment="1">
      <alignment horizontal="left" vertical="top" wrapText="1" indent="1"/>
    </xf>
    <xf numFmtId="0" fontId="17" fillId="0" borderId="12" xfId="5" applyBorder="1" applyAlignment="1" applyProtection="1">
      <alignment horizontal="left" vertical="top" wrapText="1" indent="1"/>
      <protection locked="0"/>
    </xf>
    <xf numFmtId="0" fontId="17" fillId="0" borderId="0" xfId="5" applyBorder="1" applyAlignment="1" applyProtection="1">
      <alignment horizontal="left" vertical="top" wrapText="1" indent="1"/>
      <protection locked="0"/>
    </xf>
    <xf numFmtId="0" fontId="17" fillId="0" borderId="13" xfId="5" applyBorder="1" applyAlignment="1" applyProtection="1">
      <alignment horizontal="left" vertical="top" wrapText="1" indent="1"/>
      <protection locked="0"/>
    </xf>
    <xf numFmtId="0" fontId="13" fillId="0" borderId="102" xfId="0" applyFont="1" applyBorder="1" applyAlignment="1">
      <alignment horizontal="left" indent="1"/>
    </xf>
    <xf numFmtId="0" fontId="13" fillId="0" borderId="8" xfId="0" applyFont="1" applyBorder="1" applyAlignment="1">
      <alignment horizontal="left" indent="1"/>
    </xf>
    <xf numFmtId="165" fontId="13" fillId="0" borderId="8" xfId="0" quotePrefix="1" applyNumberFormat="1" applyFont="1" applyBorder="1" applyAlignment="1">
      <alignment horizontal="left"/>
    </xf>
    <xf numFmtId="0" fontId="1" fillId="0" borderId="8" xfId="0" applyFont="1" applyBorder="1" applyAlignment="1">
      <alignment horizontal="left" vertical="top" wrapText="1"/>
    </xf>
    <xf numFmtId="0" fontId="23" fillId="0" borderId="8" xfId="0" applyFont="1" applyBorder="1" applyAlignment="1"/>
    <xf numFmtId="0" fontId="0" fillId="0" borderId="8" xfId="0" applyBorder="1" applyAlignment="1"/>
    <xf numFmtId="0" fontId="0" fillId="0" borderId="0" xfId="0" applyBorder="1" applyAlignment="1"/>
    <xf numFmtId="0" fontId="0" fillId="0" borderId="0" xfId="0" applyAlignment="1"/>
    <xf numFmtId="0" fontId="0" fillId="0" borderId="13" xfId="0" applyBorder="1" applyAlignment="1"/>
    <xf numFmtId="0" fontId="34" fillId="8" borderId="102" xfId="13" applyFill="1" applyBorder="1" applyAlignment="1">
      <alignment horizontal="right" vertical="center" wrapText="1"/>
    </xf>
    <xf numFmtId="0" fontId="34" fillId="8" borderId="8" xfId="13" applyFill="1" applyBorder="1" applyAlignment="1">
      <alignment horizontal="right" vertical="center" wrapText="1"/>
    </xf>
    <xf numFmtId="0" fontId="34" fillId="8" borderId="8" xfId="13" applyFill="1" applyBorder="1" applyAlignment="1">
      <alignment horizontal="left" vertical="center" wrapText="1"/>
    </xf>
    <xf numFmtId="0" fontId="34" fillId="8" borderId="104" xfId="13" applyFill="1" applyBorder="1" applyAlignment="1">
      <alignment horizontal="right" vertical="center" wrapText="1"/>
    </xf>
    <xf numFmtId="0" fontId="0" fillId="0" borderId="62" xfId="0" applyBorder="1" applyAlignment="1">
      <alignment horizontal="left" vertical="top" wrapText="1" indent="1"/>
    </xf>
    <xf numFmtId="0" fontId="0" fillId="0" borderId="63" xfId="0" applyBorder="1" applyAlignment="1">
      <alignment horizontal="left" vertical="top" wrapText="1" indent="1"/>
    </xf>
    <xf numFmtId="0" fontId="0" fillId="0" borderId="64" xfId="0" applyBorder="1" applyAlignment="1">
      <alignment horizontal="left" vertical="top" wrapText="1" indent="1"/>
    </xf>
    <xf numFmtId="0" fontId="34" fillId="8" borderId="61" xfId="13" applyBorder="1">
      <alignment horizontal="left" vertical="center" wrapText="1"/>
    </xf>
    <xf numFmtId="0" fontId="0" fillId="0" borderId="119" xfId="0" applyBorder="1" applyAlignment="1">
      <alignment horizontal="left" vertical="top" wrapText="1" indent="1"/>
    </xf>
    <xf numFmtId="0" fontId="0" fillId="0" borderId="60" xfId="0" applyBorder="1" applyAlignment="1">
      <alignment horizontal="left" vertical="top" wrapText="1" indent="1"/>
    </xf>
    <xf numFmtId="0" fontId="0" fillId="0" borderId="120" xfId="0" applyBorder="1" applyAlignment="1">
      <alignment horizontal="left" vertical="top" wrapText="1" indent="1"/>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1" fontId="44" fillId="10" borderId="15" xfId="9" applyFont="1" applyBorder="1" applyAlignment="1">
      <alignment horizontal="left" vertical="top" indent="1"/>
      <protection locked="0"/>
    </xf>
    <xf numFmtId="0" fontId="0" fillId="0" borderId="0" xfId="0" applyBorder="1" applyAlignment="1">
      <alignment horizontal="left" vertical="top" wrapText="1"/>
    </xf>
    <xf numFmtId="0" fontId="0" fillId="0" borderId="13" xfId="0" applyBorder="1" applyAlignment="1">
      <alignment horizontal="left" vertical="top" wrapText="1"/>
    </xf>
    <xf numFmtId="0" fontId="28" fillId="0" borderId="0" xfId="0" applyFont="1" applyBorder="1" applyAlignment="1">
      <alignment horizontal="right" vertical="top" wrapText="1"/>
    </xf>
    <xf numFmtId="1" fontId="44" fillId="10" borderId="121" xfId="9" applyFont="1" applyBorder="1" applyAlignment="1">
      <alignment horizontal="left" vertical="center" indent="1"/>
      <protection locked="0"/>
    </xf>
    <xf numFmtId="1" fontId="44" fillId="10" borderId="122" xfId="9" applyFont="1" applyBorder="1" applyAlignment="1">
      <alignment horizontal="left" vertical="center" indent="1"/>
      <protection locked="0"/>
    </xf>
    <xf numFmtId="1" fontId="44" fillId="10" borderId="123" xfId="9" applyFont="1" applyBorder="1" applyAlignment="1">
      <alignment horizontal="left" vertical="center" indent="1"/>
      <protection locked="0"/>
    </xf>
    <xf numFmtId="1" fontId="21" fillId="10" borderId="121" xfId="9" applyFont="1" applyBorder="1" applyAlignment="1">
      <alignment horizontal="left" vertical="top" indent="1"/>
      <protection locked="0"/>
    </xf>
    <xf numFmtId="1" fontId="21" fillId="10" borderId="122" xfId="9" applyFont="1" applyBorder="1" applyAlignment="1">
      <alignment horizontal="left" vertical="top" indent="1"/>
      <protection locked="0"/>
    </xf>
    <xf numFmtId="1" fontId="21" fillId="10" borderId="123" xfId="9" applyFont="1" applyBorder="1" applyAlignment="1">
      <alignment horizontal="left" vertical="top" indent="1"/>
      <protection locked="0"/>
    </xf>
    <xf numFmtId="0" fontId="3" fillId="0" borderId="24" xfId="0" applyFont="1" applyBorder="1" applyAlignment="1">
      <alignment horizontal="right" vertical="top" wrapText="1"/>
    </xf>
    <xf numFmtId="2" fontId="27" fillId="10" borderId="121" xfId="9" applyNumberFormat="1" applyFont="1" applyBorder="1" applyAlignment="1">
      <alignment horizontal="left" vertical="center" indent="1"/>
      <protection locked="0"/>
    </xf>
    <xf numFmtId="2" fontId="27" fillId="10" borderId="122" xfId="9" applyNumberFormat="1" applyFont="1" applyBorder="1" applyAlignment="1">
      <alignment horizontal="left" vertical="center" indent="1"/>
      <protection locked="0"/>
    </xf>
    <xf numFmtId="2" fontId="27" fillId="10" borderId="123" xfId="9" applyNumberFormat="1" applyFont="1" applyBorder="1" applyAlignment="1">
      <alignment horizontal="left" vertical="center" indent="1"/>
      <protection locked="0"/>
    </xf>
    <xf numFmtId="0" fontId="17" fillId="0" borderId="0" xfId="5" applyBorder="1" applyAlignment="1" applyProtection="1">
      <alignment vertical="top"/>
      <protection locked="0"/>
    </xf>
    <xf numFmtId="1" fontId="44" fillId="10" borderId="121" xfId="9" applyFont="1" applyBorder="1" applyAlignment="1">
      <alignment horizontal="left" vertical="top" indent="1"/>
      <protection locked="0"/>
    </xf>
    <xf numFmtId="1" fontId="44" fillId="10" borderId="122" xfId="9" applyFont="1" applyBorder="1" applyAlignment="1">
      <alignment horizontal="left" vertical="top" indent="1"/>
      <protection locked="0"/>
    </xf>
    <xf numFmtId="1" fontId="44" fillId="10" borderId="123" xfId="9" applyFont="1" applyBorder="1" applyAlignment="1">
      <alignment horizontal="left" vertical="top" indent="1"/>
      <protection locked="0"/>
    </xf>
    <xf numFmtId="1" fontId="27" fillId="10" borderId="121" xfId="9" applyFont="1" applyBorder="1" applyAlignment="1">
      <alignment horizontal="left" vertical="center" wrapText="1" indent="1"/>
      <protection locked="0"/>
    </xf>
    <xf numFmtId="1" fontId="27" fillId="10" borderId="122" xfId="9" applyFont="1" applyBorder="1" applyAlignment="1">
      <alignment horizontal="left" vertical="center" wrapText="1" indent="1"/>
      <protection locked="0"/>
    </xf>
    <xf numFmtId="1" fontId="27" fillId="10" borderId="123" xfId="9" applyFont="1" applyBorder="1" applyAlignment="1">
      <alignment horizontal="left" vertical="center" wrapText="1" indent="1"/>
      <protection locked="0"/>
    </xf>
    <xf numFmtId="9" fontId="44" fillId="10" borderId="15" xfId="1" applyFont="1" applyFill="1" applyBorder="1" applyAlignment="1" applyProtection="1">
      <alignment horizontal="left" vertical="top" indent="1"/>
      <protection locked="0"/>
    </xf>
    <xf numFmtId="0" fontId="3" fillId="0" borderId="17" xfId="0" applyFont="1" applyBorder="1" applyAlignment="1">
      <alignment horizontal="right" vertical="top"/>
    </xf>
    <xf numFmtId="0" fontId="3" fillId="0" borderId="0" xfId="0" applyFont="1" applyBorder="1" applyAlignment="1">
      <alignment horizontal="right" vertical="top"/>
    </xf>
    <xf numFmtId="0" fontId="3" fillId="0" borderId="24" xfId="0" applyFont="1" applyBorder="1" applyAlignment="1">
      <alignment horizontal="right" vertical="top"/>
    </xf>
    <xf numFmtId="0" fontId="3" fillId="0" borderId="17" xfId="0" applyFont="1" applyBorder="1" applyAlignment="1">
      <alignment horizontal="right"/>
    </xf>
    <xf numFmtId="0" fontId="3" fillId="0" borderId="0" xfId="0" applyFont="1" applyBorder="1" applyAlignment="1">
      <alignment horizontal="right"/>
    </xf>
    <xf numFmtId="0" fontId="71" fillId="0" borderId="12" xfId="0" applyFont="1" applyBorder="1" applyAlignment="1">
      <alignment horizontal="right" vertical="center" wrapText="1"/>
    </xf>
    <xf numFmtId="0" fontId="0" fillId="0" borderId="0" xfId="0" applyBorder="1" applyAlignment="1">
      <alignment horizontal="right"/>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0" fillId="0" borderId="0" xfId="0" applyBorder="1" applyAlignment="1">
      <alignment horizontal="right" vertical="center"/>
    </xf>
    <xf numFmtId="0" fontId="3" fillId="0" borderId="125" xfId="0" applyFont="1" applyBorder="1" applyAlignment="1">
      <alignment horizontal="right" vertical="center"/>
    </xf>
    <xf numFmtId="0" fontId="0" fillId="10" borderId="130" xfId="0" applyFill="1" applyBorder="1" applyProtection="1">
      <protection locked="0"/>
    </xf>
    <xf numFmtId="0" fontId="0" fillId="10" borderId="131" xfId="0" applyFill="1" applyBorder="1" applyProtection="1">
      <protection locked="0"/>
    </xf>
    <xf numFmtId="0" fontId="0" fillId="10" borderId="132" xfId="0" applyFill="1" applyBorder="1" applyProtection="1">
      <protection locked="0"/>
    </xf>
    <xf numFmtId="0" fontId="3" fillId="0" borderId="126" xfId="0" applyFont="1" applyBorder="1" applyAlignment="1">
      <alignment horizontal="right" vertical="center" wrapText="1"/>
    </xf>
    <xf numFmtId="0" fontId="0" fillId="0" borderId="125" xfId="0" applyBorder="1" applyAlignment="1">
      <alignment horizontal="right" vertical="center" wrapText="1"/>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102" xfId="0" applyBorder="1" applyAlignment="1">
      <alignment horizontal="left" vertical="top" wrapText="1" indent="1"/>
    </xf>
    <xf numFmtId="0" fontId="0" fillId="0" borderId="8" xfId="0" applyBorder="1" applyAlignment="1">
      <alignment horizontal="left" vertical="top" wrapText="1" indent="1"/>
    </xf>
    <xf numFmtId="0" fontId="0" fillId="0" borderId="104" xfId="0" applyBorder="1" applyAlignment="1">
      <alignment horizontal="left" vertical="top" wrapText="1" indent="1"/>
    </xf>
    <xf numFmtId="0" fontId="0" fillId="0" borderId="0" xfId="0" applyBorder="1" applyAlignment="1">
      <alignment horizontal="right" vertical="center" wrapText="1"/>
    </xf>
    <xf numFmtId="0" fontId="0" fillId="0" borderId="127"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39" fillId="0" borderId="126"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13" xfId="0" applyFont="1" applyBorder="1" applyAlignment="1">
      <alignment horizontal="left" vertical="center" wrapText="1" indent="1"/>
    </xf>
    <xf numFmtId="0" fontId="0" fillId="0" borderId="126" xfId="0" applyBorder="1" applyAlignment="1">
      <alignment horizontal="left" vertical="center" wrapText="1" indent="1"/>
    </xf>
    <xf numFmtId="0" fontId="0" fillId="0" borderId="128" xfId="0" applyBorder="1" applyAlignment="1">
      <alignment horizontal="left" vertical="center"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3" fillId="0" borderId="12" xfId="0" applyFont="1" applyBorder="1" applyAlignment="1">
      <alignment horizontal="right"/>
    </xf>
    <xf numFmtId="1" fontId="98" fillId="10" borderId="121" xfId="9" applyFont="1" applyBorder="1" applyAlignment="1">
      <alignment horizontal="left" vertical="center"/>
      <protection locked="0"/>
    </xf>
    <xf numFmtId="1" fontId="98" fillId="10" borderId="122" xfId="9" applyFont="1" applyBorder="1" applyAlignment="1">
      <alignment horizontal="left" vertical="center"/>
      <protection locked="0"/>
    </xf>
    <xf numFmtId="1" fontId="98" fillId="10" borderId="123" xfId="9" applyFont="1" applyBorder="1" applyAlignment="1">
      <alignment horizontal="left" vertical="center"/>
      <protection locked="0"/>
    </xf>
    <xf numFmtId="0" fontId="0" fillId="0" borderId="0" xfId="0" applyAlignment="1">
      <alignment horizontal="left" vertical="center" wrapText="1" indent="1"/>
    </xf>
    <xf numFmtId="0" fontId="71" fillId="0" borderId="12" xfId="0" applyFont="1" applyBorder="1"/>
    <xf numFmtId="0" fontId="71" fillId="0" borderId="12" xfId="0" applyFont="1" applyBorder="1" applyAlignment="1">
      <alignment horizontal="left" vertical="top" wrapText="1"/>
    </xf>
    <xf numFmtId="0" fontId="71" fillId="0" borderId="82" xfId="0" applyFont="1" applyBorder="1" applyAlignment="1">
      <alignment horizontal="left" vertical="top" wrapText="1"/>
    </xf>
    <xf numFmtId="0" fontId="23" fillId="32" borderId="117" xfId="22" applyBorder="1" applyAlignment="1" applyProtection="1">
      <alignment horizontal="left" vertical="top" wrapText="1"/>
      <protection locked="0"/>
    </xf>
    <xf numFmtId="0" fontId="23" fillId="32" borderId="106" xfId="22" applyBorder="1" applyAlignment="1" applyProtection="1">
      <alignment horizontal="left" vertical="top" wrapText="1"/>
      <protection locked="0"/>
    </xf>
    <xf numFmtId="0" fontId="23" fillId="32" borderId="0" xfId="22" applyAlignment="1" applyProtection="1">
      <alignment horizontal="left" vertical="top" wrapText="1"/>
      <protection locked="0"/>
    </xf>
    <xf numFmtId="0" fontId="13" fillId="0" borderId="68" xfId="0" applyFont="1" applyBorder="1" applyAlignment="1">
      <alignment horizontal="center" vertical="center" wrapText="1"/>
    </xf>
    <xf numFmtId="0" fontId="13" fillId="0" borderId="0" xfId="0" applyFont="1" applyBorder="1" applyAlignment="1">
      <alignment horizontal="center" vertical="center" wrapText="1"/>
    </xf>
    <xf numFmtId="0" fontId="71" fillId="0" borderId="67" xfId="0" applyFont="1" applyBorder="1" applyAlignment="1">
      <alignment horizontal="left" vertical="top"/>
    </xf>
    <xf numFmtId="0" fontId="71" fillId="0" borderId="12" xfId="0" applyFont="1" applyBorder="1" applyAlignment="1">
      <alignment horizontal="left" vertical="top"/>
    </xf>
    <xf numFmtId="0" fontId="23" fillId="0" borderId="68" xfId="0" applyFont="1" applyBorder="1"/>
    <xf numFmtId="0" fontId="23" fillId="0" borderId="0" xfId="0" applyFont="1" applyBorder="1"/>
    <xf numFmtId="0" fontId="23" fillId="0" borderId="106" xfId="0" applyFont="1" applyBorder="1" applyAlignment="1">
      <alignment vertical="top"/>
    </xf>
    <xf numFmtId="0" fontId="23" fillId="0" borderId="96" xfId="0" applyFont="1" applyBorder="1" applyAlignment="1"/>
    <xf numFmtId="0" fontId="23" fillId="0" borderId="99" xfId="0" applyFont="1" applyBorder="1" applyAlignment="1"/>
    <xf numFmtId="0" fontId="23" fillId="0" borderId="109" xfId="0" applyFont="1" applyBorder="1" applyAlignment="1"/>
    <xf numFmtId="167" fontId="27" fillId="11" borderId="59" xfId="10" applyBorder="1">
      <alignment horizontal="left" vertical="top" wrapText="1"/>
    </xf>
    <xf numFmtId="0" fontId="23" fillId="0" borderId="68" xfId="0" applyFont="1" applyBorder="1" applyAlignment="1">
      <alignment vertical="top"/>
    </xf>
    <xf numFmtId="0" fontId="23" fillId="32" borderId="71" xfId="22" applyBorder="1" applyAlignment="1" applyProtection="1">
      <alignment horizontal="left" vertical="top" wrapText="1"/>
      <protection locked="0"/>
    </xf>
    <xf numFmtId="0" fontId="23" fillId="32" borderId="57" xfId="22" applyBorder="1" applyAlignment="1" applyProtection="1">
      <alignment horizontal="left" vertical="top" wrapText="1"/>
      <protection locked="0"/>
    </xf>
    <xf numFmtId="0" fontId="23" fillId="32" borderId="72" xfId="22" applyBorder="1" applyAlignment="1" applyProtection="1">
      <alignment horizontal="left" vertical="top" wrapText="1"/>
      <protection locked="0"/>
    </xf>
    <xf numFmtId="0" fontId="23" fillId="32" borderId="58" xfId="22" applyBorder="1" applyAlignment="1" applyProtection="1">
      <alignment horizontal="left" vertical="top" wrapText="1"/>
      <protection locked="0"/>
    </xf>
    <xf numFmtId="0" fontId="23" fillId="32" borderId="72" xfId="22" applyFont="1" applyBorder="1" applyAlignment="1" applyProtection="1">
      <alignment horizontal="left" vertical="top" wrapText="1"/>
      <protection locked="0"/>
    </xf>
    <xf numFmtId="0" fontId="23" fillId="32" borderId="58" xfId="22" applyFont="1" applyBorder="1" applyAlignment="1" applyProtection="1">
      <alignment horizontal="left" vertical="top" wrapText="1"/>
      <protection locked="0"/>
    </xf>
    <xf numFmtId="0" fontId="23" fillId="32" borderId="269" xfId="22" applyFont="1" applyBorder="1" applyAlignment="1" applyProtection="1">
      <alignment horizontal="left" vertical="top" wrapText="1"/>
      <protection locked="0"/>
    </xf>
    <xf numFmtId="0" fontId="23" fillId="32" borderId="270" xfId="22" applyFont="1" applyBorder="1" applyAlignment="1" applyProtection="1">
      <alignment horizontal="left" vertical="top" wrapText="1"/>
      <protection locked="0"/>
    </xf>
    <xf numFmtId="1" fontId="13" fillId="15" borderId="558" xfId="15" applyNumberFormat="1" applyFont="1" applyBorder="1" applyAlignment="1" applyProtection="1">
      <alignment horizontal="center" vertical="center"/>
    </xf>
    <xf numFmtId="1" fontId="13" fillId="15" borderId="0" xfId="15" applyNumberFormat="1" applyFont="1" applyBorder="1" applyAlignment="1" applyProtection="1">
      <alignment horizontal="center" vertical="center"/>
    </xf>
    <xf numFmtId="0" fontId="0" fillId="0" borderId="84" xfId="0" applyBorder="1" applyAlignment="1">
      <alignment horizontal="center" vertical="center"/>
    </xf>
    <xf numFmtId="0" fontId="23" fillId="0" borderId="270" xfId="0" applyFont="1" applyBorder="1" applyAlignment="1">
      <alignment horizontal="left"/>
    </xf>
    <xf numFmtId="0" fontId="0" fillId="0" borderId="270" xfId="0" applyBorder="1" applyAlignment="1">
      <alignment horizontal="left"/>
    </xf>
    <xf numFmtId="0" fontId="23" fillId="32" borderId="68" xfId="22" applyBorder="1" applyAlignment="1" applyProtection="1">
      <alignment horizontal="left" vertical="top" wrapText="1"/>
      <protection locked="0"/>
    </xf>
    <xf numFmtId="0" fontId="23" fillId="32" borderId="0" xfId="22" applyBorder="1" applyAlignment="1" applyProtection="1">
      <alignment horizontal="left" vertical="top" wrapText="1"/>
      <protection locked="0"/>
    </xf>
    <xf numFmtId="0" fontId="23" fillId="32" borderId="84" xfId="22" applyBorder="1" applyAlignment="1" applyProtection="1">
      <alignment horizontal="left" vertical="top" wrapText="1"/>
      <protection locked="0"/>
    </xf>
    <xf numFmtId="0" fontId="23" fillId="0" borderId="68" xfId="0" applyFont="1" applyBorder="1" applyAlignment="1" applyProtection="1">
      <alignment vertical="top" wrapText="1"/>
    </xf>
    <xf numFmtId="0" fontId="30" fillId="0" borderId="13" xfId="0" applyFont="1" applyBorder="1" applyAlignment="1" applyProtection="1">
      <alignment horizontal="center" vertical="center" wrapText="1"/>
      <protection locked="0"/>
    </xf>
    <xf numFmtId="0" fontId="30" fillId="0" borderId="138" xfId="0" applyFont="1" applyBorder="1" applyAlignment="1" applyProtection="1">
      <alignment horizontal="center" vertical="center" wrapText="1"/>
      <protection locked="0"/>
    </xf>
    <xf numFmtId="167" fontId="27" fillId="11" borderId="70" xfId="10" applyBorder="1">
      <alignment horizontal="left" vertical="top" wrapText="1"/>
    </xf>
    <xf numFmtId="0" fontId="23" fillId="0" borderId="68" xfId="0" applyFont="1" applyBorder="1" applyAlignment="1" applyProtection="1">
      <alignment horizontal="left" vertical="top" wrapText="1"/>
    </xf>
    <xf numFmtId="0" fontId="23" fillId="32" borderId="71" xfId="0" applyFont="1" applyFill="1" applyBorder="1" applyAlignment="1" applyProtection="1">
      <alignment horizontal="left" vertical="top" wrapText="1"/>
      <protection locked="0"/>
    </xf>
    <xf numFmtId="0" fontId="23" fillId="32" borderId="57" xfId="0" applyFont="1" applyFill="1" applyBorder="1" applyAlignment="1" applyProtection="1">
      <alignment horizontal="left" vertical="top" wrapText="1"/>
      <protection locked="0"/>
    </xf>
    <xf numFmtId="49" fontId="20" fillId="43" borderId="439" xfId="7">
      <alignment horizontal="left" vertical="center" wrapText="1"/>
    </xf>
    <xf numFmtId="0" fontId="6" fillId="43" borderId="0" xfId="2" applyFont="1" applyFill="1" applyBorder="1" applyAlignment="1">
      <alignment horizontal="left" vertical="center" wrapText="1"/>
    </xf>
    <xf numFmtId="0" fontId="6" fillId="43" borderId="2" xfId="2" applyFont="1" applyFill="1" applyBorder="1" applyAlignment="1">
      <alignment horizontal="left" vertical="center" wrapText="1"/>
    </xf>
    <xf numFmtId="0" fontId="0" fillId="0" borderId="0" xfId="0" applyBorder="1" applyAlignment="1">
      <alignment horizontal="center"/>
    </xf>
    <xf numFmtId="49" fontId="20" fillId="43" borderId="439" xfId="7" applyFill="1">
      <alignment horizontal="left" vertical="center" wrapText="1"/>
    </xf>
    <xf numFmtId="0" fontId="22" fillId="0" borderId="4" xfId="4" applyFont="1" applyBorder="1" applyAlignment="1">
      <alignment horizontal="center" vertical="center"/>
    </xf>
    <xf numFmtId="0" fontId="22" fillId="0" borderId="5" xfId="4" applyFont="1" applyBorder="1" applyAlignment="1">
      <alignment horizontal="center" vertical="center"/>
    </xf>
    <xf numFmtId="0" fontId="22" fillId="0" borderId="6" xfId="4" applyFont="1" applyBorder="1" applyAlignment="1">
      <alignment horizontal="center" vertical="center"/>
    </xf>
    <xf numFmtId="0" fontId="18" fillId="0" borderId="691" xfId="5" applyFont="1" applyBorder="1" applyAlignment="1">
      <alignment horizontal="left" vertical="center" wrapText="1"/>
    </xf>
    <xf numFmtId="0" fontId="70" fillId="42" borderId="179" xfId="6" applyFont="1" applyFill="1" applyBorder="1" applyAlignment="1">
      <alignment horizontal="center" vertical="center" wrapText="1"/>
    </xf>
    <xf numFmtId="0" fontId="70" fillId="42" borderId="178" xfId="6" applyFont="1" applyFill="1" applyBorder="1" applyAlignment="1">
      <alignment horizontal="center" vertical="center" wrapText="1"/>
    </xf>
    <xf numFmtId="0" fontId="70" fillId="42" borderId="134" xfId="6" applyFont="1" applyFill="1" applyBorder="1" applyAlignment="1">
      <alignment horizontal="center" vertical="center" wrapText="1"/>
    </xf>
    <xf numFmtId="0" fontId="134" fillId="42" borderId="133" xfId="6" applyFont="1" applyFill="1" applyBorder="1">
      <alignment horizontal="center" vertical="center" wrapText="1"/>
    </xf>
    <xf numFmtId="0" fontId="134" fillId="42" borderId="134" xfId="6" applyFont="1" applyFill="1" applyBorder="1">
      <alignment horizontal="center" vertical="center" wrapText="1"/>
    </xf>
    <xf numFmtId="0" fontId="70" fillId="42" borderId="179" xfId="6" applyFont="1" applyFill="1" applyBorder="1">
      <alignment horizontal="center" vertical="center" wrapText="1"/>
    </xf>
    <xf numFmtId="0" fontId="70" fillId="42" borderId="178" xfId="6" applyFont="1" applyFill="1" applyBorder="1">
      <alignment horizontal="center" vertical="center" wrapText="1"/>
    </xf>
    <xf numFmtId="0" fontId="70" fillId="42" borderId="134" xfId="6" applyFont="1" applyFill="1" applyBorder="1">
      <alignment horizontal="center" vertical="center" wrapText="1"/>
    </xf>
    <xf numFmtId="0" fontId="22" fillId="0" borderId="447" xfId="4" applyNumberFormat="1" applyFont="1" applyFill="1" applyBorder="1" applyAlignment="1">
      <alignment vertical="top" wrapText="1"/>
    </xf>
    <xf numFmtId="0" fontId="21" fillId="0" borderId="447" xfId="4" applyNumberFormat="1" applyFont="1" applyFill="1" applyBorder="1" applyAlignment="1">
      <alignment vertical="top" wrapText="1"/>
    </xf>
    <xf numFmtId="0" fontId="0" fillId="0" borderId="447" xfId="0" applyBorder="1" applyAlignment="1">
      <alignment wrapText="1"/>
    </xf>
    <xf numFmtId="0" fontId="0" fillId="0" borderId="557" xfId="0" applyBorder="1" applyAlignment="1">
      <alignment wrapText="1"/>
    </xf>
    <xf numFmtId="0" fontId="4" fillId="3" borderId="0" xfId="4" applyFont="1" applyFill="1" applyBorder="1" applyAlignment="1">
      <alignment horizontal="center" vertical="center" wrapText="1"/>
    </xf>
    <xf numFmtId="0" fontId="21" fillId="0" borderId="34" xfId="12" applyFont="1" applyFill="1" applyBorder="1" applyAlignment="1" applyProtection="1">
      <alignment horizontal="left" vertical="top" wrapText="1"/>
    </xf>
    <xf numFmtId="0" fontId="22" fillId="0" borderId="0" xfId="12" applyFont="1" applyFill="1" applyBorder="1" applyProtection="1">
      <alignment horizontal="left" vertical="top" wrapText="1"/>
    </xf>
    <xf numFmtId="0" fontId="23" fillId="0" borderId="0" xfId="0" applyFont="1" applyBorder="1" applyAlignment="1">
      <alignment vertical="top" wrapText="1"/>
    </xf>
    <xf numFmtId="0" fontId="23" fillId="0" borderId="18" xfId="0" applyFont="1" applyBorder="1" applyAlignment="1">
      <alignment vertical="top" wrapText="1"/>
    </xf>
    <xf numFmtId="0" fontId="13" fillId="0" borderId="18" xfId="0" applyFont="1" applyBorder="1" applyAlignment="1">
      <alignment horizontal="center" vertical="center" wrapText="1"/>
    </xf>
    <xf numFmtId="0" fontId="13" fillId="0" borderId="26" xfId="0" applyFont="1" applyBorder="1" applyAlignment="1">
      <alignment horizontal="center" vertical="center" wrapText="1"/>
    </xf>
    <xf numFmtId="1" fontId="26" fillId="10" borderId="359" xfId="9" applyFont="1" applyBorder="1" applyProtection="1">
      <alignment horizontal="center" vertical="center"/>
      <protection locked="0"/>
    </xf>
    <xf numFmtId="167" fontId="27" fillId="0" borderId="0" xfId="10" applyFill="1" applyBorder="1">
      <alignment horizontal="left" vertical="top" wrapText="1"/>
    </xf>
    <xf numFmtId="167" fontId="27" fillId="33" borderId="315" xfId="10" applyFill="1" applyBorder="1" applyAlignment="1" applyProtection="1">
      <alignment horizontal="left" vertical="top" wrapText="1"/>
      <protection locked="0"/>
    </xf>
    <xf numFmtId="167" fontId="27" fillId="33" borderId="316" xfId="10" applyFill="1" applyBorder="1" applyAlignment="1" applyProtection="1">
      <alignment horizontal="left" vertical="top" wrapText="1"/>
      <protection locked="0"/>
    </xf>
    <xf numFmtId="167" fontId="27" fillId="33" borderId="437" xfId="10" applyFill="1" applyBorder="1" applyAlignment="1" applyProtection="1">
      <alignment horizontal="left" vertical="top" wrapText="1"/>
      <protection locked="0"/>
    </xf>
    <xf numFmtId="167" fontId="27" fillId="33" borderId="318" xfId="10" applyFill="1" applyBorder="1" applyAlignment="1" applyProtection="1">
      <alignment horizontal="left" vertical="top" wrapText="1"/>
      <protection locked="0"/>
    </xf>
    <xf numFmtId="167" fontId="27" fillId="33" borderId="319" xfId="10" applyFill="1" applyBorder="1" applyAlignment="1" applyProtection="1">
      <alignment horizontal="left" vertical="top" wrapText="1"/>
      <protection locked="0"/>
    </xf>
    <xf numFmtId="167" fontId="27" fillId="33" borderId="438" xfId="10" applyFill="1" applyBorder="1" applyAlignment="1" applyProtection="1">
      <alignment horizontal="left" vertical="top" wrapText="1"/>
      <protection locked="0"/>
    </xf>
    <xf numFmtId="0" fontId="23" fillId="32" borderId="278" xfId="0" applyFont="1" applyFill="1" applyBorder="1" applyAlignment="1" applyProtection="1">
      <alignment horizontal="left" vertical="top" wrapText="1"/>
      <protection locked="0"/>
    </xf>
    <xf numFmtId="0" fontId="23" fillId="32" borderId="66" xfId="0" applyFont="1" applyFill="1" applyBorder="1" applyAlignment="1" applyProtection="1">
      <alignment horizontal="left" vertical="top" wrapText="1"/>
      <protection locked="0"/>
    </xf>
    <xf numFmtId="0" fontId="23" fillId="0" borderId="0" xfId="0" applyFont="1" applyBorder="1" applyAlignment="1">
      <alignment horizontal="left" vertical="top" wrapText="1"/>
    </xf>
    <xf numFmtId="0" fontId="23" fillId="0" borderId="30" xfId="0" applyFont="1" applyBorder="1" applyAlignment="1">
      <alignment horizontal="left" vertical="top" wrapText="1"/>
    </xf>
    <xf numFmtId="0" fontId="30" fillId="0" borderId="13" xfId="0" applyFont="1" applyBorder="1" applyAlignment="1">
      <alignment horizontal="center" vertical="center"/>
    </xf>
    <xf numFmtId="0" fontId="30" fillId="0" borderId="308" xfId="0" applyFont="1" applyBorder="1" applyAlignment="1">
      <alignment horizontal="center" vertical="center"/>
    </xf>
    <xf numFmtId="167" fontId="27" fillId="11" borderId="33" xfId="10" applyBorder="1">
      <alignment horizontal="left" vertical="top" wrapText="1"/>
    </xf>
    <xf numFmtId="0" fontId="23" fillId="32" borderId="446" xfId="22" applyBorder="1" applyAlignment="1" applyProtection="1">
      <alignment horizontal="left" vertical="top" wrapText="1"/>
      <protection locked="0"/>
    </xf>
    <xf numFmtId="0" fontId="23" fillId="32" borderId="447" xfId="22" applyBorder="1" applyAlignment="1" applyProtection="1">
      <alignment horizontal="left" vertical="top" wrapText="1"/>
      <protection locked="0"/>
    </xf>
    <xf numFmtId="0" fontId="0" fillId="0" borderId="32" xfId="0" applyBorder="1" applyAlignment="1">
      <alignment horizontal="center"/>
    </xf>
    <xf numFmtId="0" fontId="3" fillId="0" borderId="0" xfId="0" applyFont="1" applyBorder="1" applyAlignment="1">
      <alignment horizontal="center"/>
    </xf>
    <xf numFmtId="0" fontId="3" fillId="0" borderId="32" xfId="0" applyFont="1" applyBorder="1" applyAlignment="1">
      <alignment horizontal="center"/>
    </xf>
    <xf numFmtId="0" fontId="0" fillId="0" borderId="0" xfId="0" applyBorder="1" applyAlignment="1">
      <alignment horizontal="center" vertical="top" wrapText="1"/>
    </xf>
    <xf numFmtId="0" fontId="0" fillId="0" borderId="32" xfId="0" applyBorder="1" applyAlignment="1">
      <alignment horizontal="center" vertical="top" wrapText="1"/>
    </xf>
    <xf numFmtId="0" fontId="30" fillId="0" borderId="186" xfId="0" applyFont="1" applyBorder="1" applyAlignment="1" applyProtection="1">
      <alignment horizontal="center" vertical="center" wrapText="1"/>
      <protection locked="0"/>
    </xf>
    <xf numFmtId="0" fontId="23" fillId="32" borderId="269" xfId="22" applyBorder="1" applyAlignment="1" applyProtection="1">
      <alignment horizontal="left" vertical="top" wrapText="1"/>
      <protection locked="0"/>
    </xf>
    <xf numFmtId="0" fontId="23" fillId="32" borderId="270" xfId="22" applyBorder="1" applyAlignment="1" applyProtection="1">
      <alignment horizontal="left" vertical="top" wrapText="1"/>
      <protection locked="0"/>
    </xf>
    <xf numFmtId="0" fontId="23" fillId="32" borderId="27" xfId="22" applyBorder="1" applyAlignment="1" applyProtection="1">
      <alignment horizontal="left" vertical="top" wrapText="1"/>
      <protection locked="0"/>
    </xf>
    <xf numFmtId="0" fontId="23" fillId="0" borderId="18" xfId="0" applyFont="1" applyBorder="1" applyAlignment="1">
      <alignment horizontal="left" vertical="top" wrapText="1"/>
    </xf>
    <xf numFmtId="0" fontId="23" fillId="0" borderId="26" xfId="0" applyFont="1" applyBorder="1" applyAlignment="1">
      <alignment horizontal="left" vertical="top" wrapText="1"/>
    </xf>
    <xf numFmtId="0" fontId="23" fillId="0" borderId="27" xfId="0" applyFont="1" applyBorder="1" applyAlignment="1">
      <alignment horizontal="left" vertical="top" wrapText="1"/>
    </xf>
    <xf numFmtId="0" fontId="23" fillId="0" borderId="27" xfId="0" applyFont="1" applyBorder="1" applyAlignment="1">
      <alignment vertical="top" wrapText="1"/>
    </xf>
    <xf numFmtId="0" fontId="23" fillId="0" borderId="45" xfId="0" applyFont="1" applyBorder="1" applyAlignment="1">
      <alignment vertical="top" wrapText="1"/>
    </xf>
    <xf numFmtId="0" fontId="23" fillId="0" borderId="83" xfId="0" applyFont="1" applyBorder="1" applyAlignment="1">
      <alignment vertical="top" wrapText="1"/>
    </xf>
    <xf numFmtId="167" fontId="27" fillId="11" borderId="47" xfId="10" applyBorder="1">
      <alignment horizontal="left" vertical="top" wrapText="1"/>
    </xf>
    <xf numFmtId="167" fontId="27" fillId="11" borderId="45" xfId="10" applyBorder="1">
      <alignment horizontal="left" vertical="top" wrapText="1"/>
    </xf>
    <xf numFmtId="167" fontId="27" fillId="11" borderId="48" xfId="10" applyBorder="1">
      <alignment horizontal="left" vertical="top" wrapText="1"/>
    </xf>
    <xf numFmtId="0" fontId="23" fillId="32" borderId="315" xfId="22" applyBorder="1">
      <alignment horizontal="left" vertical="top" wrapText="1"/>
      <protection locked="0"/>
    </xf>
    <xf numFmtId="0" fontId="23" fillId="32" borderId="316" xfId="22" applyBorder="1">
      <alignment horizontal="left" vertical="top" wrapText="1"/>
      <protection locked="0"/>
    </xf>
    <xf numFmtId="0" fontId="23" fillId="32" borderId="437" xfId="22" applyBorder="1">
      <alignment horizontal="left" vertical="top" wrapText="1"/>
      <protection locked="0"/>
    </xf>
    <xf numFmtId="0" fontId="23" fillId="32" borderId="318" xfId="22" applyBorder="1">
      <alignment horizontal="left" vertical="top" wrapText="1"/>
      <protection locked="0"/>
    </xf>
    <xf numFmtId="0" fontId="23" fillId="32" borderId="319" xfId="22" applyBorder="1">
      <alignment horizontal="left" vertical="top" wrapText="1"/>
      <protection locked="0"/>
    </xf>
    <xf numFmtId="0" fontId="23" fillId="32" borderId="438" xfId="22" applyBorder="1">
      <alignment horizontal="left" vertical="top" wrapText="1"/>
      <protection locked="0"/>
    </xf>
    <xf numFmtId="167" fontId="21" fillId="11" borderId="42" xfId="10" applyFont="1" applyBorder="1" applyProtection="1">
      <alignment horizontal="left" vertical="top" wrapText="1"/>
    </xf>
    <xf numFmtId="167" fontId="21" fillId="11" borderId="43" xfId="10" applyFont="1" applyBorder="1" applyProtection="1">
      <alignment horizontal="left" vertical="top" wrapText="1"/>
    </xf>
    <xf numFmtId="167" fontId="21" fillId="11" borderId="44" xfId="10" applyFont="1" applyBorder="1" applyProtection="1">
      <alignment horizontal="left" vertical="top" wrapText="1"/>
    </xf>
    <xf numFmtId="0" fontId="23" fillId="0" borderId="0" xfId="0" applyFont="1" applyBorder="1" applyAlignment="1" applyProtection="1">
      <alignment horizontal="left" vertical="top" wrapText="1"/>
    </xf>
    <xf numFmtId="0" fontId="30" fillId="0" borderId="116" xfId="0" applyFont="1" applyBorder="1" applyAlignment="1" applyProtection="1">
      <alignment horizontal="center" vertical="center" wrapText="1"/>
    </xf>
    <xf numFmtId="0" fontId="30" fillId="0" borderId="13" xfId="0" applyFont="1" applyBorder="1" applyAlignment="1" applyProtection="1">
      <alignment horizontal="center" vertical="center" wrapText="1"/>
    </xf>
    <xf numFmtId="0" fontId="0" fillId="0" borderId="60" xfId="0" applyBorder="1" applyProtection="1">
      <protection locked="0"/>
    </xf>
    <xf numFmtId="0" fontId="35" fillId="8" borderId="62" xfId="13" applyFont="1" applyBorder="1">
      <alignment horizontal="left" vertical="center" wrapText="1"/>
    </xf>
    <xf numFmtId="0" fontId="35" fillId="8" borderId="63" xfId="13" applyFont="1" applyBorder="1">
      <alignment horizontal="left" vertical="center" wrapText="1"/>
    </xf>
    <xf numFmtId="0" fontId="36" fillId="8" borderId="63" xfId="5" applyFont="1" applyFill="1" applyBorder="1" applyAlignment="1" applyProtection="1">
      <alignment horizontal="right" vertical="center" wrapText="1"/>
      <protection locked="0"/>
    </xf>
    <xf numFmtId="0" fontId="36" fillId="8" borderId="64" xfId="5" applyFont="1" applyFill="1" applyBorder="1" applyAlignment="1" applyProtection="1">
      <alignment horizontal="right" vertical="center" wrapText="1"/>
      <protection locked="0"/>
    </xf>
    <xf numFmtId="0" fontId="23" fillId="0" borderId="66" xfId="0" applyFont="1" applyBorder="1" applyAlignment="1">
      <alignment horizontal="left" vertical="top" wrapText="1"/>
    </xf>
    <xf numFmtId="0" fontId="13" fillId="0" borderId="66" xfId="0" applyFont="1" applyBorder="1" applyAlignment="1">
      <alignment horizontal="center" vertical="center" wrapText="1"/>
    </xf>
    <xf numFmtId="1" fontId="26" fillId="10" borderId="15" xfId="9" applyFont="1" applyBorder="1" applyProtection="1">
      <alignment horizontal="center" vertical="center"/>
      <protection locked="0"/>
    </xf>
    <xf numFmtId="1" fontId="26" fillId="10" borderId="16" xfId="9" applyFont="1" applyBorder="1" applyProtection="1">
      <alignment horizontal="center" vertical="center"/>
      <protection locked="0"/>
    </xf>
    <xf numFmtId="0" fontId="23" fillId="0" borderId="32" xfId="0" applyFont="1" applyBorder="1" applyAlignment="1">
      <alignment horizontal="left" vertical="top" wrapText="1"/>
    </xf>
    <xf numFmtId="0" fontId="23" fillId="0" borderId="34" xfId="0" applyFont="1" applyBorder="1" applyAlignment="1" applyProtection="1">
      <alignment horizontal="left" vertical="top" wrapText="1"/>
    </xf>
    <xf numFmtId="49" fontId="23" fillId="0" borderId="85" xfId="0" applyNumberFormat="1" applyFont="1" applyBorder="1" applyAlignment="1" applyProtection="1">
      <alignment horizontal="center" vertical="center" wrapText="1"/>
      <protection locked="0"/>
    </xf>
    <xf numFmtId="49" fontId="23" fillId="0" borderId="13" xfId="0" applyNumberFormat="1" applyFont="1" applyBorder="1" applyAlignment="1" applyProtection="1">
      <alignment horizontal="center" vertical="center" wrapText="1"/>
      <protection locked="0"/>
    </xf>
    <xf numFmtId="0" fontId="23" fillId="0" borderId="103" xfId="0" applyFont="1" applyBorder="1" applyAlignment="1">
      <alignment vertical="top" wrapText="1"/>
    </xf>
    <xf numFmtId="0" fontId="30" fillId="0" borderId="307" xfId="0" applyFont="1" applyBorder="1" applyAlignment="1" applyProtection="1">
      <alignment horizontal="center" vertical="center" wrapText="1"/>
      <protection locked="0"/>
    </xf>
    <xf numFmtId="49" fontId="30" fillId="0" borderId="254" xfId="0" applyNumberFormat="1" applyFont="1" applyBorder="1" applyAlignment="1" applyProtection="1">
      <alignment horizontal="center" vertical="center" wrapText="1"/>
      <protection locked="0"/>
    </xf>
    <xf numFmtId="49" fontId="30" fillId="0" borderId="13" xfId="0" applyNumberFormat="1" applyFont="1" applyBorder="1" applyAlignment="1" applyProtection="1">
      <alignment horizontal="center" vertical="center" wrapText="1"/>
      <protection locked="0"/>
    </xf>
    <xf numFmtId="49" fontId="13" fillId="36" borderId="101" xfId="0" applyNumberFormat="1" applyFont="1" applyFill="1" applyBorder="1" applyAlignment="1" applyProtection="1">
      <alignment horizontal="center" vertical="center" wrapText="1"/>
      <protection locked="0"/>
    </xf>
    <xf numFmtId="49" fontId="13" fillId="36" borderId="260" xfId="0" applyNumberFormat="1" applyFont="1" applyFill="1" applyBorder="1" applyAlignment="1" applyProtection="1">
      <alignment horizontal="center" vertical="center" wrapText="1"/>
      <protection locked="0"/>
    </xf>
    <xf numFmtId="0" fontId="23" fillId="0" borderId="57" xfId="0" applyFont="1" applyBorder="1" applyAlignment="1">
      <alignment horizontal="left" vertical="top" wrapText="1"/>
    </xf>
    <xf numFmtId="167" fontId="23" fillId="0" borderId="0" xfId="0" applyNumberFormat="1" applyFont="1" applyBorder="1" applyAlignment="1">
      <alignment horizontal="center" vertical="top" wrapText="1"/>
    </xf>
    <xf numFmtId="167" fontId="23" fillId="0" borderId="26" xfId="0" applyNumberFormat="1" applyFont="1" applyBorder="1" applyAlignment="1">
      <alignment horizontal="center" vertical="top" wrapText="1"/>
    </xf>
    <xf numFmtId="0" fontId="23" fillId="0" borderId="0" xfId="0" applyFont="1" applyBorder="1" applyAlignment="1">
      <alignment horizontal="center" vertical="top" wrapText="1"/>
    </xf>
    <xf numFmtId="0" fontId="23" fillId="0" borderId="57" xfId="0" applyFont="1" applyBorder="1" applyAlignment="1">
      <alignment horizontal="center" vertical="top" wrapText="1"/>
    </xf>
    <xf numFmtId="167" fontId="23" fillId="0" borderId="18" xfId="0" applyNumberFormat="1" applyFont="1" applyBorder="1" applyAlignment="1">
      <alignment horizontal="center" vertical="top" wrapText="1"/>
    </xf>
    <xf numFmtId="167" fontId="23" fillId="0" borderId="84" xfId="0" applyNumberFormat="1" applyFont="1" applyBorder="1" applyAlignment="1">
      <alignment horizontal="center" vertical="top" wrapText="1"/>
    </xf>
    <xf numFmtId="0" fontId="23" fillId="0" borderId="66" xfId="0" applyFont="1" applyBorder="1" applyAlignment="1">
      <alignment horizontal="center" vertical="top" wrapText="1"/>
    </xf>
    <xf numFmtId="0" fontId="23" fillId="0" borderId="84" xfId="0" applyFont="1" applyBorder="1" applyAlignment="1">
      <alignment horizontal="center" vertical="top" wrapText="1"/>
    </xf>
    <xf numFmtId="0" fontId="30" fillId="0" borderId="308" xfId="0" applyFont="1" applyBorder="1" applyAlignment="1" applyProtection="1">
      <alignment horizontal="center" vertical="center" wrapText="1"/>
      <protection locked="0"/>
    </xf>
    <xf numFmtId="0" fontId="23" fillId="32" borderId="444" xfId="22" applyBorder="1" applyAlignment="1" applyProtection="1">
      <alignment horizontal="left" vertical="top" wrapText="1"/>
      <protection locked="0"/>
    </xf>
    <xf numFmtId="0" fontId="23" fillId="32" borderId="445" xfId="22" applyBorder="1" applyAlignment="1" applyProtection="1">
      <alignment horizontal="left" vertical="top" wrapText="1"/>
      <protection locked="0"/>
    </xf>
    <xf numFmtId="0" fontId="23" fillId="0" borderId="84" xfId="0" applyFont="1" applyBorder="1" applyAlignment="1">
      <alignment horizontal="left" vertical="top" wrapText="1"/>
    </xf>
    <xf numFmtId="167" fontId="27" fillId="11" borderId="21" xfId="10">
      <alignment horizontal="left" vertical="top" wrapText="1"/>
    </xf>
    <xf numFmtId="0" fontId="13" fillId="0" borderId="279" xfId="0" applyFont="1" applyBorder="1" applyAlignment="1">
      <alignment horizontal="center" vertical="center" wrapText="1"/>
    </xf>
    <xf numFmtId="0" fontId="13" fillId="0" borderId="92" xfId="0" applyFont="1" applyBorder="1" applyAlignment="1">
      <alignment horizontal="center" vertical="center" wrapText="1"/>
    </xf>
    <xf numFmtId="1" fontId="22" fillId="10" borderId="16" xfId="9" applyFont="1" applyBorder="1" applyAlignment="1" applyProtection="1">
      <alignment horizontal="center" vertical="center"/>
      <protection locked="0"/>
    </xf>
    <xf numFmtId="1" fontId="22" fillId="10" borderId="50" xfId="9" applyFont="1" applyBorder="1" applyAlignment="1" applyProtection="1">
      <alignment horizontal="center" vertical="center"/>
      <protection locked="0"/>
    </xf>
    <xf numFmtId="0" fontId="23" fillId="32" borderId="278" xfId="22" applyFont="1" applyBorder="1" applyAlignment="1" applyProtection="1">
      <alignment horizontal="left" vertical="top" wrapText="1"/>
      <protection locked="0"/>
    </xf>
    <xf numFmtId="0" fontId="23" fillId="32" borderId="66" xfId="22" applyFont="1" applyBorder="1" applyAlignment="1" applyProtection="1">
      <alignment horizontal="left" vertical="top" wrapText="1"/>
      <protection locked="0"/>
    </xf>
    <xf numFmtId="0" fontId="23" fillId="32" borderId="71" xfId="22" applyFont="1" applyBorder="1" applyAlignment="1" applyProtection="1">
      <alignment horizontal="left" vertical="top" wrapText="1"/>
      <protection locked="0"/>
    </xf>
    <xf numFmtId="0" fontId="23" fillId="32" borderId="57" xfId="22" applyFont="1" applyBorder="1" applyAlignment="1" applyProtection="1">
      <alignment horizontal="left" vertical="top" wrapText="1"/>
      <protection locked="0"/>
    </xf>
    <xf numFmtId="0" fontId="23" fillId="32" borderId="66" xfId="22" applyBorder="1" applyAlignment="1" applyProtection="1">
      <alignment horizontal="left" vertical="top" wrapText="1"/>
      <protection locked="0"/>
    </xf>
    <xf numFmtId="0" fontId="1" fillId="0" borderId="12" xfId="0" applyFont="1" applyBorder="1" applyAlignment="1">
      <alignment vertical="top"/>
    </xf>
    <xf numFmtId="0" fontId="21" fillId="0" borderId="68" xfId="12" applyFill="1" applyBorder="1" applyAlignment="1" applyProtection="1">
      <alignment horizontal="left" vertical="top" wrapText="1"/>
    </xf>
    <xf numFmtId="0" fontId="23" fillId="32" borderId="26" xfId="22" applyBorder="1" applyAlignment="1" applyProtection="1">
      <alignment horizontal="left" vertical="top" wrapText="1"/>
      <protection locked="0"/>
    </xf>
    <xf numFmtId="0" fontId="23" fillId="32" borderId="36" xfId="22" applyBorder="1" applyAlignment="1" applyProtection="1">
      <alignment horizontal="left" vertical="top" wrapText="1"/>
      <protection locked="0"/>
    </xf>
    <xf numFmtId="0" fontId="13" fillId="0" borderId="34"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3" fillId="0" borderId="155" xfId="0" applyFont="1" applyBorder="1" applyAlignment="1" applyProtection="1">
      <alignment horizontal="center" vertical="center" wrapText="1"/>
    </xf>
    <xf numFmtId="0" fontId="71" fillId="0" borderId="38" xfId="0" applyFont="1" applyBorder="1" applyAlignment="1">
      <alignment horizontal="left" vertical="top"/>
    </xf>
    <xf numFmtId="0" fontId="23" fillId="0" borderId="34" xfId="0" applyFont="1" applyBorder="1" applyAlignment="1">
      <alignment horizontal="center" vertical="top"/>
    </xf>
    <xf numFmtId="0" fontId="23" fillId="0" borderId="0" xfId="0" applyFont="1" applyBorder="1" applyAlignment="1">
      <alignment horizontal="center" vertical="top"/>
    </xf>
    <xf numFmtId="0" fontId="21" fillId="0" borderId="0" xfId="12" applyFill="1" applyBorder="1" applyProtection="1">
      <alignment horizontal="left" vertical="top" wrapText="1"/>
    </xf>
    <xf numFmtId="0" fontId="21" fillId="0" borderId="18" xfId="12" applyFill="1" applyBorder="1" applyProtection="1">
      <alignment horizontal="left" vertical="top" wrapText="1"/>
    </xf>
    <xf numFmtId="0" fontId="23" fillId="0" borderId="18" xfId="0" applyFont="1" applyBorder="1" applyAlignment="1" applyProtection="1">
      <alignment vertical="top"/>
    </xf>
    <xf numFmtId="0" fontId="23" fillId="0" borderId="41" xfId="0" applyFont="1" applyBorder="1" applyAlignment="1" applyProtection="1">
      <alignment vertical="top" wrapText="1"/>
    </xf>
    <xf numFmtId="0" fontId="21" fillId="0" borderId="34" xfId="12" applyFill="1" applyBorder="1" applyProtection="1">
      <alignment horizontal="left" vertical="top" wrapText="1"/>
    </xf>
    <xf numFmtId="167" fontId="23" fillId="0" borderId="18" xfId="0" applyNumberFormat="1" applyFont="1" applyBorder="1" applyAlignment="1">
      <alignment horizontal="center" vertical="top"/>
    </xf>
    <xf numFmtId="167" fontId="23" fillId="0" borderId="26" xfId="0" applyNumberFormat="1" applyFont="1" applyBorder="1" applyAlignment="1">
      <alignment horizontal="center" vertical="top"/>
    </xf>
    <xf numFmtId="0" fontId="23" fillId="0" borderId="68" xfId="0" applyFont="1" applyBorder="1" applyAlignment="1">
      <alignment horizontal="center" vertical="top" wrapText="1"/>
    </xf>
    <xf numFmtId="0" fontId="13" fillId="0" borderId="68" xfId="0" applyFont="1" applyBorder="1" applyAlignment="1" applyProtection="1">
      <alignment horizontal="center" vertical="center" wrapText="1"/>
    </xf>
    <xf numFmtId="0" fontId="30" fillId="0" borderId="85" xfId="0" applyFont="1" applyBorder="1" applyAlignment="1" applyProtection="1">
      <alignment horizontal="center" vertical="center" wrapText="1"/>
    </xf>
    <xf numFmtId="0" fontId="23" fillId="0" borderId="46" xfId="0" applyFont="1" applyBorder="1" applyAlignment="1">
      <alignment vertical="top" wrapText="1"/>
    </xf>
    <xf numFmtId="0" fontId="13" fillId="0" borderId="39" xfId="0" applyFont="1" applyBorder="1" applyAlignment="1">
      <alignment horizontal="center" vertical="center" wrapText="1"/>
    </xf>
    <xf numFmtId="0" fontId="13" fillId="0" borderId="49" xfId="0" applyFont="1" applyBorder="1" applyAlignment="1">
      <alignment horizontal="center" vertical="center" wrapText="1"/>
    </xf>
    <xf numFmtId="0" fontId="23" fillId="0" borderId="67" xfId="0" applyFont="1" applyBorder="1" applyAlignment="1">
      <alignment horizontal="left" vertical="top" wrapText="1"/>
    </xf>
    <xf numFmtId="0" fontId="23" fillId="0" borderId="68" xfId="0" applyFont="1" applyBorder="1" applyAlignment="1">
      <alignment horizontal="left" vertical="top" wrapText="1"/>
    </xf>
    <xf numFmtId="0" fontId="23" fillId="0" borderId="12" xfId="0" applyFont="1" applyBorder="1" applyAlignment="1">
      <alignment horizontal="left" vertical="top" wrapText="1"/>
    </xf>
    <xf numFmtId="49" fontId="23" fillId="0" borderId="254" xfId="0" applyNumberFormat="1" applyFont="1" applyBorder="1" applyAlignment="1" applyProtection="1">
      <alignment horizontal="center" vertical="center" wrapText="1"/>
      <protection locked="0"/>
    </xf>
    <xf numFmtId="49" fontId="23" fillId="0" borderId="307" xfId="0" applyNumberFormat="1" applyFont="1" applyBorder="1" applyAlignment="1" applyProtection="1">
      <alignment horizontal="center" vertical="center" wrapText="1"/>
      <protection locked="0"/>
    </xf>
    <xf numFmtId="1" fontId="26" fillId="10" borderId="15" xfId="9" applyBorder="1">
      <alignment horizontal="center" vertical="center"/>
      <protection locked="0"/>
    </xf>
    <xf numFmtId="1" fontId="26" fillId="10" borderId="285" xfId="9" applyBorder="1">
      <alignment horizontal="center" vertical="center"/>
      <protection locked="0"/>
    </xf>
    <xf numFmtId="1" fontId="32" fillId="0" borderId="0" xfId="0" applyNumberFormat="1" applyFont="1" applyBorder="1" applyAlignment="1">
      <alignment horizontal="center" vertical="center" wrapText="1"/>
    </xf>
    <xf numFmtId="1" fontId="32" fillId="0" borderId="26" xfId="0" applyNumberFormat="1" applyFont="1" applyBorder="1" applyAlignment="1">
      <alignment horizontal="center" vertical="center" wrapText="1"/>
    </xf>
    <xf numFmtId="0" fontId="32" fillId="0" borderId="18" xfId="0" applyFont="1" applyBorder="1" applyAlignment="1">
      <alignment horizontal="center" vertical="center" wrapText="1"/>
    </xf>
    <xf numFmtId="0" fontId="32" fillId="0" borderId="26" xfId="0" applyFont="1" applyBorder="1" applyAlignment="1">
      <alignment horizontal="center" vertical="center" wrapText="1"/>
    </xf>
    <xf numFmtId="1" fontId="32" fillId="0" borderId="18" xfId="0" applyNumberFormat="1" applyFont="1" applyBorder="1" applyAlignment="1">
      <alignment horizontal="center" vertical="center" wrapText="1"/>
    </xf>
    <xf numFmtId="1" fontId="26" fillId="10" borderId="344" xfId="9" applyBorder="1">
      <alignment horizontal="center" vertical="center"/>
      <protection locked="0"/>
    </xf>
    <xf numFmtId="0" fontId="13" fillId="0" borderId="74" xfId="0" applyFont="1" applyBorder="1" applyAlignment="1">
      <alignment horizontal="center" vertical="center"/>
    </xf>
    <xf numFmtId="0" fontId="13" fillId="0" borderId="75" xfId="0" applyFont="1" applyBorder="1" applyAlignment="1">
      <alignment horizontal="center" vertical="center"/>
    </xf>
    <xf numFmtId="0" fontId="13" fillId="0" borderId="76" xfId="0" applyFont="1" applyBorder="1" applyAlignment="1">
      <alignment horizontal="center" vertical="center"/>
    </xf>
    <xf numFmtId="9" fontId="23" fillId="0" borderId="312" xfId="0" applyNumberFormat="1" applyFont="1" applyBorder="1" applyAlignment="1">
      <alignment horizontal="left" vertical="center" wrapText="1"/>
    </xf>
    <xf numFmtId="0" fontId="23" fillId="0" borderId="312" xfId="0" applyFont="1" applyBorder="1" applyAlignment="1">
      <alignment horizontal="left" vertical="center" wrapText="1"/>
    </xf>
    <xf numFmtId="0" fontId="23" fillId="0" borderId="80" xfId="0" applyFont="1" applyBorder="1" applyAlignment="1">
      <alignment horizontal="left" vertical="center" wrapText="1"/>
    </xf>
    <xf numFmtId="0" fontId="23" fillId="0" borderId="312" xfId="0" applyNumberFormat="1" applyFont="1" applyBorder="1" applyAlignment="1">
      <alignment horizontal="center" vertical="center"/>
    </xf>
    <xf numFmtId="0" fontId="23" fillId="0" borderId="389" xfId="0" applyNumberFormat="1" applyFont="1" applyBorder="1" applyAlignment="1">
      <alignment horizontal="center" vertical="center"/>
    </xf>
    <xf numFmtId="0" fontId="23" fillId="0" borderId="80" xfId="0" applyNumberFormat="1" applyFont="1" applyBorder="1" applyAlignment="1">
      <alignment horizontal="center" vertical="center"/>
    </xf>
    <xf numFmtId="0" fontId="23" fillId="0" borderId="81" xfId="0" applyNumberFormat="1" applyFont="1" applyBorder="1" applyAlignment="1">
      <alignment horizontal="center" vertical="center"/>
    </xf>
    <xf numFmtId="1" fontId="13" fillId="15" borderId="256" xfId="15" applyNumberFormat="1" applyFont="1" applyBorder="1" applyAlignment="1" applyProtection="1">
      <alignment horizontal="center" vertical="center"/>
    </xf>
    <xf numFmtId="1" fontId="13" fillId="15" borderId="255" xfId="15" applyNumberFormat="1" applyFont="1" applyBorder="1" applyAlignment="1" applyProtection="1">
      <alignment horizontal="center" vertical="center"/>
    </xf>
    <xf numFmtId="1" fontId="26" fillId="10" borderId="359" xfId="9" applyBorder="1">
      <alignment horizontal="center" vertical="center"/>
      <protection locked="0"/>
    </xf>
    <xf numFmtId="0" fontId="23" fillId="0" borderId="257" xfId="0" applyFont="1" applyBorder="1" applyAlignment="1">
      <alignment horizontal="left" vertical="top" wrapText="1"/>
    </xf>
    <xf numFmtId="0" fontId="13" fillId="0" borderId="0" xfId="0" applyFont="1" applyBorder="1" applyAlignment="1" applyProtection="1">
      <alignment horizontal="left" vertical="top" wrapText="1"/>
    </xf>
    <xf numFmtId="0" fontId="23" fillId="0" borderId="36" xfId="0" applyFont="1" applyBorder="1" applyAlignment="1">
      <alignment horizontal="left" vertical="top" wrapText="1"/>
    </xf>
    <xf numFmtId="0" fontId="71" fillId="0" borderId="38" xfId="0" applyFont="1" applyBorder="1" applyAlignment="1">
      <alignment horizontal="left" vertical="top" wrapText="1"/>
    </xf>
    <xf numFmtId="0" fontId="23" fillId="0" borderId="34" xfId="0" applyFont="1" applyBorder="1" applyAlignment="1">
      <alignment horizontal="center" vertical="top" wrapText="1"/>
    </xf>
    <xf numFmtId="0" fontId="3" fillId="0" borderId="68" xfId="0" applyFont="1" applyBorder="1" applyProtection="1"/>
    <xf numFmtId="0" fontId="3" fillId="0" borderId="155" xfId="0" applyFont="1" applyBorder="1" applyProtection="1"/>
    <xf numFmtId="0" fontId="13" fillId="0" borderId="34" xfId="0" applyFont="1" applyBorder="1" applyAlignment="1">
      <alignment horizontal="center" vertical="center" wrapText="1"/>
    </xf>
    <xf numFmtId="0" fontId="13" fillId="0" borderId="32" xfId="0" applyFont="1" applyBorder="1" applyAlignment="1">
      <alignment horizontal="center" vertical="center" wrapText="1"/>
    </xf>
    <xf numFmtId="0" fontId="23" fillId="0" borderId="53" xfId="0" applyFont="1" applyBorder="1" applyAlignment="1">
      <alignment horizontal="left" vertical="top" wrapText="1"/>
    </xf>
    <xf numFmtId="167" fontId="21" fillId="11" borderId="54" xfId="10" applyFont="1" applyBorder="1">
      <alignment horizontal="left" vertical="top" wrapText="1"/>
    </xf>
    <xf numFmtId="167" fontId="21" fillId="11" borderId="55" xfId="10" applyFont="1" applyBorder="1">
      <alignment horizontal="left" vertical="top" wrapText="1"/>
    </xf>
    <xf numFmtId="167" fontId="21" fillId="11" borderId="56" xfId="10" applyFont="1" applyBorder="1">
      <alignment horizontal="left" vertical="top" wrapText="1"/>
    </xf>
    <xf numFmtId="0" fontId="13" fillId="0" borderId="34" xfId="0" applyFont="1" applyBorder="1" applyAlignment="1" applyProtection="1">
      <alignment horizontal="left" vertical="top" wrapText="1"/>
    </xf>
    <xf numFmtId="0" fontId="30" fillId="0" borderId="116" xfId="0" applyFont="1" applyBorder="1" applyAlignment="1" applyProtection="1">
      <alignment horizontal="center" vertical="center" wrapText="1"/>
      <protection locked="0"/>
    </xf>
    <xf numFmtId="0" fontId="30" fillId="0" borderId="180" xfId="0" applyFont="1" applyBorder="1" applyAlignment="1" applyProtection="1">
      <alignment horizontal="center" vertical="center" wrapText="1"/>
      <protection locked="0"/>
    </xf>
    <xf numFmtId="167" fontId="23" fillId="0" borderId="66" xfId="0" applyNumberFormat="1" applyFont="1" applyBorder="1" applyAlignment="1">
      <alignment horizontal="center" vertical="top" wrapText="1"/>
    </xf>
    <xf numFmtId="0" fontId="0" fillId="0" borderId="60" xfId="0" applyBorder="1" applyAlignment="1">
      <alignment horizontal="left" wrapText="1"/>
    </xf>
    <xf numFmtId="0" fontId="0" fillId="0" borderId="0" xfId="0" applyAlignment="1">
      <alignment horizontal="left" wrapText="1"/>
    </xf>
    <xf numFmtId="0" fontId="23" fillId="32" borderId="52" xfId="22" applyBorder="1" applyAlignment="1" applyProtection="1">
      <alignment horizontal="left" vertical="top" wrapText="1"/>
      <protection locked="0"/>
    </xf>
    <xf numFmtId="0" fontId="23" fillId="32" borderId="34" xfId="22" applyBorder="1" applyAlignment="1" applyProtection="1">
      <alignment horizontal="left" vertical="top" wrapText="1"/>
      <protection locked="0"/>
    </xf>
    <xf numFmtId="0" fontId="23" fillId="32" borderId="114" xfId="22" applyBorder="1" applyAlignment="1" applyProtection="1">
      <alignment horizontal="left" vertical="top" wrapText="1"/>
      <protection locked="0"/>
    </xf>
    <xf numFmtId="1" fontId="26" fillId="10" borderId="51" xfId="9" applyFont="1" applyBorder="1" applyAlignment="1" applyProtection="1">
      <alignment horizontal="center" vertical="center"/>
      <protection locked="0"/>
    </xf>
    <xf numFmtId="1" fontId="26" fillId="10" borderId="91" xfId="9" applyFont="1" applyBorder="1" applyAlignment="1" applyProtection="1">
      <alignment horizontal="center" vertical="center"/>
      <protection locked="0"/>
    </xf>
    <xf numFmtId="0" fontId="30" fillId="0" borderId="283" xfId="0" applyFont="1" applyBorder="1" applyAlignment="1" applyProtection="1">
      <alignment horizontal="center" vertical="center" wrapText="1"/>
      <protection locked="0"/>
    </xf>
    <xf numFmtId="0" fontId="30" fillId="0" borderId="254" xfId="0" applyFont="1" applyBorder="1" applyAlignment="1" applyProtection="1">
      <alignment horizontal="center" vertical="center" wrapText="1"/>
      <protection locked="0"/>
    </xf>
    <xf numFmtId="0" fontId="13" fillId="0" borderId="24" xfId="0" applyFont="1" applyBorder="1" applyAlignment="1">
      <alignment horizontal="center" vertical="center" wrapText="1"/>
    </xf>
    <xf numFmtId="0" fontId="13" fillId="0" borderId="314" xfId="0" applyFont="1" applyBorder="1" applyAlignment="1">
      <alignment horizontal="center" vertical="center" wrapText="1"/>
    </xf>
    <xf numFmtId="0" fontId="21" fillId="0" borderId="12" xfId="4" quotePrefix="1" applyNumberFormat="1" applyFont="1" applyBorder="1" applyAlignment="1">
      <alignment horizontal="center" vertical="top"/>
    </xf>
    <xf numFmtId="167" fontId="21" fillId="0" borderId="0" xfId="4" applyNumberFormat="1" applyFont="1" applyBorder="1" applyAlignment="1">
      <alignment horizontal="center" vertical="top"/>
    </xf>
    <xf numFmtId="0" fontId="21" fillId="0" borderId="0" xfId="4" quotePrefix="1" applyNumberFormat="1" applyFont="1" applyBorder="1" applyAlignment="1">
      <alignment horizontal="center" vertical="top"/>
    </xf>
    <xf numFmtId="0" fontId="30" fillId="0" borderId="0" xfId="0" applyFont="1" applyBorder="1" applyAlignment="1">
      <alignment horizontal="left" vertical="top" wrapText="1"/>
    </xf>
    <xf numFmtId="49" fontId="0" fillId="0" borderId="13" xfId="0" applyNumberFormat="1" applyBorder="1" applyAlignment="1" applyProtection="1">
      <alignment horizontal="center" vertical="center" wrapText="1"/>
      <protection locked="0"/>
    </xf>
    <xf numFmtId="49" fontId="0" fillId="0" borderId="499" xfId="0" applyNumberFormat="1" applyBorder="1" applyAlignment="1" applyProtection="1">
      <alignment horizontal="center" vertical="center" wrapText="1"/>
      <protection locked="0"/>
    </xf>
    <xf numFmtId="49" fontId="0" fillId="0" borderId="474" xfId="0" applyNumberFormat="1" applyBorder="1" applyAlignment="1" applyProtection="1">
      <alignment horizontal="center" vertical="center" wrapText="1"/>
      <protection locked="0"/>
    </xf>
    <xf numFmtId="49" fontId="0" fillId="0" borderId="487" xfId="0" applyNumberFormat="1" applyBorder="1" applyAlignment="1" applyProtection="1">
      <alignment horizontal="center" vertical="center" wrapText="1"/>
      <protection locked="0"/>
    </xf>
    <xf numFmtId="0" fontId="23" fillId="32" borderId="475" xfId="22" applyBorder="1" applyAlignment="1" applyProtection="1">
      <alignment horizontal="left" vertical="top" wrapText="1"/>
      <protection locked="0"/>
    </xf>
    <xf numFmtId="0" fontId="23" fillId="32" borderId="151" xfId="22" applyBorder="1" applyAlignment="1" applyProtection="1">
      <alignment horizontal="left" vertical="top" wrapText="1"/>
      <protection locked="0"/>
    </xf>
    <xf numFmtId="0" fontId="32" fillId="0" borderId="24" xfId="0" applyFont="1" applyBorder="1" applyAlignment="1">
      <alignment horizontal="right" vertical="center" wrapText="1"/>
    </xf>
    <xf numFmtId="0" fontId="32" fillId="0" borderId="493" xfId="0" applyFont="1" applyBorder="1" applyAlignment="1">
      <alignment horizontal="right" vertical="center" wrapText="1"/>
    </xf>
    <xf numFmtId="1" fontId="26" fillId="10" borderId="16" xfId="9" applyBorder="1">
      <alignment horizontal="center" vertical="center"/>
      <protection locked="0"/>
    </xf>
    <xf numFmtId="0" fontId="13" fillId="0" borderId="475" xfId="0" applyFont="1" applyBorder="1" applyAlignment="1">
      <alignment horizontal="center" vertical="center" wrapText="1"/>
    </xf>
    <xf numFmtId="0" fontId="13" fillId="35" borderId="546" xfId="15" applyFill="1" applyBorder="1">
      <alignment horizontal="center" vertical="center"/>
    </xf>
    <xf numFmtId="0" fontId="13" fillId="35" borderId="547" xfId="15" applyFill="1" applyBorder="1">
      <alignment horizontal="center" vertical="center"/>
    </xf>
    <xf numFmtId="0" fontId="23" fillId="32" borderId="496" xfId="22" applyBorder="1" applyAlignment="1" applyProtection="1">
      <alignment horizontal="left" vertical="top" wrapText="1"/>
      <protection locked="0"/>
    </xf>
    <xf numFmtId="0" fontId="30" fillId="0" borderId="422" xfId="0" applyFont="1" applyBorder="1" applyAlignment="1">
      <alignment horizontal="center" vertical="center" wrapText="1"/>
    </xf>
    <xf numFmtId="0" fontId="30" fillId="0" borderId="58" xfId="0" applyFont="1" applyBorder="1" applyAlignment="1">
      <alignment horizontal="center" vertical="center" wrapText="1"/>
    </xf>
    <xf numFmtId="0" fontId="30" fillId="0" borderId="423" xfId="0" applyFont="1" applyBorder="1" applyAlignment="1">
      <alignment horizontal="center" vertical="center" wrapText="1"/>
    </xf>
    <xf numFmtId="0" fontId="30" fillId="0" borderId="424" xfId="0" applyFont="1" applyBorder="1" applyAlignment="1">
      <alignment horizontal="center" vertical="center" wrapText="1"/>
    </xf>
    <xf numFmtId="0" fontId="30" fillId="0" borderId="425" xfId="0" applyFont="1" applyBorder="1" applyAlignment="1">
      <alignment horizontal="center" vertical="center" wrapText="1"/>
    </xf>
    <xf numFmtId="0" fontId="30" fillId="0" borderId="426" xfId="0" applyFont="1" applyBorder="1" applyAlignment="1">
      <alignment horizontal="center" vertical="center" wrapText="1"/>
    </xf>
    <xf numFmtId="0" fontId="30" fillId="0" borderId="475" xfId="0" applyFont="1" applyBorder="1" applyAlignment="1">
      <alignment horizontal="left" vertical="top" wrapText="1"/>
    </xf>
    <xf numFmtId="0" fontId="30" fillId="0" borderId="544" xfId="0" applyFont="1" applyBorder="1" applyAlignment="1">
      <alignment horizontal="left" vertical="top" wrapText="1"/>
    </xf>
    <xf numFmtId="0" fontId="32" fillId="0" borderId="545" xfId="0" applyFont="1" applyBorder="1" applyAlignment="1">
      <alignment horizontal="right" vertical="center" wrapText="1"/>
    </xf>
    <xf numFmtId="1" fontId="26" fillId="36" borderId="15" xfId="9" applyFill="1" applyBorder="1" applyAlignment="1">
      <alignment horizontal="center" vertical="center" wrapText="1"/>
      <protection locked="0"/>
    </xf>
    <xf numFmtId="1" fontId="26" fillId="36" borderId="15" xfId="9" applyFill="1" applyBorder="1" applyAlignment="1" applyProtection="1">
      <alignment horizontal="center" vertical="center" wrapText="1"/>
      <protection locked="0"/>
    </xf>
    <xf numFmtId="0" fontId="22" fillId="0" borderId="66" xfId="4" applyNumberFormat="1" applyFont="1" applyBorder="1" applyAlignment="1">
      <alignment horizontal="center" vertical="center" wrapText="1"/>
    </xf>
    <xf numFmtId="0" fontId="22" fillId="0" borderId="0" xfId="4" applyNumberFormat="1" applyFont="1" applyBorder="1" applyAlignment="1">
      <alignment horizontal="center" vertical="center" wrapText="1"/>
    </xf>
    <xf numFmtId="0" fontId="13" fillId="15" borderId="118" xfId="15" applyBorder="1">
      <alignment horizontal="center" vertical="center"/>
    </xf>
    <xf numFmtId="0" fontId="21" fillId="0" borderId="12" xfId="4" quotePrefix="1" applyNumberFormat="1" applyFont="1" applyBorder="1" applyAlignment="1">
      <alignment horizontal="left" vertical="top"/>
    </xf>
    <xf numFmtId="0" fontId="23" fillId="32" borderId="305" xfId="22" applyBorder="1" applyAlignment="1" applyProtection="1">
      <alignment horizontal="left" vertical="top" wrapText="1"/>
      <protection locked="0"/>
    </xf>
    <xf numFmtId="0" fontId="23" fillId="32" borderId="306" xfId="22" applyBorder="1" applyAlignment="1" applyProtection="1">
      <alignment horizontal="left" vertical="top" wrapText="1"/>
      <protection locked="0"/>
    </xf>
    <xf numFmtId="0" fontId="0" fillId="0" borderId="491" xfId="0" applyBorder="1"/>
    <xf numFmtId="0" fontId="0" fillId="0" borderId="492" xfId="0" applyBorder="1"/>
    <xf numFmtId="0" fontId="23" fillId="32" borderId="469" xfId="22" applyBorder="1" applyAlignment="1" applyProtection="1">
      <alignment horizontal="left" vertical="top" wrapText="1"/>
      <protection locked="0"/>
    </xf>
    <xf numFmtId="0" fontId="23" fillId="32" borderId="470" xfId="22" applyBorder="1" applyAlignment="1" applyProtection="1">
      <alignment horizontal="left" vertical="top" wrapText="1"/>
      <protection locked="0"/>
    </xf>
    <xf numFmtId="0" fontId="23" fillId="32" borderId="145" xfId="22" applyBorder="1" applyAlignment="1" applyProtection="1">
      <alignment horizontal="left" vertical="top" wrapText="1"/>
      <protection locked="0"/>
    </xf>
    <xf numFmtId="0" fontId="17" fillId="0" borderId="66" xfId="5" applyFont="1" applyBorder="1" applyAlignment="1" applyProtection="1">
      <alignment horizontal="center" vertical="center" wrapText="1"/>
      <protection locked="0"/>
    </xf>
    <xf numFmtId="0" fontId="17" fillId="0" borderId="89" xfId="5" applyFont="1" applyBorder="1" applyAlignment="1" applyProtection="1">
      <alignment horizontal="center" vertical="center" wrapText="1"/>
      <protection locked="0"/>
    </xf>
    <xf numFmtId="167" fontId="27" fillId="11" borderId="54" xfId="10" applyBorder="1">
      <alignment horizontal="left" vertical="top" wrapText="1"/>
    </xf>
    <xf numFmtId="167" fontId="27" fillId="11" borderId="55" xfId="10" applyBorder="1">
      <alignment horizontal="left" vertical="top" wrapText="1"/>
    </xf>
    <xf numFmtId="167" fontId="27" fillId="11" borderId="56" xfId="10" applyBorder="1">
      <alignment horizontal="left" vertical="top" wrapText="1"/>
    </xf>
    <xf numFmtId="0" fontId="22" fillId="0" borderId="0" xfId="4" applyFont="1" applyBorder="1"/>
    <xf numFmtId="0" fontId="21" fillId="0" borderId="0" xfId="4" applyFont="1" applyBorder="1"/>
    <xf numFmtId="0" fontId="22" fillId="0" borderId="57" xfId="4" applyNumberFormat="1" applyFont="1" applyBorder="1" applyAlignment="1">
      <alignment horizontal="center" vertical="center" wrapText="1"/>
    </xf>
    <xf numFmtId="0" fontId="15" fillId="0" borderId="0" xfId="4" applyNumberFormat="1" applyFont="1" applyBorder="1" applyAlignment="1">
      <alignment vertical="top" wrapText="1"/>
    </xf>
    <xf numFmtId="0" fontId="32" fillId="0" borderId="505"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452" xfId="0" applyFont="1" applyBorder="1" applyAlignment="1">
      <alignment horizontal="center" vertical="center" wrapText="1"/>
    </xf>
    <xf numFmtId="0" fontId="30" fillId="0" borderId="452" xfId="0" applyFont="1" applyBorder="1" applyAlignment="1">
      <alignment horizontal="center" vertical="center" wrapText="1"/>
    </xf>
    <xf numFmtId="0" fontId="30" fillId="0" borderId="508" xfId="0" applyFont="1" applyBorder="1" applyAlignment="1">
      <alignment horizontal="center" vertical="center" wrapText="1"/>
    </xf>
    <xf numFmtId="0" fontId="23" fillId="32" borderId="597" xfId="22" applyBorder="1" applyAlignment="1">
      <alignment horizontal="left" vertical="top" wrapText="1"/>
      <protection locked="0"/>
    </xf>
    <xf numFmtId="0" fontId="23" fillId="32" borderId="36" xfId="22" applyBorder="1" applyAlignment="1">
      <alignment horizontal="left" vertical="top" wrapText="1"/>
      <protection locked="0"/>
    </xf>
    <xf numFmtId="0" fontId="0" fillId="32" borderId="34" xfId="22" applyFont="1" applyBorder="1" applyAlignment="1" applyProtection="1">
      <alignment horizontal="left" vertical="top" wrapText="1"/>
      <protection locked="0"/>
    </xf>
    <xf numFmtId="0" fontId="23" fillId="32" borderId="323" xfId="22" applyBorder="1" applyAlignment="1" applyProtection="1">
      <alignment horizontal="left" vertical="top" wrapText="1"/>
      <protection locked="0"/>
    </xf>
    <xf numFmtId="0" fontId="23" fillId="32" borderId="324" xfId="22" applyBorder="1" applyAlignment="1" applyProtection="1">
      <alignment horizontal="left" vertical="top" wrapText="1"/>
      <protection locked="0"/>
    </xf>
    <xf numFmtId="0" fontId="22" fillId="0" borderId="34" xfId="4" applyNumberFormat="1" applyFont="1" applyBorder="1" applyAlignment="1">
      <alignment horizontal="center" vertical="center" wrapText="1"/>
    </xf>
    <xf numFmtId="167" fontId="21" fillId="0" borderId="475" xfId="4" applyNumberFormat="1" applyFont="1" applyBorder="1" applyAlignment="1">
      <alignment horizontal="center" vertical="top"/>
    </xf>
    <xf numFmtId="0" fontId="21" fillId="0" borderId="475"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23" fillId="32" borderId="684" xfId="22" applyBorder="1" applyAlignment="1" applyProtection="1">
      <alignment horizontal="left" vertical="top" wrapText="1"/>
      <protection locked="0"/>
    </xf>
    <xf numFmtId="0" fontId="23" fillId="32" borderId="32" xfId="22" applyBorder="1" applyAlignment="1" applyProtection="1">
      <alignment horizontal="left" vertical="top" wrapText="1"/>
      <protection locked="0"/>
    </xf>
    <xf numFmtId="0" fontId="23" fillId="32" borderId="651" xfId="22" applyBorder="1" applyAlignment="1" applyProtection="1">
      <alignment horizontal="left" vertical="top" wrapText="1"/>
      <protection locked="0"/>
    </xf>
    <xf numFmtId="0" fontId="23" fillId="0" borderId="32" xfId="0" applyFont="1" applyBorder="1" applyAlignment="1">
      <alignment vertical="top"/>
    </xf>
    <xf numFmtId="0" fontId="23" fillId="0" borderId="685" xfId="0" applyFont="1" applyBorder="1" applyAlignment="1">
      <alignment vertical="top"/>
    </xf>
    <xf numFmtId="0" fontId="21" fillId="0" borderId="0" xfId="4" applyNumberFormat="1" applyFont="1" applyBorder="1" applyAlignment="1">
      <alignment vertical="top" wrapText="1"/>
    </xf>
    <xf numFmtId="0" fontId="21" fillId="0" borderId="0" xfId="4" quotePrefix="1" applyNumberFormat="1" applyFont="1" applyBorder="1" applyAlignment="1">
      <alignment vertical="top" wrapText="1"/>
    </xf>
    <xf numFmtId="0" fontId="21" fillId="0" borderId="66" xfId="4" applyNumberFormat="1" applyFont="1" applyBorder="1" applyAlignment="1">
      <alignment vertical="top" wrapText="1"/>
    </xf>
    <xf numFmtId="0" fontId="21" fillId="0" borderId="66" xfId="4" quotePrefix="1" applyNumberFormat="1" applyFont="1" applyBorder="1" applyAlignment="1">
      <alignment vertical="top" wrapText="1"/>
    </xf>
    <xf numFmtId="0" fontId="21" fillId="0" borderId="651" xfId="4" applyNumberFormat="1" applyFont="1" applyBorder="1" applyAlignment="1">
      <alignment vertical="top" wrapText="1"/>
    </xf>
    <xf numFmtId="0" fontId="21" fillId="0" borderId="651" xfId="4" quotePrefix="1" applyNumberFormat="1" applyFont="1" applyBorder="1" applyAlignment="1">
      <alignment vertical="top" wrapText="1"/>
    </xf>
    <xf numFmtId="0" fontId="22" fillId="0" borderId="34" xfId="4" applyNumberFormat="1" applyFont="1" applyBorder="1" applyAlignment="1" applyProtection="1">
      <alignment horizontal="left" vertical="top" wrapText="1"/>
    </xf>
    <xf numFmtId="0" fontId="21" fillId="0" borderId="58" xfId="4" quotePrefix="1" applyNumberFormat="1" applyFont="1" applyBorder="1" applyAlignment="1">
      <alignment horizontal="left" vertical="top" wrapText="1"/>
    </xf>
    <xf numFmtId="1" fontId="26" fillId="10" borderId="359" xfId="9" applyBorder="1" applyAlignment="1">
      <alignment horizontal="center" vertical="center" wrapText="1"/>
      <protection locked="0"/>
    </xf>
    <xf numFmtId="1" fontId="26" fillId="10" borderId="427" xfId="9" applyBorder="1" applyAlignment="1">
      <alignment horizontal="center" vertical="center" wrapText="1"/>
      <protection locked="0"/>
    </xf>
    <xf numFmtId="0" fontId="23" fillId="32" borderId="71" xfId="22" applyBorder="1" applyAlignment="1">
      <alignment horizontal="left" vertical="top" wrapText="1"/>
      <protection locked="0"/>
    </xf>
    <xf numFmtId="0" fontId="23" fillId="32" borderId="57" xfId="22" applyBorder="1" applyAlignment="1">
      <alignment horizontal="left" vertical="top" wrapText="1"/>
      <protection locked="0"/>
    </xf>
    <xf numFmtId="0" fontId="23" fillId="32" borderId="72" xfId="22" applyBorder="1" applyAlignment="1">
      <alignment horizontal="left" vertical="top" wrapText="1"/>
      <protection locked="0"/>
    </xf>
    <xf numFmtId="0" fontId="23" fillId="32" borderId="58" xfId="22" applyBorder="1" applyAlignment="1">
      <alignment horizontal="left" vertical="top" wrapText="1"/>
      <protection locked="0"/>
    </xf>
    <xf numFmtId="0" fontId="23" fillId="0" borderId="647" xfId="0" applyFont="1" applyBorder="1" applyAlignment="1">
      <alignment horizontal="center" vertical="center" wrapText="1"/>
    </xf>
    <xf numFmtId="0" fontId="23" fillId="0" borderId="659" xfId="0" applyFont="1" applyBorder="1" applyAlignment="1">
      <alignment horizontal="left" vertical="top"/>
    </xf>
    <xf numFmtId="0" fontId="23" fillId="0" borderId="647" xfId="0" applyFont="1" applyBorder="1" applyAlignment="1">
      <alignment horizontal="left" vertical="top"/>
    </xf>
    <xf numFmtId="0" fontId="15" fillId="0" borderId="13" xfId="4" applyFont="1" applyBorder="1" applyAlignment="1" applyProtection="1">
      <alignment horizontal="center" vertical="center" wrapText="1"/>
      <protection locked="0"/>
    </xf>
    <xf numFmtId="0" fontId="15" fillId="0" borderId="307" xfId="4" applyFont="1" applyBorder="1" applyAlignment="1" applyProtection="1">
      <alignment horizontal="center" vertical="center" wrapText="1"/>
      <protection locked="0"/>
    </xf>
    <xf numFmtId="49" fontId="0" fillId="0" borderId="254" xfId="0" applyNumberFormat="1" applyBorder="1" applyAlignment="1" applyProtection="1">
      <alignment horizontal="center" vertical="center" wrapText="1"/>
      <protection locked="0"/>
    </xf>
    <xf numFmtId="49" fontId="0" fillId="0" borderId="307" xfId="0" applyNumberFormat="1" applyBorder="1" applyAlignment="1" applyProtection="1">
      <alignment horizontal="center" vertical="center" wrapText="1"/>
      <protection locked="0"/>
    </xf>
    <xf numFmtId="0" fontId="21" fillId="0" borderId="66" xfId="4" applyFont="1" applyBorder="1" applyAlignment="1" applyProtection="1">
      <alignment horizontal="left" vertical="center" wrapText="1"/>
    </xf>
    <xf numFmtId="0" fontId="23" fillId="32" borderId="57" xfId="22" applyBorder="1">
      <alignment horizontal="left" vertical="top" wrapText="1"/>
      <protection locked="0"/>
    </xf>
    <xf numFmtId="0" fontId="30" fillId="0" borderId="663" xfId="0" applyFont="1" applyBorder="1" applyAlignment="1" applyProtection="1">
      <alignment horizontal="center" vertical="center" wrapText="1"/>
      <protection locked="0"/>
    </xf>
    <xf numFmtId="0" fontId="15" fillId="0" borderId="254" xfId="4" applyFont="1" applyBorder="1" applyAlignment="1" applyProtection="1">
      <alignment horizontal="center" vertical="center" wrapText="1"/>
      <protection locked="0"/>
    </xf>
    <xf numFmtId="0" fontId="15" fillId="0" borderId="649" xfId="4" applyFont="1" applyBorder="1" applyAlignment="1" applyProtection="1">
      <alignment horizontal="center" vertical="center" wrapText="1"/>
      <protection locked="0"/>
    </xf>
    <xf numFmtId="0" fontId="23" fillId="0" borderId="66" xfId="0" applyFont="1" applyBorder="1" applyAlignment="1" applyProtection="1">
      <alignment horizontal="center" vertical="center" wrapText="1"/>
    </xf>
    <xf numFmtId="0" fontId="23" fillId="0" borderId="89" xfId="0" applyFont="1" applyBorder="1" applyAlignment="1" applyProtection="1">
      <alignment horizontal="center" vertical="center" wrapText="1"/>
    </xf>
    <xf numFmtId="0" fontId="21" fillId="0" borderId="253" xfId="4" quotePrefix="1" applyNumberFormat="1" applyFont="1" applyBorder="1" applyAlignment="1">
      <alignment horizontal="left" vertical="top"/>
    </xf>
    <xf numFmtId="0" fontId="21" fillId="0" borderId="66" xfId="4" quotePrefix="1" applyNumberFormat="1" applyFont="1" applyBorder="1" applyAlignment="1">
      <alignment horizontal="left" vertical="top"/>
    </xf>
    <xf numFmtId="1" fontId="26" fillId="36" borderId="16" xfId="9" applyFill="1" applyBorder="1" applyAlignment="1" applyProtection="1">
      <alignment horizontal="center" vertical="center" wrapText="1"/>
      <protection locked="0"/>
    </xf>
    <xf numFmtId="1" fontId="26" fillId="36" borderId="50" xfId="9" applyFill="1" applyBorder="1" applyAlignment="1" applyProtection="1">
      <alignment horizontal="center" vertical="center" wrapText="1"/>
      <protection locked="0"/>
    </xf>
    <xf numFmtId="0" fontId="13" fillId="15" borderId="118" xfId="15" applyBorder="1" applyProtection="1">
      <alignment horizontal="center" vertical="center"/>
    </xf>
    <xf numFmtId="0" fontId="13" fillId="15" borderId="275" xfId="15" applyBorder="1" applyProtection="1">
      <alignment horizontal="center" vertical="center"/>
    </xf>
    <xf numFmtId="49" fontId="20" fillId="43" borderId="439" xfId="7" applyBorder="1">
      <alignment horizontal="left" vertical="center" wrapText="1"/>
    </xf>
    <xf numFmtId="0" fontId="23" fillId="32" borderId="270" xfId="22" applyBorder="1" applyAlignment="1">
      <alignment horizontal="left" vertical="top" wrapText="1"/>
      <protection locked="0"/>
    </xf>
    <xf numFmtId="0" fontId="0" fillId="0" borderId="13" xfId="0" applyBorder="1" applyAlignment="1" applyProtection="1">
      <alignment horizontal="center" vertical="center"/>
      <protection locked="0"/>
    </xf>
    <xf numFmtId="0" fontId="0" fillId="0" borderId="308" xfId="0" applyBorder="1" applyAlignment="1" applyProtection="1">
      <alignment horizontal="center" vertical="center"/>
      <protection locked="0"/>
    </xf>
    <xf numFmtId="0" fontId="21" fillId="0" borderId="67" xfId="4" quotePrefix="1" applyNumberFormat="1" applyFont="1" applyBorder="1" applyAlignment="1" applyProtection="1">
      <alignment horizontal="left" vertical="top"/>
    </xf>
    <xf numFmtId="0" fontId="21" fillId="0" borderId="82" xfId="4" quotePrefix="1" applyNumberFormat="1" applyFont="1" applyBorder="1" applyAlignment="1" applyProtection="1">
      <alignment horizontal="left" vertical="top"/>
    </xf>
    <xf numFmtId="0" fontId="21" fillId="0" borderId="68" xfId="4" quotePrefix="1" applyNumberFormat="1" applyFont="1" applyBorder="1" applyAlignment="1" applyProtection="1">
      <alignment horizontal="left" vertical="top"/>
    </xf>
    <xf numFmtId="0" fontId="21" fillId="0" borderId="84" xfId="4" quotePrefix="1" applyNumberFormat="1" applyFont="1" applyBorder="1" applyAlignment="1" applyProtection="1">
      <alignment horizontal="left" vertical="top"/>
    </xf>
    <xf numFmtId="0" fontId="21" fillId="0" borderId="67" xfId="4" quotePrefix="1" applyNumberFormat="1" applyFont="1" applyBorder="1" applyAlignment="1">
      <alignment horizontal="left" vertical="top"/>
    </xf>
    <xf numFmtId="0" fontId="21" fillId="0" borderId="68" xfId="4" quotePrefix="1" applyNumberFormat="1" applyFont="1" applyBorder="1" applyAlignment="1">
      <alignment horizontal="left" vertical="top"/>
    </xf>
    <xf numFmtId="1" fontId="27" fillId="10" borderId="325" xfId="9" applyFont="1" applyBorder="1" applyAlignment="1">
      <alignment horizontal="left" vertical="top" wrapText="1"/>
      <protection locked="0"/>
    </xf>
    <xf numFmtId="1" fontId="27" fillId="10" borderId="541" xfId="9" applyFont="1" applyBorder="1" applyAlignment="1">
      <alignment horizontal="left" vertical="top" wrapText="1"/>
      <protection locked="0"/>
    </xf>
    <xf numFmtId="1" fontId="27" fillId="10" borderId="504" xfId="9" applyFont="1" applyBorder="1" applyAlignment="1">
      <alignment horizontal="left" vertical="top" wrapText="1"/>
      <protection locked="0"/>
    </xf>
    <xf numFmtId="1" fontId="27" fillId="10" borderId="542" xfId="9" applyFont="1" applyBorder="1" applyAlignment="1">
      <alignment horizontal="left" vertical="top" wrapText="1"/>
      <protection locked="0"/>
    </xf>
    <xf numFmtId="0" fontId="22" fillId="0" borderId="0" xfId="4" quotePrefix="1" applyFont="1" applyBorder="1" applyAlignment="1">
      <alignment horizontal="right" vertical="center" wrapText="1"/>
    </xf>
    <xf numFmtId="0" fontId="21" fillId="0" borderId="68" xfId="4" applyNumberFormat="1" applyFont="1" applyBorder="1" applyAlignment="1">
      <alignment vertical="top" wrapText="1"/>
    </xf>
    <xf numFmtId="0" fontId="21" fillId="0" borderId="68" xfId="4" quotePrefix="1" applyNumberFormat="1" applyFont="1" applyBorder="1" applyAlignment="1">
      <alignment vertical="top" wrapText="1"/>
    </xf>
    <xf numFmtId="0" fontId="0" fillId="0" borderId="85" xfId="0" applyBorder="1" applyAlignment="1" applyProtection="1">
      <alignment horizontal="center" vertical="center"/>
      <protection locked="0"/>
    </xf>
    <xf numFmtId="49" fontId="0" fillId="0" borderId="85" xfId="0" applyNumberFormat="1" applyBorder="1" applyAlignment="1" applyProtection="1">
      <alignment horizontal="center" vertical="center"/>
      <protection locked="0"/>
    </xf>
    <xf numFmtId="49" fontId="0" fillId="0" borderId="307" xfId="0" applyNumberFormat="1" applyBorder="1" applyAlignment="1" applyProtection="1">
      <alignment horizontal="center" vertical="center"/>
      <protection locked="0"/>
    </xf>
    <xf numFmtId="1" fontId="22" fillId="0" borderId="68" xfId="4" applyNumberFormat="1" applyFont="1" applyBorder="1" applyAlignment="1">
      <alignment horizontal="center" vertical="center" wrapText="1"/>
    </xf>
    <xf numFmtId="1" fontId="22" fillId="0" borderId="0" xfId="4" applyNumberFormat="1" applyFont="1" applyBorder="1" applyAlignment="1">
      <alignment horizontal="center" vertical="center" wrapText="1"/>
    </xf>
    <xf numFmtId="1" fontId="26" fillId="10" borderId="325" xfId="9" applyBorder="1">
      <alignment horizontal="center" vertical="center"/>
      <protection locked="0"/>
    </xf>
    <xf numFmtId="0" fontId="23" fillId="0" borderId="657" xfId="0" applyFont="1" applyBorder="1" applyAlignment="1" applyProtection="1">
      <alignment vertical="top"/>
    </xf>
    <xf numFmtId="0" fontId="30" fillId="0" borderId="643" xfId="0" applyFont="1" applyBorder="1" applyAlignment="1" applyProtection="1">
      <alignment horizontal="center" vertical="center" wrapText="1"/>
      <protection locked="0"/>
    </xf>
    <xf numFmtId="0" fontId="0" fillId="0" borderId="34" xfId="0" applyBorder="1" applyAlignment="1">
      <alignment vertical="top"/>
    </xf>
    <xf numFmtId="0" fontId="21" fillId="0" borderId="597" xfId="4" quotePrefix="1" applyNumberFormat="1" applyFont="1" applyBorder="1" applyAlignment="1">
      <alignment vertical="top" wrapText="1"/>
    </xf>
    <xf numFmtId="0" fontId="21" fillId="0" borderId="690" xfId="4" quotePrefix="1" applyNumberFormat="1" applyFont="1" applyBorder="1" applyAlignment="1">
      <alignment vertical="top" wrapText="1"/>
    </xf>
    <xf numFmtId="0" fontId="22" fillId="0" borderId="66" xfId="4" applyNumberFormat="1" applyFont="1" applyBorder="1" applyAlignment="1" applyProtection="1">
      <alignment vertical="top" wrapText="1"/>
      <protection locked="0"/>
    </xf>
    <xf numFmtId="0" fontId="21" fillId="0" borderId="30" xfId="4" applyNumberFormat="1" applyFont="1" applyBorder="1" applyAlignment="1">
      <alignment vertical="top" wrapText="1"/>
    </xf>
    <xf numFmtId="0" fontId="21" fillId="0" borderId="30" xfId="4" quotePrefix="1" applyNumberFormat="1" applyFont="1" applyBorder="1" applyAlignment="1">
      <alignment vertical="top" wrapText="1"/>
    </xf>
    <xf numFmtId="0" fontId="14" fillId="0" borderId="0" xfId="4" applyFont="1" applyBorder="1" applyAlignment="1">
      <alignment horizontal="center" vertical="center" wrapText="1"/>
    </xf>
    <xf numFmtId="0" fontId="23" fillId="0" borderId="32" xfId="0" applyFont="1" applyBorder="1" applyAlignment="1">
      <alignment vertical="top" wrapText="1"/>
    </xf>
    <xf numFmtId="0" fontId="21" fillId="0" borderId="26" xfId="4" applyNumberFormat="1" applyFont="1" applyBorder="1" applyAlignment="1">
      <alignment horizontal="left" vertical="top" wrapText="1"/>
    </xf>
    <xf numFmtId="0" fontId="21" fillId="0" borderId="647" xfId="4" quotePrefix="1" applyNumberFormat="1" applyFont="1" applyBorder="1" applyAlignment="1">
      <alignment vertical="top" wrapText="1"/>
    </xf>
    <xf numFmtId="49" fontId="49" fillId="0" borderId="66" xfId="4" applyNumberFormat="1" applyFont="1" applyBorder="1" applyAlignment="1">
      <alignment horizontal="center" vertical="center" wrapText="1"/>
    </xf>
    <xf numFmtId="49" fontId="49" fillId="0" borderId="0" xfId="4" applyNumberFormat="1" applyFont="1" applyBorder="1" applyAlignment="1">
      <alignment horizontal="center" vertical="center" wrapText="1"/>
    </xf>
    <xf numFmtId="0" fontId="32" fillId="0" borderId="506" xfId="0" applyFont="1" applyBorder="1" applyAlignment="1">
      <alignment horizontal="center" vertical="center" wrapText="1"/>
    </xf>
    <xf numFmtId="0" fontId="32" fillId="0" borderId="503" xfId="0" applyFont="1" applyBorder="1" applyAlignment="1">
      <alignment horizontal="center" vertical="center" wrapText="1"/>
    </xf>
    <xf numFmtId="0" fontId="32" fillId="0" borderId="495" xfId="0" applyFont="1" applyBorder="1" applyAlignment="1">
      <alignment horizontal="center" vertical="center" wrapText="1"/>
    </xf>
    <xf numFmtId="167" fontId="50" fillId="11" borderId="500" xfId="10" applyFont="1" applyBorder="1" applyAlignment="1">
      <alignment horizontal="left" vertical="center" wrapText="1"/>
    </xf>
    <xf numFmtId="167" fontId="50" fillId="11" borderId="501" xfId="10" applyFont="1" applyBorder="1" applyAlignment="1">
      <alignment horizontal="left" vertical="center" wrapText="1"/>
    </xf>
    <xf numFmtId="167" fontId="50" fillId="11" borderId="502" xfId="10" applyFont="1" applyBorder="1" applyAlignment="1">
      <alignment horizontal="left" vertical="center" wrapText="1"/>
    </xf>
    <xf numFmtId="0" fontId="32" fillId="0" borderId="74" xfId="0" applyFont="1" applyBorder="1" applyAlignment="1">
      <alignment horizontal="right" vertical="top" wrapText="1"/>
    </xf>
    <xf numFmtId="0" fontId="32" fillId="0" borderId="75" xfId="0" applyFont="1" applyBorder="1" applyAlignment="1">
      <alignment horizontal="right" vertical="top" wrapText="1"/>
    </xf>
    <xf numFmtId="0" fontId="32" fillId="0" borderId="654" xfId="0" applyFont="1" applyBorder="1" applyAlignment="1">
      <alignment horizontal="left" vertical="top" wrapText="1"/>
    </xf>
    <xf numFmtId="0" fontId="32" fillId="0" borderId="601" xfId="0" applyFont="1" applyBorder="1" applyAlignment="1">
      <alignment horizontal="left" vertical="top" wrapText="1"/>
    </xf>
    <xf numFmtId="0" fontId="32" fillId="0" borderId="687" xfId="0" applyFont="1" applyBorder="1" applyAlignment="1">
      <alignment horizontal="left" vertical="top" wrapText="1"/>
    </xf>
    <xf numFmtId="0" fontId="32" fillId="0" borderId="688" xfId="0" applyFont="1" applyBorder="1" applyAlignment="1">
      <alignment horizontal="left" vertical="top" wrapText="1"/>
    </xf>
    <xf numFmtId="0" fontId="32" fillId="0" borderId="494" xfId="0" applyFont="1" applyBorder="1" applyAlignment="1">
      <alignment horizontal="center" vertical="center" wrapText="1"/>
    </xf>
    <xf numFmtId="0" fontId="32" fillId="0" borderId="98" xfId="0" applyFont="1" applyBorder="1" applyAlignment="1">
      <alignment horizontal="center" vertical="center" wrapText="1"/>
    </xf>
    <xf numFmtId="0" fontId="32" fillId="0" borderId="99" xfId="0" applyFont="1" applyBorder="1" applyAlignment="1">
      <alignment horizontal="center" vertical="center" wrapText="1"/>
    </xf>
    <xf numFmtId="0" fontId="32" fillId="0" borderId="280" xfId="0" applyFont="1" applyBorder="1" applyAlignment="1">
      <alignment horizontal="center" vertical="center" wrapText="1"/>
    </xf>
    <xf numFmtId="0" fontId="32" fillId="0" borderId="281" xfId="0" applyFont="1" applyBorder="1" applyAlignment="1">
      <alignment horizontal="center" vertical="center" wrapText="1"/>
    </xf>
    <xf numFmtId="167" fontId="50" fillId="11" borderId="497" xfId="10" applyFont="1" applyBorder="1" applyAlignment="1">
      <alignment horizontal="left" vertical="center" wrapText="1"/>
    </xf>
    <xf numFmtId="167" fontId="50" fillId="11" borderId="496" xfId="10" applyFont="1" applyBorder="1" applyAlignment="1">
      <alignment horizontal="left" vertical="center" wrapText="1"/>
    </xf>
    <xf numFmtId="167" fontId="50" fillId="11" borderId="498" xfId="10" applyFont="1" applyBorder="1" applyAlignment="1">
      <alignment horizontal="left" vertical="center" wrapText="1"/>
    </xf>
    <xf numFmtId="0" fontId="32" fillId="0" borderId="507" xfId="0" applyFont="1" applyBorder="1" applyAlignment="1">
      <alignment horizontal="center" vertical="center" wrapText="1"/>
    </xf>
    <xf numFmtId="49" fontId="0" fillId="0" borderId="254" xfId="0" applyNumberFormat="1" applyBorder="1" applyAlignment="1" applyProtection="1">
      <alignment horizontal="center" vertical="center"/>
      <protection locked="0"/>
    </xf>
    <xf numFmtId="49" fontId="0" fillId="0" borderId="13" xfId="0" applyNumberFormat="1" applyBorder="1" applyAlignment="1" applyProtection="1">
      <alignment horizontal="center" vertical="center"/>
      <protection locked="0"/>
    </xf>
    <xf numFmtId="0" fontId="23" fillId="32" borderId="597" xfId="22" applyBorder="1" applyAlignment="1" applyProtection="1">
      <alignment horizontal="left" vertical="top" wrapText="1"/>
      <protection locked="0"/>
    </xf>
    <xf numFmtId="0" fontId="23" fillId="32" borderId="647" xfId="22" applyBorder="1" applyAlignment="1" applyProtection="1">
      <alignment horizontal="left" vertical="top" wrapText="1"/>
      <protection locked="0"/>
    </xf>
    <xf numFmtId="2" fontId="21" fillId="0" borderId="328" xfId="4" quotePrefix="1" applyNumberFormat="1" applyFont="1" applyBorder="1" applyAlignment="1">
      <alignment horizontal="left" vertical="top"/>
    </xf>
    <xf numFmtId="2" fontId="21" fillId="0" borderId="324" xfId="4" quotePrefix="1" applyNumberFormat="1" applyFont="1" applyBorder="1" applyAlignment="1">
      <alignment horizontal="left" vertical="top"/>
    </xf>
    <xf numFmtId="2" fontId="21" fillId="0" borderId="653" xfId="4" applyNumberFormat="1" applyFont="1" applyBorder="1" applyAlignment="1">
      <alignment horizontal="left" vertical="top"/>
    </xf>
    <xf numFmtId="2" fontId="21" fillId="0" borderId="34" xfId="4" applyNumberFormat="1" applyFont="1" applyBorder="1" applyAlignment="1">
      <alignment horizontal="left" vertical="top"/>
    </xf>
    <xf numFmtId="0" fontId="15" fillId="0" borderId="643" xfId="4" applyFont="1" applyBorder="1" applyAlignment="1" applyProtection="1">
      <alignment horizontal="center" vertical="center" wrapText="1"/>
      <protection locked="0"/>
    </xf>
    <xf numFmtId="0" fontId="21" fillId="0" borderId="0" xfId="4" applyFont="1" applyBorder="1" applyAlignment="1" applyProtection="1">
      <alignment horizontal="left" vertical="top" wrapText="1"/>
    </xf>
    <xf numFmtId="0" fontId="21" fillId="0" borderId="34" xfId="4" applyNumberFormat="1" applyFont="1" applyBorder="1" applyAlignment="1">
      <alignment vertical="top" wrapText="1"/>
    </xf>
    <xf numFmtId="0" fontId="21" fillId="0" borderId="668" xfId="4" applyNumberFormat="1" applyFont="1" applyBorder="1" applyAlignment="1">
      <alignment horizontal="center" vertical="center" wrapText="1"/>
    </xf>
    <xf numFmtId="0" fontId="21" fillId="0" borderId="601" xfId="4" quotePrefix="1" applyNumberFormat="1" applyFont="1" applyBorder="1" applyAlignment="1">
      <alignment horizontal="center" vertical="center" wrapText="1"/>
    </xf>
    <xf numFmtId="0" fontId="21" fillId="0" borderId="676" xfId="4" applyFont="1" applyBorder="1" applyAlignment="1">
      <alignment horizontal="center" vertical="center"/>
    </xf>
    <xf numFmtId="0" fontId="21" fillId="0" borderId="677" xfId="4" applyFont="1" applyBorder="1" applyAlignment="1">
      <alignment horizontal="center" vertical="center"/>
    </xf>
    <xf numFmtId="0" fontId="21" fillId="0" borderId="670" xfId="4" applyNumberFormat="1" applyFont="1" applyBorder="1" applyAlignment="1">
      <alignment horizontal="center" vertical="center" wrapText="1"/>
    </xf>
    <xf numFmtId="0" fontId="21" fillId="0" borderId="601" xfId="4" applyNumberFormat="1" applyFont="1" applyBorder="1" applyAlignment="1">
      <alignment horizontal="center" vertical="center" wrapText="1"/>
    </xf>
    <xf numFmtId="0" fontId="21" fillId="0" borderId="673" xfId="4" applyNumberFormat="1" applyFont="1" applyBorder="1" applyAlignment="1">
      <alignment horizontal="center" vertical="center" wrapText="1"/>
    </xf>
    <xf numFmtId="0" fontId="21" fillId="0" borderId="674" xfId="4" applyNumberFormat="1" applyFont="1" applyBorder="1" applyAlignment="1">
      <alignment horizontal="center" vertical="center" wrapText="1"/>
    </xf>
    <xf numFmtId="0" fontId="8" fillId="17" borderId="298" xfId="4" applyNumberFormat="1" applyFont="1" applyFill="1" applyBorder="1" applyAlignment="1">
      <alignment horizontal="center" vertical="center" wrapText="1"/>
    </xf>
    <xf numFmtId="0" fontId="8" fillId="17" borderId="201" xfId="4" quotePrefix="1" applyNumberFormat="1" applyFont="1" applyFill="1" applyBorder="1" applyAlignment="1">
      <alignment horizontal="center" vertical="center" wrapText="1"/>
    </xf>
    <xf numFmtId="0" fontId="21" fillId="0" borderId="668" xfId="4" quotePrefix="1" applyNumberFormat="1" applyFont="1" applyBorder="1" applyAlignment="1">
      <alignment horizontal="center" vertical="center" wrapText="1"/>
    </xf>
    <xf numFmtId="0" fontId="21" fillId="0" borderId="34" xfId="4" quotePrefix="1" applyNumberFormat="1" applyFont="1" applyBorder="1" applyAlignment="1">
      <alignment vertical="top" wrapText="1"/>
    </xf>
    <xf numFmtId="0" fontId="21" fillId="0" borderId="653" xfId="4" quotePrefix="1" applyNumberFormat="1" applyFont="1" applyBorder="1" applyAlignment="1">
      <alignment horizontal="left" vertical="top"/>
    </xf>
    <xf numFmtId="0" fontId="21" fillId="0" borderId="34" xfId="4" quotePrefix="1" applyNumberFormat="1" applyFont="1" applyBorder="1" applyAlignment="1">
      <alignment horizontal="left" vertical="top"/>
    </xf>
    <xf numFmtId="0" fontId="30" fillId="0" borderId="147"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13" xfId="0" applyFont="1" applyBorder="1" applyAlignment="1">
      <alignment horizontal="center" vertical="center" wrapText="1"/>
    </xf>
    <xf numFmtId="0" fontId="26" fillId="0" borderId="12" xfId="11" applyFill="1" applyBorder="1">
      <alignment horizontal="right" vertical="top"/>
    </xf>
    <xf numFmtId="0" fontId="26" fillId="0" borderId="0" xfId="11" applyFill="1" applyBorder="1">
      <alignment horizontal="right" vertical="top"/>
    </xf>
    <xf numFmtId="0" fontId="26" fillId="0" borderId="13" xfId="11" applyFill="1" applyBorder="1">
      <alignment horizontal="right" vertical="top"/>
    </xf>
    <xf numFmtId="0" fontId="30" fillId="0" borderId="150" xfId="0" applyFont="1" applyBorder="1" applyAlignment="1">
      <alignment horizontal="left" vertical="top" wrapText="1"/>
    </xf>
    <xf numFmtId="0" fontId="30" fillId="0" borderId="151" xfId="0" applyFont="1" applyBorder="1" applyAlignment="1">
      <alignment horizontal="left" vertical="top" wrapText="1"/>
    </xf>
    <xf numFmtId="0" fontId="30" fillId="0" borderId="152" xfId="0" applyFont="1" applyBorder="1" applyAlignment="1">
      <alignment horizontal="left" vertical="top" wrapText="1"/>
    </xf>
    <xf numFmtId="0" fontId="13" fillId="0" borderId="0" xfId="0" applyFont="1" applyBorder="1" applyAlignment="1">
      <alignment horizontal="left" vertical="top" wrapText="1"/>
    </xf>
    <xf numFmtId="0" fontId="23" fillId="0" borderId="664" xfId="0" applyFont="1" applyBorder="1" applyAlignment="1">
      <alignment horizontal="center" vertical="center" wrapText="1"/>
    </xf>
    <xf numFmtId="0" fontId="23" fillId="0" borderId="601" xfId="0" applyFont="1" applyBorder="1" applyAlignment="1">
      <alignment horizontal="center" vertical="center" wrapText="1"/>
    </xf>
    <xf numFmtId="0" fontId="23" fillId="0" borderId="66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146" xfId="0" applyFont="1" applyBorder="1" applyAlignment="1">
      <alignment horizontal="center" vertical="center" wrapText="1"/>
    </xf>
    <xf numFmtId="0" fontId="8" fillId="17" borderId="664" xfId="0" applyFont="1" applyFill="1" applyBorder="1" applyAlignment="1">
      <alignment horizontal="center" vertical="center" wrapText="1"/>
    </xf>
    <xf numFmtId="0" fontId="8" fillId="17" borderId="601" xfId="0" applyFont="1" applyFill="1" applyBorder="1" applyAlignment="1">
      <alignment horizontal="center" vertical="center" wrapText="1"/>
    </xf>
    <xf numFmtId="0" fontId="8" fillId="17" borderId="665" xfId="0" applyFont="1" applyFill="1" applyBorder="1" applyAlignment="1">
      <alignment horizontal="center" vertical="center" wrapText="1"/>
    </xf>
    <xf numFmtId="0" fontId="23" fillId="0" borderId="291" xfId="0" applyFont="1" applyBorder="1" applyAlignment="1">
      <alignment horizontal="left" vertical="top"/>
    </xf>
    <xf numFmtId="0" fontId="23" fillId="0" borderId="58" xfId="0" applyFont="1" applyBorder="1" applyAlignment="1">
      <alignment horizontal="left" vertical="top"/>
    </xf>
    <xf numFmtId="0" fontId="21" fillId="0" borderId="96" xfId="4" applyNumberFormat="1" applyFont="1" applyBorder="1" applyAlignment="1">
      <alignment vertical="top" wrapText="1"/>
    </xf>
    <xf numFmtId="0" fontId="21" fillId="0" borderId="99" xfId="4" applyNumberFormat="1" applyFont="1" applyBorder="1" applyAlignment="1">
      <alignment vertical="top" wrapText="1"/>
    </xf>
    <xf numFmtId="0" fontId="21" fillId="0" borderId="281" xfId="4" quotePrefix="1" applyNumberFormat="1" applyFont="1" applyBorder="1" applyAlignment="1">
      <alignment vertical="top" wrapText="1"/>
    </xf>
    <xf numFmtId="1" fontId="26" fillId="36" borderId="359" xfId="9" applyFont="1" applyFill="1" applyBorder="1" applyAlignment="1">
      <alignment horizontal="center" vertical="center" wrapText="1"/>
      <protection locked="0"/>
    </xf>
    <xf numFmtId="1" fontId="26" fillId="36" borderId="344" xfId="9" applyFont="1" applyFill="1" applyBorder="1" applyAlignment="1">
      <alignment horizontal="center" vertical="center" wrapText="1"/>
      <protection locked="0"/>
    </xf>
    <xf numFmtId="167" fontId="51" fillId="11" borderId="59" xfId="10" applyFont="1" applyBorder="1">
      <alignment horizontal="left" vertical="top" wrapText="1"/>
    </xf>
    <xf numFmtId="167" fontId="51" fillId="11" borderId="21" xfId="10" applyFont="1" applyBorder="1">
      <alignment horizontal="left" vertical="top" wrapText="1"/>
    </xf>
    <xf numFmtId="0" fontId="23" fillId="0" borderId="58" xfId="0" applyFont="1" applyBorder="1" applyAlignment="1">
      <alignment horizontal="left" vertical="top" wrapText="1"/>
    </xf>
    <xf numFmtId="0" fontId="23" fillId="0" borderId="96" xfId="0" applyFont="1" applyBorder="1" applyAlignment="1">
      <alignment horizontal="left" vertical="center" wrapText="1"/>
    </xf>
    <xf numFmtId="0" fontId="23" fillId="0" borderId="281" xfId="0" applyFont="1" applyBorder="1" applyAlignment="1">
      <alignment horizontal="left" vertical="center" wrapText="1"/>
    </xf>
    <xf numFmtId="0" fontId="22" fillId="0" borderId="647" xfId="4" applyFont="1" applyBorder="1" applyAlignment="1">
      <alignment horizontal="center" vertical="center"/>
    </xf>
    <xf numFmtId="0" fontId="22" fillId="0" borderId="0" xfId="4" applyFont="1" applyBorder="1" applyAlignment="1">
      <alignment horizontal="center" vertical="center"/>
    </xf>
    <xf numFmtId="0" fontId="22" fillId="0" borderId="57" xfId="4" applyFont="1" applyBorder="1" applyAlignment="1">
      <alignment horizontal="center" vertical="center"/>
    </xf>
    <xf numFmtId="1" fontId="22" fillId="0" borderId="57" xfId="4" applyNumberFormat="1" applyFont="1" applyBorder="1" applyAlignment="1">
      <alignment horizontal="center" vertical="center" wrapText="1"/>
    </xf>
    <xf numFmtId="0" fontId="23" fillId="0" borderId="647" xfId="0" applyFont="1" applyBorder="1" applyAlignment="1">
      <alignment horizontal="left" vertical="top" wrapText="1"/>
    </xf>
    <xf numFmtId="0" fontId="23" fillId="0" borderId="0" xfId="0" applyFont="1" applyBorder="1" applyAlignment="1" applyProtection="1">
      <alignment horizontal="center" vertical="center" wrapText="1"/>
    </xf>
    <xf numFmtId="0" fontId="23" fillId="0" borderId="647" xfId="0" applyFont="1" applyBorder="1" applyAlignment="1">
      <alignment vertical="top" wrapText="1"/>
    </xf>
    <xf numFmtId="167" fontId="27" fillId="11" borderId="21" xfId="10" applyBorder="1">
      <alignment horizontal="left" vertical="top" wrapText="1"/>
    </xf>
    <xf numFmtId="0" fontId="21" fillId="0" borderId="57" xfId="4" quotePrefix="1" applyNumberFormat="1" applyFont="1" applyBorder="1" applyAlignment="1">
      <alignment horizontal="left" vertical="top"/>
    </xf>
    <xf numFmtId="49" fontId="55" fillId="0" borderId="66" xfId="16" applyBorder="1" applyAlignment="1">
      <alignment horizontal="center" vertical="center" wrapText="1"/>
    </xf>
    <xf numFmtId="49" fontId="55" fillId="0" borderId="57" xfId="16" applyBorder="1" applyAlignment="1">
      <alignment horizontal="center" vertical="center" wrapText="1"/>
    </xf>
    <xf numFmtId="1" fontId="26" fillId="10" borderId="336" xfId="9" applyBorder="1" applyAlignment="1">
      <alignment horizontal="center" vertical="center" wrapText="1"/>
      <protection locked="0"/>
    </xf>
    <xf numFmtId="1" fontId="26" fillId="10" borderId="360" xfId="9" applyBorder="1" applyAlignment="1">
      <alignment horizontal="center" vertical="center" wrapText="1"/>
      <protection locked="0"/>
    </xf>
    <xf numFmtId="167" fontId="23" fillId="0" borderId="647" xfId="0" applyNumberFormat="1" applyFont="1" applyBorder="1" applyAlignment="1">
      <alignment horizontal="center" vertical="top"/>
    </xf>
    <xf numFmtId="0" fontId="21" fillId="0" borderId="66" xfId="4" applyNumberFormat="1" applyFont="1" applyBorder="1" applyAlignment="1" applyProtection="1">
      <alignment vertical="top" wrapText="1"/>
    </xf>
    <xf numFmtId="0" fontId="21" fillId="0" borderId="66" xfId="4" quotePrefix="1" applyNumberFormat="1" applyFont="1" applyBorder="1" applyAlignment="1" applyProtection="1">
      <alignment vertical="top" wrapText="1"/>
    </xf>
    <xf numFmtId="0" fontId="13" fillId="15" borderId="275" xfId="15" applyBorder="1">
      <alignment horizontal="center" vertical="center"/>
    </xf>
    <xf numFmtId="1" fontId="22" fillId="36" borderId="16" xfId="9" applyFont="1" applyFill="1" applyBorder="1" applyAlignment="1">
      <alignment horizontal="center" vertical="center" wrapText="1"/>
      <protection locked="0"/>
    </xf>
    <xf numFmtId="1" fontId="22" fillId="36" borderId="50" xfId="9" applyFont="1" applyFill="1" applyBorder="1" applyAlignment="1">
      <alignment horizontal="center" vertical="center" wrapText="1"/>
      <protection locked="0"/>
    </xf>
    <xf numFmtId="0" fontId="23" fillId="32" borderId="396" xfId="22" applyBorder="1" applyAlignment="1">
      <alignment horizontal="left" vertical="top" wrapText="1"/>
      <protection locked="0"/>
    </xf>
    <xf numFmtId="0" fontId="23" fillId="32" borderId="397" xfId="22" applyBorder="1" applyAlignment="1">
      <alignment horizontal="left" vertical="top" wrapText="1"/>
      <protection locked="0"/>
    </xf>
    <xf numFmtId="0" fontId="23" fillId="0" borderId="116" xfId="0" applyFont="1" applyBorder="1" applyAlignment="1" applyProtection="1">
      <alignment horizontal="center" vertical="top"/>
    </xf>
    <xf numFmtId="0" fontId="23" fillId="0" borderId="13" xfId="0" applyFont="1" applyBorder="1" applyAlignment="1" applyProtection="1">
      <alignment horizontal="center" vertical="top"/>
    </xf>
    <xf numFmtId="0" fontId="0" fillId="0" borderId="34" xfId="0" applyBorder="1" applyAlignment="1" applyProtection="1">
      <alignment horizontal="center"/>
    </xf>
    <xf numFmtId="0" fontId="0" fillId="0" borderId="0" xfId="0" applyBorder="1" applyAlignment="1" applyProtection="1">
      <alignment horizontal="center"/>
    </xf>
    <xf numFmtId="1" fontId="26" fillId="10" borderId="344" xfId="9" applyBorder="1" applyProtection="1">
      <alignment horizontal="center" vertical="center"/>
      <protection locked="0"/>
    </xf>
    <xf numFmtId="1" fontId="26" fillId="10" borderId="15" xfId="9" applyBorder="1" applyProtection="1">
      <alignment horizontal="center" vertical="center"/>
      <protection locked="0"/>
    </xf>
    <xf numFmtId="1" fontId="26" fillId="10" borderId="156" xfId="9" applyBorder="1" applyProtection="1">
      <alignment horizontal="center" vertical="center"/>
      <protection locked="0"/>
    </xf>
    <xf numFmtId="0" fontId="22" fillId="0" borderId="66"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2" fillId="0" borderId="32" xfId="4" applyNumberFormat="1" applyFont="1" applyBorder="1" applyAlignment="1" applyProtection="1">
      <alignment horizontal="center" vertical="center" wrapText="1"/>
    </xf>
    <xf numFmtId="49" fontId="20" fillId="43" borderId="646" xfId="7" applyFill="1" applyBorder="1">
      <alignment horizontal="left" vertical="center" wrapText="1"/>
    </xf>
    <xf numFmtId="49" fontId="47" fillId="0" borderId="116" xfId="0" applyNumberFormat="1" applyFont="1" applyBorder="1" applyAlignment="1" applyProtection="1">
      <alignment horizontal="center" vertical="center" wrapText="1"/>
      <protection locked="0"/>
    </xf>
    <xf numFmtId="49" fontId="47" fillId="0" borderId="13" xfId="0" applyNumberFormat="1" applyFont="1" applyBorder="1" applyAlignment="1" applyProtection="1">
      <alignment horizontal="center" vertical="center" wrapText="1"/>
      <protection locked="0"/>
    </xf>
    <xf numFmtId="49" fontId="47" fillId="0" borderId="308" xfId="0" applyNumberFormat="1" applyFont="1" applyBorder="1" applyAlignment="1" applyProtection="1">
      <alignment horizontal="center" vertical="center" wrapText="1"/>
      <protection locked="0"/>
    </xf>
    <xf numFmtId="0" fontId="21" fillId="0" borderId="0" xfId="4" applyNumberFormat="1" applyFont="1" applyFill="1" applyBorder="1" applyAlignment="1" applyProtection="1">
      <alignment vertical="top" wrapText="1"/>
    </xf>
    <xf numFmtId="0" fontId="21" fillId="0" borderId="0" xfId="4" quotePrefix="1" applyNumberFormat="1" applyFont="1" applyFill="1" applyBorder="1" applyAlignment="1" applyProtection="1">
      <alignment vertical="top" wrapText="1"/>
    </xf>
    <xf numFmtId="167" fontId="31" fillId="0" borderId="320" xfId="10" applyFont="1" applyFill="1" applyBorder="1" applyAlignment="1">
      <alignment horizontal="left" vertical="center" wrapText="1"/>
    </xf>
    <xf numFmtId="167" fontId="31" fillId="0" borderId="321" xfId="10" applyFont="1" applyFill="1" applyBorder="1" applyAlignment="1">
      <alignment horizontal="left" vertical="center" wrapText="1"/>
    </xf>
    <xf numFmtId="167" fontId="31" fillId="0" borderId="322" xfId="10" applyFont="1" applyFill="1" applyBorder="1" applyAlignment="1">
      <alignment horizontal="left" vertical="center" wrapText="1"/>
    </xf>
    <xf numFmtId="49" fontId="22" fillId="0" borderId="34" xfId="4" applyNumberFormat="1" applyFont="1" applyFill="1" applyBorder="1" applyAlignment="1">
      <alignment horizontal="center" vertical="center" wrapText="1"/>
    </xf>
    <xf numFmtId="49" fontId="22" fillId="0" borderId="0" xfId="4" applyNumberFormat="1" applyFont="1" applyFill="1" applyBorder="1" applyAlignment="1">
      <alignment horizontal="center" vertical="center" wrapText="1"/>
    </xf>
    <xf numFmtId="0" fontId="19" fillId="8" borderId="179" xfId="6" applyBorder="1" applyAlignment="1">
      <alignment horizontal="center" vertical="center" wrapText="1"/>
    </xf>
    <xf numFmtId="0" fontId="19" fillId="8" borderId="178" xfId="6" applyBorder="1" applyAlignment="1">
      <alignment horizontal="center" vertical="center" wrapText="1"/>
    </xf>
    <xf numFmtId="0" fontId="19" fillId="8" borderId="134" xfId="6" applyBorder="1" applyAlignment="1">
      <alignment horizontal="center" vertical="center" wrapText="1"/>
    </xf>
    <xf numFmtId="0" fontId="23" fillId="32" borderId="650" xfId="22" applyBorder="1">
      <alignment horizontal="left" vertical="top" wrapText="1"/>
      <protection locked="0"/>
    </xf>
    <xf numFmtId="0" fontId="23" fillId="32" borderId="34" xfId="22" applyBorder="1">
      <alignment horizontal="left" vertical="top" wrapText="1"/>
      <protection locked="0"/>
    </xf>
    <xf numFmtId="0" fontId="23" fillId="32" borderId="127" xfId="22" applyBorder="1">
      <alignment horizontal="left" vertical="top" wrapText="1"/>
      <protection locked="0"/>
    </xf>
    <xf numFmtId="0" fontId="23" fillId="32" borderId="0" xfId="22" applyBorder="1">
      <alignment horizontal="left" vertical="top" wrapText="1"/>
      <protection locked="0"/>
    </xf>
    <xf numFmtId="0" fontId="23" fillId="32" borderId="486" xfId="22" applyBorder="1">
      <alignment horizontal="left" vertical="top" wrapText="1"/>
      <protection locked="0"/>
    </xf>
    <xf numFmtId="0" fontId="23" fillId="32" borderId="84" xfId="22" applyBorder="1">
      <alignment horizontal="left" vertical="top" wrapText="1"/>
      <protection locked="0"/>
    </xf>
    <xf numFmtId="0" fontId="21" fillId="0" borderId="262" xfId="4" applyFont="1" applyFill="1" applyBorder="1" applyAlignment="1">
      <alignment horizontal="left" vertical="top"/>
    </xf>
    <xf numFmtId="0" fontId="21" fillId="0" borderId="99" xfId="4" applyFont="1" applyFill="1" applyBorder="1" applyAlignment="1">
      <alignment horizontal="left" vertical="top"/>
    </xf>
    <xf numFmtId="0" fontId="21" fillId="0" borderId="109" xfId="4" applyFont="1" applyFill="1" applyBorder="1" applyAlignment="1">
      <alignment horizontal="left" vertical="top"/>
    </xf>
    <xf numFmtId="0" fontId="0" fillId="0" borderId="32" xfId="0" applyBorder="1" applyAlignment="1"/>
    <xf numFmtId="0" fontId="0" fillId="0" borderId="649" xfId="0" applyBorder="1" applyAlignment="1"/>
    <xf numFmtId="0" fontId="6" fillId="43" borderId="0" xfId="2" applyBorder="1" applyAlignment="1">
      <alignment horizontal="left" vertical="center" wrapText="1"/>
    </xf>
    <xf numFmtId="0" fontId="6" fillId="43" borderId="2" xfId="2" applyBorder="1" applyAlignment="1">
      <alignment horizontal="left" vertical="center" wrapText="1"/>
    </xf>
    <xf numFmtId="165" fontId="16" fillId="0" borderId="0" xfId="4" applyNumberFormat="1" applyFont="1" applyFill="1" applyBorder="1" applyAlignment="1">
      <alignment horizontal="left" wrapText="1"/>
    </xf>
    <xf numFmtId="0" fontId="0" fillId="0" borderId="2" xfId="0" applyBorder="1" applyAlignment="1"/>
    <xf numFmtId="0" fontId="19" fillId="8" borderId="133" xfId="6" applyBorder="1">
      <alignment horizontal="center" vertical="center" wrapText="1"/>
    </xf>
    <xf numFmtId="0" fontId="19" fillId="8" borderId="134" xfId="6" applyBorder="1">
      <alignment horizontal="center" vertical="center" wrapText="1"/>
    </xf>
    <xf numFmtId="0" fontId="0" fillId="0" borderId="68" xfId="0" applyBorder="1" applyProtection="1"/>
    <xf numFmtId="0" fontId="21" fillId="0" borderId="34" xfId="4" applyNumberFormat="1" applyFont="1" applyBorder="1" applyAlignment="1" applyProtection="1">
      <alignment vertical="top" wrapText="1"/>
    </xf>
    <xf numFmtId="0" fontId="21" fillId="0" borderId="34" xfId="4" quotePrefix="1" applyNumberFormat="1" applyFont="1" applyBorder="1" applyAlignment="1" applyProtection="1">
      <alignment vertical="top" wrapText="1"/>
    </xf>
    <xf numFmtId="0" fontId="21" fillId="0" borderId="26" xfId="4" quotePrefix="1" applyNumberFormat="1" applyFont="1" applyBorder="1" applyAlignment="1">
      <alignment vertical="top" wrapText="1"/>
    </xf>
    <xf numFmtId="0" fontId="0" fillId="0" borderId="0" xfId="0" applyBorder="1" applyAlignment="1">
      <alignment horizontal="left" vertical="top"/>
    </xf>
    <xf numFmtId="0" fontId="0" fillId="0" borderId="87" xfId="0" applyBorder="1" applyAlignment="1">
      <alignment horizontal="left" vertical="top"/>
    </xf>
    <xf numFmtId="2" fontId="22" fillId="0" borderId="34" xfId="4" applyNumberFormat="1" applyFont="1" applyBorder="1" applyAlignment="1" applyProtection="1">
      <alignment horizontal="center" vertical="center" wrapText="1"/>
    </xf>
    <xf numFmtId="2" fontId="22" fillId="0" borderId="0" xfId="4" applyNumberFormat="1" applyFont="1" applyBorder="1" applyAlignment="1" applyProtection="1">
      <alignment horizontal="center" vertical="center" wrapText="1"/>
    </xf>
    <xf numFmtId="1" fontId="21" fillId="0" borderId="34" xfId="4" applyNumberFormat="1" applyFont="1" applyBorder="1" applyAlignment="1" applyProtection="1">
      <alignment horizontal="center" vertical="center" wrapText="1"/>
    </xf>
    <xf numFmtId="1" fontId="21" fillId="0" borderId="155" xfId="4" applyNumberFormat="1" applyFont="1" applyBorder="1" applyAlignment="1" applyProtection="1">
      <alignment horizontal="center" vertical="center" wrapText="1"/>
    </xf>
    <xf numFmtId="0" fontId="23" fillId="32" borderId="468" xfId="22" applyBorder="1" applyAlignment="1" applyProtection="1">
      <alignment horizontal="left" vertical="top" wrapText="1"/>
      <protection locked="0"/>
    </xf>
    <xf numFmtId="0" fontId="23" fillId="32" borderId="155" xfId="22" applyBorder="1" applyAlignment="1" applyProtection="1">
      <alignment horizontal="left" vertical="top" wrapText="1"/>
      <protection locked="0"/>
    </xf>
    <xf numFmtId="0" fontId="23" fillId="32" borderId="121" xfId="22" applyBorder="1" applyAlignment="1" applyProtection="1">
      <alignment horizontal="left" vertical="top" wrapText="1"/>
      <protection locked="0"/>
    </xf>
    <xf numFmtId="0" fontId="23" fillId="32" borderId="122" xfId="22" applyBorder="1" applyAlignment="1" applyProtection="1">
      <alignment horizontal="left" vertical="top" wrapText="1"/>
      <protection locked="0"/>
    </xf>
    <xf numFmtId="0" fontId="23" fillId="0" borderId="34" xfId="0" applyFont="1" applyBorder="1" applyAlignment="1" applyProtection="1">
      <alignment horizontal="center" vertical="center" wrapText="1"/>
    </xf>
    <xf numFmtId="0" fontId="23" fillId="0" borderId="115" xfId="0" applyFont="1" applyBorder="1" applyAlignment="1" applyProtection="1">
      <alignment horizontal="center" vertical="center" wrapText="1"/>
    </xf>
    <xf numFmtId="0" fontId="23" fillId="0" borderId="116" xfId="0" applyFont="1" applyBorder="1" applyAlignment="1" applyProtection="1">
      <alignment vertical="top"/>
    </xf>
    <xf numFmtId="0" fontId="23" fillId="0" borderId="13" xfId="0" applyFont="1" applyBorder="1" applyAlignment="1" applyProtection="1">
      <alignment vertical="top"/>
    </xf>
    <xf numFmtId="0" fontId="0" fillId="0" borderId="34" xfId="0" applyBorder="1" applyProtection="1"/>
    <xf numFmtId="0" fontId="0" fillId="0" borderId="0" xfId="0" applyBorder="1" applyProtection="1"/>
    <xf numFmtId="0" fontId="21" fillId="0" borderId="26" xfId="4" applyNumberFormat="1" applyFont="1" applyBorder="1" applyAlignment="1">
      <alignment vertical="top" wrapText="1"/>
    </xf>
    <xf numFmtId="0" fontId="21" fillId="0" borderId="83" xfId="4" quotePrefix="1" applyNumberFormat="1" applyFont="1" applyBorder="1" applyAlignment="1">
      <alignment vertical="top" wrapText="1"/>
    </xf>
    <xf numFmtId="167" fontId="27" fillId="11" borderId="42" xfId="10" applyBorder="1" applyProtection="1">
      <alignment horizontal="left" vertical="top" wrapText="1"/>
    </xf>
    <xf numFmtId="167" fontId="27" fillId="11" borderId="43" xfId="10" applyBorder="1" applyProtection="1">
      <alignment horizontal="left" vertical="top" wrapText="1"/>
    </xf>
    <xf numFmtId="167" fontId="27" fillId="11" borderId="44" xfId="10" applyBorder="1" applyProtection="1">
      <alignment horizontal="left" vertical="top" wrapText="1"/>
    </xf>
    <xf numFmtId="49" fontId="0" fillId="0" borderId="138" xfId="0" applyNumberFormat="1" applyBorder="1" applyAlignment="1" applyProtection="1">
      <alignment horizontal="center" vertical="center"/>
      <protection locked="0"/>
    </xf>
    <xf numFmtId="1" fontId="22" fillId="0" borderId="68" xfId="4" applyNumberFormat="1" applyFont="1" applyBorder="1" applyAlignment="1" applyProtection="1">
      <alignment horizontal="center" vertical="center" wrapText="1"/>
    </xf>
    <xf numFmtId="1" fontId="22" fillId="0" borderId="0" xfId="4" applyNumberFormat="1" applyFont="1" applyBorder="1" applyAlignment="1" applyProtection="1">
      <alignment horizontal="center" vertical="center" wrapText="1"/>
    </xf>
    <xf numFmtId="1" fontId="22" fillId="0" borderId="32" xfId="4" applyNumberFormat="1" applyFont="1" applyBorder="1" applyAlignment="1" applyProtection="1">
      <alignment horizontal="center" vertical="center" wrapText="1"/>
    </xf>
    <xf numFmtId="0" fontId="50" fillId="0" borderId="116" xfId="4" applyFont="1" applyBorder="1" applyAlignment="1" applyProtection="1">
      <alignment horizontal="center" vertical="center" wrapText="1"/>
      <protection locked="0"/>
    </xf>
    <xf numFmtId="0" fontId="50" fillId="0" borderId="13" xfId="4" applyFont="1" applyBorder="1" applyAlignment="1" applyProtection="1">
      <alignment horizontal="center" vertical="center" wrapText="1"/>
      <protection locked="0"/>
    </xf>
    <xf numFmtId="0" fontId="50" fillId="0" borderId="649" xfId="4" applyFont="1" applyBorder="1" applyAlignment="1" applyProtection="1">
      <alignment horizontal="center" vertical="center" wrapText="1"/>
      <protection locked="0"/>
    </xf>
    <xf numFmtId="0" fontId="21" fillId="0" borderId="75" xfId="4" applyFont="1" applyBorder="1" applyAlignment="1" applyProtection="1">
      <alignment horizontal="center"/>
    </xf>
    <xf numFmtId="0" fontId="21" fillId="0" borderId="601" xfId="4" applyNumberFormat="1" applyFont="1" applyBorder="1" applyAlignment="1" applyProtection="1">
      <alignment horizontal="center" vertical="top" wrapText="1"/>
    </xf>
    <xf numFmtId="0" fontId="21" fillId="0" borderId="218" xfId="4" applyNumberFormat="1" applyFont="1" applyBorder="1" applyAlignment="1" applyProtection="1">
      <alignment horizontal="center" vertical="top" wrapText="1"/>
    </xf>
    <xf numFmtId="0" fontId="21" fillId="0" borderId="276" xfId="4" applyNumberFormat="1" applyFont="1" applyBorder="1" applyAlignment="1" applyProtection="1">
      <alignment vertical="top" wrapText="1"/>
    </xf>
    <xf numFmtId="0" fontId="21" fillId="0" borderId="276" xfId="4" quotePrefix="1" applyNumberFormat="1" applyFont="1" applyBorder="1" applyAlignment="1" applyProtection="1">
      <alignment vertical="top" wrapText="1"/>
    </xf>
    <xf numFmtId="1" fontId="22" fillId="0" borderId="326" xfId="4" applyNumberFormat="1" applyFont="1" applyBorder="1" applyAlignment="1" applyProtection="1">
      <alignment horizontal="center" vertical="center" wrapText="1"/>
    </xf>
    <xf numFmtId="1" fontId="22" fillId="0" borderId="24" xfId="4" applyNumberFormat="1" applyFont="1" applyBorder="1" applyAlignment="1" applyProtection="1">
      <alignment horizontal="center" vertical="center" wrapText="1"/>
    </xf>
    <xf numFmtId="0" fontId="23" fillId="32" borderId="421" xfId="22" applyBorder="1" applyAlignment="1">
      <alignment horizontal="left" vertical="top" wrapText="1"/>
      <protection locked="0"/>
    </xf>
    <xf numFmtId="49" fontId="55" fillId="0" borderId="662" xfId="16" applyBorder="1" applyAlignment="1">
      <alignment horizontal="center" vertical="center" wrapText="1"/>
    </xf>
    <xf numFmtId="49" fontId="55" fillId="0" borderId="92" xfId="16" applyBorder="1" applyAlignment="1">
      <alignment horizontal="center" vertical="center" wrapText="1"/>
    </xf>
    <xf numFmtId="1" fontId="26" fillId="10" borderId="336" xfId="9" applyBorder="1" applyAlignment="1" applyProtection="1">
      <alignment horizontal="center" vertical="center" wrapText="1"/>
      <protection locked="0"/>
    </xf>
    <xf numFmtId="1" fontId="26" fillId="10" borderId="360" xfId="9" applyBorder="1" applyAlignment="1" applyProtection="1">
      <alignment horizontal="center" vertical="center" wrapText="1"/>
      <protection locked="0"/>
    </xf>
    <xf numFmtId="1" fontId="26" fillId="10" borderId="101" xfId="9" applyBorder="1" applyProtection="1">
      <alignment horizontal="center" vertical="center"/>
      <protection locked="0"/>
    </xf>
    <xf numFmtId="1" fontId="26" fillId="10" borderId="40" xfId="9" applyBorder="1" applyProtection="1">
      <alignment horizontal="center" vertical="center"/>
      <protection locked="0"/>
    </xf>
    <xf numFmtId="167" fontId="27" fillId="11" borderId="59" xfId="10" applyBorder="1" applyProtection="1">
      <alignment horizontal="left" vertical="top" wrapText="1"/>
    </xf>
    <xf numFmtId="0" fontId="22" fillId="0" borderId="0" xfId="4" applyFont="1" applyBorder="1" applyAlignment="1">
      <alignment horizontal="right" vertical="center" wrapText="1"/>
    </xf>
    <xf numFmtId="0" fontId="23" fillId="32" borderId="0" xfId="22" applyFont="1" applyBorder="1" applyAlignment="1" applyProtection="1">
      <alignment horizontal="left" vertical="top" wrapText="1"/>
      <protection locked="0"/>
    </xf>
    <xf numFmtId="0" fontId="23" fillId="32" borderId="84" xfId="22" applyFont="1" applyBorder="1" applyAlignment="1" applyProtection="1">
      <alignment horizontal="left" vertical="top" wrapText="1"/>
      <protection locked="0"/>
    </xf>
    <xf numFmtId="0" fontId="23" fillId="32" borderId="113" xfId="22" applyFont="1" applyBorder="1" applyAlignment="1" applyProtection="1">
      <alignment horizontal="left" vertical="top" wrapText="1"/>
      <protection locked="0"/>
    </xf>
    <xf numFmtId="0" fontId="23" fillId="32" borderId="68" xfId="22" applyFont="1" applyBorder="1" applyAlignment="1" applyProtection="1">
      <alignment horizontal="left" vertical="top" wrapText="1"/>
      <protection locked="0"/>
    </xf>
    <xf numFmtId="0" fontId="23" fillId="32" borderId="114" xfId="22" applyFont="1" applyBorder="1" applyAlignment="1" applyProtection="1">
      <alignment horizontal="left" vertical="top" wrapText="1"/>
      <protection locked="0"/>
    </xf>
    <xf numFmtId="0" fontId="13" fillId="0" borderId="34" xfId="0" applyFont="1" applyBorder="1" applyAlignment="1">
      <alignment horizontal="left" vertical="top" wrapText="1"/>
    </xf>
    <xf numFmtId="0" fontId="83" fillId="0" borderId="26" xfId="0" applyFont="1" applyBorder="1" applyAlignment="1">
      <alignment horizontal="right" vertical="top"/>
    </xf>
    <xf numFmtId="0" fontId="13" fillId="0" borderId="26" xfId="0" applyFont="1" applyBorder="1" applyAlignment="1">
      <alignment horizontal="left" vertical="top"/>
    </xf>
    <xf numFmtId="0" fontId="0" fillId="32" borderId="68" xfId="22" applyFont="1" applyBorder="1" applyAlignment="1" applyProtection="1">
      <alignment horizontal="left" vertical="top" wrapText="1"/>
      <protection locked="0"/>
    </xf>
    <xf numFmtId="167" fontId="27" fillId="11" borderId="317" xfId="10" applyBorder="1">
      <alignment horizontal="left" vertical="top" wrapText="1"/>
    </xf>
    <xf numFmtId="0" fontId="22" fillId="0" borderId="34" xfId="4" applyNumberFormat="1" applyFont="1" applyBorder="1" applyAlignment="1" applyProtection="1">
      <alignment horizontal="center" vertical="center" wrapText="1"/>
    </xf>
    <xf numFmtId="49" fontId="55" fillId="0" borderId="647" xfId="16" applyBorder="1">
      <alignment horizontal="center" vertical="center" wrapText="1"/>
    </xf>
    <xf numFmtId="49" fontId="55" fillId="0" borderId="26" xfId="16" applyBorder="1">
      <alignment horizontal="center" vertical="center" wrapText="1"/>
    </xf>
    <xf numFmtId="49" fontId="22" fillId="0" borderId="34" xfId="4" applyNumberFormat="1" applyFont="1" applyBorder="1" applyAlignment="1" applyProtection="1">
      <alignment horizontal="center" vertical="center" wrapText="1"/>
    </xf>
    <xf numFmtId="49" fontId="22" fillId="0" borderId="0" xfId="4" applyNumberFormat="1" applyFont="1" applyBorder="1" applyAlignment="1" applyProtection="1">
      <alignment horizontal="center" vertical="center" wrapText="1"/>
    </xf>
    <xf numFmtId="0" fontId="21" fillId="0" borderId="32" xfId="4" applyNumberFormat="1" applyFont="1" applyBorder="1" applyAlignment="1" applyProtection="1">
      <alignment vertical="top" wrapText="1"/>
    </xf>
    <xf numFmtId="0" fontId="23" fillId="0" borderId="568" xfId="0" applyFont="1" applyBorder="1" applyAlignment="1" applyProtection="1">
      <alignment vertical="top" wrapText="1"/>
    </xf>
    <xf numFmtId="0" fontId="0" fillId="0" borderId="568" xfId="0" applyBorder="1" applyAlignment="1"/>
    <xf numFmtId="0" fontId="0" fillId="0" borderId="569" xfId="0" applyBorder="1" applyAlignment="1"/>
    <xf numFmtId="0" fontId="22" fillId="0" borderId="34" xfId="4" applyNumberFormat="1" applyFont="1" applyBorder="1" applyAlignment="1">
      <alignment vertical="top" wrapText="1"/>
    </xf>
    <xf numFmtId="0" fontId="22" fillId="0" borderId="34" xfId="4" quotePrefix="1" applyNumberFormat="1" applyFont="1" applyBorder="1" applyAlignment="1">
      <alignment vertical="top" wrapText="1"/>
    </xf>
    <xf numFmtId="0" fontId="13" fillId="0" borderId="647" xfId="0" applyFont="1" applyBorder="1" applyAlignment="1" applyProtection="1">
      <alignment horizontal="left" vertical="top" wrapText="1"/>
    </xf>
    <xf numFmtId="0" fontId="23" fillId="0" borderId="660" xfId="0" applyFont="1" applyBorder="1" applyAlignment="1" applyProtection="1">
      <alignment vertical="top"/>
    </xf>
    <xf numFmtId="0" fontId="23" fillId="0" borderId="597" xfId="0" applyFont="1" applyBorder="1" applyAlignment="1" applyProtection="1">
      <alignment vertical="top"/>
    </xf>
    <xf numFmtId="0" fontId="23" fillId="0" borderId="597" xfId="0" applyFont="1" applyBorder="1" applyAlignment="1" applyProtection="1">
      <alignment horizontal="left" vertical="top" wrapText="1"/>
    </xf>
    <xf numFmtId="0" fontId="13" fillId="0" borderId="34" xfId="0" applyFont="1" applyBorder="1" applyAlignment="1" applyProtection="1">
      <alignment vertical="top" wrapText="1"/>
    </xf>
    <xf numFmtId="0" fontId="23" fillId="0" borderId="12" xfId="0" applyFont="1" applyBorder="1" applyAlignment="1" applyProtection="1">
      <alignment vertical="top" wrapText="1"/>
    </xf>
    <xf numFmtId="0" fontId="23" fillId="0" borderId="0" xfId="0" applyFont="1" applyBorder="1" applyAlignment="1" applyProtection="1">
      <alignment vertical="top" wrapText="1"/>
    </xf>
    <xf numFmtId="0" fontId="23" fillId="0" borderId="153" xfId="0" applyFont="1" applyBorder="1" applyAlignment="1">
      <alignment vertical="top"/>
    </xf>
    <xf numFmtId="0" fontId="23" fillId="0" borderId="26" xfId="0" applyFont="1" applyBorder="1" applyAlignment="1">
      <alignment vertical="top"/>
    </xf>
    <xf numFmtId="0" fontId="23" fillId="0" borderId="311" xfId="0" applyFont="1" applyBorder="1" applyAlignment="1">
      <alignment vertical="top"/>
    </xf>
    <xf numFmtId="0" fontId="23" fillId="0" borderId="277" xfId="0" applyFont="1" applyBorder="1" applyAlignment="1">
      <alignment vertical="top"/>
    </xf>
    <xf numFmtId="0" fontId="21" fillId="0" borderId="34" xfId="4" applyFont="1" applyBorder="1" applyAlignment="1" applyProtection="1">
      <alignment horizontal="center" vertical="center" wrapText="1"/>
    </xf>
    <xf numFmtId="0" fontId="21" fillId="0" borderId="155" xfId="4" applyFont="1" applyBorder="1" applyAlignment="1" applyProtection="1">
      <alignment horizontal="center" vertical="center" wrapText="1"/>
    </xf>
    <xf numFmtId="0" fontId="23" fillId="0" borderId="12" xfId="0" applyFont="1" applyBorder="1" applyAlignment="1">
      <alignment horizontal="left" vertical="top"/>
    </xf>
    <xf numFmtId="0" fontId="23" fillId="0" borderId="0" xfId="0" applyFont="1" applyBorder="1" applyAlignment="1">
      <alignment horizontal="left" vertical="top"/>
    </xf>
    <xf numFmtId="0" fontId="23" fillId="0" borderId="34" xfId="0" applyFont="1" applyBorder="1" applyAlignment="1">
      <alignment horizontal="left" vertical="top" wrapText="1"/>
    </xf>
    <xf numFmtId="0" fontId="23" fillId="0" borderId="12" xfId="0" applyFont="1" applyBorder="1" applyAlignment="1" applyProtection="1">
      <alignment horizontal="left" vertical="top"/>
    </xf>
    <xf numFmtId="0" fontId="23" fillId="0" borderId="0" xfId="0" applyFont="1" applyBorder="1" applyAlignment="1" applyProtection="1">
      <alignment horizontal="left" vertical="top"/>
    </xf>
    <xf numFmtId="0" fontId="17" fillId="0" borderId="30" xfId="5" applyNumberFormat="1" applyBorder="1" applyAlignment="1" applyProtection="1">
      <alignment vertical="top" wrapText="1"/>
      <protection locked="0"/>
    </xf>
    <xf numFmtId="167" fontId="21" fillId="11" borderId="54" xfId="10" applyFont="1" applyBorder="1" applyProtection="1">
      <alignment horizontal="left" vertical="top" wrapText="1"/>
    </xf>
    <xf numFmtId="167" fontId="21" fillId="11" borderId="55" xfId="10" applyFont="1" applyBorder="1" applyProtection="1">
      <alignment horizontal="left" vertical="top" wrapText="1"/>
    </xf>
    <xf numFmtId="167" fontId="21" fillId="11" borderId="56" xfId="10" applyFont="1" applyBorder="1" applyProtection="1">
      <alignment horizontal="left" vertical="top" wrapText="1"/>
    </xf>
    <xf numFmtId="0" fontId="17" fillId="0" borderId="0" xfId="5" applyFont="1" applyBorder="1" applyAlignment="1" applyProtection="1">
      <alignment vertical="center"/>
      <protection locked="0"/>
    </xf>
    <xf numFmtId="0" fontId="21" fillId="0" borderId="96" xfId="4" applyFont="1" applyBorder="1" applyAlignment="1">
      <alignment horizontal="left" vertical="center" wrapText="1"/>
    </xf>
    <xf numFmtId="0" fontId="21" fillId="0" borderId="99" xfId="4" quotePrefix="1" applyFont="1" applyBorder="1" applyAlignment="1">
      <alignment horizontal="left" vertical="center" wrapText="1"/>
    </xf>
    <xf numFmtId="0" fontId="21" fillId="0" borderId="281" xfId="4" applyFont="1" applyBorder="1" applyAlignment="1">
      <alignment horizontal="left" vertical="center" wrapText="1"/>
    </xf>
    <xf numFmtId="167" fontId="21" fillId="11" borderId="128" xfId="10" applyFont="1" applyBorder="1">
      <alignment horizontal="left" vertical="top" wrapText="1"/>
    </xf>
    <xf numFmtId="167" fontId="21" fillId="11" borderId="0" xfId="10" applyFont="1" applyBorder="1">
      <alignment horizontal="left" vertical="top" wrapText="1"/>
    </xf>
    <xf numFmtId="167" fontId="21" fillId="11" borderId="20" xfId="10" applyFont="1" applyBorder="1">
      <alignment horizontal="left" vertical="top" wrapText="1"/>
    </xf>
    <xf numFmtId="0" fontId="13" fillId="0" borderId="66" xfId="0" applyFont="1" applyBorder="1" applyAlignment="1" applyProtection="1">
      <alignment horizontal="left" vertical="top" wrapText="1"/>
    </xf>
    <xf numFmtId="0" fontId="0" fillId="0" borderId="12" xfId="0" applyFont="1" applyBorder="1"/>
    <xf numFmtId="167" fontId="23" fillId="0" borderId="0" xfId="0" applyNumberFormat="1" applyFont="1" applyBorder="1" applyAlignment="1">
      <alignment horizontal="center" vertical="top"/>
    </xf>
    <xf numFmtId="0" fontId="23" fillId="32" borderId="278" xfId="22" applyBorder="1" applyAlignment="1" applyProtection="1">
      <alignment horizontal="left" vertical="top" wrapText="1"/>
      <protection locked="0"/>
    </xf>
    <xf numFmtId="0" fontId="23" fillId="32" borderId="0" xfId="22" applyBorder="1" applyAlignment="1">
      <alignment horizontal="left" vertical="top" wrapText="1"/>
      <protection locked="0"/>
    </xf>
    <xf numFmtId="0" fontId="21" fillId="0" borderId="34" xfId="4" applyFont="1" applyBorder="1" applyAlignment="1" applyProtection="1">
      <alignment horizontal="left" vertical="center" wrapText="1"/>
    </xf>
    <xf numFmtId="0" fontId="21" fillId="0" borderId="115" xfId="4" applyFont="1" applyBorder="1" applyAlignment="1" applyProtection="1">
      <alignment horizontal="left" vertical="center" wrapText="1"/>
    </xf>
    <xf numFmtId="0" fontId="15" fillId="0" borderId="116" xfId="4" applyNumberFormat="1" applyFont="1" applyBorder="1" applyAlignment="1" applyProtection="1">
      <alignment horizontal="center" vertical="center" wrapText="1"/>
      <protection locked="0"/>
    </xf>
    <xf numFmtId="0" fontId="15" fillId="0" borderId="649" xfId="4" applyNumberFormat="1" applyFont="1" applyBorder="1" applyAlignment="1" applyProtection="1">
      <alignment horizontal="center" vertical="center" wrapText="1"/>
      <protection locked="0"/>
    </xf>
    <xf numFmtId="0" fontId="21" fillId="0" borderId="66" xfId="4" applyFont="1" applyBorder="1"/>
    <xf numFmtId="1" fontId="26" fillId="10" borderId="50" xfId="9" applyBorder="1" applyProtection="1">
      <alignment horizontal="center" vertical="center"/>
      <protection locked="0"/>
    </xf>
    <xf numFmtId="0" fontId="15" fillId="0" borderId="116" xfId="4" applyFont="1" applyBorder="1" applyAlignment="1" applyProtection="1">
      <alignment horizontal="center" vertical="center" wrapText="1"/>
      <protection locked="0"/>
    </xf>
    <xf numFmtId="0" fontId="17" fillId="0" borderId="0" xfId="5" applyBorder="1" applyAlignment="1" applyProtection="1">
      <alignment horizontal="left" vertical="top"/>
      <protection locked="0"/>
    </xf>
    <xf numFmtId="0" fontId="21" fillId="0" borderId="324" xfId="4" applyNumberFormat="1" applyFont="1" applyBorder="1" applyAlignment="1">
      <alignment vertical="top" wrapText="1"/>
    </xf>
    <xf numFmtId="0" fontId="21" fillId="0" borderId="324" xfId="4" quotePrefix="1" applyNumberFormat="1" applyFont="1" applyBorder="1" applyAlignment="1">
      <alignment vertical="top" wrapText="1"/>
    </xf>
    <xf numFmtId="0" fontId="21" fillId="0" borderId="137" xfId="4" applyNumberFormat="1" applyFont="1" applyBorder="1" applyAlignment="1">
      <alignment vertical="top" wrapText="1"/>
    </xf>
    <xf numFmtId="0" fontId="23" fillId="32" borderId="26" xfId="22" applyBorder="1" applyAlignment="1">
      <alignment horizontal="left" vertical="top" wrapText="1"/>
      <protection locked="0"/>
    </xf>
    <xf numFmtId="0" fontId="21" fillId="0" borderId="66" xfId="4" quotePrefix="1" applyNumberFormat="1" applyFont="1" applyBorder="1" applyAlignment="1">
      <alignment horizontal="left" vertical="top" wrapText="1"/>
    </xf>
    <xf numFmtId="0" fontId="8" fillId="17" borderId="294" xfId="4" applyNumberFormat="1" applyFont="1" applyFill="1" applyBorder="1" applyAlignment="1">
      <alignment horizontal="center" vertical="center" wrapText="1"/>
    </xf>
    <xf numFmtId="0" fontId="8" fillId="17" borderId="292" xfId="4" applyNumberFormat="1" applyFont="1" applyFill="1" applyBorder="1" applyAlignment="1">
      <alignment horizontal="center" vertical="center" wrapText="1"/>
    </xf>
    <xf numFmtId="0" fontId="21" fillId="0" borderId="671" xfId="4" applyNumberFormat="1" applyFont="1" applyBorder="1" applyAlignment="1">
      <alignment horizontal="center" vertical="center" wrapText="1"/>
    </xf>
    <xf numFmtId="0" fontId="21" fillId="0" borderId="612" xfId="4" applyNumberFormat="1" applyFont="1" applyBorder="1" applyAlignment="1">
      <alignment horizontal="center" vertical="center" wrapText="1"/>
    </xf>
    <xf numFmtId="0" fontId="21" fillId="0" borderId="679" xfId="4" applyNumberFormat="1" applyFont="1" applyBorder="1" applyAlignment="1">
      <alignment horizontal="center" vertical="center" wrapText="1"/>
    </xf>
    <xf numFmtId="0" fontId="21" fillId="0" borderId="680" xfId="4" applyNumberFormat="1" applyFont="1" applyBorder="1" applyAlignment="1">
      <alignment horizontal="center" vertical="center" wrapText="1"/>
    </xf>
    <xf numFmtId="0" fontId="22" fillId="0" borderId="32" xfId="4" applyNumberFormat="1" applyFont="1" applyBorder="1" applyAlignment="1">
      <alignment horizontal="center" vertical="center" wrapText="1"/>
    </xf>
    <xf numFmtId="0" fontId="23" fillId="32" borderId="682" xfId="22" applyBorder="1" applyAlignment="1" applyProtection="1">
      <alignment horizontal="left" vertical="top" wrapText="1"/>
      <protection locked="0"/>
    </xf>
    <xf numFmtId="0" fontId="23" fillId="32" borderId="683" xfId="22" applyBorder="1" applyAlignment="1" applyProtection="1">
      <alignment horizontal="left" vertical="top" wrapText="1"/>
      <protection locked="0"/>
    </xf>
    <xf numFmtId="0" fontId="22" fillId="0" borderId="295" xfId="4" applyNumberFormat="1" applyFont="1" applyBorder="1" applyAlignment="1">
      <alignment horizontal="center" vertical="center" wrapText="1"/>
    </xf>
    <xf numFmtId="0" fontId="22" fillId="0" borderId="296" xfId="4" applyNumberFormat="1" applyFont="1" applyBorder="1" applyAlignment="1">
      <alignment horizontal="center" vertical="center" wrapText="1"/>
    </xf>
    <xf numFmtId="0" fontId="22" fillId="0" borderId="297" xfId="4" applyNumberFormat="1" applyFont="1" applyBorder="1" applyAlignment="1">
      <alignment horizontal="center" vertical="center" wrapText="1"/>
    </xf>
    <xf numFmtId="167" fontId="27" fillId="11" borderId="195" xfId="10" applyBorder="1">
      <alignment horizontal="left" vertical="top" wrapText="1"/>
    </xf>
    <xf numFmtId="49" fontId="0" fillId="0" borderId="116" xfId="0" applyNumberFormat="1" applyBorder="1" applyAlignment="1" applyProtection="1">
      <alignment horizontal="center" vertical="center"/>
      <protection locked="0"/>
    </xf>
    <xf numFmtId="0" fontId="21" fillId="0" borderId="66" xfId="4" applyNumberFormat="1" applyFont="1" applyBorder="1" applyAlignment="1" applyProtection="1">
      <alignment horizontal="left" vertical="top" wrapText="1"/>
    </xf>
    <xf numFmtId="0" fontId="21" fillId="0" borderId="597" xfId="4" applyNumberFormat="1" applyFont="1" applyBorder="1" applyAlignment="1">
      <alignment horizontal="left" vertical="top" wrapText="1"/>
    </xf>
    <xf numFmtId="0" fontId="21" fillId="0" borderId="686" xfId="4" applyNumberFormat="1" applyFont="1" applyBorder="1" applyAlignment="1">
      <alignment horizontal="left" vertical="top" wrapText="1"/>
    </xf>
    <xf numFmtId="167" fontId="27" fillId="11" borderId="21" xfId="10" applyBorder="1" applyProtection="1">
      <alignment horizontal="left" vertical="top" wrapText="1"/>
    </xf>
    <xf numFmtId="0" fontId="23" fillId="32" borderId="17" xfId="22" applyBorder="1">
      <alignment horizontal="left" vertical="top" wrapText="1"/>
      <protection locked="0"/>
    </xf>
    <xf numFmtId="0" fontId="23" fillId="32" borderId="25" xfId="22" applyBorder="1">
      <alignment horizontal="left" vertical="top" wrapText="1"/>
      <protection locked="0"/>
    </xf>
    <xf numFmtId="0" fontId="23" fillId="32" borderId="26" xfId="22" applyBorder="1">
      <alignment horizontal="left" vertical="top" wrapText="1"/>
      <protection locked="0"/>
    </xf>
    <xf numFmtId="0" fontId="23" fillId="0" borderId="643" xfId="0" applyFont="1" applyBorder="1" applyAlignment="1" applyProtection="1">
      <alignment vertical="top"/>
    </xf>
    <xf numFmtId="0" fontId="21" fillId="0" borderId="165" xfId="4" applyNumberFormat="1" applyFont="1" applyBorder="1" applyAlignment="1">
      <alignment vertical="top" wrapText="1"/>
    </xf>
    <xf numFmtId="0" fontId="21" fillId="0" borderId="165" xfId="4" quotePrefix="1" applyNumberFormat="1" applyFont="1" applyBorder="1" applyAlignment="1">
      <alignment vertical="top" wrapText="1"/>
    </xf>
    <xf numFmtId="49" fontId="14" fillId="0" borderId="0" xfId="4" applyNumberFormat="1" applyFont="1" applyBorder="1" applyAlignment="1">
      <alignment horizontal="center" vertical="center" wrapText="1"/>
    </xf>
    <xf numFmtId="167" fontId="27" fillId="11" borderId="42" xfId="10" applyBorder="1">
      <alignment horizontal="left" vertical="top" wrapText="1"/>
    </xf>
    <xf numFmtId="167" fontId="27" fillId="11" borderId="43" xfId="10" applyBorder="1">
      <alignment horizontal="left" vertical="top" wrapText="1"/>
    </xf>
    <xf numFmtId="167" fontId="27" fillId="11" borderId="44" xfId="10" applyBorder="1">
      <alignment horizontal="left" vertical="top" wrapText="1"/>
    </xf>
    <xf numFmtId="0" fontId="15" fillId="0" borderId="0" xfId="4" quotePrefix="1" applyNumberFormat="1" applyFont="1" applyBorder="1" applyAlignment="1">
      <alignment vertical="top" wrapText="1"/>
    </xf>
    <xf numFmtId="0" fontId="23" fillId="32" borderId="489" xfId="22" applyBorder="1" applyAlignment="1" applyProtection="1">
      <alignment horizontal="left" vertical="top" wrapText="1"/>
      <protection locked="0"/>
    </xf>
    <xf numFmtId="0" fontId="23" fillId="32" borderId="490" xfId="22" applyBorder="1" applyAlignment="1" applyProtection="1">
      <alignment horizontal="left" vertical="top" wrapText="1"/>
      <protection locked="0"/>
    </xf>
    <xf numFmtId="0" fontId="21" fillId="0" borderId="0" xfId="4" applyNumberFormat="1" applyFont="1" applyBorder="1" applyAlignment="1" applyProtection="1">
      <alignment vertical="top" wrapText="1"/>
    </xf>
    <xf numFmtId="0" fontId="21" fillId="0" borderId="60" xfId="4" applyNumberFormat="1" applyFont="1" applyBorder="1" applyAlignment="1">
      <alignment horizontal="left" wrapText="1"/>
    </xf>
    <xf numFmtId="0" fontId="21" fillId="0" borderId="0" xfId="4" applyNumberFormat="1" applyFont="1" applyBorder="1" applyAlignment="1">
      <alignment horizontal="left" wrapText="1"/>
    </xf>
    <xf numFmtId="0" fontId="30" fillId="3" borderId="0"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131" fillId="0" borderId="34" xfId="0" applyFont="1" applyBorder="1" applyAlignment="1">
      <alignment wrapText="1"/>
    </xf>
    <xf numFmtId="0" fontId="0" fillId="0" borderId="34" xfId="0" applyBorder="1" applyAlignment="1"/>
    <xf numFmtId="0" fontId="23" fillId="0" borderId="568" xfId="0" applyFont="1" applyBorder="1" applyAlignment="1">
      <alignment vertical="top" wrapText="1"/>
    </xf>
    <xf numFmtId="0" fontId="21" fillId="0" borderId="34" xfId="4" quotePrefix="1" applyNumberFormat="1" applyFont="1" applyBorder="1" applyAlignment="1" applyProtection="1">
      <alignment horizontal="left" vertical="top"/>
    </xf>
    <xf numFmtId="0" fontId="21" fillId="0" borderId="32" xfId="4" quotePrefix="1" applyNumberFormat="1" applyFont="1" applyBorder="1" applyAlignment="1" applyProtection="1">
      <alignment horizontal="left" vertical="top"/>
    </xf>
    <xf numFmtId="0" fontId="0" fillId="0" borderId="119" xfId="0" applyBorder="1" applyProtection="1"/>
    <xf numFmtId="0" fontId="0" fillId="0" borderId="60" xfId="0" applyBorder="1" applyProtection="1"/>
    <xf numFmtId="0" fontId="0" fillId="0" borderId="120" xfId="0" applyBorder="1" applyProtection="1"/>
    <xf numFmtId="49" fontId="14" fillId="0" borderId="24" xfId="4" applyNumberFormat="1" applyFont="1" applyBorder="1" applyAlignment="1">
      <alignment horizontal="center" vertical="top" wrapText="1"/>
    </xf>
    <xf numFmtId="0" fontId="21" fillId="0" borderId="647" xfId="4" applyNumberFormat="1" applyFont="1" applyBorder="1" applyAlignment="1">
      <alignment horizontal="left" vertical="top" wrapText="1"/>
    </xf>
    <xf numFmtId="0" fontId="15" fillId="0" borderId="66" xfId="4" applyNumberFormat="1" applyFont="1" applyBorder="1" applyAlignment="1">
      <alignment horizontal="left" vertical="top" wrapText="1"/>
    </xf>
    <xf numFmtId="49" fontId="81" fillId="0" borderId="0" xfId="7" applyFont="1" applyFill="1" applyBorder="1" applyAlignment="1">
      <alignment horizontal="left" vertical="center" wrapText="1"/>
    </xf>
    <xf numFmtId="0" fontId="23" fillId="0" borderId="0" xfId="0" applyFont="1" applyAlignment="1">
      <alignment horizontal="left" vertical="center" wrapText="1"/>
    </xf>
    <xf numFmtId="0" fontId="23" fillId="0" borderId="311" xfId="0" applyFont="1" applyFill="1" applyBorder="1" applyAlignment="1" applyProtection="1">
      <alignment vertical="top"/>
    </xf>
    <xf numFmtId="0" fontId="23" fillId="0" borderId="277" xfId="0" applyFont="1" applyFill="1" applyBorder="1" applyAlignment="1" applyProtection="1">
      <alignment vertical="top"/>
    </xf>
    <xf numFmtId="0" fontId="23" fillId="32" borderId="419" xfId="22" applyBorder="1">
      <alignment horizontal="left" vertical="top" wrapText="1"/>
      <protection locked="0"/>
    </xf>
    <xf numFmtId="0" fontId="23" fillId="32" borderId="277" xfId="22" applyBorder="1">
      <alignment horizontal="left" vertical="top" wrapText="1"/>
      <protection locked="0"/>
    </xf>
    <xf numFmtId="0" fontId="23" fillId="0" borderId="253" xfId="0" applyFont="1" applyFill="1" applyBorder="1" applyAlignment="1" applyProtection="1">
      <alignment vertical="top"/>
    </xf>
    <xf numFmtId="0" fontId="23" fillId="0" borderId="66" xfId="0" applyFont="1" applyFill="1" applyBorder="1" applyAlignment="1" applyProtection="1">
      <alignment vertical="top"/>
    </xf>
    <xf numFmtId="0" fontId="23" fillId="32" borderId="420" xfId="22" applyBorder="1">
      <alignment horizontal="left" vertical="top" wrapText="1"/>
      <protection locked="0"/>
    </xf>
    <xf numFmtId="0" fontId="23" fillId="32" borderId="421" xfId="22" applyBorder="1">
      <alignment horizontal="left" vertical="top" wrapText="1"/>
      <protection locked="0"/>
    </xf>
    <xf numFmtId="0" fontId="23" fillId="32" borderId="19" xfId="22" applyBorder="1">
      <alignment horizontal="left" vertical="top" wrapText="1"/>
      <protection locked="0"/>
    </xf>
    <xf numFmtId="0" fontId="23" fillId="32" borderId="18" xfId="22" applyBorder="1">
      <alignment horizontal="left" vertical="top" wrapText="1"/>
      <protection locked="0"/>
    </xf>
    <xf numFmtId="0" fontId="23" fillId="0" borderId="253" xfId="0" applyFont="1" applyFill="1" applyBorder="1" applyAlignment="1" applyProtection="1">
      <alignment vertical="top" wrapText="1"/>
    </xf>
    <xf numFmtId="0" fontId="23" fillId="32" borderId="278" xfId="22" applyBorder="1">
      <alignment horizontal="left" vertical="top" wrapText="1"/>
      <protection locked="0"/>
    </xf>
    <xf numFmtId="0" fontId="23" fillId="32" borderId="66" xfId="22" applyBorder="1">
      <alignment horizontal="left" vertical="top" wrapText="1"/>
      <protection locked="0"/>
    </xf>
    <xf numFmtId="49" fontId="20" fillId="43" borderId="744" xfId="7" applyBorder="1">
      <alignment horizontal="left" vertical="center" wrapText="1"/>
    </xf>
    <xf numFmtId="0" fontId="21" fillId="0" borderId="0" xfId="0" applyFont="1" applyBorder="1" applyAlignment="1" applyProtection="1">
      <alignment vertical="top" wrapText="1"/>
    </xf>
    <xf numFmtId="0" fontId="21" fillId="0" borderId="66" xfId="0" applyFont="1" applyBorder="1" applyAlignment="1" applyProtection="1">
      <alignment vertical="top" wrapText="1"/>
    </xf>
    <xf numFmtId="0" fontId="21" fillId="0" borderId="26" xfId="0" applyFont="1" applyBorder="1" applyAlignment="1" applyProtection="1">
      <alignment vertical="top" wrapText="1"/>
    </xf>
    <xf numFmtId="0" fontId="21" fillId="0" borderId="418" xfId="0" applyFont="1" applyBorder="1" applyAlignment="1" applyProtection="1">
      <alignment horizontal="left" vertical="top" wrapText="1"/>
    </xf>
    <xf numFmtId="0" fontId="92" fillId="0" borderId="418" xfId="0" applyFont="1" applyBorder="1" applyAlignment="1" applyProtection="1">
      <alignment horizontal="left" vertical="top" wrapText="1"/>
    </xf>
    <xf numFmtId="0" fontId="21" fillId="0" borderId="77" xfId="0" applyFont="1" applyBorder="1" applyAlignment="1" applyProtection="1">
      <alignment horizontal="left" vertical="top" wrapText="1"/>
    </xf>
    <xf numFmtId="0" fontId="21" fillId="0" borderId="78" xfId="0" applyFont="1" applyBorder="1" applyAlignment="1" applyProtection="1">
      <alignment horizontal="left" vertical="top" wrapText="1"/>
    </xf>
    <xf numFmtId="0" fontId="21" fillId="0" borderId="389" xfId="0" applyFont="1" applyBorder="1" applyAlignment="1" applyProtection="1">
      <alignment horizontal="left" vertical="top" wrapText="1"/>
    </xf>
    <xf numFmtId="0" fontId="23" fillId="0" borderId="87" xfId="0" applyFont="1" applyBorder="1" applyAlignment="1" applyProtection="1">
      <alignment horizontal="left" vertical="top"/>
    </xf>
    <xf numFmtId="0" fontId="21" fillId="0" borderId="79" xfId="0" applyFont="1" applyBorder="1" applyAlignment="1" applyProtection="1">
      <alignment horizontal="left" vertical="top" wrapText="1"/>
    </xf>
    <xf numFmtId="0" fontId="21" fillId="0" borderId="80" xfId="0" applyFont="1" applyBorder="1" applyAlignment="1" applyProtection="1">
      <alignment horizontal="left" vertical="top" wrapText="1"/>
    </xf>
    <xf numFmtId="0" fontId="21" fillId="0" borderId="81" xfId="0" applyFont="1" applyBorder="1" applyAlignment="1" applyProtection="1">
      <alignment horizontal="left" vertical="top" wrapText="1"/>
    </xf>
    <xf numFmtId="0" fontId="23" fillId="0" borderId="26" xfId="0" applyFont="1" applyBorder="1" applyAlignment="1" applyProtection="1">
      <alignment horizontal="left" vertical="top"/>
    </xf>
    <xf numFmtId="0" fontId="23" fillId="0" borderId="88" xfId="0" applyFont="1" applyBorder="1" applyAlignment="1" applyProtection="1">
      <alignment horizontal="left" vertical="top"/>
    </xf>
    <xf numFmtId="167" fontId="21" fillId="0" borderId="26" xfId="12" applyNumberFormat="1" applyFill="1" applyBorder="1" applyProtection="1">
      <alignment horizontal="left" vertical="top" wrapText="1"/>
    </xf>
    <xf numFmtId="0" fontId="0" fillId="0" borderId="13" xfId="0" quotePrefix="1" applyBorder="1" applyAlignment="1" applyProtection="1">
      <alignment horizontal="center" vertical="center" wrapText="1"/>
      <protection locked="0"/>
    </xf>
    <xf numFmtId="0" fontId="0" fillId="0" borderId="138" xfId="0" quotePrefix="1" applyBorder="1" applyAlignment="1" applyProtection="1">
      <alignment horizontal="center" vertical="center" wrapText="1"/>
      <protection locked="0"/>
    </xf>
    <xf numFmtId="0" fontId="23" fillId="0" borderId="12" xfId="0" applyFont="1" applyFill="1" applyBorder="1" applyAlignment="1" applyProtection="1">
      <alignment vertical="top"/>
    </xf>
    <xf numFmtId="0" fontId="23" fillId="0" borderId="0" xfId="0" applyFont="1" applyFill="1" applyBorder="1" applyAlignment="1" applyProtection="1">
      <alignment vertical="top"/>
    </xf>
    <xf numFmtId="167" fontId="23" fillId="0" borderId="154" xfId="0" applyNumberFormat="1" applyFont="1" applyFill="1" applyBorder="1" applyAlignment="1" applyProtection="1">
      <alignment vertical="top"/>
    </xf>
    <xf numFmtId="167" fontId="23" fillId="0" borderId="18" xfId="0" applyNumberFormat="1" applyFont="1" applyFill="1" applyBorder="1" applyAlignment="1" applyProtection="1">
      <alignment vertical="top"/>
    </xf>
    <xf numFmtId="0" fontId="21" fillId="0" borderId="18" xfId="0" applyFont="1" applyBorder="1" applyAlignment="1" applyProtection="1">
      <alignment vertical="top" wrapText="1"/>
    </xf>
    <xf numFmtId="0" fontId="22" fillId="0" borderId="0" xfId="0" applyFont="1" applyBorder="1" applyAlignment="1" applyProtection="1">
      <alignment vertical="top" wrapText="1"/>
    </xf>
    <xf numFmtId="0" fontId="23" fillId="32" borderId="0" xfId="22" applyProtection="1">
      <alignment horizontal="left" vertical="top" wrapText="1"/>
      <protection locked="0"/>
    </xf>
    <xf numFmtId="0" fontId="39" fillId="0" borderId="18" xfId="0" applyFont="1" applyBorder="1" applyProtection="1"/>
    <xf numFmtId="0" fontId="23" fillId="32" borderId="476" xfId="22" applyBorder="1" applyProtection="1">
      <alignment horizontal="left" vertical="top" wrapText="1"/>
      <protection locked="0"/>
    </xf>
    <xf numFmtId="0" fontId="21" fillId="0" borderId="74" xfId="0" applyFont="1" applyBorder="1" applyAlignment="1" applyProtection="1">
      <alignment horizontal="left" vertical="top" wrapText="1"/>
    </xf>
    <xf numFmtId="0" fontId="21" fillId="0" borderId="75" xfId="0" applyFont="1" applyBorder="1" applyAlignment="1" applyProtection="1">
      <alignment horizontal="left" vertical="top" wrapText="1"/>
    </xf>
    <xf numFmtId="0" fontId="21" fillId="0" borderId="76" xfId="0" applyFont="1" applyBorder="1" applyAlignment="1" applyProtection="1">
      <alignment horizontal="left" vertical="top" wrapText="1"/>
    </xf>
    <xf numFmtId="0" fontId="21" fillId="0" borderId="475" xfId="0" applyFont="1" applyBorder="1" applyAlignment="1" applyProtection="1">
      <alignment vertical="top" wrapText="1"/>
    </xf>
    <xf numFmtId="0" fontId="22" fillId="0" borderId="0" xfId="4" applyFont="1" applyBorder="1" applyAlignment="1">
      <alignment horizontal="right" wrapText="1"/>
    </xf>
    <xf numFmtId="0" fontId="22" fillId="0" borderId="24" xfId="4" applyFont="1" applyBorder="1" applyAlignment="1">
      <alignment horizontal="right" wrapText="1"/>
    </xf>
    <xf numFmtId="0" fontId="0" fillId="0" borderId="8" xfId="0" applyBorder="1" applyProtection="1"/>
    <xf numFmtId="0" fontId="23" fillId="0" borderId="173" xfId="0" applyFont="1" applyBorder="1" applyAlignment="1" applyProtection="1">
      <alignment vertical="top"/>
    </xf>
    <xf numFmtId="0" fontId="23" fillId="0" borderId="27" xfId="0" applyFont="1" applyBorder="1" applyAlignment="1" applyProtection="1">
      <alignment vertical="top"/>
    </xf>
    <xf numFmtId="0" fontId="23" fillId="32" borderId="29" xfId="22" applyBorder="1">
      <alignment horizontal="left" vertical="top" wrapText="1"/>
      <protection locked="0"/>
    </xf>
    <xf numFmtId="0" fontId="23" fillId="32" borderId="27" xfId="22" applyBorder="1">
      <alignment horizontal="left" vertical="top" wrapText="1"/>
      <protection locked="0"/>
    </xf>
    <xf numFmtId="167" fontId="21" fillId="0" borderId="0" xfId="12" applyNumberFormat="1" applyFill="1" applyBorder="1" applyProtection="1">
      <alignment horizontal="left" vertical="top" wrapText="1"/>
    </xf>
    <xf numFmtId="49" fontId="55" fillId="0" borderId="0" xfId="16" applyBorder="1" applyAlignment="1" applyProtection="1">
      <alignment horizontal="center" vertical="center" wrapText="1"/>
    </xf>
    <xf numFmtId="49" fontId="55" fillId="0" borderId="26" xfId="16" applyBorder="1" applyAlignment="1" applyProtection="1">
      <alignment horizontal="center" vertical="center" wrapText="1"/>
    </xf>
    <xf numFmtId="1" fontId="26" fillId="10" borderId="16" xfId="9" applyBorder="1" applyAlignment="1" applyProtection="1">
      <alignment horizontal="center" vertical="center" wrapText="1"/>
      <protection locked="0"/>
    </xf>
    <xf numFmtId="1" fontId="26" fillId="10" borderId="40" xfId="9" applyBorder="1" applyAlignment="1" applyProtection="1">
      <alignment horizontal="center" vertical="center" wrapText="1"/>
      <protection locked="0"/>
    </xf>
    <xf numFmtId="167" fontId="24" fillId="0" borderId="18" xfId="12" applyNumberFormat="1" applyFont="1" applyFill="1" applyBorder="1" applyProtection="1">
      <alignment horizontal="left" vertical="top" wrapText="1"/>
    </xf>
    <xf numFmtId="0" fontId="21" fillId="0" borderId="0" xfId="0" applyFont="1" applyBorder="1" applyAlignment="1" applyProtection="1">
      <alignment horizontal="left" vertical="top" wrapText="1"/>
    </xf>
    <xf numFmtId="167" fontId="21" fillId="0" borderId="18" xfId="12" applyNumberFormat="1" applyFill="1" applyBorder="1" applyProtection="1">
      <alignment horizontal="left" vertical="top" wrapText="1"/>
    </xf>
    <xf numFmtId="167" fontId="21" fillId="0" borderId="86" xfId="12" applyNumberFormat="1" applyFill="1" applyBorder="1" applyProtection="1">
      <alignment horizontal="left" vertical="top" wrapText="1"/>
    </xf>
    <xf numFmtId="49" fontId="78" fillId="0" borderId="0" xfId="7" applyFont="1" applyFill="1" applyBorder="1" applyAlignment="1">
      <alignment horizontal="right" vertical="center" wrapText="1"/>
    </xf>
    <xf numFmtId="0" fontId="0" fillId="0" borderId="0" xfId="0" applyFont="1" applyAlignment="1">
      <alignment horizontal="right" vertical="center" wrapText="1"/>
    </xf>
    <xf numFmtId="0" fontId="22" fillId="0" borderId="34" xfId="4" applyFont="1" applyBorder="1" applyProtection="1"/>
    <xf numFmtId="49" fontId="20" fillId="0" borderId="0" xfId="7" applyFill="1" applyBorder="1" applyAlignment="1">
      <alignment horizontal="right" vertical="center" wrapText="1"/>
    </xf>
    <xf numFmtId="0" fontId="0" fillId="0" borderId="0" xfId="0" applyAlignment="1">
      <alignment horizontal="right" vertical="center" wrapText="1"/>
    </xf>
    <xf numFmtId="49" fontId="20" fillId="0" borderId="0" xfId="7" applyFill="1" applyBorder="1" applyAlignment="1">
      <alignment horizontal="center" vertical="center" wrapText="1"/>
    </xf>
    <xf numFmtId="0" fontId="0" fillId="0" borderId="0" xfId="0" applyAlignment="1">
      <alignment horizontal="center" vertical="center" wrapText="1"/>
    </xf>
    <xf numFmtId="0" fontId="23" fillId="0" borderId="154" xfId="0" applyFont="1" applyFill="1" applyBorder="1" applyAlignment="1" applyProtection="1">
      <alignment vertical="top" wrapText="1"/>
    </xf>
    <xf numFmtId="0" fontId="23" fillId="0" borderId="18" xfId="0" applyFont="1" applyFill="1" applyBorder="1" applyAlignment="1" applyProtection="1">
      <alignment vertical="top"/>
    </xf>
    <xf numFmtId="0" fontId="23" fillId="0" borderId="0" xfId="0" applyFont="1" applyBorder="1" applyAlignment="1" applyProtection="1">
      <alignment horizontal="left" vertical="center" wrapText="1"/>
    </xf>
    <xf numFmtId="0" fontId="23" fillId="0" borderId="87" xfId="0" applyFont="1" applyBorder="1" applyAlignment="1" applyProtection="1">
      <alignment horizontal="left" vertical="center" wrapText="1"/>
    </xf>
    <xf numFmtId="0" fontId="23" fillId="0" borderId="153" xfId="0" applyFont="1" applyBorder="1" applyAlignment="1" applyProtection="1">
      <alignment vertical="top"/>
    </xf>
    <xf numFmtId="0" fontId="23" fillId="0" borderId="26" xfId="0" applyFont="1" applyBorder="1" applyAlignment="1" applyProtection="1">
      <alignment vertical="top"/>
    </xf>
    <xf numFmtId="0" fontId="23" fillId="0" borderId="18" xfId="0" applyFont="1" applyBorder="1" applyAlignment="1" applyProtection="1">
      <alignment horizontal="left" vertical="top"/>
    </xf>
    <xf numFmtId="0" fontId="23" fillId="0" borderId="86" xfId="0" applyFont="1" applyBorder="1" applyAlignment="1" applyProtection="1">
      <alignment horizontal="left" vertical="top"/>
    </xf>
    <xf numFmtId="0" fontId="23" fillId="0" borderId="60" xfId="0" applyFont="1" applyBorder="1" applyAlignment="1">
      <alignment horizontal="left" vertical="top" wrapText="1"/>
    </xf>
    <xf numFmtId="0" fontId="15" fillId="3" borderId="0" xfId="4" applyFont="1" applyFill="1" applyBorder="1" applyAlignment="1" applyProtection="1">
      <alignment horizontal="center" vertical="center" wrapText="1"/>
    </xf>
    <xf numFmtId="0" fontId="15" fillId="3" borderId="8" xfId="4" applyFont="1" applyFill="1" applyBorder="1" applyAlignment="1" applyProtection="1">
      <alignment horizontal="center" vertical="center" wrapText="1"/>
    </xf>
    <xf numFmtId="0" fontId="18" fillId="0" borderId="691" xfId="5" applyFont="1" applyBorder="1" applyAlignment="1" applyProtection="1">
      <alignment horizontal="left" vertical="center" wrapText="1"/>
    </xf>
    <xf numFmtId="0" fontId="19" fillId="8" borderId="133" xfId="6" applyBorder="1" applyProtection="1">
      <alignment horizontal="center" vertical="center" wrapText="1"/>
    </xf>
    <xf numFmtId="0" fontId="19" fillId="8" borderId="134" xfId="6" applyBorder="1" applyProtection="1">
      <alignment horizontal="center" vertical="center" wrapText="1"/>
    </xf>
    <xf numFmtId="0" fontId="5" fillId="0" borderId="1" xfId="4" applyFont="1" applyBorder="1" applyAlignment="1" applyProtection="1">
      <alignment horizontal="center" vertical="center"/>
    </xf>
    <xf numFmtId="0" fontId="13" fillId="0" borderId="603" xfId="0" applyFont="1" applyBorder="1" applyAlignment="1" applyProtection="1">
      <alignment horizontal="right"/>
    </xf>
    <xf numFmtId="0" fontId="13" fillId="0" borderId="647" xfId="0" applyFont="1" applyBorder="1" applyAlignment="1" applyProtection="1">
      <alignment horizontal="right"/>
    </xf>
    <xf numFmtId="1" fontId="59" fillId="0" borderId="647" xfId="0" applyNumberFormat="1" applyFont="1" applyBorder="1" applyAlignment="1" applyProtection="1">
      <alignment horizontal="left"/>
    </xf>
    <xf numFmtId="1" fontId="59" fillId="0" borderId="604" xfId="0" applyNumberFormat="1" applyFont="1" applyBorder="1" applyAlignment="1" applyProtection="1">
      <alignment horizontal="left"/>
    </xf>
    <xf numFmtId="0" fontId="19" fillId="8" borderId="179" xfId="6" applyBorder="1" applyAlignment="1" applyProtection="1">
      <alignment horizontal="center" vertical="center" wrapText="1"/>
    </xf>
    <xf numFmtId="0" fontId="19" fillId="8" borderId="178" xfId="6" applyBorder="1" applyAlignment="1" applyProtection="1">
      <alignment horizontal="center" vertical="center" wrapText="1"/>
    </xf>
    <xf numFmtId="0" fontId="19" fillId="8" borderId="134" xfId="6" applyBorder="1" applyAlignment="1" applyProtection="1">
      <alignment horizontal="center" vertical="center" wrapText="1"/>
    </xf>
    <xf numFmtId="0" fontId="6" fillId="43" borderId="0" xfId="2" applyFont="1" applyBorder="1" applyAlignment="1">
      <alignment horizontal="left" vertical="center" wrapText="1"/>
    </xf>
    <xf numFmtId="0" fontId="16" fillId="3" borderId="0" xfId="4" applyFont="1" applyFill="1" applyBorder="1" applyAlignment="1" applyProtection="1">
      <alignment horizontal="left" vertical="center"/>
    </xf>
    <xf numFmtId="0" fontId="16" fillId="3" borderId="2" xfId="4" applyFont="1" applyFill="1" applyBorder="1" applyAlignment="1" applyProtection="1">
      <alignment horizontal="left" vertical="center"/>
    </xf>
    <xf numFmtId="0" fontId="21" fillId="0" borderId="0" xfId="4" applyFont="1" applyAlignment="1" applyProtection="1">
      <alignment horizontal="center"/>
    </xf>
    <xf numFmtId="0" fontId="1" fillId="0" borderId="34" xfId="0" applyFont="1" applyBorder="1" applyProtection="1"/>
    <xf numFmtId="0" fontId="1" fillId="0" borderId="115" xfId="0" applyFont="1" applyBorder="1" applyProtection="1"/>
    <xf numFmtId="0" fontId="57" fillId="0" borderId="18" xfId="0" applyFont="1" applyBorder="1" applyAlignment="1" applyProtection="1">
      <alignment vertical="top"/>
    </xf>
    <xf numFmtId="0" fontId="24" fillId="0" borderId="0" xfId="17" applyFont="1" applyFill="1" applyBorder="1" applyAlignment="1" applyProtection="1">
      <alignment horizontal="left" vertical="center" wrapText="1"/>
    </xf>
    <xf numFmtId="0" fontId="24" fillId="0" borderId="0" xfId="17" applyFont="1" applyFill="1" applyBorder="1" applyProtection="1">
      <alignment horizontal="left" vertical="center"/>
    </xf>
    <xf numFmtId="0" fontId="23" fillId="0" borderId="153" xfId="0" applyFont="1" applyFill="1" applyBorder="1" applyAlignment="1" applyProtection="1">
      <alignment vertical="top" wrapText="1"/>
    </xf>
    <xf numFmtId="0" fontId="23" fillId="0" borderId="26" xfId="0" applyFont="1" applyFill="1" applyBorder="1" applyAlignment="1" applyProtection="1">
      <alignment vertical="top"/>
    </xf>
    <xf numFmtId="0" fontId="0" fillId="73" borderId="0" xfId="0" applyFill="1" applyAlignment="1">
      <alignment horizontal="center" vertical="top" wrapText="1"/>
    </xf>
    <xf numFmtId="0" fontId="0" fillId="36" borderId="0" xfId="0" applyFill="1" applyAlignment="1" applyProtection="1">
      <alignment horizontal="right" vertical="top" wrapText="1"/>
      <protection locked="0"/>
    </xf>
    <xf numFmtId="0" fontId="0" fillId="0" borderId="0" xfId="0" applyAlignment="1" applyProtection="1">
      <alignment horizontal="right" vertical="top" wrapText="1"/>
    </xf>
    <xf numFmtId="0" fontId="3" fillId="0" borderId="0" xfId="0" applyFont="1" applyAlignment="1" applyProtection="1">
      <alignment horizontal="center" vertical="top" wrapText="1"/>
    </xf>
    <xf numFmtId="0" fontId="0" fillId="0" borderId="0" xfId="0" applyAlignment="1" applyProtection="1">
      <alignment horizontal="center" vertical="top" wrapText="1"/>
    </xf>
    <xf numFmtId="0" fontId="3" fillId="0" borderId="0" xfId="0" applyFont="1" applyAlignment="1">
      <alignment horizontal="center" vertical="top"/>
    </xf>
    <xf numFmtId="0" fontId="23" fillId="0" borderId="0" xfId="0" applyFont="1" applyAlignment="1" applyProtection="1">
      <alignment horizontal="right" vertical="top" wrapText="1"/>
    </xf>
    <xf numFmtId="0" fontId="2" fillId="8" borderId="134" xfId="6" applyFont="1" applyBorder="1">
      <alignment horizontal="center" vertical="center" wrapText="1"/>
    </xf>
    <xf numFmtId="0" fontId="21" fillId="0" borderId="0" xfId="4" applyNumberFormat="1" applyFont="1" applyFill="1" applyBorder="1" applyAlignment="1">
      <alignment vertical="top" wrapText="1"/>
    </xf>
    <xf numFmtId="0" fontId="2" fillId="8" borderId="179" xfId="6" applyFont="1" applyBorder="1" applyAlignment="1">
      <alignment horizontal="center" vertical="center" wrapText="1"/>
    </xf>
    <xf numFmtId="0" fontId="2" fillId="8" borderId="178" xfId="6" applyFont="1" applyBorder="1" applyAlignment="1">
      <alignment horizontal="center" vertical="center" wrapText="1"/>
    </xf>
    <xf numFmtId="0" fontId="2" fillId="8" borderId="134" xfId="6" applyFont="1" applyBorder="1" applyAlignment="1">
      <alignment horizontal="center" vertical="center" wrapText="1"/>
    </xf>
    <xf numFmtId="0" fontId="3" fillId="0" borderId="0" xfId="0" applyFont="1" applyAlignment="1">
      <alignment horizontal="center" vertical="top" wrapText="1"/>
    </xf>
    <xf numFmtId="0" fontId="3" fillId="0" borderId="0" xfId="0" applyFont="1" applyAlignment="1" applyProtection="1">
      <alignment horizontal="left" vertical="center" wrapText="1"/>
    </xf>
    <xf numFmtId="0" fontId="0" fillId="0" borderId="60" xfId="0" applyFont="1" applyBorder="1" applyAlignment="1">
      <alignment horizontal="left" wrapText="1"/>
    </xf>
    <xf numFmtId="0" fontId="0" fillId="0" borderId="0" xfId="0" applyFont="1" applyAlignment="1">
      <alignment horizontal="left" wrapText="1"/>
    </xf>
    <xf numFmtId="0" fontId="0" fillId="0" borderId="0" xfId="0" applyFont="1" applyBorder="1" applyAlignment="1">
      <alignment horizontal="center"/>
    </xf>
    <xf numFmtId="0" fontId="14" fillId="0" borderId="0" xfId="4" applyNumberFormat="1" applyFont="1" applyFill="1" applyBorder="1" applyAlignment="1">
      <alignment vertical="top" wrapText="1"/>
    </xf>
    <xf numFmtId="0" fontId="30" fillId="0" borderId="0" xfId="0" applyFont="1" applyAlignment="1">
      <alignment vertical="top" wrapText="1"/>
    </xf>
    <xf numFmtId="0" fontId="0" fillId="0" borderId="0" xfId="0" applyAlignment="1">
      <alignment vertical="top" wrapText="1"/>
    </xf>
    <xf numFmtId="0" fontId="5" fillId="0" borderId="1" xfId="4" applyFont="1" applyBorder="1" applyAlignment="1">
      <alignment horizontal="center" vertical="center"/>
    </xf>
    <xf numFmtId="0" fontId="2" fillId="8" borderId="177" xfId="6" applyFont="1" applyBorder="1" applyAlignment="1">
      <alignment horizontal="center" vertical="center" wrapText="1"/>
    </xf>
    <xf numFmtId="0" fontId="21" fillId="43" borderId="0" xfId="2" applyFont="1" applyBorder="1" applyAlignment="1">
      <alignment horizontal="left" vertical="center" wrapText="1"/>
    </xf>
    <xf numFmtId="0" fontId="21" fillId="43" borderId="2" xfId="2" applyFont="1" applyBorder="1" applyAlignment="1">
      <alignment horizontal="left" vertical="center" wrapText="1"/>
    </xf>
    <xf numFmtId="0" fontId="21" fillId="0" borderId="0" xfId="4" applyNumberFormat="1" applyFont="1" applyFill="1" applyBorder="1" applyAlignment="1">
      <alignment horizontal="center" vertical="top" wrapText="1"/>
    </xf>
    <xf numFmtId="167" fontId="27" fillId="0" borderId="742" xfId="10" applyFill="1" applyBorder="1" applyAlignment="1" applyProtection="1">
      <alignment horizontal="left" vertical="top" wrapText="1"/>
    </xf>
    <xf numFmtId="0" fontId="0" fillId="0" borderId="742" xfId="0" applyFill="1" applyBorder="1" applyAlignment="1">
      <alignment horizontal="left" vertical="top" wrapText="1"/>
    </xf>
    <xf numFmtId="0" fontId="61" fillId="0" borderId="743" xfId="0" applyFont="1" applyBorder="1" applyAlignment="1" applyProtection="1">
      <alignment horizontal="left" vertical="top" wrapText="1"/>
    </xf>
    <xf numFmtId="0" fontId="0" fillId="0" borderId="743" xfId="0" applyBorder="1" applyAlignment="1">
      <alignment horizontal="left" vertical="top" wrapText="1"/>
    </xf>
    <xf numFmtId="0" fontId="51" fillId="11" borderId="488" xfId="10" applyNumberFormat="1" applyFont="1" applyBorder="1">
      <alignment horizontal="left" vertical="top" wrapText="1"/>
    </xf>
    <xf numFmtId="0" fontId="13" fillId="15" borderId="118" xfId="15">
      <alignment horizontal="center" vertical="center"/>
    </xf>
    <xf numFmtId="0" fontId="23" fillId="32" borderId="66" xfId="22" applyBorder="1" applyAlignment="1" applyProtection="1">
      <alignment horizontal="left" vertical="top"/>
      <protection locked="0"/>
    </xf>
    <xf numFmtId="0" fontId="23" fillId="32" borderId="0" xfId="22" applyBorder="1" applyAlignment="1" applyProtection="1">
      <alignment horizontal="left" vertical="top"/>
      <protection locked="0"/>
    </xf>
    <xf numFmtId="0" fontId="23" fillId="32" borderId="151" xfId="22" applyBorder="1" applyAlignment="1" applyProtection="1">
      <alignment horizontal="left" vertical="top"/>
      <protection locked="0"/>
    </xf>
    <xf numFmtId="0" fontId="23" fillId="0" borderId="13" xfId="0" quotePrefix="1" applyFont="1" applyBorder="1" applyAlignment="1" applyProtection="1">
      <alignment horizontal="center" vertical="center" wrapText="1"/>
      <protection locked="0"/>
    </xf>
    <xf numFmtId="0" fontId="23" fillId="0" borderId="487" xfId="0" quotePrefix="1" applyFont="1" applyBorder="1" applyAlignment="1" applyProtection="1">
      <alignment horizontal="center" vertical="center" wrapText="1"/>
      <protection locked="0"/>
    </xf>
    <xf numFmtId="0" fontId="23" fillId="32" borderId="484" xfId="22" applyBorder="1" applyProtection="1">
      <alignment horizontal="left" vertical="top" wrapText="1"/>
      <protection locked="0"/>
    </xf>
    <xf numFmtId="0" fontId="23" fillId="32" borderId="57" xfId="22" applyBorder="1" applyProtection="1">
      <alignment horizontal="left" vertical="top" wrapText="1"/>
      <protection locked="0"/>
    </xf>
    <xf numFmtId="0" fontId="23" fillId="32" borderId="358" xfId="22" applyBorder="1" applyProtection="1">
      <alignment horizontal="left" vertical="top" wrapText="1"/>
      <protection locked="0"/>
    </xf>
    <xf numFmtId="0" fontId="23" fillId="32" borderId="483" xfId="22" applyBorder="1" applyProtection="1">
      <alignment horizontal="left" vertical="top" wrapText="1"/>
      <protection locked="0"/>
    </xf>
    <xf numFmtId="0" fontId="23" fillId="32" borderId="397" xfId="22" applyBorder="1" applyProtection="1">
      <alignment horizontal="left" vertical="top" wrapText="1"/>
      <protection locked="0"/>
    </xf>
    <xf numFmtId="0" fontId="23" fillId="32" borderId="398" xfId="22" applyBorder="1" applyProtection="1">
      <alignment horizontal="left" vertical="top" wrapText="1"/>
      <protection locked="0"/>
    </xf>
    <xf numFmtId="0" fontId="23" fillId="0" borderId="18" xfId="0" applyFont="1" applyBorder="1" applyAlignment="1" applyProtection="1">
      <alignment horizontal="left" vertical="top" wrapText="1"/>
    </xf>
    <xf numFmtId="0" fontId="23" fillId="32" borderId="485" xfId="22" applyBorder="1" applyProtection="1">
      <alignment horizontal="left" vertical="top" wrapText="1"/>
      <protection locked="0"/>
    </xf>
    <xf numFmtId="0" fontId="23" fillId="32" borderId="270" xfId="22" applyBorder="1" applyProtection="1">
      <alignment horizontal="left" vertical="top" wrapText="1"/>
      <protection locked="0"/>
    </xf>
    <xf numFmtId="0" fontId="23" fillId="32" borderId="395" xfId="22" applyBorder="1" applyProtection="1">
      <alignment horizontal="left" vertical="top" wrapText="1"/>
      <protection locked="0"/>
    </xf>
    <xf numFmtId="0" fontId="23" fillId="32" borderId="52" xfId="22" applyBorder="1">
      <alignment horizontal="left" vertical="top" wrapText="1"/>
      <protection locked="0"/>
    </xf>
    <xf numFmtId="0" fontId="23" fillId="32" borderId="65" xfId="22" applyBorder="1">
      <alignment horizontal="left" vertical="top" wrapText="1"/>
      <protection locked="0"/>
    </xf>
    <xf numFmtId="0" fontId="23" fillId="32" borderId="32" xfId="22" applyBorder="1">
      <alignment horizontal="left" vertical="top" wrapText="1"/>
      <protection locked="0"/>
    </xf>
    <xf numFmtId="0" fontId="23" fillId="32" borderId="94" xfId="22" applyBorder="1">
      <alignment horizontal="left" vertical="top" wrapText="1"/>
      <protection locked="0"/>
    </xf>
    <xf numFmtId="0" fontId="23" fillId="32" borderId="190" xfId="22" applyBorder="1">
      <alignment horizontal="left" vertical="top" wrapText="1"/>
      <protection locked="0"/>
    </xf>
    <xf numFmtId="0" fontId="23" fillId="32" borderId="188" xfId="22" applyBorder="1">
      <alignment horizontal="left" vertical="top" wrapText="1"/>
      <protection locked="0"/>
    </xf>
    <xf numFmtId="0" fontId="23" fillId="32" borderId="394" xfId="22" applyBorder="1">
      <alignment horizontal="left" vertical="top" wrapText="1"/>
      <protection locked="0"/>
    </xf>
    <xf numFmtId="1" fontId="99" fillId="36" borderId="101" xfId="9" applyFont="1" applyFill="1" applyBorder="1" applyAlignment="1">
      <alignment horizontal="center" vertical="center" wrapText="1"/>
      <protection locked="0"/>
    </xf>
    <xf numFmtId="1" fontId="99" fillId="36" borderId="50" xfId="9" applyFont="1" applyFill="1" applyBorder="1" applyAlignment="1">
      <alignment horizontal="center" vertical="center" wrapText="1"/>
      <protection locked="0"/>
    </xf>
    <xf numFmtId="0" fontId="17" fillId="0" borderId="0" xfId="5" applyNumberFormat="1" applyFont="1" applyBorder="1" applyAlignment="1" applyProtection="1">
      <alignment horizontal="left" vertical="center" wrapText="1"/>
      <protection locked="0"/>
    </xf>
    <xf numFmtId="0" fontId="23" fillId="0" borderId="68" xfId="0" applyFont="1" applyBorder="1" applyAlignment="1" applyProtection="1">
      <alignment horizontal="center" vertical="center" wrapText="1"/>
    </xf>
    <xf numFmtId="0" fontId="23" fillId="0" borderId="188" xfId="0" applyFont="1" applyBorder="1" applyAlignment="1" applyProtection="1">
      <alignment horizontal="left" vertical="top" wrapText="1"/>
    </xf>
    <xf numFmtId="0" fontId="23" fillId="32" borderId="142" xfId="22" applyBorder="1">
      <alignment horizontal="left" vertical="top" wrapText="1"/>
      <protection locked="0"/>
    </xf>
    <xf numFmtId="0" fontId="23" fillId="32" borderId="141" xfId="22" applyBorder="1">
      <alignment horizontal="left" vertical="top" wrapText="1"/>
      <protection locked="0"/>
    </xf>
    <xf numFmtId="0" fontId="23" fillId="32" borderId="388" xfId="22" applyBorder="1">
      <alignment horizontal="left" vertical="top" wrapText="1"/>
      <protection locked="0"/>
    </xf>
    <xf numFmtId="0" fontId="23" fillId="0" borderId="32" xfId="0" applyFont="1" applyBorder="1" applyAlignment="1" applyProtection="1">
      <alignment horizontal="left" vertical="top" wrapText="1"/>
    </xf>
    <xf numFmtId="0" fontId="23" fillId="0" borderId="94" xfId="0" applyFont="1" applyBorder="1" applyAlignment="1" applyProtection="1">
      <alignment horizontal="left" vertical="top" wrapText="1"/>
    </xf>
    <xf numFmtId="0" fontId="21" fillId="0" borderId="157" xfId="0" quotePrefix="1" applyFont="1" applyBorder="1" applyAlignment="1" applyProtection="1">
      <alignment horizontal="center" vertical="center" wrapText="1"/>
      <protection locked="0"/>
    </xf>
    <xf numFmtId="0" fontId="21" fillId="0" borderId="14" xfId="0" applyFont="1" applyBorder="1" applyAlignment="1" applyProtection="1">
      <alignment horizontal="center" vertical="center" wrapText="1"/>
      <protection locked="0"/>
    </xf>
    <xf numFmtId="0" fontId="21" fillId="0" borderId="37" xfId="0" applyFont="1" applyBorder="1" applyAlignment="1" applyProtection="1">
      <alignment horizontal="center" vertical="center" wrapText="1"/>
      <protection locked="0"/>
    </xf>
    <xf numFmtId="0" fontId="23" fillId="0" borderId="14" xfId="0" quotePrefix="1" applyFont="1" applyBorder="1" applyAlignment="1" applyProtection="1">
      <alignment horizontal="center" vertical="center" wrapText="1"/>
      <protection locked="0"/>
    </xf>
    <xf numFmtId="0" fontId="23" fillId="0" borderId="37" xfId="0" applyFont="1" applyBorder="1" applyAlignment="1" applyProtection="1">
      <alignment horizontal="center" vertical="center" wrapText="1"/>
      <protection locked="0"/>
    </xf>
    <xf numFmtId="0" fontId="23" fillId="32" borderId="86" xfId="22" applyBorder="1">
      <alignment horizontal="left" vertical="top" wrapText="1"/>
      <protection locked="0"/>
    </xf>
    <xf numFmtId="0" fontId="23" fillId="32" borderId="87" xfId="22" applyBorder="1">
      <alignment horizontal="left" vertical="top" wrapText="1"/>
      <protection locked="0"/>
    </xf>
    <xf numFmtId="0" fontId="13" fillId="0" borderId="18" xfId="0" applyFont="1" applyBorder="1" applyAlignment="1" applyProtection="1">
      <alignment horizontal="center" vertical="center" wrapText="1"/>
    </xf>
    <xf numFmtId="0" fontId="13" fillId="0" borderId="32" xfId="0" applyFont="1" applyBorder="1" applyAlignment="1" applyProtection="1">
      <alignment horizontal="center" vertical="center" wrapText="1"/>
    </xf>
    <xf numFmtId="1" fontId="26" fillId="10" borderId="16" xfId="9" applyBorder="1" applyProtection="1">
      <alignment horizontal="center" vertical="center"/>
      <protection locked="0"/>
    </xf>
    <xf numFmtId="167" fontId="27" fillId="11" borderId="70" xfId="10" applyBorder="1" applyProtection="1">
      <alignment horizontal="left" vertical="top" wrapText="1"/>
    </xf>
    <xf numFmtId="0" fontId="23" fillId="0" borderId="34" xfId="0" applyFont="1" applyBorder="1" applyAlignment="1" applyProtection="1">
      <alignment vertical="top" wrapText="1"/>
    </xf>
    <xf numFmtId="0" fontId="17" fillId="0" borderId="0" xfId="5" applyBorder="1" applyAlignment="1" applyProtection="1">
      <alignment horizontal="left" vertical="top" wrapText="1"/>
      <protection locked="0"/>
    </xf>
    <xf numFmtId="0" fontId="21" fillId="0" borderId="14" xfId="0" quotePrefix="1" applyFont="1" applyBorder="1" applyAlignment="1" applyProtection="1">
      <alignment horizontal="center" vertical="center" wrapText="1"/>
      <protection locked="0"/>
    </xf>
    <xf numFmtId="0" fontId="21" fillId="0" borderId="143" xfId="0" applyFont="1" applyBorder="1" applyAlignment="1" applyProtection="1">
      <alignment horizontal="center" vertical="center" wrapText="1"/>
      <protection locked="0"/>
    </xf>
    <xf numFmtId="0" fontId="23" fillId="32" borderId="88" xfId="22" applyBorder="1">
      <alignment horizontal="left" vertical="top" wrapText="1"/>
      <protection locked="0"/>
    </xf>
    <xf numFmtId="0" fontId="23" fillId="0" borderId="87" xfId="0" applyFont="1" applyBorder="1" applyAlignment="1" applyProtection="1">
      <alignment horizontal="center" vertical="center" wrapText="1"/>
    </xf>
    <xf numFmtId="0" fontId="13" fillId="15" borderId="538" xfId="15" applyBorder="1" applyAlignment="1" applyProtection="1">
      <alignment horizontal="center" vertical="center"/>
    </xf>
    <xf numFmtId="0" fontId="0" fillId="0" borderId="559" xfId="0" applyBorder="1" applyAlignment="1">
      <alignment horizontal="center" vertical="center"/>
    </xf>
    <xf numFmtId="0" fontId="13" fillId="0" borderId="26" xfId="0" applyFont="1" applyBorder="1" applyAlignment="1" applyProtection="1">
      <alignment horizontal="center" vertical="center" wrapText="1"/>
    </xf>
    <xf numFmtId="0" fontId="0" fillId="0" borderId="115" xfId="0" applyBorder="1" applyProtection="1"/>
    <xf numFmtId="0" fontId="23" fillId="0" borderId="154" xfId="0" applyFont="1" applyFill="1" applyBorder="1" applyAlignment="1" applyProtection="1">
      <alignment horizontal="left" vertical="top" wrapText="1"/>
    </xf>
    <xf numFmtId="0" fontId="23" fillId="0" borderId="18" xfId="0" applyFont="1" applyFill="1" applyBorder="1" applyAlignment="1" applyProtection="1">
      <alignment horizontal="left" vertical="top" wrapText="1"/>
    </xf>
    <xf numFmtId="0" fontId="23" fillId="0" borderId="27" xfId="0" applyFont="1" applyBorder="1" applyAlignment="1" applyProtection="1">
      <alignment horizontal="left" vertical="top" wrapText="1"/>
    </xf>
    <xf numFmtId="0" fontId="13" fillId="0" borderId="68" xfId="0" applyFont="1" applyBorder="1" applyAlignment="1">
      <alignment horizontal="left" vertical="top" wrapText="1"/>
    </xf>
    <xf numFmtId="0" fontId="23" fillId="0" borderId="12" xfId="0" applyFont="1" applyFill="1" applyBorder="1" applyAlignment="1" applyProtection="1">
      <alignment horizontal="left" vertical="top" wrapText="1"/>
    </xf>
    <xf numFmtId="0" fontId="23" fillId="0" borderId="0" xfId="0" applyFont="1" applyFill="1" applyBorder="1" applyAlignment="1" applyProtection="1">
      <alignment horizontal="left" vertical="top"/>
    </xf>
    <xf numFmtId="0" fontId="13" fillId="15" borderId="275" xfId="15" applyBorder="1" applyAlignment="1" applyProtection="1">
      <alignment horizontal="center" vertical="center" wrapText="1"/>
    </xf>
    <xf numFmtId="0" fontId="13" fillId="15" borderId="392" xfId="15" applyBorder="1" applyAlignment="1" applyProtection="1">
      <alignment horizontal="center" vertical="center" wrapText="1"/>
    </xf>
    <xf numFmtId="1" fontId="26" fillId="10" borderId="329" xfId="9" applyBorder="1" applyAlignment="1" applyProtection="1">
      <alignment horizontal="center" vertical="center" wrapText="1"/>
      <protection locked="0"/>
    </xf>
    <xf numFmtId="0" fontId="21" fillId="0" borderId="143" xfId="0" quotePrefix="1" applyFont="1" applyBorder="1" applyAlignment="1" applyProtection="1">
      <alignment horizontal="center" vertical="center" wrapText="1"/>
      <protection locked="0"/>
    </xf>
    <xf numFmtId="0" fontId="23" fillId="0" borderId="68" xfId="0" applyFont="1" applyBorder="1" applyAlignment="1">
      <alignment horizontal="center" vertical="center" wrapText="1"/>
    </xf>
    <xf numFmtId="0" fontId="23" fillId="0" borderId="393" xfId="0" applyFont="1" applyBorder="1" applyAlignment="1">
      <alignment horizontal="center" vertical="center" wrapText="1"/>
    </xf>
    <xf numFmtId="0" fontId="23" fillId="0" borderId="127" xfId="0" applyFont="1" applyBorder="1" applyAlignment="1" applyProtection="1">
      <alignment horizontal="center" vertical="center" wrapText="1"/>
    </xf>
    <xf numFmtId="0" fontId="23" fillId="0" borderId="2" xfId="0" applyFont="1" applyBorder="1" applyAlignment="1" applyProtection="1">
      <alignment horizontal="center" vertical="center" wrapText="1"/>
    </xf>
    <xf numFmtId="0" fontId="0" fillId="0" borderId="0" xfId="0" applyAlignment="1">
      <alignment horizontal="left" vertical="center" wrapText="1"/>
    </xf>
    <xf numFmtId="0" fontId="0" fillId="0" borderId="186" xfId="0" applyBorder="1" applyAlignment="1" applyProtection="1">
      <alignment horizontal="center" vertical="center" wrapText="1"/>
      <protection locked="0"/>
    </xf>
    <xf numFmtId="0" fontId="0" fillId="0" borderId="138" xfId="0" applyBorder="1" applyAlignment="1" applyProtection="1">
      <alignment horizontal="center" vertical="center" wrapText="1"/>
      <protection locked="0"/>
    </xf>
    <xf numFmtId="0" fontId="21" fillId="0" borderId="186" xfId="0" quotePrefix="1" applyFont="1" applyBorder="1" applyAlignment="1" applyProtection="1">
      <alignment horizontal="center" vertical="center" wrapText="1"/>
      <protection locked="0"/>
    </xf>
    <xf numFmtId="0" fontId="21" fillId="0" borderId="13" xfId="0" applyFont="1" applyBorder="1" applyAlignment="1" applyProtection="1">
      <alignment horizontal="center" vertical="center" wrapText="1"/>
      <protection locked="0"/>
    </xf>
    <xf numFmtId="0" fontId="21" fillId="0" borderId="308" xfId="0" applyFont="1" applyBorder="1" applyAlignment="1" applyProtection="1">
      <alignment horizontal="center" vertical="center" wrapText="1"/>
      <protection locked="0"/>
    </xf>
    <xf numFmtId="0" fontId="21" fillId="0" borderId="13" xfId="0" quotePrefix="1" applyFont="1" applyBorder="1" applyAlignment="1" applyProtection="1">
      <alignment horizontal="center" vertical="center" wrapText="1"/>
      <protection locked="0"/>
    </xf>
    <xf numFmtId="0" fontId="21" fillId="0" borderId="138" xfId="0" quotePrefix="1" applyFont="1" applyBorder="1" applyAlignment="1" applyProtection="1">
      <alignment horizontal="center" vertical="center" wrapText="1"/>
      <protection locked="0"/>
    </xf>
    <xf numFmtId="0" fontId="23" fillId="0" borderId="34" xfId="0" applyFont="1" applyBorder="1" applyAlignment="1">
      <alignment horizontal="center" vertical="center" wrapText="1"/>
    </xf>
    <xf numFmtId="0" fontId="23" fillId="0" borderId="115"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87" xfId="0" applyFont="1" applyBorder="1" applyAlignment="1">
      <alignment horizontal="center" vertical="center" wrapText="1"/>
    </xf>
    <xf numFmtId="0" fontId="23" fillId="0" borderId="94" xfId="0" applyFont="1" applyBorder="1" applyAlignment="1">
      <alignment horizontal="left" vertical="top" wrapText="1"/>
    </xf>
    <xf numFmtId="0" fontId="21" fillId="0" borderId="35" xfId="0" quotePrefix="1" applyFont="1" applyBorder="1" applyAlignment="1" applyProtection="1">
      <alignment horizontal="center" vertical="center" wrapText="1"/>
      <protection locked="0"/>
    </xf>
    <xf numFmtId="167" fontId="28" fillId="0" borderId="12" xfId="19" applyFont="1" applyBorder="1" applyAlignment="1" applyProtection="1">
      <alignment horizontal="left" vertical="top" wrapText="1"/>
    </xf>
    <xf numFmtId="167" fontId="28" fillId="0" borderId="0" xfId="19" applyFont="1" applyBorder="1" applyAlignment="1" applyProtection="1">
      <alignment horizontal="left" vertical="top" wrapText="1"/>
    </xf>
    <xf numFmtId="0" fontId="61" fillId="0" borderId="183" xfId="0" applyFont="1" applyBorder="1" applyAlignment="1" applyProtection="1">
      <alignment horizontal="left" vertical="top" wrapText="1"/>
    </xf>
    <xf numFmtId="0" fontId="61" fillId="0" borderId="184" xfId="0" applyFont="1" applyBorder="1" applyAlignment="1" applyProtection="1">
      <alignment horizontal="left" vertical="top" wrapText="1"/>
    </xf>
    <xf numFmtId="0" fontId="30" fillId="0" borderId="0" xfId="0" applyFont="1" applyBorder="1" applyAlignment="1" applyProtection="1">
      <alignment horizontal="center" vertical="center" wrapText="1"/>
      <protection locked="0"/>
    </xf>
    <xf numFmtId="0" fontId="30" fillId="0" borderId="32" xfId="0" applyFont="1" applyBorder="1" applyAlignment="1" applyProtection="1">
      <alignment horizontal="center" vertical="center" wrapText="1"/>
      <protection locked="0"/>
    </xf>
    <xf numFmtId="0" fontId="23" fillId="0" borderId="30" xfId="0" applyFont="1" applyBorder="1" applyAlignment="1" applyProtection="1">
      <alignment horizontal="left" vertical="top" wrapText="1"/>
    </xf>
    <xf numFmtId="0" fontId="131" fillId="0" borderId="0" xfId="0" applyFont="1" applyAlignment="1">
      <alignment horizontal="left"/>
    </xf>
    <xf numFmtId="0" fontId="131" fillId="0" borderId="24" xfId="0" applyFont="1" applyBorder="1" applyAlignment="1">
      <alignment horizontal="left"/>
    </xf>
    <xf numFmtId="0" fontId="23" fillId="32" borderId="34" xfId="22" applyBorder="1" applyAlignment="1">
      <alignment horizontal="left" vertical="top" wrapText="1"/>
      <protection locked="0"/>
    </xf>
    <xf numFmtId="0" fontId="23" fillId="32" borderId="749" xfId="22" applyBorder="1" applyAlignment="1">
      <alignment horizontal="left" vertical="top" wrapText="1"/>
      <protection locked="0"/>
    </xf>
    <xf numFmtId="0" fontId="23" fillId="32" borderId="87" xfId="22" applyBorder="1" applyAlignment="1">
      <alignment horizontal="left" vertical="top" wrapText="1"/>
      <protection locked="0"/>
    </xf>
    <xf numFmtId="0" fontId="23" fillId="32" borderId="644" xfId="22" applyBorder="1" applyAlignment="1">
      <alignment horizontal="left" vertical="top" wrapText="1"/>
      <protection locked="0"/>
    </xf>
    <xf numFmtId="0" fontId="23" fillId="32" borderId="750" xfId="22" applyBorder="1" applyAlignment="1">
      <alignment horizontal="left" vertical="top" wrapText="1"/>
      <protection locked="0"/>
    </xf>
    <xf numFmtId="1" fontId="26" fillId="10" borderId="325" xfId="9" applyBorder="1" applyProtection="1">
      <alignment horizontal="center" vertical="center"/>
      <protection locked="0"/>
    </xf>
    <xf numFmtId="0" fontId="13" fillId="0" borderId="77" xfId="0" applyFont="1" applyBorder="1" applyAlignment="1" applyProtection="1">
      <alignment horizontal="left" vertical="top" wrapText="1"/>
    </xf>
    <xf numFmtId="0" fontId="13" fillId="0" borderId="78" xfId="0" applyFont="1" applyBorder="1" applyAlignment="1" applyProtection="1">
      <alignment horizontal="left" vertical="top" wrapText="1"/>
    </xf>
    <xf numFmtId="0" fontId="23" fillId="0" borderId="77" xfId="0" applyFont="1" applyBorder="1" applyAlignment="1" applyProtection="1">
      <alignment horizontal="left" vertical="top" wrapText="1"/>
    </xf>
    <xf numFmtId="0" fontId="23" fillId="0" borderId="78" xfId="0" applyFont="1" applyBorder="1" applyAlignment="1" applyProtection="1">
      <alignment horizontal="left" vertical="top" wrapText="1"/>
    </xf>
    <xf numFmtId="0" fontId="23" fillId="0" borderId="66" xfId="0" applyFont="1" applyBorder="1" applyAlignment="1" applyProtection="1">
      <alignment horizontal="left" vertical="top" wrapText="1"/>
    </xf>
    <xf numFmtId="0" fontId="13" fillId="0" borderId="279" xfId="0" applyFont="1" applyBorder="1" applyAlignment="1" applyProtection="1">
      <alignment horizontal="center" vertical="center" wrapText="1"/>
    </xf>
    <xf numFmtId="0" fontId="13" fillId="0" borderId="24" xfId="0" applyFont="1" applyBorder="1" applyAlignment="1" applyProtection="1">
      <alignment horizontal="center" vertical="center" wrapText="1"/>
    </xf>
    <xf numFmtId="0" fontId="13" fillId="0" borderId="314" xfId="0" applyFont="1" applyBorder="1" applyAlignment="1" applyProtection="1">
      <alignment horizontal="center" vertical="center" wrapText="1"/>
    </xf>
    <xf numFmtId="1" fontId="26" fillId="10" borderId="336" xfId="9" applyBorder="1" applyAlignment="1" applyProtection="1">
      <alignment horizontal="center" vertical="center"/>
      <protection locked="0"/>
    </xf>
    <xf numFmtId="1" fontId="26" fillId="10" borderId="40" xfId="9" applyBorder="1" applyAlignment="1" applyProtection="1">
      <alignment horizontal="center" vertical="center"/>
      <protection locked="0"/>
    </xf>
    <xf numFmtId="1" fontId="26" fillId="10" borderId="390" xfId="9" applyBorder="1" applyAlignment="1" applyProtection="1">
      <alignment horizontal="center" vertical="center"/>
      <protection locked="0"/>
    </xf>
    <xf numFmtId="0" fontId="23" fillId="0" borderId="36" xfId="0" applyFont="1" applyBorder="1" applyAlignment="1" applyProtection="1">
      <alignment horizontal="left" vertical="top" wrapText="1"/>
    </xf>
    <xf numFmtId="0" fontId="23" fillId="0" borderId="273" xfId="0" applyFont="1" applyBorder="1" applyAlignment="1" applyProtection="1">
      <alignment horizontal="center" vertical="top" wrapText="1"/>
    </xf>
    <xf numFmtId="0" fontId="23" fillId="0" borderId="0" xfId="0" applyFont="1" applyBorder="1" applyAlignment="1" applyProtection="1">
      <alignment horizontal="center" vertical="top" wrapText="1"/>
    </xf>
    <xf numFmtId="0" fontId="13" fillId="0" borderId="66" xfId="0" applyFont="1" applyBorder="1" applyAlignment="1" applyProtection="1">
      <alignment horizontal="center" vertical="center" wrapText="1"/>
    </xf>
    <xf numFmtId="0" fontId="13" fillId="0" borderId="57" xfId="0" applyFont="1" applyBorder="1" applyAlignment="1" applyProtection="1">
      <alignment horizontal="center" vertical="center" wrapText="1"/>
    </xf>
    <xf numFmtId="1" fontId="26" fillId="10" borderId="285" xfId="9" applyBorder="1" applyProtection="1">
      <alignment horizontal="center" vertical="center"/>
      <protection locked="0"/>
    </xf>
    <xf numFmtId="0" fontId="13" fillId="0" borderId="389" xfId="0" applyFont="1" applyBorder="1" applyAlignment="1" applyProtection="1">
      <alignment horizontal="left" vertical="top" wrapText="1"/>
    </xf>
    <xf numFmtId="167" fontId="27" fillId="0" borderId="741" xfId="10" applyFill="1" applyBorder="1" applyAlignment="1" applyProtection="1">
      <alignment horizontal="left" vertical="top" wrapText="1"/>
    </xf>
    <xf numFmtId="0" fontId="0" fillId="0" borderId="741" xfId="0" applyFill="1" applyBorder="1" applyAlignment="1">
      <alignment horizontal="left" vertical="top" wrapText="1"/>
    </xf>
    <xf numFmtId="1" fontId="22" fillId="36" borderId="16" xfId="9" applyFont="1" applyFill="1" applyBorder="1" applyAlignment="1" applyProtection="1">
      <alignment horizontal="center" vertical="center" wrapText="1"/>
      <protection locked="0"/>
    </xf>
    <xf numFmtId="1" fontId="22" fillId="36" borderId="40" xfId="9" applyFont="1" applyFill="1" applyBorder="1" applyAlignment="1" applyProtection="1">
      <alignment horizontal="center" vertical="center" wrapText="1"/>
      <protection locked="0"/>
    </xf>
    <xf numFmtId="1" fontId="22" fillId="36" borderId="260" xfId="9" applyFont="1" applyFill="1" applyBorder="1" applyAlignment="1" applyProtection="1">
      <alignment horizontal="center" vertical="center" wrapText="1"/>
      <protection locked="0"/>
    </xf>
    <xf numFmtId="0" fontId="23" fillId="0" borderId="68" xfId="0" applyFont="1" applyBorder="1" applyAlignment="1" applyProtection="1">
      <alignment horizontal="center" vertical="center" wrapText="1"/>
      <protection locked="0"/>
    </xf>
    <xf numFmtId="0" fontId="23" fillId="0" borderId="268" xfId="0" applyFont="1" applyBorder="1" applyAlignment="1" applyProtection="1">
      <alignment horizontal="center" vertical="center" wrapText="1"/>
      <protection locked="0"/>
    </xf>
    <xf numFmtId="1" fontId="26" fillId="36" borderId="51" xfId="9" applyFill="1" applyBorder="1" applyAlignment="1" applyProtection="1">
      <alignment horizontal="center" vertical="center" wrapText="1"/>
      <protection locked="0"/>
    </xf>
    <xf numFmtId="1" fontId="26" fillId="36" borderId="260" xfId="9" applyFill="1" applyBorder="1" applyAlignment="1" applyProtection="1">
      <alignment horizontal="center" vertical="center" wrapText="1"/>
      <protection locked="0"/>
    </xf>
    <xf numFmtId="0" fontId="0" fillId="0" borderId="481" xfId="0" quotePrefix="1" applyBorder="1" applyAlignment="1" applyProtection="1">
      <alignment horizontal="center" vertical="center" wrapText="1"/>
      <protection locked="0"/>
    </xf>
    <xf numFmtId="0" fontId="0" fillId="0" borderId="346" xfId="0" quotePrefix="1" applyBorder="1" applyAlignment="1" applyProtection="1">
      <alignment horizontal="center" vertical="center" wrapText="1"/>
      <protection locked="0"/>
    </xf>
    <xf numFmtId="0" fontId="0" fillId="0" borderId="482" xfId="0" quotePrefix="1" applyBorder="1" applyAlignment="1" applyProtection="1">
      <alignment horizontal="center" vertical="center" wrapText="1"/>
      <protection locked="0"/>
    </xf>
    <xf numFmtId="0" fontId="23" fillId="0" borderId="18" xfId="0" applyFont="1" applyBorder="1" applyAlignment="1" applyProtection="1">
      <alignment horizontal="center" vertical="center" wrapText="1"/>
    </xf>
    <xf numFmtId="0" fontId="23" fillId="0" borderId="155" xfId="0" applyFont="1" applyBorder="1" applyAlignment="1" applyProtection="1">
      <alignment horizontal="center" vertical="center" wrapText="1"/>
    </xf>
    <xf numFmtId="0" fontId="23" fillId="0" borderId="86" xfId="0" applyFont="1" applyBorder="1" applyAlignment="1" applyProtection="1">
      <alignment horizontal="center" vertical="center" wrapText="1"/>
    </xf>
    <xf numFmtId="0" fontId="23" fillId="32" borderId="361" xfId="22" applyBorder="1">
      <alignment horizontal="left" vertical="top" wrapText="1"/>
      <protection locked="0"/>
    </xf>
    <xf numFmtId="0" fontId="23" fillId="0" borderId="389" xfId="0" applyFont="1" applyBorder="1" applyAlignment="1" applyProtection="1">
      <alignment horizontal="left" vertical="top" wrapText="1"/>
    </xf>
    <xf numFmtId="0" fontId="23" fillId="0" borderId="80" xfId="0" applyFont="1" applyBorder="1" applyAlignment="1" applyProtection="1">
      <alignment horizontal="left" vertical="top" wrapText="1"/>
    </xf>
    <xf numFmtId="0" fontId="23" fillId="0" borderId="81" xfId="0" applyFont="1" applyBorder="1" applyAlignment="1" applyProtection="1">
      <alignment horizontal="left" vertical="top" wrapText="1"/>
    </xf>
    <xf numFmtId="0" fontId="13" fillId="0" borderId="74" xfId="0" applyFont="1" applyBorder="1" applyAlignment="1" applyProtection="1">
      <alignment horizontal="center" vertical="top" wrapText="1"/>
    </xf>
    <xf numFmtId="0" fontId="13" fillId="0" borderId="75" xfId="0" applyFont="1" applyBorder="1" applyAlignment="1" applyProtection="1">
      <alignment horizontal="center" vertical="top" wrapText="1"/>
    </xf>
    <xf numFmtId="0" fontId="13" fillId="0" borderId="76" xfId="0" applyFont="1" applyBorder="1" applyAlignment="1" applyProtection="1">
      <alignment horizontal="center" vertical="top" wrapText="1"/>
    </xf>
    <xf numFmtId="0" fontId="23" fillId="32" borderId="106" xfId="22" applyBorder="1" applyAlignment="1">
      <alignment horizontal="left" vertical="top" wrapText="1"/>
      <protection locked="0"/>
    </xf>
    <xf numFmtId="0" fontId="0" fillId="0" borderId="106" xfId="0" applyBorder="1" applyAlignment="1">
      <alignment horizontal="left" vertical="top" wrapText="1"/>
    </xf>
    <xf numFmtId="0" fontId="23" fillId="0" borderId="26" xfId="0" applyFont="1" applyBorder="1" applyAlignment="1" applyProtection="1">
      <alignment horizontal="left" vertical="top" wrapText="1"/>
    </xf>
    <xf numFmtId="0" fontId="23" fillId="0" borderId="155" xfId="0" applyFont="1" applyBorder="1" applyAlignment="1">
      <alignment horizontal="right" vertical="top"/>
    </xf>
    <xf numFmtId="0" fontId="23" fillId="0" borderId="122" xfId="0" applyFont="1" applyBorder="1" applyAlignment="1">
      <alignment horizontal="right" vertical="top"/>
    </xf>
    <xf numFmtId="0" fontId="17" fillId="0" borderId="32" xfId="5" applyBorder="1" applyAlignment="1" applyProtection="1">
      <alignment horizontal="left" vertical="top" wrapText="1"/>
      <protection locked="0"/>
    </xf>
    <xf numFmtId="0" fontId="13" fillId="0" borderId="385" xfId="0" applyFont="1" applyBorder="1" applyAlignment="1" applyProtection="1">
      <alignment horizontal="center" vertical="center" wrapText="1"/>
    </xf>
    <xf numFmtId="0" fontId="13" fillId="0" borderId="386" xfId="0" applyFont="1" applyBorder="1" applyAlignment="1" applyProtection="1">
      <alignment horizontal="center" vertical="center" wrapText="1"/>
    </xf>
    <xf numFmtId="1" fontId="26" fillId="10" borderId="171" xfId="9" applyBorder="1" applyProtection="1">
      <alignment horizontal="center" vertical="center"/>
      <protection locked="0"/>
    </xf>
    <xf numFmtId="49" fontId="21" fillId="0" borderId="379" xfId="0" applyNumberFormat="1" applyFont="1" applyBorder="1" applyAlignment="1" applyProtection="1">
      <alignment horizontal="center" vertical="center" wrapText="1"/>
      <protection locked="0"/>
    </xf>
    <xf numFmtId="49" fontId="21" fillId="0" borderId="368" xfId="0" applyNumberFormat="1" applyFont="1" applyBorder="1" applyAlignment="1" applyProtection="1">
      <alignment horizontal="center" vertical="center" wrapText="1"/>
      <protection locked="0"/>
    </xf>
    <xf numFmtId="167" fontId="27" fillId="11" borderId="319" xfId="10" applyBorder="1" applyProtection="1">
      <alignment horizontal="left" vertical="top" wrapText="1"/>
    </xf>
    <xf numFmtId="0" fontId="23" fillId="0" borderId="380" xfId="0" applyFont="1" applyBorder="1" applyAlignment="1" applyProtection="1">
      <alignment horizontal="left" vertical="top" wrapText="1"/>
    </xf>
    <xf numFmtId="0" fontId="21" fillId="0" borderId="379" xfId="0" quotePrefix="1" applyFont="1" applyBorder="1" applyAlignment="1" applyProtection="1">
      <alignment horizontal="center" vertical="center" wrapText="1"/>
      <protection locked="0"/>
    </xf>
    <xf numFmtId="0" fontId="21" fillId="0" borderId="368" xfId="0" applyFont="1" applyBorder="1" applyAlignment="1" applyProtection="1">
      <alignment horizontal="center" vertical="center" wrapText="1"/>
      <protection locked="0"/>
    </xf>
    <xf numFmtId="0" fontId="23" fillId="32" borderId="89" xfId="22" applyBorder="1">
      <alignment horizontal="left" vertical="top" wrapText="1"/>
      <protection locked="0"/>
    </xf>
    <xf numFmtId="0" fontId="23" fillId="32" borderId="358" xfId="22" applyBorder="1">
      <alignment horizontal="left" vertical="top" wrapText="1"/>
      <protection locked="0"/>
    </xf>
    <xf numFmtId="0" fontId="23" fillId="0" borderId="18" xfId="0" applyFont="1" applyFill="1" applyBorder="1" applyAlignment="1" applyProtection="1">
      <alignment horizontal="left" vertical="top"/>
    </xf>
    <xf numFmtId="0" fontId="23" fillId="0" borderId="86" xfId="0" applyFont="1" applyBorder="1" applyAlignment="1" applyProtection="1">
      <alignment horizontal="left" vertical="top" wrapText="1"/>
    </xf>
    <xf numFmtId="167" fontId="23" fillId="0" borderId="0" xfId="0" applyNumberFormat="1" applyFont="1" applyBorder="1" applyAlignment="1" applyProtection="1">
      <alignment horizontal="center" vertical="top"/>
    </xf>
    <xf numFmtId="167" fontId="23" fillId="0" borderId="0" xfId="0" applyNumberFormat="1" applyFont="1" applyFill="1" applyBorder="1" applyAlignment="1" applyProtection="1">
      <alignment horizontal="center" vertical="top"/>
    </xf>
    <xf numFmtId="0" fontId="21" fillId="0" borderId="32" xfId="4" applyNumberFormat="1" applyFont="1" applyFill="1" applyBorder="1" applyAlignment="1" applyProtection="1">
      <alignment vertical="top" wrapText="1"/>
    </xf>
    <xf numFmtId="0" fontId="23" fillId="0" borderId="0" xfId="0" applyFont="1" applyFill="1" applyBorder="1" applyAlignment="1" applyProtection="1">
      <alignment horizontal="left" vertical="top" wrapText="1"/>
    </xf>
    <xf numFmtId="0" fontId="23" fillId="0" borderId="153" xfId="0" applyFont="1" applyFill="1" applyBorder="1" applyAlignment="1" applyProtection="1">
      <alignment horizontal="left" vertical="top" wrapText="1"/>
    </xf>
    <xf numFmtId="0" fontId="23" fillId="0" borderId="26" xfId="0" applyFont="1" applyFill="1" applyBorder="1" applyAlignment="1" applyProtection="1">
      <alignment horizontal="left" vertical="top" wrapText="1"/>
    </xf>
    <xf numFmtId="0" fontId="6" fillId="43" borderId="2" xfId="2" applyFont="1" applyBorder="1" applyAlignment="1">
      <alignment horizontal="left" vertical="center" wrapText="1"/>
    </xf>
    <xf numFmtId="0" fontId="0" fillId="3" borderId="0" xfId="0" applyFont="1" applyFill="1" applyAlignment="1">
      <alignment horizontal="center"/>
    </xf>
    <xf numFmtId="0" fontId="23" fillId="32" borderId="71" xfId="22" applyBorder="1">
      <alignment horizontal="left" vertical="top" wrapText="1"/>
      <protection locked="0"/>
    </xf>
    <xf numFmtId="167" fontId="23" fillId="0" borderId="18" xfId="0" applyNumberFormat="1" applyFont="1" applyFill="1" applyBorder="1" applyAlignment="1" applyProtection="1">
      <alignment horizontal="center" vertical="top"/>
    </xf>
    <xf numFmtId="167" fontId="23" fillId="0" borderId="26" xfId="0" applyNumberFormat="1" applyFont="1" applyFill="1" applyBorder="1" applyAlignment="1" applyProtection="1">
      <alignment horizontal="center" vertical="top"/>
    </xf>
    <xf numFmtId="167" fontId="23" fillId="0" borderId="18" xfId="0" applyNumberFormat="1" applyFont="1" applyBorder="1" applyAlignment="1" applyProtection="1">
      <alignment horizontal="center" vertical="top"/>
    </xf>
    <xf numFmtId="167" fontId="23" fillId="0" borderId="26" xfId="0" applyNumberFormat="1" applyFont="1" applyBorder="1" applyAlignment="1" applyProtection="1">
      <alignment horizontal="center" vertical="top"/>
    </xf>
    <xf numFmtId="0" fontId="64" fillId="0" borderId="18" xfId="0" applyFont="1" applyBorder="1" applyAlignment="1" applyProtection="1">
      <alignment horizontal="left" vertical="top" wrapText="1"/>
    </xf>
    <xf numFmtId="0" fontId="23" fillId="9" borderId="14" xfId="8" applyBorder="1" applyProtection="1">
      <alignment horizontal="left" vertical="top" wrapText="1"/>
    </xf>
    <xf numFmtId="167" fontId="27" fillId="11" borderId="33" xfId="10" applyBorder="1" applyProtection="1">
      <alignment horizontal="left" vertical="top" wrapText="1"/>
    </xf>
    <xf numFmtId="167" fontId="27" fillId="11" borderId="54" xfId="10" applyBorder="1" applyProtection="1">
      <alignment horizontal="left" vertical="top" wrapText="1"/>
    </xf>
    <xf numFmtId="167" fontId="27" fillId="11" borderId="55" xfId="10" applyBorder="1" applyProtection="1">
      <alignment horizontal="left" vertical="top" wrapText="1"/>
    </xf>
    <xf numFmtId="167" fontId="27" fillId="11" borderId="56" xfId="10" applyBorder="1" applyProtection="1">
      <alignment horizontal="left" vertical="top" wrapText="1"/>
    </xf>
    <xf numFmtId="0" fontId="0" fillId="0" borderId="34" xfId="0" applyBorder="1"/>
    <xf numFmtId="0" fontId="0" fillId="0" borderId="115" xfId="0" applyBorder="1"/>
    <xf numFmtId="0" fontId="21" fillId="0" borderId="379" xfId="12" quotePrefix="1" applyFont="1" applyFill="1" applyBorder="1" applyAlignment="1" applyProtection="1">
      <alignment horizontal="center" vertical="center" wrapText="1"/>
      <protection locked="0"/>
    </xf>
    <xf numFmtId="0" fontId="21" fillId="0" borderId="368" xfId="12" applyFont="1" applyFill="1" applyBorder="1" applyAlignment="1" applyProtection="1">
      <alignment horizontal="center" vertical="center" wrapText="1"/>
      <protection locked="0"/>
    </xf>
    <xf numFmtId="0" fontId="23" fillId="0" borderId="66" xfId="0" applyFont="1" applyBorder="1" applyAlignment="1" applyProtection="1">
      <alignment horizontal="center" vertical="top"/>
    </xf>
    <xf numFmtId="0" fontId="23" fillId="0" borderId="57" xfId="0" applyFont="1" applyBorder="1" applyAlignment="1" applyProtection="1">
      <alignment horizontal="center" vertical="top"/>
    </xf>
    <xf numFmtId="0" fontId="21" fillId="0" borderId="66" xfId="12" applyFill="1" applyBorder="1" applyProtection="1">
      <alignment horizontal="left" vertical="top" wrapText="1"/>
    </xf>
    <xf numFmtId="0" fontId="23" fillId="0" borderId="0" xfId="0" applyFont="1" applyBorder="1" applyAlignment="1" applyProtection="1">
      <alignment horizontal="center" vertical="top"/>
    </xf>
    <xf numFmtId="0" fontId="23" fillId="32" borderId="17" xfId="22" applyBorder="1" applyAlignment="1" applyProtection="1">
      <alignment horizontal="left" vertical="top" wrapText="1"/>
      <protection locked="0"/>
    </xf>
    <xf numFmtId="0" fontId="23" fillId="0" borderId="477" xfId="0" applyFont="1" applyBorder="1" applyAlignment="1">
      <alignment horizontal="right" vertical="top"/>
    </xf>
    <xf numFmtId="0" fontId="23" fillId="0" borderId="52" xfId="22" applyFill="1" applyBorder="1">
      <alignment horizontal="left" vertical="top" wrapText="1"/>
      <protection locked="0"/>
    </xf>
    <xf numFmtId="0" fontId="23" fillId="0" borderId="34" xfId="22" applyFill="1" applyBorder="1">
      <alignment horizontal="left" vertical="top" wrapText="1"/>
      <protection locked="0"/>
    </xf>
    <xf numFmtId="0" fontId="23" fillId="0" borderId="383" xfId="0" applyFont="1" applyBorder="1" applyAlignment="1" applyProtection="1">
      <alignment horizontal="left" vertical="top" wrapText="1"/>
    </xf>
    <xf numFmtId="0" fontId="23" fillId="0" borderId="89" xfId="0" applyFont="1" applyBorder="1" applyAlignment="1" applyProtection="1">
      <alignment horizontal="left" vertical="top" wrapText="1"/>
    </xf>
    <xf numFmtId="0" fontId="13" fillId="0" borderId="387" xfId="0" applyFont="1" applyBorder="1" applyAlignment="1" applyProtection="1">
      <alignment horizontal="center" vertical="center" wrapText="1"/>
    </xf>
    <xf numFmtId="0" fontId="13" fillId="0" borderId="384" xfId="0" applyFont="1" applyBorder="1" applyAlignment="1" applyProtection="1">
      <alignment horizontal="center" vertical="center" wrapText="1"/>
    </xf>
    <xf numFmtId="1" fontId="22" fillId="10" borderId="51" xfId="9" applyFont="1" applyBorder="1" applyAlignment="1" applyProtection="1">
      <alignment horizontal="center" vertical="center"/>
      <protection locked="0"/>
    </xf>
    <xf numFmtId="1" fontId="22" fillId="10" borderId="40" xfId="9" applyFont="1" applyBorder="1" applyAlignment="1" applyProtection="1">
      <alignment horizontal="center" vertical="center"/>
      <protection locked="0"/>
    </xf>
    <xf numFmtId="1" fontId="26" fillId="10" borderId="156" xfId="9" applyBorder="1">
      <alignment horizontal="center" vertical="center"/>
      <protection locked="0"/>
    </xf>
    <xf numFmtId="0" fontId="23" fillId="32" borderId="115" xfId="22" applyBorder="1">
      <alignment horizontal="left" vertical="top" wrapText="1"/>
      <protection locked="0"/>
    </xf>
    <xf numFmtId="0" fontId="21" fillId="0" borderId="37" xfId="0" quotePrefix="1" applyFont="1" applyBorder="1" applyAlignment="1" applyProtection="1">
      <alignment horizontal="center" vertical="center" wrapText="1"/>
      <protection locked="0"/>
    </xf>
    <xf numFmtId="0" fontId="30" fillId="0" borderId="12" xfId="0" applyFont="1" applyBorder="1" applyAlignment="1" applyProtection="1">
      <alignment horizontal="left" vertical="top"/>
    </xf>
    <xf numFmtId="1" fontId="22" fillId="10" borderId="360" xfId="9" applyFont="1" applyBorder="1" applyAlignment="1" applyProtection="1">
      <alignment horizontal="center" vertical="center"/>
      <protection locked="0"/>
    </xf>
    <xf numFmtId="0" fontId="13" fillId="0" borderId="92" xfId="0" applyFont="1" applyBorder="1" applyAlignment="1" applyProtection="1">
      <alignment horizontal="center" vertical="center" wrapText="1"/>
    </xf>
    <xf numFmtId="0" fontId="23" fillId="0" borderId="79" xfId="0" applyFont="1" applyBorder="1" applyAlignment="1" applyProtection="1">
      <alignment horizontal="left" vertical="top" wrapText="1"/>
    </xf>
    <xf numFmtId="0" fontId="23" fillId="32" borderId="114" xfId="22" applyBorder="1">
      <alignment horizontal="left" vertical="top" wrapText="1"/>
      <protection locked="0"/>
    </xf>
    <xf numFmtId="49" fontId="15" fillId="3" borderId="0" xfId="4" applyNumberFormat="1" applyFont="1" applyFill="1" applyBorder="1" applyAlignment="1">
      <alignment horizontal="center" vertical="center" wrapText="1"/>
    </xf>
    <xf numFmtId="49" fontId="15" fillId="3" borderId="8" xfId="4" applyNumberFormat="1" applyFont="1" applyFill="1" applyBorder="1" applyAlignment="1">
      <alignment horizontal="center" vertical="center" wrapText="1"/>
    </xf>
    <xf numFmtId="0" fontId="23" fillId="19" borderId="116" xfId="8" quotePrefix="1" applyFill="1" applyBorder="1" applyAlignment="1" applyProtection="1">
      <alignment horizontal="center" vertical="center" wrapText="1"/>
      <protection locked="0"/>
    </xf>
    <xf numFmtId="0" fontId="23" fillId="19" borderId="180" xfId="8" applyFill="1" applyBorder="1" applyAlignment="1" applyProtection="1">
      <alignment horizontal="center" vertical="center" wrapText="1"/>
      <protection locked="0"/>
    </xf>
    <xf numFmtId="0" fontId="23" fillId="0" borderId="478" xfId="0" applyFont="1" applyBorder="1" applyAlignment="1" applyProtection="1">
      <alignment horizontal="right" vertical="top" wrapText="1"/>
    </xf>
    <xf numFmtId="0" fontId="23" fillId="0" borderId="479" xfId="0" applyFont="1" applyBorder="1" applyAlignment="1">
      <alignment horizontal="right" vertical="top"/>
    </xf>
    <xf numFmtId="0" fontId="0" fillId="0" borderId="516" xfId="0" applyBorder="1" applyAlignment="1">
      <alignment horizontal="center"/>
    </xf>
    <xf numFmtId="0" fontId="13" fillId="0" borderId="365" xfId="0" applyFont="1" applyBorder="1" applyAlignment="1">
      <alignment horizontal="center" vertical="center" wrapText="1"/>
    </xf>
    <xf numFmtId="0" fontId="13" fillId="0" borderId="125" xfId="0" applyFont="1" applyBorder="1" applyAlignment="1">
      <alignment horizontal="center" vertical="center" wrapText="1"/>
    </xf>
    <xf numFmtId="167" fontId="87" fillId="11" borderId="195" xfId="10" applyFont="1" applyBorder="1">
      <alignment horizontal="left" vertical="top" wrapText="1"/>
    </xf>
    <xf numFmtId="0" fontId="13" fillId="0" borderId="18" xfId="0" applyFont="1" applyBorder="1" applyAlignment="1" applyProtection="1">
      <alignment horizontal="left" vertical="top" wrapText="1"/>
    </xf>
    <xf numFmtId="0" fontId="13" fillId="20" borderId="193" xfId="15" applyFill="1" applyBorder="1">
      <alignment horizontal="center" vertical="center"/>
    </xf>
    <xf numFmtId="0" fontId="13" fillId="20" borderId="194" xfId="15" applyFill="1" applyBorder="1">
      <alignment horizontal="center" vertical="center"/>
    </xf>
    <xf numFmtId="0" fontId="13" fillId="20" borderId="175" xfId="15" applyFill="1" applyBorder="1">
      <alignment horizontal="center" vertical="center"/>
    </xf>
    <xf numFmtId="0" fontId="13" fillId="0" borderId="18" xfId="0" applyFont="1" applyBorder="1" applyAlignment="1">
      <alignment horizontal="left" vertical="top" wrapText="1"/>
    </xf>
    <xf numFmtId="0" fontId="23" fillId="32" borderId="126" xfId="22" applyBorder="1">
      <alignment horizontal="left" vertical="top" wrapText="1"/>
      <protection locked="0"/>
    </xf>
    <xf numFmtId="0" fontId="13" fillId="0" borderId="192" xfId="0" applyFont="1" applyBorder="1" applyAlignment="1">
      <alignment horizontal="center" vertical="center" wrapText="1"/>
    </xf>
    <xf numFmtId="0" fontId="23" fillId="9" borderId="374" xfId="8" applyBorder="1">
      <alignment horizontal="left" vertical="top" wrapText="1"/>
    </xf>
    <xf numFmtId="0" fontId="23" fillId="9" borderId="85" xfId="8" applyBorder="1">
      <alignment horizontal="left" vertical="top" wrapText="1"/>
    </xf>
    <xf numFmtId="0" fontId="23" fillId="9" borderId="68" xfId="8" applyBorder="1">
      <alignment horizontal="left" vertical="top" wrapText="1"/>
    </xf>
    <xf numFmtId="0" fontId="23" fillId="9" borderId="373" xfId="8" applyBorder="1">
      <alignment horizontal="left" vertical="top" wrapText="1"/>
    </xf>
    <xf numFmtId="0" fontId="23" fillId="9" borderId="13" xfId="8" applyBorder="1">
      <alignment horizontal="left" vertical="top" wrapText="1"/>
    </xf>
    <xf numFmtId="0" fontId="23" fillId="9" borderId="0" xfId="8" applyBorder="1">
      <alignment horizontal="left" vertical="top" wrapText="1"/>
    </xf>
    <xf numFmtId="0" fontId="23" fillId="0" borderId="276" xfId="0" applyFont="1" applyBorder="1" applyAlignment="1">
      <alignment horizontal="left" vertical="top" wrapText="1"/>
    </xf>
    <xf numFmtId="0" fontId="13" fillId="0" borderId="276" xfId="0" applyFont="1" applyBorder="1" applyAlignment="1">
      <alignment horizontal="left" vertical="top" wrapText="1"/>
    </xf>
    <xf numFmtId="0" fontId="36" fillId="8" borderId="63" xfId="5" applyFont="1" applyFill="1" applyBorder="1" applyAlignment="1" applyProtection="1">
      <alignment horizontal="right" vertical="center" wrapText="1"/>
    </xf>
    <xf numFmtId="0" fontId="36" fillId="8" borderId="64" xfId="5" applyFont="1" applyFill="1" applyBorder="1" applyAlignment="1" applyProtection="1">
      <alignment horizontal="right" vertical="center" wrapText="1"/>
    </xf>
    <xf numFmtId="0" fontId="23" fillId="0" borderId="176" xfId="0" applyFont="1" applyBorder="1" applyAlignment="1">
      <alignment horizontal="left" vertical="top" wrapText="1"/>
    </xf>
    <xf numFmtId="0" fontId="23" fillId="32" borderId="357" xfId="22" applyBorder="1">
      <alignment horizontal="left" vertical="top" wrapText="1"/>
      <protection locked="0"/>
    </xf>
    <xf numFmtId="0" fontId="23" fillId="32" borderId="517" xfId="22" applyBorder="1">
      <alignment horizontal="left" vertical="top" wrapText="1"/>
      <protection locked="0"/>
    </xf>
    <xf numFmtId="0" fontId="23" fillId="32" borderId="8" xfId="22" applyBorder="1">
      <alignment horizontal="left" vertical="top" wrapText="1"/>
      <protection locked="0"/>
    </xf>
    <xf numFmtId="0" fontId="23" fillId="32" borderId="518" xfId="22" applyBorder="1">
      <alignment horizontal="left" vertical="top" wrapText="1"/>
      <protection locked="0"/>
    </xf>
    <xf numFmtId="0" fontId="13" fillId="20" borderId="364" xfId="15" applyFill="1" applyBorder="1">
      <alignment horizontal="center" vertical="center"/>
    </xf>
    <xf numFmtId="0" fontId="30" fillId="0" borderId="85" xfId="0" applyFont="1" applyBorder="1" applyAlignment="1" applyProtection="1">
      <alignment horizontal="center" vertical="center" wrapText="1"/>
      <protection locked="0"/>
    </xf>
    <xf numFmtId="0" fontId="21" fillId="0" borderId="27" xfId="12" applyFill="1" applyBorder="1" applyProtection="1">
      <alignment horizontal="left" vertical="top" wrapText="1"/>
    </xf>
    <xf numFmtId="0" fontId="21" fillId="0" borderId="26" xfId="12" applyFill="1" applyBorder="1" applyProtection="1">
      <alignment horizontal="left" vertical="top" wrapText="1"/>
    </xf>
    <xf numFmtId="0" fontId="13" fillId="0" borderId="27" xfId="0" applyFont="1" applyBorder="1" applyAlignment="1" applyProtection="1">
      <alignment horizontal="left" vertical="top" wrapText="1"/>
    </xf>
    <xf numFmtId="0" fontId="13" fillId="0" borderId="36" xfId="0" applyFont="1" applyBorder="1" applyAlignment="1" applyProtection="1">
      <alignment horizontal="left" vertical="top" wrapText="1"/>
    </xf>
    <xf numFmtId="0" fontId="23" fillId="9" borderId="372" xfId="8" applyBorder="1">
      <alignment horizontal="left" vertical="top" wrapText="1"/>
    </xf>
    <xf numFmtId="0" fontId="23" fillId="9" borderId="116" xfId="8" applyBorder="1">
      <alignment horizontal="left" vertical="top" wrapText="1"/>
    </xf>
    <xf numFmtId="0" fontId="23" fillId="9" borderId="514" xfId="8" applyBorder="1">
      <alignment horizontal="left" vertical="top" wrapText="1"/>
    </xf>
    <xf numFmtId="0" fontId="23" fillId="9" borderId="515" xfId="8" applyBorder="1">
      <alignment horizontal="left" vertical="top" wrapText="1"/>
    </xf>
    <xf numFmtId="0" fontId="23" fillId="32" borderId="363" xfId="22" applyBorder="1">
      <alignment horizontal="left" vertical="top" wrapText="1"/>
      <protection locked="0"/>
    </xf>
    <xf numFmtId="0" fontId="23" fillId="0" borderId="151" xfId="0" applyFont="1" applyBorder="1" applyAlignment="1" applyProtection="1">
      <alignment horizontal="left" vertical="top" wrapText="1"/>
    </xf>
    <xf numFmtId="0" fontId="0" fillId="0" borderId="151" xfId="0" applyBorder="1" applyAlignment="1">
      <alignment horizontal="left" vertical="top" wrapText="1"/>
    </xf>
    <xf numFmtId="166" fontId="23" fillId="0" borderId="745" xfId="0" applyNumberFormat="1" applyFont="1" applyBorder="1" applyAlignment="1">
      <alignment horizontal="left" vertical="top" wrapText="1"/>
    </xf>
    <xf numFmtId="166" fontId="23" fillId="0" borderId="447" xfId="0" applyNumberFormat="1" applyFont="1" applyBorder="1" applyAlignment="1">
      <alignment horizontal="left" vertical="top" wrapText="1"/>
    </xf>
    <xf numFmtId="0" fontId="13" fillId="0" borderId="27" xfId="0" applyFont="1" applyBorder="1" applyAlignment="1">
      <alignment horizontal="left" vertical="top" wrapText="1"/>
    </xf>
    <xf numFmtId="0" fontId="13" fillId="0" borderId="30" xfId="0" applyFont="1" applyBorder="1" applyAlignment="1">
      <alignment horizontal="left" vertical="top" wrapText="1"/>
    </xf>
    <xf numFmtId="0" fontId="23" fillId="32" borderId="361" xfId="22" applyBorder="1" applyAlignment="1">
      <alignment horizontal="left" vertical="top" wrapText="1"/>
      <protection locked="0"/>
    </xf>
    <xf numFmtId="0" fontId="23" fillId="32" borderId="88" xfId="22" applyBorder="1" applyAlignment="1">
      <alignment horizontal="left" vertical="top" wrapText="1"/>
      <protection locked="0"/>
    </xf>
    <xf numFmtId="49" fontId="3" fillId="43" borderId="11" xfId="7" applyFont="1" applyBorder="1">
      <alignment horizontal="left" vertical="center" wrapText="1"/>
    </xf>
    <xf numFmtId="0" fontId="21" fillId="0" borderId="32" xfId="4" applyNumberFormat="1" applyFont="1" applyFill="1" applyBorder="1" applyAlignment="1">
      <alignment vertical="top" wrapText="1"/>
    </xf>
    <xf numFmtId="0" fontId="0" fillId="3" borderId="0" xfId="0" applyFont="1" applyFill="1" applyBorder="1" applyAlignment="1">
      <alignment horizontal="center"/>
    </xf>
    <xf numFmtId="0" fontId="0" fillId="0" borderId="116" xfId="0" quotePrefix="1" applyBorder="1" applyAlignment="1" applyProtection="1">
      <alignment horizontal="center" vertical="center"/>
      <protection locked="0"/>
    </xf>
    <xf numFmtId="0" fontId="23" fillId="0" borderId="68" xfId="0" applyFont="1" applyBorder="1" applyAlignment="1">
      <alignment horizontal="center" vertical="top"/>
    </xf>
    <xf numFmtId="0" fontId="64" fillId="0" borderId="18" xfId="0" applyFont="1" applyBorder="1" applyAlignment="1">
      <alignment horizontal="left" vertical="top" wrapText="1"/>
    </xf>
    <xf numFmtId="0" fontId="62" fillId="0" borderId="18" xfId="0" applyFont="1" applyBorder="1" applyAlignment="1">
      <alignment horizontal="left" vertical="top" wrapText="1"/>
    </xf>
    <xf numFmtId="0" fontId="23" fillId="3" borderId="202" xfId="0" applyFont="1" applyFill="1" applyBorder="1" applyAlignment="1" applyProtection="1">
      <alignment horizontal="left" vertical="top" wrapText="1"/>
    </xf>
    <xf numFmtId="0" fontId="23" fillId="3" borderId="434" xfId="0" applyFont="1" applyFill="1" applyBorder="1" applyAlignment="1" applyProtection="1">
      <alignment horizontal="left" vertical="top" wrapText="1"/>
    </xf>
    <xf numFmtId="0" fontId="19" fillId="8" borderId="220" xfId="6" applyBorder="1" applyProtection="1">
      <alignment horizontal="center" vertical="center" wrapText="1"/>
    </xf>
    <xf numFmtId="0" fontId="19" fillId="8" borderId="27" xfId="6" applyBorder="1" applyProtection="1">
      <alignment horizontal="center" vertical="center" wrapText="1"/>
    </xf>
    <xf numFmtId="0" fontId="19" fillId="8" borderId="429" xfId="6" applyBorder="1" applyProtection="1">
      <alignment horizontal="center" vertical="center" wrapText="1"/>
    </xf>
    <xf numFmtId="0" fontId="23" fillId="0" borderId="166" xfId="0" applyFont="1" applyBorder="1" applyAlignment="1" applyProtection="1">
      <alignment horizontal="left" vertical="top" wrapText="1"/>
    </xf>
    <xf numFmtId="0" fontId="23" fillId="0" borderId="429" xfId="0" applyFont="1" applyBorder="1" applyAlignment="1" applyProtection="1">
      <alignment horizontal="left" vertical="top" wrapText="1"/>
    </xf>
    <xf numFmtId="0" fontId="19" fillId="8" borderId="199" xfId="6" applyBorder="1" applyAlignment="1" applyProtection="1">
      <alignment horizontal="center" wrapText="1"/>
    </xf>
    <xf numFmtId="0" fontId="19" fillId="8" borderId="10" xfId="6" applyBorder="1" applyAlignment="1" applyProtection="1">
      <alignment horizontal="center" wrapText="1"/>
    </xf>
    <xf numFmtId="0" fontId="19" fillId="8" borderId="519" xfId="6" applyBorder="1" applyAlignment="1" applyProtection="1">
      <alignment horizontal="center" wrapText="1"/>
    </xf>
    <xf numFmtId="0" fontId="23" fillId="22" borderId="166" xfId="0" applyFont="1" applyFill="1" applyBorder="1" applyAlignment="1" applyProtection="1">
      <alignment horizontal="left" vertical="top" wrapText="1"/>
    </xf>
    <xf numFmtId="0" fontId="23" fillId="22" borderId="429" xfId="0" applyFont="1" applyFill="1" applyBorder="1" applyAlignment="1" applyProtection="1">
      <alignment horizontal="left" vertical="top" wrapText="1"/>
    </xf>
    <xf numFmtId="0" fontId="23" fillId="0" borderId="219" xfId="0" applyFont="1" applyBorder="1" applyAlignment="1" applyProtection="1">
      <alignment horizontal="left" vertical="top" wrapText="1"/>
    </xf>
    <xf numFmtId="0" fontId="23" fillId="0" borderId="431" xfId="0" applyFont="1" applyBorder="1" applyAlignment="1" applyProtection="1">
      <alignment horizontal="left" vertical="top" wrapText="1"/>
    </xf>
    <xf numFmtId="0" fontId="23" fillId="28" borderId="207" xfId="0" applyFont="1" applyFill="1" applyBorder="1" applyAlignment="1" applyProtection="1">
      <alignment horizontal="left" vertical="top" wrapText="1"/>
    </xf>
    <xf numFmtId="0" fontId="23" fillId="28" borderId="432" xfId="0" applyFont="1" applyFill="1" applyBorder="1" applyAlignment="1" applyProtection="1">
      <alignment horizontal="left" vertical="top" wrapText="1"/>
    </xf>
    <xf numFmtId="0" fontId="23" fillId="12" borderId="220" xfId="0" applyFont="1" applyFill="1" applyBorder="1" applyProtection="1"/>
    <xf numFmtId="0" fontId="23" fillId="12" borderId="27" xfId="0" applyFont="1" applyFill="1" applyBorder="1" applyProtection="1"/>
    <xf numFmtId="0" fontId="23" fillId="12" borderId="429" xfId="0" applyFont="1" applyFill="1" applyBorder="1" applyProtection="1"/>
    <xf numFmtId="0" fontId="22" fillId="26" borderId="220" xfId="0" applyFont="1" applyFill="1" applyBorder="1" applyAlignment="1" applyProtection="1">
      <alignment horizontal="center" vertical="top" wrapText="1"/>
    </xf>
    <xf numFmtId="0" fontId="22" fillId="26" borderId="27" xfId="0" applyFont="1" applyFill="1" applyBorder="1" applyAlignment="1" applyProtection="1">
      <alignment horizontal="center" vertical="top" wrapText="1"/>
    </xf>
    <xf numFmtId="0" fontId="22" fillId="26" borderId="429" xfId="0" applyFont="1" applyFill="1" applyBorder="1" applyAlignment="1" applyProtection="1">
      <alignment horizontal="center" vertical="top" wrapText="1"/>
    </xf>
    <xf numFmtId="0" fontId="22" fillId="0" borderId="205" xfId="0" applyFont="1" applyBorder="1" applyAlignment="1" applyProtection="1">
      <alignment horizontal="left" vertical="top" wrapText="1" indent="8"/>
    </xf>
    <xf numFmtId="0" fontId="22" fillId="0" borderId="200" xfId="0" applyFont="1" applyBorder="1" applyAlignment="1" applyProtection="1">
      <alignment horizontal="left" vertical="top" wrapText="1" indent="8"/>
    </xf>
    <xf numFmtId="0" fontId="22" fillId="0" borderId="206" xfId="0" applyFont="1" applyBorder="1" applyAlignment="1" applyProtection="1">
      <alignment horizontal="center" vertical="center" wrapText="1"/>
    </xf>
    <xf numFmtId="0" fontId="22" fillId="0" borderId="214" xfId="0" applyFont="1" applyBorder="1" applyAlignment="1" applyProtection="1">
      <alignment horizontal="center" vertical="center" wrapText="1"/>
    </xf>
    <xf numFmtId="0" fontId="22" fillId="0" borderId="201" xfId="0" applyFont="1" applyBorder="1" applyAlignment="1" applyProtection="1">
      <alignment horizontal="center" vertical="center" wrapText="1"/>
    </xf>
    <xf numFmtId="0" fontId="23" fillId="3" borderId="223" xfId="0" applyFont="1" applyFill="1" applyBorder="1" applyAlignment="1" applyProtection="1">
      <alignment horizontal="left" vertical="top" wrapText="1"/>
    </xf>
    <xf numFmtId="0" fontId="23" fillId="3" borderId="435" xfId="0" applyFont="1" applyFill="1" applyBorder="1" applyAlignment="1" applyProtection="1">
      <alignment horizontal="left" vertical="top" wrapText="1"/>
    </xf>
    <xf numFmtId="0" fontId="23" fillId="3" borderId="166" xfId="0" applyNumberFormat="1" applyFont="1" applyFill="1" applyBorder="1" applyAlignment="1" applyProtection="1">
      <alignment horizontal="left" vertical="top" wrapText="1"/>
    </xf>
    <xf numFmtId="0" fontId="23" fillId="3" borderId="429" xfId="0" applyNumberFormat="1" applyFont="1" applyFill="1" applyBorder="1" applyAlignment="1" applyProtection="1">
      <alignment horizontal="left" vertical="top" wrapText="1"/>
    </xf>
    <xf numFmtId="0" fontId="23" fillId="3" borderId="166" xfId="0" applyFont="1" applyFill="1" applyBorder="1" applyAlignment="1" applyProtection="1">
      <alignment horizontal="left" vertical="top" wrapText="1"/>
    </xf>
    <xf numFmtId="0" fontId="23" fillId="3" borderId="429" xfId="0" applyFont="1" applyFill="1" applyBorder="1" applyAlignment="1" applyProtection="1">
      <alignment horizontal="left" vertical="top" wrapText="1"/>
    </xf>
    <xf numFmtId="0" fontId="23" fillId="28" borderId="166" xfId="0" applyFont="1" applyFill="1" applyBorder="1" applyAlignment="1" applyProtection="1">
      <alignment horizontal="left" vertical="top" wrapText="1"/>
    </xf>
    <xf numFmtId="0" fontId="23" fillId="28" borderId="429" xfId="0" applyFont="1" applyFill="1" applyBorder="1" applyAlignment="1" applyProtection="1">
      <alignment horizontal="left" vertical="top" wrapText="1"/>
    </xf>
    <xf numFmtId="0" fontId="23" fillId="28" borderId="211" xfId="0" applyFont="1" applyFill="1" applyBorder="1" applyAlignment="1" applyProtection="1">
      <alignment horizontal="left" vertical="top" wrapText="1"/>
    </xf>
    <xf numFmtId="0" fontId="23" fillId="28" borderId="436" xfId="0" applyFont="1" applyFill="1" applyBorder="1" applyAlignment="1" applyProtection="1">
      <alignment horizontal="left" vertical="top" wrapText="1"/>
    </xf>
    <xf numFmtId="0" fontId="23" fillId="22" borderId="211" xfId="0" applyFont="1" applyFill="1" applyBorder="1" applyAlignment="1" applyProtection="1">
      <alignment horizontal="left" vertical="top" wrapText="1"/>
    </xf>
    <xf numFmtId="0" fontId="23" fillId="22" borderId="436" xfId="0" applyFont="1" applyFill="1" applyBorder="1" applyAlignment="1" applyProtection="1">
      <alignment horizontal="left" vertical="top" wrapText="1"/>
    </xf>
    <xf numFmtId="0" fontId="23" fillId="3" borderId="207" xfId="0" applyFont="1" applyFill="1" applyBorder="1" applyAlignment="1" applyProtection="1">
      <alignment horizontal="left" vertical="top" wrapText="1"/>
    </xf>
    <xf numFmtId="0" fontId="23" fillId="3" borderId="432" xfId="0" applyFont="1" applyFill="1" applyBorder="1" applyAlignment="1" applyProtection="1">
      <alignment horizontal="left" vertical="top" wrapText="1"/>
    </xf>
    <xf numFmtId="0" fontId="23" fillId="3" borderId="215" xfId="0" applyFont="1" applyFill="1" applyBorder="1" applyAlignment="1" applyProtection="1">
      <alignment horizontal="left" vertical="top" wrapText="1"/>
    </xf>
    <xf numFmtId="0" fontId="23" fillId="3" borderId="433" xfId="0" applyFont="1" applyFill="1" applyBorder="1" applyAlignment="1" applyProtection="1">
      <alignment horizontal="left" vertical="top" wrapText="1"/>
    </xf>
    <xf numFmtId="0" fontId="23" fillId="3" borderId="211" xfId="0" applyFont="1" applyFill="1" applyBorder="1" applyAlignment="1" applyProtection="1">
      <alignment horizontal="left" vertical="top" wrapText="1"/>
    </xf>
    <xf numFmtId="0" fontId="23" fillId="3" borderId="436" xfId="0" applyFont="1" applyFill="1" applyBorder="1" applyAlignment="1" applyProtection="1">
      <alignment horizontal="left" vertical="top" wrapText="1"/>
    </xf>
    <xf numFmtId="0" fontId="23" fillId="0" borderId="207" xfId="0" applyFont="1" applyBorder="1" applyAlignment="1" applyProtection="1">
      <alignment horizontal="left" vertical="top" wrapText="1"/>
    </xf>
    <xf numFmtId="0" fontId="23" fillId="0" borderId="432" xfId="0" applyFont="1" applyBorder="1" applyAlignment="1" applyProtection="1">
      <alignment horizontal="left" vertical="top" wrapText="1"/>
    </xf>
    <xf numFmtId="0" fontId="23" fillId="0" borderId="202" xfId="0" applyFont="1" applyBorder="1" applyAlignment="1" applyProtection="1">
      <alignment horizontal="left" vertical="top" wrapText="1"/>
    </xf>
    <xf numFmtId="0" fontId="23" fillId="0" borderId="434" xfId="0" applyFont="1" applyBorder="1" applyAlignment="1" applyProtection="1">
      <alignment horizontal="left" vertical="top" wrapText="1"/>
    </xf>
    <xf numFmtId="0" fontId="22" fillId="22" borderId="228" xfId="0" applyFont="1" applyFill="1" applyBorder="1" applyAlignment="1" applyProtection="1">
      <alignment vertical="top" wrapText="1"/>
    </xf>
    <xf numFmtId="0" fontId="22" fillId="22" borderId="448" xfId="0" applyFont="1" applyFill="1" applyBorder="1" applyAlignment="1" applyProtection="1">
      <alignment vertical="top" wrapText="1"/>
    </xf>
    <xf numFmtId="0" fontId="23" fillId="3" borderId="219" xfId="0" applyFont="1" applyFill="1" applyBorder="1" applyAlignment="1" applyProtection="1">
      <alignment horizontal="left" vertical="top" wrapText="1"/>
    </xf>
    <xf numFmtId="0" fontId="23" fillId="3" borderId="431" xfId="0" applyFont="1" applyFill="1" applyBorder="1" applyAlignment="1" applyProtection="1">
      <alignment horizontal="left" vertical="top" wrapText="1"/>
    </xf>
    <xf numFmtId="0" fontId="22" fillId="0" borderId="205" xfId="0" applyFont="1" applyFill="1" applyBorder="1" applyAlignment="1" applyProtection="1">
      <alignment horizontal="left" vertical="top" wrapText="1" indent="4"/>
    </xf>
    <xf numFmtId="0" fontId="22" fillId="0" borderId="200" xfId="0" applyFont="1" applyFill="1" applyBorder="1" applyAlignment="1" applyProtection="1">
      <alignment horizontal="left" vertical="top" wrapText="1" indent="4"/>
    </xf>
    <xf numFmtId="0" fontId="22" fillId="0" borderId="205" xfId="0" applyFont="1" applyBorder="1" applyAlignment="1" applyProtection="1">
      <alignment horizontal="left" vertical="top" wrapText="1" indent="4"/>
    </xf>
    <xf numFmtId="0" fontId="22" fillId="0" borderId="200" xfId="0" applyFont="1" applyBorder="1" applyAlignment="1" applyProtection="1">
      <alignment horizontal="left" vertical="top" wrapText="1" indent="4"/>
    </xf>
    <xf numFmtId="0" fontId="23" fillId="28" borderId="224" xfId="0" applyFont="1" applyFill="1" applyBorder="1" applyAlignment="1" applyProtection="1">
      <alignment horizontal="left" vertical="top" wrapText="1"/>
    </xf>
    <xf numFmtId="0" fontId="23" fillId="28" borderId="511" xfId="0" applyFont="1" applyFill="1" applyBorder="1" applyAlignment="1" applyProtection="1">
      <alignment horizontal="left" vertical="top" wrapText="1"/>
    </xf>
    <xf numFmtId="0" fontId="23" fillId="0" borderId="215" xfId="0" applyFont="1" applyBorder="1" applyAlignment="1" applyProtection="1">
      <alignment horizontal="left" vertical="top" wrapText="1"/>
    </xf>
    <xf numFmtId="0" fontId="23" fillId="0" borderId="433" xfId="0" applyFont="1" applyBorder="1" applyAlignment="1" applyProtection="1">
      <alignment horizontal="left" vertical="top" wrapText="1"/>
    </xf>
    <xf numFmtId="0" fontId="23" fillId="12" borderId="232" xfId="0" applyFont="1" applyFill="1" applyBorder="1" applyProtection="1"/>
    <xf numFmtId="0" fontId="23" fillId="12" borderId="0" xfId="0" applyFont="1" applyFill="1" applyBorder="1" applyProtection="1"/>
    <xf numFmtId="0" fontId="23" fillId="12" borderId="433" xfId="0" applyFont="1" applyFill="1" applyBorder="1" applyProtection="1"/>
    <xf numFmtId="0" fontId="23" fillId="28" borderId="422" xfId="6" applyFont="1" applyFill="1" applyBorder="1" applyAlignment="1" applyProtection="1">
      <alignment horizontal="left" vertical="top" wrapText="1"/>
    </xf>
    <xf numFmtId="0" fontId="23" fillId="28" borderId="521" xfId="6" applyFont="1" applyFill="1" applyBorder="1" applyAlignment="1" applyProtection="1">
      <alignment horizontal="left" vertical="top" wrapText="1"/>
    </xf>
    <xf numFmtId="0" fontId="23" fillId="3" borderId="422" xfId="6" applyFont="1" applyFill="1" applyBorder="1" applyAlignment="1" applyProtection="1">
      <alignment horizontal="left" vertical="top" wrapText="1"/>
    </xf>
    <xf numFmtId="0" fontId="23" fillId="3" borderId="521" xfId="6" applyFont="1" applyFill="1" applyBorder="1" applyAlignment="1" applyProtection="1">
      <alignment horizontal="left" vertical="top" wrapText="1"/>
    </xf>
    <xf numFmtId="0" fontId="23" fillId="3" borderId="455" xfId="6" applyFont="1" applyFill="1" applyBorder="1" applyAlignment="1" applyProtection="1">
      <alignment horizontal="left" vertical="top" wrapText="1"/>
    </xf>
    <xf numFmtId="0" fontId="23" fillId="3" borderId="523" xfId="6" applyFont="1" applyFill="1" applyBorder="1" applyAlignment="1" applyProtection="1">
      <alignment horizontal="left" vertical="top" wrapText="1"/>
    </xf>
    <xf numFmtId="0" fontId="23" fillId="28" borderId="457" xfId="6" applyFont="1" applyFill="1" applyBorder="1" applyAlignment="1" applyProtection="1">
      <alignment horizontal="left" vertical="top" wrapText="1"/>
    </xf>
    <xf numFmtId="0" fontId="23" fillId="28" borderId="527" xfId="6" applyFont="1" applyFill="1" applyBorder="1" applyAlignment="1" applyProtection="1">
      <alignment horizontal="left" vertical="top" wrapText="1"/>
    </xf>
    <xf numFmtId="0" fontId="23" fillId="3" borderId="228" xfId="0" applyFont="1" applyFill="1" applyBorder="1" applyAlignment="1" applyProtection="1">
      <alignment horizontal="left" vertical="top" wrapText="1"/>
    </xf>
    <xf numFmtId="0" fontId="23" fillId="3" borderId="448" xfId="0" applyFont="1" applyFill="1" applyBorder="1" applyAlignment="1" applyProtection="1">
      <alignment horizontal="left" vertical="top" wrapText="1"/>
    </xf>
    <xf numFmtId="0" fontId="23" fillId="28" borderId="210" xfId="0" applyFont="1" applyFill="1" applyBorder="1" applyAlignment="1" applyProtection="1">
      <alignment horizontal="left" vertical="top" wrapText="1"/>
    </xf>
    <xf numFmtId="0" fontId="23" fillId="28" borderId="212" xfId="0" applyFont="1" applyFill="1" applyBorder="1" applyAlignment="1" applyProtection="1">
      <alignment horizontal="left" vertical="top" wrapText="1"/>
    </xf>
    <xf numFmtId="0" fontId="23" fillId="0" borderId="228" xfId="0" applyFont="1" applyBorder="1" applyAlignment="1" applyProtection="1">
      <alignment horizontal="left" vertical="top" wrapText="1"/>
    </xf>
    <xf numFmtId="0" fontId="23" fillId="0" borderId="448" xfId="0" applyFont="1" applyBorder="1" applyAlignment="1" applyProtection="1">
      <alignment horizontal="left" vertical="top" wrapText="1"/>
    </xf>
    <xf numFmtId="0" fontId="0" fillId="28" borderId="166" xfId="0" applyFont="1" applyFill="1" applyBorder="1"/>
    <xf numFmtId="0" fontId="0" fillId="28" borderId="429" xfId="0" applyFont="1" applyFill="1" applyBorder="1"/>
    <xf numFmtId="0" fontId="23" fillId="0" borderId="312" xfId="0" applyFont="1" applyBorder="1" applyAlignment="1" applyProtection="1">
      <alignment horizontal="left" vertical="top" wrapText="1"/>
    </xf>
    <xf numFmtId="0" fontId="23" fillId="0" borderId="204" xfId="0" applyFont="1" applyBorder="1" applyAlignment="1" applyProtection="1">
      <alignment horizontal="left" vertical="top" wrapText="1"/>
    </xf>
    <xf numFmtId="0" fontId="23" fillId="28" borderId="206" xfId="0" applyFont="1" applyFill="1" applyBorder="1" applyAlignment="1" applyProtection="1">
      <alignment horizontal="left" vertical="top" wrapText="1"/>
    </xf>
    <xf numFmtId="0" fontId="23" fillId="28" borderId="208" xfId="0" applyFont="1" applyFill="1" applyBorder="1" applyAlignment="1" applyProtection="1">
      <alignment horizontal="left" vertical="top" wrapText="1"/>
    </xf>
    <xf numFmtId="0" fontId="23" fillId="0" borderId="211" xfId="0" applyFont="1" applyBorder="1" applyAlignment="1" applyProtection="1">
      <alignment horizontal="left" vertical="top" wrapText="1"/>
    </xf>
    <xf numFmtId="0" fontId="23" fillId="0" borderId="436" xfId="0" applyFont="1" applyBorder="1" applyAlignment="1" applyProtection="1">
      <alignment horizontal="left" vertical="top" wrapText="1"/>
    </xf>
    <xf numFmtId="0" fontId="81" fillId="0" borderId="453" xfId="6" applyFont="1" applyFill="1" applyBorder="1" applyAlignment="1" applyProtection="1">
      <alignment horizontal="left" vertical="top" wrapText="1" indent="4"/>
    </xf>
    <xf numFmtId="0" fontId="81" fillId="0" borderId="534" xfId="6" applyFont="1" applyFill="1" applyBorder="1" applyAlignment="1" applyProtection="1">
      <alignment horizontal="left" vertical="top" wrapText="1" indent="4"/>
    </xf>
    <xf numFmtId="0" fontId="13" fillId="3" borderId="109" xfId="6" applyFont="1" applyFill="1" applyBorder="1" applyProtection="1">
      <alignment horizontal="center" vertical="center" wrapText="1"/>
    </xf>
    <xf numFmtId="0" fontId="13" fillId="3" borderId="465" xfId="6" applyFont="1" applyFill="1" applyBorder="1" applyProtection="1">
      <alignment horizontal="center" vertical="center" wrapText="1"/>
    </xf>
    <xf numFmtId="0" fontId="23" fillId="3" borderId="462" xfId="6" applyFont="1" applyFill="1" applyBorder="1" applyAlignment="1" applyProtection="1">
      <alignment horizontal="left" vertical="top" wrapText="1"/>
    </xf>
    <xf numFmtId="0" fontId="23" fillId="3" borderId="532" xfId="6" applyFont="1" applyFill="1" applyBorder="1" applyAlignment="1" applyProtection="1">
      <alignment horizontal="left" vertical="top" wrapText="1"/>
    </xf>
    <xf numFmtId="0" fontId="23" fillId="3" borderId="466" xfId="6" applyFont="1" applyFill="1" applyBorder="1" applyAlignment="1" applyProtection="1">
      <alignment horizontal="left" vertical="top" wrapText="1"/>
    </xf>
    <xf numFmtId="0" fontId="23" fillId="3" borderId="535" xfId="6" applyFont="1" applyFill="1" applyBorder="1" applyAlignment="1" applyProtection="1">
      <alignment horizontal="left" vertical="top" wrapText="1"/>
    </xf>
    <xf numFmtId="0" fontId="23" fillId="3" borderId="461" xfId="6" applyFont="1" applyFill="1" applyBorder="1" applyAlignment="1" applyProtection="1">
      <alignment horizontal="left" vertical="top" wrapText="1"/>
    </xf>
    <xf numFmtId="0" fontId="23" fillId="3" borderId="531" xfId="6" applyFont="1" applyFill="1" applyBorder="1" applyAlignment="1" applyProtection="1">
      <alignment horizontal="left" vertical="top" wrapText="1"/>
    </xf>
    <xf numFmtId="0" fontId="23" fillId="3" borderId="464" xfId="6" applyFont="1" applyFill="1" applyBorder="1" applyAlignment="1" applyProtection="1">
      <alignment horizontal="left" vertical="top" wrapText="1"/>
    </xf>
    <xf numFmtId="0" fontId="23" fillId="3" borderId="533" xfId="6" applyFont="1" applyFill="1" applyBorder="1" applyAlignment="1" applyProtection="1">
      <alignment horizontal="left" vertical="top" wrapText="1"/>
    </xf>
    <xf numFmtId="0" fontId="23" fillId="22" borderId="202" xfId="0" applyFont="1" applyFill="1" applyBorder="1" applyAlignment="1" applyProtection="1">
      <alignment horizontal="left" vertical="top" wrapText="1"/>
    </xf>
    <xf numFmtId="0" fontId="23" fillId="22" borderId="434" xfId="0" applyFont="1" applyFill="1" applyBorder="1" applyAlignment="1" applyProtection="1">
      <alignment horizontal="left" vertical="top" wrapText="1"/>
    </xf>
    <xf numFmtId="0" fontId="19" fillId="28" borderId="422" xfId="6" applyFill="1" applyBorder="1" applyAlignment="1" applyProtection="1">
      <alignment horizontal="left" vertical="top" wrapText="1"/>
    </xf>
    <xf numFmtId="0" fontId="19" fillId="28" borderId="521" xfId="6" applyFill="1" applyBorder="1" applyAlignment="1" applyProtection="1">
      <alignment horizontal="left" vertical="top" wrapText="1"/>
    </xf>
    <xf numFmtId="0" fontId="78" fillId="3" borderId="422" xfId="6" applyFont="1" applyFill="1" applyBorder="1" applyAlignment="1" applyProtection="1">
      <alignment horizontal="left" vertical="top" wrapText="1"/>
    </xf>
    <xf numFmtId="0" fontId="78" fillId="3" borderId="521" xfId="6" applyFont="1" applyFill="1" applyBorder="1" applyAlignment="1" applyProtection="1">
      <alignment horizontal="left" vertical="top" wrapText="1"/>
    </xf>
    <xf numFmtId="0" fontId="23" fillId="3" borderId="460" xfId="6" applyFont="1" applyFill="1" applyBorder="1" applyAlignment="1" applyProtection="1">
      <alignment horizontal="left" vertical="top" wrapText="1"/>
    </xf>
    <xf numFmtId="0" fontId="23" fillId="3" borderId="525" xfId="6" applyFont="1" applyFill="1" applyBorder="1" applyAlignment="1" applyProtection="1">
      <alignment horizontal="left" vertical="top" wrapText="1"/>
    </xf>
    <xf numFmtId="0" fontId="13" fillId="28" borderId="457" xfId="6" applyFont="1" applyFill="1" applyBorder="1" applyAlignment="1" applyProtection="1">
      <alignment horizontal="left" vertical="top" wrapText="1"/>
    </xf>
    <xf numFmtId="0" fontId="13" fillId="28" borderId="527" xfId="6" applyFont="1" applyFill="1" applyBorder="1" applyAlignment="1" applyProtection="1">
      <alignment horizontal="left" vertical="top" wrapText="1"/>
    </xf>
    <xf numFmtId="0" fontId="23" fillId="3" borderId="463" xfId="6" applyFont="1" applyFill="1" applyBorder="1" applyAlignment="1" applyProtection="1">
      <alignment horizontal="left" vertical="top" wrapText="1"/>
    </xf>
    <xf numFmtId="0" fontId="23" fillId="3" borderId="433" xfId="6" applyFont="1" applyFill="1" applyBorder="1" applyAlignment="1" applyProtection="1">
      <alignment horizontal="left" vertical="top" wrapText="1"/>
    </xf>
    <xf numFmtId="0" fontId="23" fillId="28" borderId="466" xfId="6" applyFont="1" applyFill="1" applyBorder="1" applyAlignment="1" applyProtection="1">
      <alignment horizontal="left" vertical="top" wrapText="1"/>
    </xf>
    <xf numFmtId="0" fontId="23" fillId="28" borderId="535" xfId="6" applyFont="1" applyFill="1" applyBorder="1" applyAlignment="1" applyProtection="1">
      <alignment horizontal="left" vertical="top" wrapText="1"/>
    </xf>
    <xf numFmtId="0" fontId="23" fillId="0" borderId="223" xfId="0" applyFont="1" applyBorder="1" applyAlignment="1" applyProtection="1">
      <alignment horizontal="left" vertical="top" wrapText="1"/>
    </xf>
    <xf numFmtId="0" fontId="23" fillId="0" borderId="435" xfId="0" applyFont="1" applyBorder="1" applyAlignment="1" applyProtection="1">
      <alignment horizontal="left" vertical="top" wrapText="1"/>
    </xf>
    <xf numFmtId="0" fontId="23" fillId="0" borderId="449" xfId="0" applyFont="1" applyBorder="1" applyAlignment="1" applyProtection="1">
      <alignment horizontal="left" vertical="top" wrapText="1"/>
    </xf>
    <xf numFmtId="0" fontId="23" fillId="0" borderId="450" xfId="0" applyFont="1" applyBorder="1" applyAlignment="1" applyProtection="1">
      <alignment horizontal="left" vertical="top" wrapText="1"/>
    </xf>
    <xf numFmtId="0" fontId="23" fillId="3" borderId="207" xfId="0" applyNumberFormat="1" applyFont="1" applyFill="1" applyBorder="1" applyAlignment="1" applyProtection="1">
      <alignment horizontal="left" vertical="top" wrapText="1"/>
    </xf>
    <xf numFmtId="0" fontId="23" fillId="3" borderId="432" xfId="0" applyNumberFormat="1" applyFont="1" applyFill="1" applyBorder="1" applyAlignment="1" applyProtection="1">
      <alignment horizontal="left" vertical="top" wrapText="1"/>
    </xf>
    <xf numFmtId="0" fontId="23" fillId="3" borderId="215" xfId="0" applyNumberFormat="1" applyFont="1" applyFill="1" applyBorder="1" applyAlignment="1" applyProtection="1">
      <alignment horizontal="left" vertical="top" wrapText="1"/>
    </xf>
    <xf numFmtId="0" fontId="23" fillId="3" borderId="433" xfId="0" applyNumberFormat="1" applyFont="1" applyFill="1" applyBorder="1" applyAlignment="1" applyProtection="1">
      <alignment horizontal="left" vertical="top" wrapText="1"/>
    </xf>
    <xf numFmtId="0" fontId="23" fillId="3" borderId="228" xfId="0" applyNumberFormat="1" applyFont="1" applyFill="1" applyBorder="1" applyAlignment="1" applyProtection="1">
      <alignment horizontal="left" vertical="top" wrapText="1"/>
    </xf>
    <xf numFmtId="0" fontId="23" fillId="3" borderId="448" xfId="0" applyNumberFormat="1" applyFont="1" applyFill="1" applyBorder="1" applyAlignment="1" applyProtection="1">
      <alignment horizontal="left" vertical="top" wrapText="1"/>
    </xf>
    <xf numFmtId="0" fontId="0" fillId="12" borderId="235" xfId="0" applyFont="1" applyFill="1" applyBorder="1" applyProtection="1"/>
    <xf numFmtId="0" fontId="0" fillId="12" borderId="236" xfId="0" applyFont="1" applyFill="1" applyBorder="1" applyProtection="1"/>
    <xf numFmtId="0" fontId="0" fillId="12" borderId="537" xfId="0" applyFont="1" applyFill="1" applyBorder="1" applyProtection="1"/>
    <xf numFmtId="0" fontId="23" fillId="25" borderId="220" xfId="0" applyFont="1" applyFill="1" applyBorder="1" applyProtection="1"/>
    <xf numFmtId="0" fontId="23" fillId="25" borderId="27" xfId="0" applyFont="1" applyFill="1" applyBorder="1" applyProtection="1"/>
    <xf numFmtId="0" fontId="23" fillId="25" borderId="429" xfId="0" applyFont="1" applyFill="1" applyBorder="1" applyProtection="1"/>
    <xf numFmtId="0" fontId="19" fillId="8" borderId="220" xfId="6" applyBorder="1" applyAlignment="1" applyProtection="1">
      <alignment horizontal="center" vertical="center" wrapText="1"/>
    </xf>
    <xf numFmtId="0" fontId="19" fillId="8" borderId="27" xfId="6" applyBorder="1" applyAlignment="1" applyProtection="1">
      <alignment horizontal="center" vertical="center" wrapText="1"/>
    </xf>
    <xf numFmtId="0" fontId="19" fillId="8" borderId="429" xfId="6" applyBorder="1" applyAlignment="1" applyProtection="1">
      <alignment horizontal="center" vertical="center" wrapText="1"/>
    </xf>
    <xf numFmtId="0" fontId="19" fillId="8" borderId="199" xfId="6" applyBorder="1" applyAlignment="1" applyProtection="1">
      <alignment horizontal="center" vertical="center" wrapText="1"/>
    </xf>
    <xf numFmtId="0" fontId="19" fillId="8" borderId="10" xfId="6" applyBorder="1" applyAlignment="1" applyProtection="1">
      <alignment horizontal="center" vertical="center" wrapText="1"/>
    </xf>
    <xf numFmtId="0" fontId="19" fillId="8" borderId="519" xfId="6" applyBorder="1" applyAlignment="1" applyProtection="1">
      <alignment horizontal="center" vertical="center" wrapText="1"/>
    </xf>
    <xf numFmtId="0" fontId="23" fillId="25" borderId="232" xfId="0" applyFont="1" applyFill="1" applyBorder="1" applyProtection="1"/>
    <xf numFmtId="0" fontId="23" fillId="25" borderId="0" xfId="0" applyFont="1" applyFill="1" applyBorder="1" applyProtection="1"/>
    <xf numFmtId="0" fontId="23" fillId="25" borderId="433" xfId="0" applyFont="1" applyFill="1" applyBorder="1" applyProtection="1"/>
    <xf numFmtId="0" fontId="0" fillId="22" borderId="220" xfId="0" applyFont="1" applyFill="1" applyBorder="1" applyAlignment="1" applyProtection="1"/>
    <xf numFmtId="0" fontId="0" fillId="22" borderId="27" xfId="0" applyFont="1" applyFill="1" applyBorder="1" applyAlignment="1" applyProtection="1"/>
    <xf numFmtId="0" fontId="0" fillId="22" borderId="429" xfId="0" applyFont="1" applyFill="1" applyBorder="1" applyAlignment="1" applyProtection="1"/>
    <xf numFmtId="0" fontId="19" fillId="8" borderId="451" xfId="6" applyBorder="1" applyProtection="1">
      <alignment horizontal="center" vertical="center" wrapText="1"/>
    </xf>
    <xf numFmtId="0" fontId="19" fillId="8" borderId="376" xfId="6" applyBorder="1" applyProtection="1">
      <alignment horizontal="center" vertical="center" wrapText="1"/>
    </xf>
    <xf numFmtId="0" fontId="19" fillId="8" borderId="520" xfId="6" applyBorder="1" applyProtection="1">
      <alignment horizontal="center" vertical="center" wrapText="1"/>
    </xf>
    <xf numFmtId="0" fontId="23" fillId="22" borderId="219" xfId="0" applyFont="1" applyFill="1" applyBorder="1" applyAlignment="1" applyProtection="1">
      <alignment horizontal="left" vertical="top" wrapText="1"/>
    </xf>
    <xf numFmtId="0" fontId="23" fillId="22" borderId="431" xfId="0" applyFont="1" applyFill="1" applyBorder="1" applyAlignment="1" applyProtection="1">
      <alignment horizontal="left" vertical="top" wrapText="1"/>
    </xf>
    <xf numFmtId="0" fontId="13" fillId="3" borderId="227" xfId="6" applyFont="1" applyFill="1" applyBorder="1" applyAlignment="1" applyProtection="1">
      <alignment horizontal="center" vertical="center" wrapText="1"/>
    </xf>
    <xf numFmtId="0" fontId="13" fillId="3" borderId="543" xfId="6" applyFont="1" applyFill="1" applyBorder="1" applyAlignment="1" applyProtection="1">
      <alignment horizontal="center" vertical="center" wrapText="1"/>
    </xf>
    <xf numFmtId="0" fontId="22" fillId="0" borderId="225" xfId="0" applyFont="1" applyBorder="1" applyAlignment="1" applyProtection="1">
      <alignment horizontal="left" vertical="top" wrapText="1" indent="4"/>
    </xf>
    <xf numFmtId="0" fontId="34" fillId="8" borderId="61" xfId="13">
      <alignment horizontal="left" vertical="center" wrapText="1"/>
    </xf>
    <xf numFmtId="0" fontId="34" fillId="8" borderId="695" xfId="13" applyBorder="1">
      <alignment horizontal="left" vertical="center" wrapText="1"/>
    </xf>
    <xf numFmtId="0" fontId="23" fillId="0" borderId="196" xfId="0" applyFont="1" applyBorder="1" applyAlignment="1" applyProtection="1">
      <alignment horizontal="left" vertical="center" indent="1"/>
    </xf>
    <xf numFmtId="0" fontId="19" fillId="8" borderId="509" xfId="6" applyBorder="1" applyProtection="1">
      <alignment horizontal="center" vertical="center" wrapText="1"/>
    </xf>
    <xf numFmtId="0" fontId="19" fillId="8" borderId="510" xfId="6" applyBorder="1" applyProtection="1">
      <alignment horizontal="center" vertical="center" wrapText="1"/>
    </xf>
    <xf numFmtId="0" fontId="19" fillId="8" borderId="430" xfId="6" applyBorder="1" applyProtection="1">
      <alignment horizontal="center" vertical="center" wrapText="1"/>
    </xf>
    <xf numFmtId="0" fontId="21" fillId="0" borderId="27" xfId="0" applyFont="1" applyBorder="1" applyAlignment="1" applyProtection="1">
      <alignment horizontal="left" vertical="center" indent="1"/>
    </xf>
    <xf numFmtId="0" fontId="19" fillId="8" borderId="220" xfId="6" applyFont="1" applyBorder="1" applyAlignment="1" applyProtection="1">
      <alignment horizontal="center" vertical="center" wrapText="1"/>
    </xf>
    <xf numFmtId="0" fontId="19" fillId="8" borderId="27" xfId="6" applyFont="1" applyBorder="1" applyAlignment="1" applyProtection="1">
      <alignment horizontal="center" vertical="center" wrapText="1"/>
    </xf>
    <xf numFmtId="0" fontId="19" fillId="8" borderId="429" xfId="6" applyFont="1" applyBorder="1" applyAlignment="1" applyProtection="1">
      <alignment horizontal="center" vertical="center" wrapText="1"/>
    </xf>
    <xf numFmtId="0" fontId="23" fillId="0" borderId="27" xfId="0" applyFont="1" applyBorder="1" applyAlignment="1" applyProtection="1">
      <alignment horizontal="left" vertical="center" wrapText="1" indent="1"/>
    </xf>
    <xf numFmtId="0" fontId="23" fillId="28" borderId="211" xfId="0" applyFont="1" applyFill="1" applyBorder="1" applyAlignment="1" applyProtection="1">
      <alignment horizontal="left" vertical="top"/>
    </xf>
    <xf numFmtId="0" fontId="23" fillId="28" borderId="436" xfId="0" applyFont="1" applyFill="1" applyBorder="1" applyAlignment="1" applyProtection="1">
      <alignment horizontal="left" vertical="top"/>
    </xf>
    <xf numFmtId="0" fontId="23" fillId="0" borderId="166" xfId="0" applyFont="1" applyFill="1" applyBorder="1" applyAlignment="1" applyProtection="1">
      <alignment horizontal="left" vertical="top"/>
    </xf>
    <xf numFmtId="0" fontId="23" fillId="0" borderId="429" xfId="0" applyFont="1" applyFill="1" applyBorder="1" applyAlignment="1" applyProtection="1">
      <alignment horizontal="left" vertical="top"/>
    </xf>
    <xf numFmtId="0" fontId="22" fillId="3" borderId="211" xfId="0" applyFont="1" applyFill="1" applyBorder="1" applyAlignment="1" applyProtection="1">
      <alignment horizontal="center" vertical="center" wrapText="1"/>
    </xf>
    <xf numFmtId="0" fontId="22" fillId="3" borderId="377" xfId="0" applyFont="1" applyFill="1" applyBorder="1" applyAlignment="1" applyProtection="1">
      <alignment horizontal="center" vertical="center" wrapText="1"/>
    </xf>
    <xf numFmtId="0" fontId="19" fillId="8" borderId="554" xfId="6" applyFont="1" applyBorder="1" applyAlignment="1" applyProtection="1">
      <alignment horizontal="center" vertical="center" wrapText="1"/>
    </xf>
    <xf numFmtId="0" fontId="19" fillId="8" borderId="555" xfId="6" applyFont="1" applyBorder="1" applyAlignment="1" applyProtection="1">
      <alignment horizontal="center" vertical="center" wrapText="1"/>
    </xf>
    <xf numFmtId="0" fontId="23" fillId="22" borderId="202" xfId="0" applyFont="1" applyFill="1" applyBorder="1" applyAlignment="1" applyProtection="1">
      <alignment horizontal="left" vertical="top"/>
    </xf>
    <xf numFmtId="0" fontId="23" fillId="22" borderId="434" xfId="0" applyFont="1" applyFill="1" applyBorder="1" applyAlignment="1" applyProtection="1">
      <alignment horizontal="left" vertical="top"/>
    </xf>
    <xf numFmtId="0" fontId="23" fillId="22" borderId="211" xfId="0" applyFont="1" applyFill="1" applyBorder="1" applyAlignment="1" applyProtection="1">
      <alignment horizontal="left" vertical="top"/>
    </xf>
    <xf numFmtId="0" fontId="23" fillId="22" borderId="436" xfId="0" applyFont="1" applyFill="1" applyBorder="1" applyAlignment="1" applyProtection="1">
      <alignment horizontal="left" vertical="top"/>
    </xf>
    <xf numFmtId="0" fontId="23" fillId="22" borderId="166" xfId="0" applyFont="1" applyFill="1" applyBorder="1" applyAlignment="1" applyProtection="1">
      <alignment horizontal="left" vertical="top"/>
    </xf>
    <xf numFmtId="0" fontId="23" fillId="22" borderId="429" xfId="0" applyFont="1" applyFill="1" applyBorder="1" applyAlignment="1" applyProtection="1">
      <alignment horizontal="left" vertical="top"/>
    </xf>
    <xf numFmtId="0" fontId="23" fillId="0" borderId="27" xfId="0" applyFont="1" applyBorder="1" applyAlignment="1">
      <alignment horizontal="left" vertical="top" indent="1"/>
    </xf>
    <xf numFmtId="0" fontId="23" fillId="0" borderId="210" xfId="0" applyFont="1" applyBorder="1" applyAlignment="1">
      <alignment horizontal="left" vertical="top" wrapText="1"/>
    </xf>
    <xf numFmtId="0" fontId="23" fillId="0" borderId="212" xfId="0" applyFont="1" applyBorder="1" applyAlignment="1">
      <alignment horizontal="left" vertical="top" wrapText="1"/>
    </xf>
    <xf numFmtId="0" fontId="23" fillId="0" borderId="230" xfId="0" applyFont="1" applyBorder="1" applyAlignment="1">
      <alignment horizontal="left" vertical="top" wrapText="1"/>
    </xf>
    <xf numFmtId="0" fontId="23" fillId="0" borderId="234" xfId="0" applyFont="1" applyBorder="1" applyAlignment="1">
      <alignment horizontal="left" vertical="top" wrapText="1"/>
    </xf>
    <xf numFmtId="0" fontId="23" fillId="0" borderId="206" xfId="0" applyFont="1" applyBorder="1" applyAlignment="1" applyProtection="1">
      <alignment horizontal="left" vertical="top" wrapText="1"/>
    </xf>
    <xf numFmtId="0" fontId="23" fillId="0" borderId="208" xfId="0" applyFont="1" applyBorder="1" applyAlignment="1" applyProtection="1">
      <alignment horizontal="left" vertical="top" wrapText="1"/>
    </xf>
    <xf numFmtId="0" fontId="23" fillId="0" borderId="378" xfId="0" applyFont="1" applyBorder="1" applyAlignment="1" applyProtection="1">
      <alignment horizontal="left" vertical="top" wrapText="1"/>
    </xf>
    <xf numFmtId="0" fontId="23" fillId="0" borderId="512" xfId="0" applyFont="1" applyBorder="1" applyAlignment="1" applyProtection="1">
      <alignment horizontal="left" vertical="top" wrapText="1"/>
    </xf>
    <xf numFmtId="0" fontId="23" fillId="28" borderId="215" xfId="0" applyFont="1" applyFill="1" applyBorder="1" applyAlignment="1" applyProtection="1">
      <alignment horizontal="left" vertical="top" wrapText="1"/>
    </xf>
    <xf numFmtId="0" fontId="23" fillId="28" borderId="433" xfId="0" applyFont="1" applyFill="1" applyBorder="1" applyAlignment="1" applyProtection="1">
      <alignment horizontal="left" vertical="top" wrapText="1"/>
    </xf>
    <xf numFmtId="0" fontId="23" fillId="28" borderId="224" xfId="0" applyFont="1" applyFill="1" applyBorder="1" applyAlignment="1">
      <alignment horizontal="center" vertical="top" wrapText="1"/>
    </xf>
    <xf numFmtId="0" fontId="23" fillId="28" borderId="511" xfId="0" applyFont="1" applyFill="1" applyBorder="1" applyAlignment="1">
      <alignment horizontal="center" vertical="top" wrapText="1"/>
    </xf>
    <xf numFmtId="0" fontId="23" fillId="0" borderId="207" xfId="0" applyFont="1" applyBorder="1" applyAlignment="1">
      <alignment horizontal="left" vertical="top" wrapText="1"/>
    </xf>
    <xf numFmtId="0" fontId="23" fillId="0" borderId="432" xfId="0" applyFont="1" applyBorder="1" applyAlignment="1">
      <alignment horizontal="left" vertical="top" wrapText="1"/>
    </xf>
    <xf numFmtId="0" fontId="23" fillId="0" borderId="215" xfId="0" applyFont="1" applyBorder="1" applyAlignment="1">
      <alignment horizontal="left" vertical="top" wrapText="1"/>
    </xf>
    <xf numFmtId="0" fontId="23" fillId="0" borderId="433" xfId="0" applyFont="1" applyBorder="1" applyAlignment="1">
      <alignment horizontal="left" vertical="top" wrapText="1"/>
    </xf>
    <xf numFmtId="0" fontId="23" fillId="0" borderId="228" xfId="0" applyFont="1" applyBorder="1" applyAlignment="1">
      <alignment horizontal="left" vertical="top" wrapText="1"/>
    </xf>
    <xf numFmtId="0" fontId="23" fillId="0" borderId="448" xfId="0" applyFont="1" applyBorder="1" applyAlignment="1">
      <alignment horizontal="left" vertical="top" wrapText="1"/>
    </xf>
    <xf numFmtId="0" fontId="23" fillId="3" borderId="224" xfId="0" applyFont="1" applyFill="1" applyBorder="1" applyAlignment="1" applyProtection="1">
      <alignment horizontal="left" vertical="top" wrapText="1"/>
    </xf>
    <xf numFmtId="0" fontId="23" fillId="3" borderId="511" xfId="0" applyFont="1" applyFill="1" applyBorder="1" applyAlignment="1" applyProtection="1">
      <alignment horizontal="left" vertical="top" wrapText="1"/>
    </xf>
    <xf numFmtId="0" fontId="23" fillId="28" borderId="166" xfId="0" applyFont="1" applyFill="1" applyBorder="1" applyAlignment="1">
      <alignment horizontal="left" vertical="top" wrapText="1"/>
    </xf>
    <xf numFmtId="0" fontId="23" fillId="28" borderId="429" xfId="0" applyFont="1" applyFill="1" applyBorder="1" applyAlignment="1">
      <alignment horizontal="left" vertical="top" wrapText="1"/>
    </xf>
    <xf numFmtId="0" fontId="23" fillId="3" borderId="449" xfId="0" applyFont="1" applyFill="1" applyBorder="1" applyAlignment="1" applyProtection="1">
      <alignment horizontal="left" vertical="top" wrapText="1"/>
    </xf>
    <xf numFmtId="0" fontId="23" fillId="3" borderId="450" xfId="0" applyFont="1" applyFill="1" applyBorder="1" applyAlignment="1" applyProtection="1">
      <alignment horizontal="left" vertical="top" wrapText="1"/>
    </xf>
    <xf numFmtId="0" fontId="23" fillId="22" borderId="539" xfId="0" applyFont="1" applyFill="1" applyBorder="1" applyAlignment="1" applyProtection="1">
      <alignment horizontal="left" vertical="top" wrapText="1"/>
    </xf>
    <xf numFmtId="0" fontId="23" fillId="22" borderId="540" xfId="0" applyFont="1" applyFill="1" applyBorder="1" applyAlignment="1" applyProtection="1">
      <alignment horizontal="left" vertical="top" wrapText="1"/>
    </xf>
    <xf numFmtId="0" fontId="0" fillId="28" borderId="223" xfId="0" applyFont="1" applyFill="1" applyBorder="1"/>
    <xf numFmtId="0" fontId="0" fillId="28" borderId="435" xfId="0" applyFont="1" applyFill="1" applyBorder="1"/>
    <xf numFmtId="0" fontId="130" fillId="0" borderId="0" xfId="0" applyFont="1" applyAlignment="1">
      <alignment horizontal="center" vertical="center"/>
    </xf>
    <xf numFmtId="0" fontId="22" fillId="0" borderId="205" xfId="0" applyFont="1" applyBorder="1" applyAlignment="1" applyProtection="1">
      <alignment vertical="top" wrapText="1"/>
    </xf>
    <xf numFmtId="0" fontId="22" fillId="0" borderId="225" xfId="0" applyFont="1" applyBorder="1" applyAlignment="1" applyProtection="1">
      <alignment vertical="top" wrapText="1"/>
    </xf>
    <xf numFmtId="0" fontId="22" fillId="0" borderId="226" xfId="0" applyFont="1" applyBorder="1" applyAlignment="1" applyProtection="1">
      <alignment horizontal="center" vertical="center" wrapText="1"/>
    </xf>
    <xf numFmtId="0" fontId="22" fillId="0" borderId="229" xfId="0" applyFont="1" applyBorder="1" applyAlignment="1" applyProtection="1">
      <alignment vertical="top" wrapText="1"/>
    </xf>
    <xf numFmtId="0" fontId="22" fillId="0" borderId="213" xfId="0" applyFont="1" applyBorder="1" applyAlignment="1" applyProtection="1">
      <alignment vertical="top" wrapText="1"/>
    </xf>
    <xf numFmtId="0" fontId="22" fillId="0" borderId="230" xfId="0" applyFont="1" applyBorder="1" applyAlignment="1" applyProtection="1">
      <alignment horizontal="center" vertical="center" wrapText="1"/>
    </xf>
    <xf numFmtId="0" fontId="0" fillId="28" borderId="631" xfId="0" applyFont="1" applyFill="1" applyBorder="1"/>
    <xf numFmtId="49" fontId="20" fillId="0" borderId="215" xfId="7" applyFill="1" applyBorder="1" applyAlignment="1">
      <alignment vertical="center" wrapText="1"/>
    </xf>
    <xf numFmtId="49" fontId="20" fillId="0" borderId="0" xfId="7" applyFill="1" applyBorder="1" applyAlignment="1">
      <alignment vertical="center" wrapText="1"/>
    </xf>
    <xf numFmtId="49" fontId="20" fillId="0" borderId="605" xfId="7" applyFill="1" applyBorder="1" applyAlignment="1">
      <alignment vertical="center" wrapText="1"/>
    </xf>
    <xf numFmtId="49" fontId="20" fillId="0" borderId="603" xfId="7" applyFill="1" applyBorder="1" applyAlignment="1">
      <alignment vertical="center" wrapText="1"/>
    </xf>
    <xf numFmtId="49" fontId="20" fillId="0" borderId="647" xfId="7" applyFill="1" applyBorder="1" applyAlignment="1">
      <alignment vertical="center" wrapText="1"/>
    </xf>
    <xf numFmtId="49" fontId="20" fillId="0" borderId="604" xfId="7" applyFill="1" applyBorder="1" applyAlignment="1">
      <alignment vertical="center" wrapText="1"/>
    </xf>
    <xf numFmtId="1" fontId="21" fillId="0" borderId="599" xfId="0" applyNumberFormat="1" applyFont="1" applyBorder="1" applyAlignment="1" applyProtection="1">
      <alignment horizontal="center" vertical="center" wrapText="1"/>
      <protection locked="0"/>
    </xf>
    <xf numFmtId="1" fontId="21" fillId="0" borderId="697" xfId="0" applyNumberFormat="1" applyFont="1" applyBorder="1" applyAlignment="1" applyProtection="1">
      <alignment horizontal="center" vertical="center" wrapText="1"/>
      <protection locked="0"/>
    </xf>
    <xf numFmtId="0" fontId="23" fillId="3" borderId="377" xfId="0" applyFont="1" applyFill="1" applyBorder="1" applyAlignment="1" applyProtection="1">
      <alignment horizontal="left" vertical="top" wrapText="1"/>
    </xf>
    <xf numFmtId="0" fontId="0" fillId="0" borderId="215" xfId="0" applyBorder="1" applyAlignment="1">
      <alignment horizontal="right" vertical="center" wrapText="1"/>
    </xf>
    <xf numFmtId="0" fontId="21" fillId="0" borderId="597" xfId="0" applyFont="1" applyFill="1" applyBorder="1" applyAlignment="1" applyProtection="1">
      <alignment horizontal="center" vertical="center" wrapText="1"/>
      <protection locked="0"/>
    </xf>
    <xf numFmtId="0" fontId="3" fillId="0" borderId="618" xfId="0" applyFont="1" applyBorder="1" applyAlignment="1" applyProtection="1">
      <alignment horizontal="center" vertical="top" wrapText="1"/>
      <protection locked="0"/>
    </xf>
    <xf numFmtId="0" fontId="3" fillId="0" borderId="597" xfId="0" applyFont="1" applyBorder="1" applyAlignment="1" applyProtection="1">
      <alignment horizontal="center" vertical="top" wrapText="1"/>
      <protection locked="0"/>
    </xf>
    <xf numFmtId="0" fontId="3" fillId="0" borderId="612" xfId="0" applyFont="1" applyBorder="1" applyAlignment="1" applyProtection="1">
      <alignment horizontal="center" vertical="top" wrapText="1"/>
      <protection locked="0"/>
    </xf>
    <xf numFmtId="0" fontId="23" fillId="3" borderId="618" xfId="0" applyFont="1" applyFill="1" applyBorder="1" applyAlignment="1" applyProtection="1">
      <alignment horizontal="left" vertical="top" wrapText="1"/>
    </xf>
    <xf numFmtId="0" fontId="23" fillId="3" borderId="612" xfId="0" applyFont="1" applyFill="1" applyBorder="1" applyAlignment="1" applyProtection="1">
      <alignment horizontal="left" vertical="top" wrapText="1"/>
    </xf>
    <xf numFmtId="0" fontId="23" fillId="22" borderId="377" xfId="0" applyFont="1" applyFill="1" applyBorder="1" applyAlignment="1" applyProtection="1">
      <alignment horizontal="left" vertical="top" wrapText="1"/>
    </xf>
    <xf numFmtId="0" fontId="23" fillId="22" borderId="618" xfId="0" applyFont="1" applyFill="1" applyBorder="1" applyAlignment="1" applyProtection="1">
      <alignment horizontal="left" vertical="top" wrapText="1"/>
    </xf>
    <xf numFmtId="0" fontId="23" fillId="22" borderId="612" xfId="0" applyFont="1" applyFill="1" applyBorder="1" applyAlignment="1" applyProtection="1">
      <alignment horizontal="left" vertical="top" wrapText="1"/>
    </xf>
    <xf numFmtId="0" fontId="23" fillId="3" borderId="603" xfId="0" applyFont="1" applyFill="1" applyBorder="1" applyAlignment="1" applyProtection="1">
      <alignment horizontal="left" vertical="top" wrapText="1"/>
    </xf>
    <xf numFmtId="0" fontId="23" fillId="3" borderId="604" xfId="0" applyFont="1" applyFill="1" applyBorder="1" applyAlignment="1" applyProtection="1">
      <alignment horizontal="left" vertical="top" wrapText="1"/>
    </xf>
    <xf numFmtId="0" fontId="19" fillId="8" borderId="618" xfId="6" applyBorder="1" applyAlignment="1" applyProtection="1">
      <alignment horizontal="center" vertical="center" wrapText="1"/>
    </xf>
    <xf numFmtId="0" fontId="19" fillId="8" borderId="597" xfId="6" applyBorder="1" applyAlignment="1" applyProtection="1">
      <alignment horizontal="center" vertical="center" wrapText="1"/>
    </xf>
    <xf numFmtId="0" fontId="19" fillId="8" borderId="612" xfId="6" applyBorder="1" applyAlignment="1" applyProtection="1">
      <alignment horizontal="center" vertical="center" wrapText="1"/>
    </xf>
    <xf numFmtId="0" fontId="23" fillId="0" borderId="603" xfId="0" applyFont="1" applyBorder="1" applyAlignment="1" applyProtection="1">
      <alignment horizontal="left" vertical="top" wrapText="1"/>
    </xf>
    <xf numFmtId="0" fontId="23" fillId="0" borderId="604" xfId="0" applyFont="1" applyBorder="1" applyAlignment="1" applyProtection="1">
      <alignment horizontal="left" vertical="top" wrapText="1"/>
    </xf>
    <xf numFmtId="0" fontId="23" fillId="0" borderId="605" xfId="0" applyFont="1" applyBorder="1" applyAlignment="1" applyProtection="1">
      <alignment horizontal="left" vertical="top" wrapText="1"/>
    </xf>
    <xf numFmtId="0" fontId="23" fillId="0" borderId="292" xfId="0" applyFont="1" applyBorder="1" applyAlignment="1" applyProtection="1">
      <alignment horizontal="left" vertical="top" wrapText="1"/>
    </xf>
    <xf numFmtId="0" fontId="23" fillId="3" borderId="292" xfId="0" applyFont="1" applyFill="1" applyBorder="1" applyAlignment="1" applyProtection="1">
      <alignment horizontal="left" vertical="top" wrapText="1"/>
    </xf>
    <xf numFmtId="0" fontId="134" fillId="8" borderId="707" xfId="6" applyFont="1" applyBorder="1" applyAlignment="1" applyProtection="1">
      <alignment horizontal="center" vertical="center" wrapText="1"/>
    </xf>
    <xf numFmtId="0" fontId="134" fillId="8" borderId="709" xfId="6" applyFont="1" applyBorder="1" applyAlignment="1" applyProtection="1">
      <alignment horizontal="center" vertical="center" wrapText="1"/>
    </xf>
    <xf numFmtId="0" fontId="134" fillId="8" borderId="711" xfId="6" applyFont="1" applyBorder="1" applyAlignment="1" applyProtection="1">
      <alignment horizontal="center" vertical="center" wrapText="1"/>
    </xf>
    <xf numFmtId="0" fontId="23" fillId="0" borderId="713" xfId="0" applyFont="1" applyBorder="1" applyAlignment="1" applyProtection="1">
      <alignment horizontal="left" vertical="top" wrapText="1"/>
    </xf>
    <xf numFmtId="0" fontId="23" fillId="0" borderId="714" xfId="0" applyFont="1" applyBorder="1" applyAlignment="1" applyProtection="1">
      <alignment horizontal="left" vertical="top" wrapText="1"/>
    </xf>
    <xf numFmtId="0" fontId="22" fillId="0" borderId="599" xfId="0" applyFont="1" applyBorder="1" applyAlignment="1" applyProtection="1">
      <alignment horizontal="left" vertical="top" wrapText="1" indent="4"/>
    </xf>
    <xf numFmtId="0" fontId="22" fillId="0" borderId="697" xfId="0" applyFont="1" applyBorder="1" applyAlignment="1" applyProtection="1">
      <alignment horizontal="left" vertical="top" wrapText="1" indent="4"/>
    </xf>
    <xf numFmtId="0" fontId="63" fillId="3" borderId="604" xfId="6" applyFont="1" applyFill="1" applyBorder="1" applyAlignment="1" applyProtection="1">
      <alignment horizontal="center" vertical="center" wrapText="1"/>
    </xf>
    <xf numFmtId="0" fontId="63" fillId="3" borderId="714" xfId="6" applyFont="1" applyFill="1" applyBorder="1" applyAlignment="1" applyProtection="1">
      <alignment horizontal="center" vertical="center" wrapText="1"/>
    </xf>
    <xf numFmtId="0" fontId="23" fillId="3" borderId="713" xfId="0" applyFont="1" applyFill="1" applyBorder="1" applyAlignment="1" applyProtection="1">
      <alignment horizontal="left" vertical="top" wrapText="1"/>
    </xf>
    <xf numFmtId="0" fontId="23" fillId="3" borderId="714" xfId="0" applyFont="1" applyFill="1" applyBorder="1" applyAlignment="1" applyProtection="1">
      <alignment horizontal="left" vertical="top" wrapText="1"/>
    </xf>
    <xf numFmtId="0" fontId="19" fillId="8" borderId="618" xfId="6" applyBorder="1" applyProtection="1">
      <alignment horizontal="center" vertical="center" wrapText="1"/>
    </xf>
    <xf numFmtId="0" fontId="19" fillId="8" borderId="597" xfId="6" applyBorder="1" applyProtection="1">
      <alignment horizontal="center" vertical="center" wrapText="1"/>
    </xf>
    <xf numFmtId="0" fontId="19" fillId="8" borderId="612" xfId="6" applyBorder="1" applyProtection="1">
      <alignment horizontal="center" vertical="center" wrapText="1"/>
    </xf>
    <xf numFmtId="0" fontId="22" fillId="0" borderId="230" xfId="0" applyFont="1" applyBorder="1" applyAlignment="1" applyProtection="1">
      <alignment vertical="top" wrapText="1"/>
    </xf>
    <xf numFmtId="0" fontId="22" fillId="0" borderId="214" xfId="0" applyFont="1" applyBorder="1" applyAlignment="1" applyProtection="1">
      <alignment vertical="top" wrapText="1"/>
    </xf>
    <xf numFmtId="0" fontId="28" fillId="0" borderId="230" xfId="0" applyFont="1" applyBorder="1" applyAlignment="1" applyProtection="1">
      <alignment horizontal="center" vertical="center" wrapText="1"/>
    </xf>
    <xf numFmtId="0" fontId="28" fillId="0" borderId="214" xfId="0" applyFont="1" applyBorder="1" applyAlignment="1" applyProtection="1">
      <alignment horizontal="center" vertical="center" wrapText="1"/>
    </xf>
    <xf numFmtId="1" fontId="21" fillId="0" borderId="599" xfId="0" applyNumberFormat="1" applyFont="1" applyFill="1" applyBorder="1" applyAlignment="1" applyProtection="1">
      <alignment horizontal="center" vertical="center" wrapText="1"/>
      <protection locked="0"/>
    </xf>
    <xf numFmtId="1" fontId="21" fillId="0" borderId="214" xfId="0" applyNumberFormat="1" applyFont="1" applyFill="1" applyBorder="1" applyAlignment="1" applyProtection="1">
      <alignment horizontal="center" vertical="center" wrapText="1"/>
      <protection locked="0"/>
    </xf>
    <xf numFmtId="1" fontId="21" fillId="0" borderId="697" xfId="0" applyNumberFormat="1" applyFont="1" applyFill="1" applyBorder="1" applyAlignment="1" applyProtection="1">
      <alignment horizontal="center" vertical="center" wrapText="1"/>
      <protection locked="0"/>
    </xf>
    <xf numFmtId="1" fontId="21" fillId="41" borderId="230" xfId="1" applyNumberFormat="1" applyFont="1" applyFill="1" applyBorder="1" applyAlignment="1" applyProtection="1">
      <alignment horizontal="center" vertical="center" wrapText="1"/>
      <protection locked="0"/>
    </xf>
    <xf numFmtId="1" fontId="21" fillId="41" borderId="697" xfId="1" applyNumberFormat="1" applyFont="1" applyFill="1" applyBorder="1" applyAlignment="1" applyProtection="1">
      <alignment horizontal="center" vertical="center" wrapText="1"/>
      <protection locked="0"/>
    </xf>
    <xf numFmtId="1" fontId="21" fillId="66" borderId="599" xfId="0" applyNumberFormat="1" applyFont="1" applyFill="1" applyBorder="1" applyAlignment="1" applyProtection="1">
      <alignment horizontal="center" vertical="center" wrapText="1"/>
      <protection locked="0"/>
    </xf>
    <xf numFmtId="1" fontId="21" fillId="66" borderId="214" xfId="0" applyNumberFormat="1" applyFont="1" applyFill="1" applyBorder="1" applyAlignment="1" applyProtection="1">
      <alignment horizontal="center" vertical="center" wrapText="1"/>
      <protection locked="0"/>
    </xf>
    <xf numFmtId="1" fontId="21" fillId="66" borderId="697" xfId="0" applyNumberFormat="1" applyFont="1" applyFill="1" applyBorder="1" applyAlignment="1" applyProtection="1">
      <alignment horizontal="center" vertical="center" wrapText="1"/>
      <protection locked="0"/>
    </xf>
    <xf numFmtId="1" fontId="21" fillId="0" borderId="599" xfId="0" applyNumberFormat="1" applyFont="1" applyBorder="1" applyAlignment="1" applyProtection="1">
      <alignment horizontal="left" vertical="center" wrapText="1"/>
      <protection locked="0"/>
    </xf>
    <xf numFmtId="1" fontId="21" fillId="0" borderId="214" xfId="0" applyNumberFormat="1" applyFont="1" applyBorder="1" applyAlignment="1" applyProtection="1">
      <alignment horizontal="left" vertical="center" wrapText="1"/>
      <protection locked="0"/>
    </xf>
    <xf numFmtId="1" fontId="21" fillId="0" borderId="697" xfId="0" applyNumberFormat="1" applyFont="1" applyBorder="1" applyAlignment="1" applyProtection="1">
      <alignment horizontal="left" vertical="center" wrapText="1"/>
      <protection locked="0"/>
    </xf>
    <xf numFmtId="0" fontId="23" fillId="3" borderId="633" xfId="0" applyFont="1" applyFill="1" applyBorder="1" applyAlignment="1" applyProtection="1">
      <alignment horizontal="left" vertical="top" wrapText="1"/>
    </xf>
    <xf numFmtId="0" fontId="22" fillId="0" borderId="599" xfId="0" applyFont="1" applyBorder="1" applyAlignment="1" applyProtection="1">
      <alignment vertical="top" wrapText="1"/>
    </xf>
    <xf numFmtId="0" fontId="22" fillId="0" borderId="697" xfId="0" applyFont="1" applyBorder="1" applyAlignment="1" applyProtection="1">
      <alignment vertical="top" wrapText="1"/>
    </xf>
    <xf numFmtId="0" fontId="23" fillId="3" borderId="605" xfId="0" applyFont="1" applyFill="1" applyBorder="1" applyAlignment="1" applyProtection="1">
      <alignment horizontal="left" vertical="top" wrapText="1"/>
    </xf>
    <xf numFmtId="1" fontId="21" fillId="0" borderId="201" xfId="0" applyNumberFormat="1" applyFont="1" applyBorder="1" applyAlignment="1" applyProtection="1">
      <alignment horizontal="left" vertical="center" wrapText="1"/>
      <protection locked="0"/>
    </xf>
    <xf numFmtId="1" fontId="21" fillId="0" borderId="599" xfId="0" applyNumberFormat="1" applyFont="1" applyBorder="1" applyAlignment="1" applyProtection="1">
      <alignment horizontal="center" vertical="center" wrapText="1"/>
    </xf>
    <xf numFmtId="1" fontId="21" fillId="0" borderId="697" xfId="0" applyNumberFormat="1" applyFont="1" applyBorder="1" applyAlignment="1" applyProtection="1">
      <alignment horizontal="center" vertical="center" wrapText="1"/>
    </xf>
    <xf numFmtId="1" fontId="21" fillId="0" borderId="201" xfId="0" applyNumberFormat="1" applyFont="1" applyFill="1" applyBorder="1" applyAlignment="1" applyProtection="1">
      <alignment horizontal="center" vertical="center" wrapText="1"/>
      <protection locked="0"/>
    </xf>
    <xf numFmtId="0" fontId="22" fillId="0" borderId="599" xfId="0" applyFont="1" applyBorder="1" applyAlignment="1" applyProtection="1">
      <alignment horizontal="center" vertical="center" wrapText="1"/>
    </xf>
    <xf numFmtId="0" fontId="22" fillId="0" borderId="697" xfId="0" applyFont="1" applyBorder="1" applyAlignment="1" applyProtection="1">
      <alignment horizontal="center" vertical="center" wrapText="1"/>
    </xf>
    <xf numFmtId="0" fontId="22" fillId="0" borderId="599" xfId="0" applyFont="1" applyBorder="1" applyAlignment="1" applyProtection="1">
      <alignment horizontal="left" vertical="top" wrapText="1"/>
    </xf>
    <xf numFmtId="0" fontId="22" fillId="0" borderId="697" xfId="0" applyFont="1" applyBorder="1" applyAlignment="1" applyProtection="1">
      <alignment horizontal="left" vertical="top" wrapText="1"/>
    </xf>
    <xf numFmtId="0" fontId="21" fillId="0" borderId="618" xfId="0" applyFont="1" applyBorder="1" applyAlignment="1" applyProtection="1">
      <alignment horizontal="left" vertical="top" wrapText="1"/>
    </xf>
    <xf numFmtId="0" fontId="21" fillId="0" borderId="597" xfId="0" applyFont="1" applyBorder="1" applyAlignment="1" applyProtection="1">
      <alignment horizontal="left" vertical="top" wrapText="1"/>
    </xf>
    <xf numFmtId="0" fontId="21" fillId="0" borderId="612" xfId="0" applyFont="1" applyBorder="1" applyAlignment="1" applyProtection="1">
      <alignment horizontal="left" vertical="top" wrapText="1"/>
    </xf>
    <xf numFmtId="0" fontId="21" fillId="0" borderId="202" xfId="0" applyFont="1" applyBorder="1" applyAlignment="1" applyProtection="1">
      <alignment horizontal="left" vertical="top" wrapText="1"/>
    </xf>
    <xf numFmtId="0" fontId="21" fillId="0" borderId="26" xfId="0" applyFont="1" applyBorder="1" applyAlignment="1" applyProtection="1">
      <alignment horizontal="left" vertical="top" wrapText="1"/>
    </xf>
    <xf numFmtId="0" fontId="21" fillId="0" borderId="292" xfId="0" applyFont="1" applyBorder="1" applyAlignment="1" applyProtection="1">
      <alignment horizontal="left" vertical="top" wrapText="1"/>
    </xf>
    <xf numFmtId="0" fontId="23" fillId="28" borderId="633" xfId="0" applyFont="1" applyFill="1" applyBorder="1" applyAlignment="1" applyProtection="1">
      <alignment horizontal="left" vertical="top" wrapText="1"/>
    </xf>
    <xf numFmtId="0" fontId="23" fillId="28" borderId="377" xfId="0" applyFont="1" applyFill="1" applyBorder="1" applyAlignment="1" applyProtection="1">
      <alignment horizontal="left" vertical="top" wrapText="1"/>
    </xf>
    <xf numFmtId="0" fontId="23" fillId="28" borderId="618" xfId="0" applyFont="1" applyFill="1" applyBorder="1" applyAlignment="1" applyProtection="1">
      <alignment horizontal="left" vertical="top" wrapText="1"/>
    </xf>
    <xf numFmtId="0" fontId="23" fillId="28" borderId="612" xfId="0" applyFont="1" applyFill="1" applyBorder="1" applyAlignment="1" applyProtection="1">
      <alignment horizontal="left" vertical="top" wrapText="1"/>
    </xf>
    <xf numFmtId="0" fontId="23" fillId="3" borderId="551" xfId="0" applyFont="1" applyFill="1" applyBorder="1" applyAlignment="1" applyProtection="1">
      <alignment horizontal="left" vertical="top" wrapText="1"/>
    </xf>
    <xf numFmtId="0" fontId="23" fillId="3" borderId="631" xfId="0" applyFont="1" applyFill="1" applyBorder="1" applyAlignment="1" applyProtection="1">
      <alignment horizontal="left" vertical="top" wrapText="1"/>
    </xf>
    <xf numFmtId="1" fontId="21" fillId="0" borderId="214" xfId="0" applyNumberFormat="1" applyFont="1" applyBorder="1" applyAlignment="1" applyProtection="1">
      <alignment horizontal="center" vertical="center" wrapText="1"/>
      <protection locked="0"/>
    </xf>
    <xf numFmtId="1" fontId="21" fillId="0" borderId="201" xfId="0" applyNumberFormat="1" applyFont="1" applyBorder="1" applyAlignment="1" applyProtection="1">
      <alignment horizontal="center" vertical="center" wrapText="1"/>
      <protection locked="0"/>
    </xf>
    <xf numFmtId="0" fontId="23" fillId="0" borderId="618" xfId="0" applyFont="1" applyBorder="1" applyAlignment="1" applyProtection="1">
      <alignment horizontal="left" vertical="top" wrapText="1"/>
    </xf>
    <xf numFmtId="0" fontId="23" fillId="0" borderId="612" xfId="0" applyFont="1" applyBorder="1" applyAlignment="1" applyProtection="1">
      <alignment horizontal="left" vertical="top" wrapText="1"/>
    </xf>
    <xf numFmtId="1" fontId="21" fillId="67" borderId="618" xfId="0" applyNumberFormat="1" applyFont="1" applyFill="1" applyBorder="1" applyAlignment="1" applyProtection="1">
      <alignment horizontal="center" vertical="center" wrapText="1"/>
    </xf>
    <xf numFmtId="1" fontId="21" fillId="67" borderId="612" xfId="0" applyNumberFormat="1" applyFont="1" applyFill="1" applyBorder="1" applyAlignment="1" applyProtection="1">
      <alignment horizontal="center" vertical="center" wrapText="1"/>
    </xf>
    <xf numFmtId="0" fontId="20" fillId="67" borderId="603" xfId="6" applyFont="1" applyFill="1" applyBorder="1" applyAlignment="1" applyProtection="1">
      <alignment horizontal="center" vertical="center" wrapText="1"/>
    </xf>
    <xf numFmtId="0" fontId="20" fillId="67" borderId="604" xfId="6" applyFont="1" applyFill="1" applyBorder="1" applyAlignment="1" applyProtection="1">
      <alignment horizontal="center" vertical="center" wrapText="1"/>
    </xf>
    <xf numFmtId="0" fontId="20" fillId="67" borderId="202" xfId="6" applyFont="1" applyFill="1" applyBorder="1" applyAlignment="1" applyProtection="1">
      <alignment horizontal="center" vertical="center" wrapText="1"/>
    </xf>
    <xf numFmtId="0" fontId="20" fillId="67" borderId="292" xfId="6" applyFont="1" applyFill="1" applyBorder="1" applyAlignment="1" applyProtection="1">
      <alignment horizontal="center" vertical="center" wrapText="1"/>
    </xf>
    <xf numFmtId="0" fontId="63" fillId="0" borderId="647" xfId="4" applyNumberFormat="1" applyFont="1" applyBorder="1" applyAlignment="1">
      <alignment horizontal="center" vertical="center" wrapText="1"/>
    </xf>
    <xf numFmtId="0" fontId="63" fillId="0" borderId="26" xfId="4" applyNumberFormat="1" applyFont="1" applyBorder="1" applyAlignment="1">
      <alignment horizontal="center" vertical="center" wrapText="1"/>
    </xf>
    <xf numFmtId="0" fontId="22" fillId="0" borderId="201" xfId="0" applyFont="1" applyBorder="1" applyAlignment="1" applyProtection="1">
      <alignment horizontal="left" vertical="top" wrapText="1"/>
    </xf>
    <xf numFmtId="0" fontId="63" fillId="0" borderId="214" xfId="4" applyNumberFormat="1" applyFont="1" applyBorder="1" applyAlignment="1">
      <alignment horizontal="center" vertical="center" wrapText="1"/>
    </xf>
    <xf numFmtId="0" fontId="63" fillId="0" borderId="201" xfId="4" applyNumberFormat="1" applyFont="1" applyBorder="1" applyAlignment="1">
      <alignment horizontal="center" vertical="center" wrapText="1"/>
    </xf>
    <xf numFmtId="1" fontId="21" fillId="0" borderId="201" xfId="0" applyNumberFormat="1" applyFont="1" applyBorder="1" applyAlignment="1" applyProtection="1">
      <alignment horizontal="center" vertical="center" wrapText="1"/>
    </xf>
    <xf numFmtId="0" fontId="23" fillId="0" borderId="603" xfId="0" applyFont="1" applyBorder="1" applyAlignment="1" applyProtection="1">
      <alignment horizontal="center" vertical="top" wrapText="1"/>
    </xf>
    <xf numFmtId="0" fontId="23" fillId="0" borderId="604" xfId="0" applyFont="1" applyBorder="1" applyAlignment="1" applyProtection="1">
      <alignment horizontal="center" vertical="top" wrapText="1"/>
    </xf>
    <xf numFmtId="0" fontId="23" fillId="0" borderId="202" xfId="0" applyFont="1" applyBorder="1" applyAlignment="1" applyProtection="1">
      <alignment horizontal="center" vertical="top" wrapText="1"/>
    </xf>
    <xf numFmtId="0" fontId="23" fillId="0" borderId="292" xfId="0" applyFont="1" applyBorder="1" applyAlignment="1" applyProtection="1">
      <alignment horizontal="center" vertical="top" wrapText="1"/>
    </xf>
    <xf numFmtId="1" fontId="21" fillId="68" borderId="599" xfId="0" applyNumberFormat="1" applyFont="1" applyFill="1" applyBorder="1" applyAlignment="1" applyProtection="1">
      <alignment horizontal="center" vertical="center" wrapText="1"/>
    </xf>
    <xf numFmtId="1" fontId="21" fillId="68" borderId="201" xfId="0" applyNumberFormat="1" applyFont="1" applyFill="1" applyBorder="1" applyAlignment="1" applyProtection="1">
      <alignment horizontal="center" vertical="center" wrapText="1"/>
    </xf>
    <xf numFmtId="1" fontId="21" fillId="0" borderId="605" xfId="0" applyNumberFormat="1" applyFont="1" applyBorder="1" applyAlignment="1" applyProtection="1">
      <alignment horizontal="left" vertical="center" wrapText="1"/>
      <protection locked="0"/>
    </xf>
    <xf numFmtId="0" fontId="0" fillId="0" borderId="292" xfId="0" applyBorder="1" applyAlignment="1" applyProtection="1">
      <alignment horizontal="left"/>
      <protection locked="0"/>
    </xf>
    <xf numFmtId="0" fontId="19" fillId="8" borderId="618" xfId="6" applyBorder="1" applyAlignment="1" applyProtection="1">
      <alignment horizontal="left" vertical="center" wrapText="1"/>
    </xf>
    <xf numFmtId="0" fontId="19" fillId="8" borderId="597" xfId="6" applyBorder="1" applyAlignment="1" applyProtection="1">
      <alignment horizontal="left" vertical="center" wrapText="1"/>
    </xf>
    <xf numFmtId="0" fontId="19" fillId="8" borderId="612" xfId="6" applyBorder="1" applyAlignment="1" applyProtection="1">
      <alignment horizontal="left" vertical="center" wrapText="1"/>
    </xf>
    <xf numFmtId="0" fontId="28" fillId="0" borderId="647"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8" fillId="0" borderId="26" xfId="0" applyFont="1" applyBorder="1" applyAlignment="1" applyProtection="1">
      <alignment horizontal="center" vertical="center" wrapText="1"/>
    </xf>
    <xf numFmtId="1" fontId="21" fillId="0" borderId="647" xfId="0" applyNumberFormat="1" applyFont="1" applyBorder="1" applyAlignment="1" applyProtection="1">
      <alignment horizontal="center" vertical="center" wrapText="1"/>
    </xf>
    <xf numFmtId="1" fontId="21" fillId="0" borderId="26" xfId="0" applyNumberFormat="1" applyFont="1" applyBorder="1" applyAlignment="1" applyProtection="1">
      <alignment horizontal="center" vertical="center" wrapText="1"/>
    </xf>
    <xf numFmtId="0" fontId="23" fillId="0" borderId="647" xfId="0" applyFont="1" applyBorder="1" applyAlignment="1" applyProtection="1">
      <alignment horizontal="left" vertical="top" wrapText="1"/>
    </xf>
    <xf numFmtId="0" fontId="23" fillId="0" borderId="551" xfId="0" applyFont="1" applyBorder="1" applyAlignment="1" applyProtection="1">
      <alignment horizontal="left" vertical="top" wrapText="1"/>
    </xf>
    <xf numFmtId="0" fontId="22" fillId="0" borderId="211" xfId="0" applyFont="1" applyBorder="1" applyAlignment="1" applyProtection="1">
      <alignment horizontal="left" vertical="top" wrapText="1"/>
    </xf>
    <xf numFmtId="0" fontId="22" fillId="0" borderId="657" xfId="0" applyFont="1" applyBorder="1" applyAlignment="1" applyProtection="1">
      <alignment horizontal="left" vertical="top" wrapText="1"/>
    </xf>
    <xf numFmtId="0" fontId="22" fillId="0" borderId="377" xfId="0" applyFont="1" applyBorder="1" applyAlignment="1" applyProtection="1">
      <alignment horizontal="left" vertical="top" wrapText="1"/>
    </xf>
    <xf numFmtId="1" fontId="21" fillId="24" borderId="214" xfId="0" applyNumberFormat="1" applyFont="1" applyFill="1" applyBorder="1" applyAlignment="1" applyProtection="1">
      <alignment horizontal="left" vertical="center" wrapText="1"/>
      <protection locked="0"/>
    </xf>
    <xf numFmtId="1" fontId="21" fillId="24" borderId="697" xfId="0" applyNumberFormat="1" applyFont="1" applyFill="1" applyBorder="1" applyAlignment="1" applyProtection="1">
      <alignment horizontal="left" vertical="center" wrapText="1"/>
      <protection locked="0"/>
    </xf>
    <xf numFmtId="0" fontId="23" fillId="0" borderId="224" xfId="0" applyFont="1" applyBorder="1" applyAlignment="1" applyProtection="1">
      <alignment horizontal="left" vertical="top" wrapText="1"/>
    </xf>
    <xf numFmtId="0" fontId="23" fillId="0" borderId="633" xfId="0" applyFont="1" applyBorder="1" applyAlignment="1" applyProtection="1">
      <alignment horizontal="left" vertical="top" wrapText="1"/>
    </xf>
    <xf numFmtId="0" fontId="23" fillId="0" borderId="549" xfId="0" applyFont="1" applyBorder="1" applyAlignment="1" applyProtection="1">
      <alignment horizontal="left" vertical="top" wrapText="1"/>
    </xf>
    <xf numFmtId="0" fontId="23" fillId="0" borderId="632" xfId="0" applyFont="1" applyBorder="1" applyAlignment="1" applyProtection="1">
      <alignment horizontal="left" vertical="top" wrapText="1"/>
    </xf>
    <xf numFmtId="0" fontId="23" fillId="3" borderId="721" xfId="6" applyFont="1" applyFill="1" applyBorder="1" applyAlignment="1" applyProtection="1">
      <alignment horizontal="left" vertical="top" wrapText="1"/>
    </xf>
    <xf numFmtId="0" fontId="21" fillId="0" borderId="599" xfId="0" applyFont="1" applyBorder="1" applyAlignment="1" applyProtection="1">
      <alignment horizontal="left" vertical="top" wrapText="1"/>
    </xf>
    <xf numFmtId="0" fontId="21" fillId="0" borderId="201" xfId="0" applyFont="1" applyBorder="1" applyAlignment="1" applyProtection="1">
      <alignment horizontal="left" vertical="top" wrapText="1"/>
    </xf>
    <xf numFmtId="0" fontId="22" fillId="0" borderId="230" xfId="0" applyFont="1" applyBorder="1" applyAlignment="1" applyProtection="1">
      <alignment horizontal="left" vertical="top" wrapText="1"/>
    </xf>
    <xf numFmtId="0" fontId="22" fillId="0" borderId="571" xfId="0" applyFont="1" applyBorder="1" applyAlignment="1" applyProtection="1">
      <alignment horizontal="left" vertical="top" wrapText="1"/>
    </xf>
    <xf numFmtId="1" fontId="21" fillId="41" borderId="599" xfId="0" applyNumberFormat="1" applyFont="1" applyFill="1" applyBorder="1" applyAlignment="1" applyProtection="1">
      <alignment horizontal="center" vertical="center" wrapText="1"/>
      <protection locked="0"/>
    </xf>
    <xf numFmtId="1" fontId="21" fillId="41" borderId="214" xfId="0" applyNumberFormat="1" applyFont="1" applyFill="1" applyBorder="1" applyAlignment="1" applyProtection="1">
      <alignment horizontal="center" vertical="center" wrapText="1"/>
      <protection locked="0"/>
    </xf>
    <xf numFmtId="1" fontId="21" fillId="41" borderId="697" xfId="0" applyNumberFormat="1" applyFont="1" applyFill="1" applyBorder="1" applyAlignment="1" applyProtection="1">
      <alignment horizontal="center" vertical="center" wrapText="1"/>
      <protection locked="0"/>
    </xf>
    <xf numFmtId="0" fontId="21" fillId="0" borderId="230" xfId="0" applyFont="1" applyBorder="1" applyAlignment="1" applyProtection="1">
      <alignment horizontal="center" vertical="center" wrapText="1"/>
      <protection locked="0"/>
    </xf>
    <xf numFmtId="0" fontId="21" fillId="0" borderId="214" xfId="0" applyFont="1" applyBorder="1" applyAlignment="1" applyProtection="1">
      <alignment horizontal="center" vertical="center" wrapText="1"/>
      <protection locked="0"/>
    </xf>
    <xf numFmtId="0" fontId="21" fillId="0" borderId="697" xfId="0" applyFont="1" applyBorder="1" applyAlignment="1" applyProtection="1">
      <alignment horizontal="center" vertical="center" wrapText="1"/>
      <protection locked="0"/>
    </xf>
    <xf numFmtId="0" fontId="23" fillId="3" borderId="603" xfId="0" applyNumberFormat="1" applyFont="1" applyFill="1" applyBorder="1" applyAlignment="1" applyProtection="1">
      <alignment horizontal="left" vertical="top" wrapText="1"/>
    </xf>
    <xf numFmtId="0" fontId="23" fillId="3" borderId="604" xfId="0" applyNumberFormat="1" applyFont="1" applyFill="1" applyBorder="1" applyAlignment="1" applyProtection="1">
      <alignment horizontal="left" vertical="top" wrapText="1"/>
    </xf>
    <xf numFmtId="0" fontId="23" fillId="3" borderId="605" xfId="0" applyNumberFormat="1" applyFont="1" applyFill="1" applyBorder="1" applyAlignment="1" applyProtection="1">
      <alignment horizontal="left" vertical="top" wrapText="1"/>
    </xf>
    <xf numFmtId="0" fontId="23" fillId="3" borderId="713" xfId="0" applyNumberFormat="1" applyFont="1" applyFill="1" applyBorder="1" applyAlignment="1" applyProtection="1">
      <alignment horizontal="left" vertical="top" wrapText="1"/>
    </xf>
    <xf numFmtId="0" fontId="23" fillId="3" borderId="714" xfId="0" applyNumberFormat="1" applyFont="1" applyFill="1" applyBorder="1" applyAlignment="1" applyProtection="1">
      <alignment horizontal="left" vertical="top" wrapText="1"/>
    </xf>
    <xf numFmtId="1" fontId="21" fillId="0" borderId="230" xfId="0" applyNumberFormat="1" applyFont="1" applyFill="1" applyBorder="1" applyAlignment="1" applyProtection="1">
      <alignment horizontal="center" vertical="center" wrapText="1"/>
      <protection locked="0"/>
    </xf>
    <xf numFmtId="1" fontId="21" fillId="0" borderId="571" xfId="0" applyNumberFormat="1" applyFont="1" applyFill="1" applyBorder="1" applyAlignment="1" applyProtection="1">
      <alignment horizontal="center" vertical="center" wrapText="1"/>
      <protection locked="0"/>
    </xf>
    <xf numFmtId="0" fontId="21" fillId="0" borderId="599" xfId="0" applyFont="1" applyBorder="1" applyAlignment="1" applyProtection="1">
      <alignment horizontal="left" vertical="center" wrapText="1"/>
      <protection locked="0"/>
    </xf>
    <xf numFmtId="0" fontId="21" fillId="0" borderId="214" xfId="0" applyFont="1" applyBorder="1" applyAlignment="1" applyProtection="1">
      <alignment horizontal="left" vertical="center" wrapText="1"/>
      <protection locked="0"/>
    </xf>
    <xf numFmtId="0" fontId="21" fillId="0" borderId="697" xfId="0" applyFont="1" applyBorder="1" applyAlignment="1" applyProtection="1">
      <alignment horizontal="left" vertical="center" wrapText="1"/>
      <protection locked="0"/>
    </xf>
    <xf numFmtId="1" fontId="21" fillId="41" borderId="603" xfId="0" applyNumberFormat="1" applyFont="1" applyFill="1" applyBorder="1" applyAlignment="1" applyProtection="1">
      <alignment horizontal="center" vertical="center" wrapText="1"/>
      <protection locked="0"/>
    </xf>
    <xf numFmtId="1" fontId="21" fillId="41" borderId="215" xfId="0" applyNumberFormat="1" applyFont="1" applyFill="1" applyBorder="1" applyAlignment="1" applyProtection="1">
      <alignment horizontal="center" vertical="center" wrapText="1"/>
      <protection locked="0"/>
    </xf>
    <xf numFmtId="1" fontId="21" fillId="41" borderId="201" xfId="0" applyNumberFormat="1" applyFont="1" applyFill="1" applyBorder="1" applyAlignment="1" applyProtection="1">
      <alignment horizontal="center" vertical="center" wrapText="1"/>
      <protection locked="0"/>
    </xf>
    <xf numFmtId="0" fontId="22" fillId="0" borderId="599" xfId="0" applyFont="1" applyBorder="1" applyAlignment="1" applyProtection="1">
      <alignment horizontal="center" vertical="center"/>
    </xf>
    <xf numFmtId="0" fontId="22" fillId="0" borderId="201" xfId="0" applyFont="1" applyBorder="1" applyAlignment="1" applyProtection="1">
      <alignment horizontal="center" vertical="center"/>
    </xf>
    <xf numFmtId="0" fontId="23" fillId="0" borderId="610" xfId="6" applyFont="1" applyFill="1" applyBorder="1" applyAlignment="1" applyProtection="1">
      <alignment horizontal="center" vertical="center" wrapText="1"/>
    </xf>
    <xf numFmtId="0" fontId="23" fillId="0" borderId="609" xfId="6" applyFont="1" applyFill="1" applyBorder="1" applyAlignment="1" applyProtection="1">
      <alignment horizontal="center" vertical="center" wrapText="1"/>
    </xf>
    <xf numFmtId="1" fontId="21" fillId="0" borderId="623" xfId="0" applyNumberFormat="1" applyFont="1" applyFill="1" applyBorder="1" applyAlignment="1" applyProtection="1">
      <alignment horizontal="center" vertical="center" wrapText="1"/>
      <protection locked="0"/>
    </xf>
    <xf numFmtId="1" fontId="21" fillId="0" borderId="624" xfId="0" applyNumberFormat="1" applyFont="1" applyFill="1" applyBorder="1" applyAlignment="1" applyProtection="1">
      <alignment horizontal="center" vertical="center" wrapText="1"/>
      <protection locked="0"/>
    </xf>
    <xf numFmtId="0" fontId="23" fillId="3" borderId="723" xfId="6" applyFont="1" applyFill="1" applyBorder="1" applyAlignment="1" applyProtection="1">
      <alignment horizontal="left" vertical="top" wrapText="1"/>
    </xf>
    <xf numFmtId="0" fontId="23" fillId="3" borderId="725" xfId="6" applyFont="1" applyFill="1" applyBorder="1" applyAlignment="1" applyProtection="1">
      <alignment horizontal="left" vertical="top" wrapText="1"/>
    </xf>
    <xf numFmtId="0" fontId="23" fillId="3" borderId="704" xfId="6" applyFont="1" applyFill="1" applyBorder="1" applyAlignment="1" applyProtection="1">
      <alignment horizontal="left" vertical="top" wrapText="1"/>
    </xf>
    <xf numFmtId="0" fontId="23" fillId="3" borderId="605" xfId="6" applyFont="1" applyFill="1" applyBorder="1" applyAlignment="1" applyProtection="1">
      <alignment horizontal="left" vertical="top" wrapText="1"/>
    </xf>
    <xf numFmtId="0" fontId="23" fillId="28" borderId="727" xfId="6" applyFont="1" applyFill="1" applyBorder="1" applyAlignment="1" applyProtection="1">
      <alignment horizontal="left" vertical="top" wrapText="1"/>
    </xf>
    <xf numFmtId="0" fontId="23" fillId="3" borderId="702" xfId="6" applyFont="1" applyFill="1" applyBorder="1" applyAlignment="1" applyProtection="1">
      <alignment horizontal="left" vertical="top" wrapText="1"/>
    </xf>
    <xf numFmtId="1" fontId="21" fillId="0" borderId="603" xfId="0" applyNumberFormat="1" applyFont="1" applyFill="1" applyBorder="1" applyAlignment="1" applyProtection="1">
      <alignment horizontal="center" vertical="center" wrapText="1"/>
      <protection locked="0"/>
    </xf>
    <xf numFmtId="1" fontId="21" fillId="0" borderId="713" xfId="0" applyNumberFormat="1" applyFont="1" applyFill="1" applyBorder="1" applyAlignment="1" applyProtection="1">
      <alignment horizontal="center" vertical="center" wrapText="1"/>
      <protection locked="0"/>
    </xf>
    <xf numFmtId="1" fontId="21" fillId="0" borderId="599" xfId="0" applyNumberFormat="1" applyFont="1" applyFill="1" applyBorder="1" applyAlignment="1" applyProtection="1">
      <alignment horizontal="center" vertical="center" wrapText="1"/>
    </xf>
    <xf numFmtId="1" fontId="21" fillId="0" borderId="201" xfId="0" applyNumberFormat="1" applyFont="1" applyFill="1" applyBorder="1" applyAlignment="1" applyProtection="1">
      <alignment horizontal="center" vertical="center" wrapText="1"/>
    </xf>
    <xf numFmtId="1" fontId="21" fillId="66" borderId="201" xfId="0" applyNumberFormat="1" applyFont="1" applyFill="1" applyBorder="1" applyAlignment="1" applyProtection="1">
      <alignment horizontal="center" vertical="center" wrapText="1"/>
      <protection locked="0"/>
    </xf>
    <xf numFmtId="0" fontId="23" fillId="41" borderId="599" xfId="6" applyFont="1" applyFill="1" applyBorder="1" applyAlignment="1" applyProtection="1">
      <alignment horizontal="center" vertical="center" wrapText="1"/>
      <protection locked="0"/>
    </xf>
    <xf numFmtId="0" fontId="23" fillId="41" borderId="611" xfId="6" applyFont="1" applyFill="1" applyBorder="1" applyAlignment="1" applyProtection="1">
      <alignment horizontal="center" vertical="center" wrapText="1"/>
      <protection locked="0"/>
    </xf>
    <xf numFmtId="0" fontId="23" fillId="28" borderId="703" xfId="6" applyFont="1" applyFill="1" applyBorder="1" applyAlignment="1" applyProtection="1">
      <alignment horizontal="left" vertical="top" wrapText="1"/>
    </xf>
    <xf numFmtId="0" fontId="23" fillId="3" borderId="703" xfId="6" applyFont="1" applyFill="1" applyBorder="1" applyAlignment="1" applyProtection="1">
      <alignment horizontal="left" vertical="top" wrapText="1"/>
    </xf>
    <xf numFmtId="0" fontId="19" fillId="28" borderId="703" xfId="6" applyFill="1" applyBorder="1" applyAlignment="1" applyProtection="1">
      <alignment horizontal="left" vertical="top" wrapText="1"/>
    </xf>
    <xf numFmtId="0" fontId="78" fillId="3" borderId="703" xfId="6" applyFont="1" applyFill="1" applyBorder="1" applyAlignment="1" applyProtection="1">
      <alignment horizontal="left" vertical="top" wrapText="1"/>
    </xf>
    <xf numFmtId="1" fontId="21" fillId="3" borderId="214" xfId="0" applyNumberFormat="1" applyFont="1" applyFill="1" applyBorder="1" applyAlignment="1" applyProtection="1">
      <alignment horizontal="center" vertical="center" wrapText="1"/>
      <protection locked="0"/>
    </xf>
    <xf numFmtId="1" fontId="21" fillId="3" borderId="201" xfId="0" applyNumberFormat="1" applyFont="1" applyFill="1" applyBorder="1" applyAlignment="1" applyProtection="1">
      <alignment horizontal="center" vertical="center" wrapText="1"/>
      <protection locked="0"/>
    </xf>
    <xf numFmtId="1" fontId="21" fillId="68" borderId="214" xfId="0" applyNumberFormat="1" applyFont="1" applyFill="1" applyBorder="1" applyAlignment="1" applyProtection="1">
      <alignment horizontal="center" vertical="center" wrapText="1"/>
    </xf>
    <xf numFmtId="0" fontId="23" fillId="68" borderId="599" xfId="0" applyFont="1" applyFill="1" applyBorder="1" applyAlignment="1" applyProtection="1">
      <alignment horizontal="center" vertical="center" wrapText="1"/>
    </xf>
    <xf numFmtId="0" fontId="23" fillId="68" borderId="201" xfId="0" applyFont="1" applyFill="1" applyBorder="1" applyAlignment="1" applyProtection="1">
      <alignment horizontal="center" vertical="center" wrapText="1"/>
    </xf>
    <xf numFmtId="0" fontId="23" fillId="0" borderId="599" xfId="0" applyFont="1" applyBorder="1" applyAlignment="1" applyProtection="1">
      <alignment horizontal="center" vertical="center" wrapText="1"/>
      <protection locked="0"/>
    </xf>
    <xf numFmtId="0" fontId="23" fillId="0" borderId="201" xfId="0" applyFont="1" applyBorder="1" applyAlignment="1" applyProtection="1">
      <alignment horizontal="center" vertical="center" wrapText="1"/>
      <protection locked="0"/>
    </xf>
    <xf numFmtId="1" fontId="21" fillId="68" borderId="697" xfId="0" applyNumberFormat="1" applyFont="1" applyFill="1" applyBorder="1" applyAlignment="1" applyProtection="1">
      <alignment horizontal="center" vertical="center" wrapText="1"/>
    </xf>
    <xf numFmtId="0" fontId="23" fillId="28" borderId="618" xfId="0" applyFont="1" applyFill="1" applyBorder="1" applyAlignment="1">
      <alignment horizontal="left" vertical="top" wrapText="1"/>
    </xf>
    <xf numFmtId="0" fontId="23" fillId="28" borderId="612" xfId="0" applyFont="1" applyFill="1" applyBorder="1" applyAlignment="1">
      <alignment horizontal="left" vertical="top" wrapText="1"/>
    </xf>
    <xf numFmtId="0" fontId="22" fillId="22" borderId="713" xfId="0" applyFont="1" applyFill="1" applyBorder="1" applyAlignment="1" applyProtection="1">
      <alignment vertical="top" wrapText="1"/>
    </xf>
    <xf numFmtId="0" fontId="22" fillId="22" borderId="714" xfId="0" applyFont="1" applyFill="1" applyBorder="1" applyAlignment="1" applyProtection="1">
      <alignment vertical="top" wrapText="1"/>
    </xf>
    <xf numFmtId="0" fontId="23" fillId="3" borderId="618" xfId="0" applyNumberFormat="1" applyFont="1" applyFill="1" applyBorder="1" applyAlignment="1" applyProtection="1">
      <alignment horizontal="left" vertical="top" wrapText="1"/>
    </xf>
    <xf numFmtId="0" fontId="23" fillId="3" borderId="612" xfId="0" applyNumberFormat="1" applyFont="1" applyFill="1" applyBorder="1" applyAlignment="1" applyProtection="1">
      <alignment horizontal="left" vertical="top" wrapText="1"/>
    </xf>
    <xf numFmtId="0" fontId="21" fillId="3" borderId="599" xfId="0" applyFont="1" applyFill="1" applyBorder="1" applyAlignment="1" applyProtection="1">
      <alignment horizontal="center" vertical="center" wrapText="1"/>
      <protection locked="0"/>
    </xf>
    <xf numFmtId="0" fontId="21" fillId="3" borderId="697" xfId="0" applyFont="1" applyFill="1" applyBorder="1" applyAlignment="1" applyProtection="1">
      <alignment horizontal="center" vertical="center" wrapText="1"/>
      <protection locked="0"/>
    </xf>
    <xf numFmtId="0" fontId="23" fillId="28" borderId="603" xfId="0" applyFont="1" applyFill="1" applyBorder="1" applyAlignment="1" applyProtection="1">
      <alignment horizontal="left" vertical="top" wrapText="1"/>
    </xf>
    <xf numFmtId="0" fontId="23" fillId="28" borderId="604" xfId="0" applyFont="1" applyFill="1" applyBorder="1" applyAlignment="1" applyProtection="1">
      <alignment horizontal="left" vertical="top" wrapText="1"/>
    </xf>
    <xf numFmtId="0" fontId="23" fillId="22" borderId="634" xfId="0" applyFont="1" applyFill="1" applyBorder="1" applyAlignment="1" applyProtection="1">
      <alignment horizontal="left" vertical="top" wrapText="1"/>
    </xf>
    <xf numFmtId="0" fontId="19" fillId="8" borderId="715" xfId="6" applyBorder="1" applyAlignment="1" applyProtection="1">
      <alignment horizontal="left" vertical="top" wrapText="1"/>
    </xf>
    <xf numFmtId="0" fontId="19" fillId="8" borderId="748" xfId="6" applyBorder="1" applyAlignment="1" applyProtection="1">
      <alignment horizontal="left" vertical="top" wrapText="1"/>
    </xf>
    <xf numFmtId="0" fontId="19" fillId="8" borderId="716" xfId="6" applyBorder="1" applyAlignment="1" applyProtection="1">
      <alignment horizontal="left" vertical="top" wrapText="1"/>
    </xf>
    <xf numFmtId="0" fontId="21" fillId="3" borderId="223" xfId="0" applyFont="1" applyFill="1" applyBorder="1" applyAlignment="1" applyProtection="1">
      <alignment horizontal="center" vertical="center" wrapText="1"/>
      <protection locked="0"/>
    </xf>
    <xf numFmtId="0" fontId="21" fillId="3" borderId="631" xfId="0" applyFont="1" applyFill="1" applyBorder="1" applyAlignment="1" applyProtection="1">
      <alignment horizontal="center" vertical="center" wrapText="1"/>
      <protection locked="0"/>
    </xf>
    <xf numFmtId="0" fontId="22" fillId="0" borderId="201" xfId="0" applyFont="1" applyBorder="1" applyAlignment="1" applyProtection="1">
      <alignment horizontal="left" vertical="top" wrapText="1" indent="4"/>
    </xf>
    <xf numFmtId="0" fontId="63" fillId="0" borderId="599" xfId="0" applyFont="1" applyBorder="1" applyAlignment="1" applyProtection="1">
      <alignment horizontal="center" vertical="center" wrapText="1"/>
    </xf>
    <xf numFmtId="0" fontId="63" fillId="0" borderId="201" xfId="0" applyFont="1" applyBorder="1" applyAlignment="1" applyProtection="1">
      <alignment horizontal="center" vertical="center" wrapText="1"/>
    </xf>
    <xf numFmtId="1" fontId="21" fillId="0" borderId="599" xfId="0" applyNumberFormat="1" applyFont="1" applyBorder="1" applyAlignment="1" applyProtection="1">
      <alignment horizontal="left" vertical="center" wrapText="1"/>
    </xf>
    <xf numFmtId="1" fontId="21" fillId="0" borderId="214" xfId="0" applyNumberFormat="1" applyFont="1" applyBorder="1" applyAlignment="1" applyProtection="1">
      <alignment horizontal="left" vertical="center" wrapText="1"/>
    </xf>
    <xf numFmtId="1" fontId="21" fillId="0" borderId="201" xfId="0" applyNumberFormat="1" applyFont="1" applyBorder="1" applyAlignment="1" applyProtection="1">
      <alignment horizontal="left" vertical="center" wrapText="1"/>
    </xf>
    <xf numFmtId="0" fontId="23" fillId="0" borderId="599" xfId="0" applyFont="1" applyBorder="1" applyAlignment="1" applyProtection="1">
      <alignment horizontal="left" vertical="center" wrapText="1"/>
      <protection locked="0"/>
    </xf>
    <xf numFmtId="0" fontId="23" fillId="0" borderId="201" xfId="0" applyFont="1" applyBorder="1" applyAlignment="1" applyProtection="1">
      <alignment horizontal="left" vertical="center" wrapText="1"/>
      <protection locked="0"/>
    </xf>
    <xf numFmtId="0" fontId="30" fillId="68" borderId="599" xfId="0" applyFont="1" applyFill="1" applyBorder="1" applyAlignment="1" applyProtection="1">
      <alignment horizontal="center" vertical="center" wrapText="1"/>
    </xf>
    <xf numFmtId="0" fontId="30" fillId="68" borderId="201" xfId="0" applyFont="1" applyFill="1" applyBorder="1" applyAlignment="1" applyProtection="1">
      <alignment horizontal="center" vertical="center" wrapText="1"/>
    </xf>
    <xf numFmtId="0" fontId="22" fillId="0" borderId="599" xfId="0" applyFont="1" applyBorder="1" applyAlignment="1" applyProtection="1">
      <alignment horizontal="left" vertical="top" wrapText="1" indent="8"/>
    </xf>
    <xf numFmtId="0" fontId="22" fillId="0" borderId="201" xfId="0" applyFont="1" applyBorder="1" applyAlignment="1" applyProtection="1">
      <alignment horizontal="left" vertical="top" wrapText="1" indent="8"/>
    </xf>
    <xf numFmtId="0" fontId="0" fillId="22" borderId="618" xfId="0" applyFill="1" applyBorder="1" applyAlignment="1" applyProtection="1">
      <alignment horizontal="right"/>
    </xf>
    <xf numFmtId="0" fontId="0" fillId="0" borderId="597" xfId="0" applyBorder="1" applyAlignment="1"/>
    <xf numFmtId="0" fontId="22" fillId="0" borderId="599" xfId="0" applyFont="1" applyBorder="1" applyAlignment="1" applyProtection="1">
      <alignment horizontal="left" vertical="top" wrapText="1" indent="3"/>
    </xf>
    <xf numFmtId="0" fontId="22" fillId="0" borderId="201" xfId="0" applyFont="1" applyBorder="1" applyAlignment="1" applyProtection="1">
      <alignment horizontal="left" vertical="top" wrapText="1" indent="3"/>
    </xf>
    <xf numFmtId="1" fontId="21" fillId="0" borderId="603" xfId="0" applyNumberFormat="1" applyFont="1" applyBorder="1" applyAlignment="1" applyProtection="1">
      <alignment horizontal="center" vertical="center" wrapText="1"/>
      <protection locked="0"/>
    </xf>
    <xf numFmtId="1" fontId="21" fillId="0" borderId="604" xfId="0" applyNumberFormat="1" applyFont="1" applyBorder="1" applyAlignment="1" applyProtection="1">
      <alignment horizontal="center" vertical="center" wrapText="1"/>
      <protection locked="0"/>
    </xf>
    <xf numFmtId="1" fontId="21" fillId="0" borderId="202" xfId="0" applyNumberFormat="1" applyFont="1" applyBorder="1" applyAlignment="1" applyProtection="1">
      <alignment horizontal="center" vertical="center" wrapText="1"/>
      <protection locked="0"/>
    </xf>
    <xf numFmtId="1" fontId="21" fillId="0" borderId="292" xfId="0" applyNumberFormat="1" applyFont="1" applyBorder="1" applyAlignment="1" applyProtection="1">
      <alignment horizontal="center" vertical="center" wrapText="1"/>
      <protection locked="0"/>
    </xf>
    <xf numFmtId="0" fontId="22" fillId="0" borderId="618" xfId="0" applyFont="1" applyBorder="1" applyAlignment="1" applyProtection="1">
      <alignment horizontal="left" vertical="top" wrapText="1"/>
    </xf>
    <xf numFmtId="0" fontId="22" fillId="0" borderId="597" xfId="0" applyFont="1" applyBorder="1" applyAlignment="1" applyProtection="1">
      <alignment horizontal="left" vertical="top" wrapText="1"/>
    </xf>
    <xf numFmtId="0" fontId="22" fillId="0" borderId="612" xfId="0" applyFont="1" applyBorder="1" applyAlignment="1" applyProtection="1">
      <alignment horizontal="left" vertical="top" wrapText="1"/>
    </xf>
    <xf numFmtId="0" fontId="51" fillId="0" borderId="618" xfId="6" applyFont="1" applyFill="1" applyBorder="1" applyProtection="1">
      <alignment horizontal="center" vertical="center" wrapText="1"/>
    </xf>
    <xf numFmtId="0" fontId="51" fillId="0" borderId="597" xfId="6" applyFont="1" applyFill="1" applyBorder="1" applyProtection="1">
      <alignment horizontal="center" vertical="center" wrapText="1"/>
    </xf>
    <xf numFmtId="0" fontId="51" fillId="0" borderId="612" xfId="6" applyFont="1" applyFill="1" applyBorder="1" applyProtection="1">
      <alignment horizontal="center" vertical="center" wrapText="1"/>
    </xf>
    <xf numFmtId="0" fontId="23" fillId="3" borderId="732" xfId="6" applyFont="1" applyFill="1" applyBorder="1" applyAlignment="1" applyProtection="1">
      <alignment horizontal="left" vertical="top" wrapText="1"/>
    </xf>
    <xf numFmtId="0" fontId="22" fillId="0" borderId="735" xfId="0" applyFont="1" applyBorder="1" applyAlignment="1" applyProtection="1">
      <alignment horizontal="left" vertical="top" wrapText="1"/>
    </xf>
    <xf numFmtId="0" fontId="22" fillId="0" borderId="615" xfId="0" applyFont="1" applyBorder="1" applyAlignment="1" applyProtection="1">
      <alignment horizontal="left" vertical="top" wrapText="1"/>
    </xf>
    <xf numFmtId="0" fontId="22" fillId="0" borderId="616" xfId="0" applyFont="1" applyBorder="1" applyAlignment="1" applyProtection="1">
      <alignment horizontal="left" vertical="top" wrapText="1"/>
    </xf>
    <xf numFmtId="0" fontId="81" fillId="0" borderId="733" xfId="6" applyFont="1" applyFill="1" applyBorder="1" applyAlignment="1" applyProtection="1">
      <alignment horizontal="left" vertical="top" wrapText="1"/>
    </xf>
    <xf numFmtId="0" fontId="81" fillId="0" borderId="57" xfId="6" applyFont="1" applyFill="1" applyBorder="1" applyAlignment="1" applyProtection="1">
      <alignment horizontal="left" vertical="top" wrapText="1"/>
    </xf>
    <xf numFmtId="0" fontId="81" fillId="0" borderId="628" xfId="6" applyFont="1" applyFill="1" applyBorder="1" applyAlignment="1" applyProtection="1">
      <alignment horizontal="left" vertical="top" wrapText="1"/>
    </xf>
    <xf numFmtId="0" fontId="30" fillId="0" borderId="625" xfId="6" applyFont="1" applyFill="1" applyBorder="1" applyAlignment="1" applyProtection="1">
      <alignment horizontal="center" vertical="center" wrapText="1"/>
      <protection locked="0"/>
    </xf>
    <xf numFmtId="0" fontId="30" fillId="0" borderId="626" xfId="6" applyFont="1" applyFill="1" applyBorder="1" applyAlignment="1" applyProtection="1">
      <alignment horizontal="center" vertical="center" wrapText="1"/>
      <protection locked="0"/>
    </xf>
    <xf numFmtId="0" fontId="81" fillId="0" borderId="730" xfId="6" applyFont="1" applyFill="1" applyBorder="1" applyAlignment="1" applyProtection="1">
      <alignment horizontal="left" vertical="top" wrapText="1"/>
    </xf>
    <xf numFmtId="0" fontId="81" fillId="0" borderId="68" xfId="6" applyFont="1" applyFill="1" applyBorder="1" applyAlignment="1" applyProtection="1">
      <alignment horizontal="left" vertical="top" wrapText="1"/>
    </xf>
    <xf numFmtId="0" fontId="81" fillId="0" borderId="627" xfId="6" applyFont="1" applyFill="1" applyBorder="1" applyAlignment="1" applyProtection="1">
      <alignment horizontal="left" vertical="top" wrapText="1"/>
    </xf>
    <xf numFmtId="0" fontId="28" fillId="3" borderId="109" xfId="6" applyFont="1" applyFill="1" applyBorder="1" applyProtection="1">
      <alignment horizontal="center" vertical="center" wrapText="1"/>
    </xf>
    <xf numFmtId="0" fontId="28" fillId="3" borderId="465" xfId="6" applyFont="1" applyFill="1" applyBorder="1" applyProtection="1">
      <alignment horizontal="center" vertical="center" wrapText="1"/>
    </xf>
    <xf numFmtId="0" fontId="13" fillId="3" borderId="109" xfId="6" applyFont="1" applyFill="1" applyBorder="1" applyAlignment="1" applyProtection="1">
      <alignment horizontal="center" vertical="center" wrapText="1"/>
    </xf>
    <xf numFmtId="0" fontId="13" fillId="3" borderId="465" xfId="6" applyFont="1" applyFill="1" applyBorder="1" applyAlignment="1" applyProtection="1">
      <alignment horizontal="center" vertical="center" wrapText="1"/>
    </xf>
    <xf numFmtId="0" fontId="13" fillId="3" borderId="467" xfId="6" applyFont="1" applyFill="1" applyBorder="1" applyAlignment="1" applyProtection="1">
      <alignment horizontal="center" vertical="center" wrapText="1"/>
    </xf>
    <xf numFmtId="0" fontId="23" fillId="68" borderId="608" xfId="6" applyFont="1" applyFill="1" applyBorder="1" applyAlignment="1" applyProtection="1">
      <alignment horizontal="center" vertical="center" wrapText="1"/>
    </xf>
    <xf numFmtId="0" fontId="23" fillId="68" borderId="570" xfId="6" applyFont="1" applyFill="1" applyBorder="1" applyAlignment="1" applyProtection="1">
      <alignment horizontal="center" vertical="center" wrapText="1"/>
    </xf>
    <xf numFmtId="1" fontId="21" fillId="0" borderId="611" xfId="0" applyNumberFormat="1" applyFont="1" applyFill="1" applyBorder="1" applyAlignment="1" applyProtection="1">
      <alignment horizontal="center" vertical="center" wrapText="1"/>
      <protection locked="0"/>
    </xf>
    <xf numFmtId="0" fontId="13" fillId="28" borderId="727" xfId="6" applyFont="1" applyFill="1" applyBorder="1" applyAlignment="1" applyProtection="1">
      <alignment horizontal="left" vertical="top" wrapText="1"/>
    </xf>
    <xf numFmtId="0" fontId="81" fillId="3" borderId="722" xfId="6" applyFont="1" applyFill="1" applyBorder="1" applyAlignment="1" applyProtection="1">
      <alignment horizontal="left" vertical="top" wrapText="1"/>
    </xf>
    <xf numFmtId="0" fontId="81" fillId="3" borderId="724" xfId="6" applyFont="1" applyFill="1" applyBorder="1" applyAlignment="1" applyProtection="1">
      <alignment horizontal="left" vertical="top" wrapText="1"/>
    </xf>
    <xf numFmtId="0" fontId="13" fillId="3" borderId="459" xfId="6" applyFont="1" applyFill="1" applyBorder="1" applyAlignment="1" applyProtection="1">
      <alignment horizontal="center" vertical="center" wrapText="1"/>
    </xf>
    <xf numFmtId="0" fontId="23" fillId="0" borderId="459" xfId="6" applyFont="1" applyFill="1" applyBorder="1" applyAlignment="1" applyProtection="1">
      <alignment horizontal="center" vertical="center" wrapText="1"/>
    </xf>
    <xf numFmtId="0" fontId="23" fillId="0" borderId="467" xfId="6" applyFont="1" applyFill="1" applyBorder="1" applyAlignment="1" applyProtection="1">
      <alignment horizontal="center" vertical="center" wrapText="1"/>
    </xf>
    <xf numFmtId="1" fontId="21" fillId="0" borderId="629" xfId="0" applyNumberFormat="1" applyFont="1" applyFill="1" applyBorder="1" applyAlignment="1" applyProtection="1">
      <alignment horizontal="center" vertical="center" wrapText="1"/>
      <protection locked="0"/>
    </xf>
    <xf numFmtId="1" fontId="21" fillId="0" borderId="609" xfId="0" applyNumberFormat="1" applyFont="1" applyFill="1" applyBorder="1" applyAlignment="1" applyProtection="1">
      <alignment horizontal="center" vertical="center" wrapText="1"/>
      <protection locked="0"/>
    </xf>
    <xf numFmtId="1" fontId="21" fillId="66" borderId="630" xfId="0" applyNumberFormat="1" applyFont="1" applyFill="1" applyBorder="1" applyAlignment="1" applyProtection="1">
      <alignment horizontal="center" vertical="center" wrapText="1"/>
      <protection locked="0"/>
    </xf>
    <xf numFmtId="1" fontId="21" fillId="66" borderId="611" xfId="0" applyNumberFormat="1" applyFont="1" applyFill="1" applyBorder="1" applyAlignment="1" applyProtection="1">
      <alignment horizontal="center" vertical="center" wrapText="1"/>
      <protection locked="0"/>
    </xf>
    <xf numFmtId="0" fontId="81" fillId="3" borderId="607" xfId="6" applyFont="1" applyFill="1" applyBorder="1" applyAlignment="1" applyProtection="1">
      <alignment horizontal="left" vertical="top" wrapText="1"/>
    </xf>
    <xf numFmtId="0" fontId="23" fillId="22" borderId="377" xfId="0" applyFont="1" applyFill="1" applyBorder="1" applyAlignment="1" applyProtection="1">
      <alignment horizontal="left" vertical="top"/>
    </xf>
    <xf numFmtId="0" fontId="23" fillId="0" borderId="715" xfId="0" applyFont="1" applyBorder="1" applyAlignment="1" applyProtection="1">
      <alignment horizontal="left" vertical="top" wrapText="1"/>
    </xf>
    <xf numFmtId="0" fontId="23" fillId="0" borderId="716" xfId="0" applyFont="1" applyBorder="1" applyAlignment="1" applyProtection="1">
      <alignment horizontal="left" vertical="top" wrapText="1"/>
    </xf>
    <xf numFmtId="0" fontId="19" fillId="8" borderId="550" xfId="6" applyBorder="1" applyProtection="1">
      <alignment horizontal="center" vertical="center" wrapText="1"/>
    </xf>
    <xf numFmtId="0" fontId="19" fillId="8" borderId="717" xfId="6" applyBorder="1" applyProtection="1">
      <alignment horizontal="center" vertical="center" wrapText="1"/>
    </xf>
    <xf numFmtId="0" fontId="23" fillId="28" borderId="605" xfId="0" applyFont="1" applyFill="1" applyBorder="1" applyAlignment="1" applyProtection="1">
      <alignment horizontal="left" vertical="top" wrapText="1"/>
    </xf>
    <xf numFmtId="0" fontId="23" fillId="28" borderId="377" xfId="0" applyFont="1" applyFill="1" applyBorder="1" applyAlignment="1" applyProtection="1">
      <alignment horizontal="left" vertical="top"/>
    </xf>
    <xf numFmtId="0" fontId="23" fillId="22" borderId="551" xfId="0" applyFont="1" applyFill="1" applyBorder="1" applyAlignment="1" applyProtection="1">
      <alignment horizontal="left" vertical="top" wrapText="1"/>
    </xf>
    <xf numFmtId="0" fontId="23" fillId="28" borderId="633" xfId="0" applyFont="1" applyFill="1" applyBorder="1" applyAlignment="1">
      <alignment horizontal="center" vertical="top" wrapText="1"/>
    </xf>
    <xf numFmtId="0" fontId="23" fillId="0" borderId="603" xfId="0" applyFont="1" applyBorder="1" applyAlignment="1">
      <alignment horizontal="left" vertical="top" wrapText="1"/>
    </xf>
    <xf numFmtId="0" fontId="23" fillId="0" borderId="604" xfId="0" applyFont="1" applyBorder="1" applyAlignment="1">
      <alignment horizontal="left" vertical="top" wrapText="1"/>
    </xf>
    <xf numFmtId="0" fontId="23" fillId="0" borderId="605" xfId="0" applyFont="1" applyBorder="1" applyAlignment="1">
      <alignment horizontal="left" vertical="top" wrapText="1"/>
    </xf>
    <xf numFmtId="0" fontId="23" fillId="0" borderId="713" xfId="0" applyFont="1" applyBorder="1" applyAlignment="1">
      <alignment horizontal="left" vertical="top" wrapText="1"/>
    </xf>
    <xf numFmtId="0" fontId="23" fillId="0" borderId="714" xfId="0" applyFont="1" applyBorder="1" applyAlignment="1">
      <alignment horizontal="left" vertical="top" wrapText="1"/>
    </xf>
    <xf numFmtId="0" fontId="23" fillId="0" borderId="211" xfId="0" applyFont="1" applyFill="1" applyBorder="1" applyAlignment="1" applyProtection="1">
      <alignment horizontal="left" vertical="top"/>
    </xf>
    <xf numFmtId="0" fontId="23" fillId="0" borderId="377" xfId="0" applyFont="1" applyFill="1" applyBorder="1" applyAlignment="1" applyProtection="1">
      <alignment horizontal="left" vertical="top"/>
    </xf>
    <xf numFmtId="0" fontId="21" fillId="0" borderId="599" xfId="0" applyFont="1" applyFill="1" applyBorder="1" applyAlignment="1" applyProtection="1">
      <alignment horizontal="center" vertical="center" wrapText="1"/>
      <protection locked="0"/>
    </xf>
    <xf numFmtId="0" fontId="21" fillId="0" borderId="201" xfId="0" applyFont="1" applyFill="1" applyBorder="1" applyAlignment="1" applyProtection="1">
      <alignment horizontal="center" vertical="center" wrapText="1"/>
      <protection locked="0"/>
    </xf>
    <xf numFmtId="0" fontId="22" fillId="0" borderId="603" xfId="0" applyFont="1" applyBorder="1" applyAlignment="1" applyProtection="1">
      <alignment horizontal="left" vertical="top" wrapText="1"/>
    </xf>
    <xf numFmtId="0" fontId="22" fillId="0" borderId="713" xfId="0" applyFont="1" applyBorder="1" applyAlignment="1" applyProtection="1">
      <alignment horizontal="left" vertical="top" wrapText="1"/>
    </xf>
    <xf numFmtId="0" fontId="22" fillId="0" borderId="697" xfId="0" applyFont="1" applyBorder="1" applyAlignment="1" applyProtection="1">
      <alignment horizontal="center" vertical="center"/>
    </xf>
    <xf numFmtId="0" fontId="21" fillId="0" borderId="599" xfId="0" applyFont="1" applyFill="1" applyBorder="1" applyAlignment="1" applyProtection="1">
      <alignment horizontal="center" vertical="center"/>
      <protection locked="0"/>
    </xf>
    <xf numFmtId="0" fontId="21" fillId="0" borderId="214" xfId="0" applyFont="1" applyFill="1" applyBorder="1" applyAlignment="1" applyProtection="1">
      <alignment horizontal="center" vertical="center"/>
      <protection locked="0"/>
    </xf>
    <xf numFmtId="0" fontId="21" fillId="0" borderId="201" xfId="0" applyFont="1" applyFill="1" applyBorder="1" applyAlignment="1" applyProtection="1">
      <alignment horizontal="center" vertical="center"/>
      <protection locked="0"/>
    </xf>
    <xf numFmtId="0" fontId="22" fillId="0" borderId="599" xfId="0" applyFont="1" applyBorder="1" applyAlignment="1" applyProtection="1">
      <alignment horizontal="center" vertical="top" wrapText="1"/>
    </xf>
    <xf numFmtId="0" fontId="22" fillId="0" borderId="697" xfId="0" applyFont="1" applyBorder="1" applyAlignment="1" applyProtection="1">
      <alignment horizontal="center" vertical="top" wrapText="1"/>
    </xf>
    <xf numFmtId="0" fontId="21" fillId="0" borderId="214" xfId="1" applyNumberFormat="1" applyFont="1" applyBorder="1" applyAlignment="1" applyProtection="1">
      <alignment horizontal="left" vertical="center" wrapText="1"/>
      <protection locked="0"/>
    </xf>
    <xf numFmtId="0" fontId="21" fillId="0" borderId="201" xfId="1" applyNumberFormat="1" applyFont="1" applyBorder="1" applyAlignment="1" applyProtection="1">
      <alignment horizontal="left" vertical="center" wrapText="1"/>
      <protection locked="0"/>
    </xf>
    <xf numFmtId="0" fontId="21" fillId="0" borderId="599" xfId="1" applyNumberFormat="1" applyFont="1" applyBorder="1" applyAlignment="1" applyProtection="1">
      <alignment horizontal="center" vertical="center" wrapText="1"/>
    </xf>
    <xf numFmtId="0" fontId="21" fillId="0" borderId="201" xfId="1" applyNumberFormat="1" applyFont="1" applyBorder="1" applyAlignment="1" applyProtection="1">
      <alignment horizontal="center" vertical="center" wrapText="1"/>
    </xf>
    <xf numFmtId="0" fontId="21" fillId="22" borderId="599" xfId="0" applyFont="1" applyFill="1" applyBorder="1" applyAlignment="1" applyProtection="1">
      <alignment horizontal="center" vertical="center"/>
      <protection locked="0"/>
    </xf>
    <xf numFmtId="0" fontId="21" fillId="22" borderId="214" xfId="0" applyFont="1" applyFill="1" applyBorder="1" applyAlignment="1" applyProtection="1">
      <alignment horizontal="center" vertical="center"/>
      <protection locked="0"/>
    </xf>
    <xf numFmtId="0" fontId="21" fillId="22" borderId="201" xfId="0" applyFont="1" applyFill="1" applyBorder="1" applyAlignment="1" applyProtection="1">
      <alignment horizontal="center" vertical="center"/>
      <protection locked="0"/>
    </xf>
    <xf numFmtId="0" fontId="22" fillId="0" borderId="201" xfId="0" applyFont="1" applyBorder="1" applyAlignment="1" applyProtection="1">
      <alignment horizontal="center" vertical="top" wrapText="1"/>
    </xf>
    <xf numFmtId="0" fontId="22" fillId="0" borderId="211" xfId="0" applyFont="1" applyBorder="1" applyAlignment="1" applyProtection="1">
      <alignment horizontal="left" vertical="center" wrapText="1"/>
    </xf>
    <xf numFmtId="0" fontId="22" fillId="0" borderId="657" xfId="0" applyFont="1" applyBorder="1" applyAlignment="1" applyProtection="1">
      <alignment horizontal="left" vertical="center" wrapText="1"/>
    </xf>
    <xf numFmtId="0" fontId="22" fillId="0" borderId="377" xfId="0" applyFont="1" applyBorder="1" applyAlignment="1" applyProtection="1">
      <alignment horizontal="left" vertical="center" wrapText="1"/>
    </xf>
    <xf numFmtId="0" fontId="0" fillId="0" borderId="202" xfId="0" applyBorder="1" applyAlignment="1">
      <alignment horizontal="left" vertical="top" wrapText="1"/>
    </xf>
    <xf numFmtId="0" fontId="23" fillId="22" borderId="292" xfId="0" applyFont="1" applyFill="1" applyBorder="1" applyAlignment="1" applyProtection="1">
      <alignment horizontal="left" vertical="top"/>
    </xf>
    <xf numFmtId="0" fontId="0" fillId="0" borderId="201" xfId="0" applyBorder="1" applyAlignment="1">
      <alignment vertical="top" wrapText="1"/>
    </xf>
    <xf numFmtId="0" fontId="21" fillId="41" borderId="599" xfId="0" applyFont="1" applyFill="1" applyBorder="1" applyAlignment="1" applyProtection="1">
      <alignment horizontal="center" vertical="center" wrapText="1"/>
      <protection locked="0"/>
    </xf>
    <xf numFmtId="0" fontId="0" fillId="41" borderId="201" xfId="0" applyFont="1" applyFill="1" applyBorder="1" applyAlignment="1" applyProtection="1">
      <alignment horizontal="center" vertical="center" wrapText="1"/>
      <protection locked="0"/>
    </xf>
    <xf numFmtId="0" fontId="0" fillId="0" borderId="26" xfId="0" applyBorder="1" applyAlignment="1">
      <alignment horizontal="left" vertical="top" wrapText="1"/>
    </xf>
    <xf numFmtId="0" fontId="0" fillId="0" borderId="292" xfId="0" applyBorder="1" applyAlignment="1">
      <alignment horizontal="left" vertical="top" wrapText="1"/>
    </xf>
    <xf numFmtId="0" fontId="0" fillId="0" borderId="201" xfId="0" applyBorder="1" applyAlignment="1">
      <alignment wrapText="1"/>
    </xf>
    <xf numFmtId="0" fontId="23" fillId="0" borderId="618" xfId="0" applyFont="1" applyFill="1" applyBorder="1" applyAlignment="1" applyProtection="1">
      <alignment horizontal="left" vertical="top"/>
    </xf>
    <xf numFmtId="0" fontId="23" fillId="0" borderId="612" xfId="0" applyFont="1" applyFill="1" applyBorder="1" applyAlignment="1" applyProtection="1">
      <alignment horizontal="left" vertical="top"/>
    </xf>
    <xf numFmtId="1" fontId="22" fillId="0" borderId="599" xfId="0" applyNumberFormat="1" applyFont="1" applyBorder="1" applyAlignment="1" applyProtection="1">
      <alignment horizontal="center" vertical="center" wrapText="1"/>
    </xf>
    <xf numFmtId="1" fontId="22" fillId="0" borderId="201" xfId="0" applyNumberFormat="1" applyFont="1" applyBorder="1" applyAlignment="1" applyProtection="1">
      <alignment horizontal="center" vertical="center" wrapText="1"/>
    </xf>
    <xf numFmtId="0" fontId="21" fillId="41" borderId="201" xfId="0" applyFont="1" applyFill="1" applyBorder="1" applyAlignment="1" applyProtection="1">
      <alignment horizontal="center" vertical="center" wrapText="1"/>
      <protection locked="0"/>
    </xf>
    <xf numFmtId="0" fontId="0" fillId="0" borderId="604" xfId="0" applyBorder="1" applyAlignment="1">
      <alignment horizontal="left" vertical="top"/>
    </xf>
    <xf numFmtId="0" fontId="0" fillId="0" borderId="202" xfId="0" applyBorder="1" applyAlignment="1">
      <alignment horizontal="left" vertical="top"/>
    </xf>
    <xf numFmtId="0" fontId="0" fillId="0" borderId="292" xfId="0" applyBorder="1" applyAlignment="1">
      <alignment horizontal="left" vertical="top"/>
    </xf>
    <xf numFmtId="0" fontId="22" fillId="0" borderId="211" xfId="0" applyFont="1" applyFill="1" applyBorder="1" applyAlignment="1" applyProtection="1">
      <alignment horizontal="center" vertical="center" wrapText="1"/>
      <protection locked="0"/>
    </xf>
    <xf numFmtId="0" fontId="22" fillId="0" borderId="377" xfId="0" applyFont="1" applyFill="1" applyBorder="1" applyAlignment="1" applyProtection="1">
      <alignment horizontal="center" vertical="center" wrapText="1"/>
      <protection locked="0"/>
    </xf>
    <xf numFmtId="0" fontId="135" fillId="0" borderId="700" xfId="13" applyFont="1" applyFill="1" applyBorder="1" applyAlignment="1">
      <alignment horizontal="center" vertical="center" wrapText="1"/>
    </xf>
    <xf numFmtId="0" fontId="135" fillId="0" borderId="698" xfId="13" applyFont="1" applyFill="1" applyBorder="1" applyAlignment="1">
      <alignment horizontal="center" vertical="center" wrapText="1"/>
    </xf>
    <xf numFmtId="0" fontId="135" fillId="0" borderId="701" xfId="13" applyFont="1" applyFill="1" applyBorder="1" applyAlignment="1">
      <alignment horizontal="center" vertical="center" wrapText="1"/>
    </xf>
    <xf numFmtId="0" fontId="134" fillId="8" borderId="562" xfId="6" applyFont="1" applyBorder="1" applyAlignment="1" applyProtection="1">
      <alignment horizontal="center" vertical="center" wrapText="1"/>
    </xf>
    <xf numFmtId="0" fontId="134" fillId="8" borderId="561" xfId="6" applyFont="1" applyBorder="1" applyAlignment="1" applyProtection="1">
      <alignment horizontal="center" vertical="center" wrapText="1"/>
    </xf>
    <xf numFmtId="0" fontId="30" fillId="0" borderId="561" xfId="0" applyFont="1" applyBorder="1"/>
    <xf numFmtId="0" fontId="30" fillId="0" borderId="563" xfId="0" applyFont="1" applyBorder="1"/>
    <xf numFmtId="0" fontId="134" fillId="8" borderId="565" xfId="6" applyFont="1" applyBorder="1" applyAlignment="1" applyProtection="1">
      <alignment horizontal="center" vertical="center" wrapText="1"/>
    </xf>
    <xf numFmtId="0" fontId="30" fillId="0" borderId="708" xfId="0" applyFont="1" applyBorder="1"/>
    <xf numFmtId="0" fontId="134" fillId="8" borderId="566" xfId="6" applyFont="1" applyBorder="1" applyAlignment="1" applyProtection="1">
      <alignment horizontal="center" vertical="center" wrapText="1"/>
    </xf>
    <xf numFmtId="0" fontId="30" fillId="0" borderId="605" xfId="0" applyFont="1" applyBorder="1"/>
    <xf numFmtId="0" fontId="30" fillId="0" borderId="566" xfId="0" applyFont="1" applyBorder="1"/>
    <xf numFmtId="0" fontId="30" fillId="0" borderId="560" xfId="0" applyFont="1" applyBorder="1"/>
    <xf numFmtId="0" fontId="30" fillId="0" borderId="292" xfId="0" applyFont="1" applyBorder="1"/>
    <xf numFmtId="0" fontId="21" fillId="0" borderId="236" xfId="0" applyFont="1" applyBorder="1" applyAlignment="1" applyProtection="1">
      <alignment horizontal="left" vertical="center"/>
    </xf>
    <xf numFmtId="0" fontId="0" fillId="0" borderId="705" xfId="0" applyBorder="1" applyAlignment="1" applyProtection="1"/>
    <xf numFmtId="0" fontId="13" fillId="0" borderId="600" xfId="0" applyFont="1" applyBorder="1" applyAlignment="1" applyProtection="1">
      <alignment horizontal="left" vertical="top" wrapText="1"/>
    </xf>
    <xf numFmtId="0" fontId="13" fillId="0" borderId="706" xfId="0" applyFont="1" applyBorder="1" applyAlignment="1" applyProtection="1">
      <alignment horizontal="left" vertical="top" wrapText="1"/>
    </xf>
    <xf numFmtId="1" fontId="23" fillId="0" borderId="0" xfId="0" applyNumberFormat="1" applyFont="1" applyBorder="1" applyAlignment="1" applyProtection="1">
      <alignment horizontal="left" vertical="top"/>
    </xf>
    <xf numFmtId="0" fontId="134" fillId="8" borderId="564" xfId="6" applyFont="1" applyBorder="1" applyAlignment="1" applyProtection="1">
      <alignment horizontal="center" vertical="center" wrapText="1"/>
    </xf>
    <xf numFmtId="0" fontId="30" fillId="0" borderId="564" xfId="0" applyFont="1" applyBorder="1" applyAlignment="1">
      <alignment vertical="center"/>
    </xf>
    <xf numFmtId="0" fontId="134" fillId="8" borderId="563" xfId="6" applyFont="1" applyBorder="1" applyAlignment="1" applyProtection="1">
      <alignment horizontal="center" vertical="center" wrapText="1"/>
    </xf>
    <xf numFmtId="0" fontId="23" fillId="0" borderId="66" xfId="0" applyFont="1" applyBorder="1" applyAlignment="1" applyProtection="1">
      <alignment horizontal="left" vertical="top" wrapText="1"/>
      <protection locked="0"/>
    </xf>
    <xf numFmtId="0" fontId="23" fillId="0" borderId="704" xfId="0" applyFont="1" applyBorder="1" applyAlignment="1" applyProtection="1">
      <alignment horizontal="left" vertical="top" wrapText="1"/>
      <protection locked="0"/>
    </xf>
    <xf numFmtId="0" fontId="21" fillId="0" borderId="0" xfId="0" applyFont="1" applyBorder="1" applyAlignment="1" applyProtection="1">
      <alignment horizontal="left" vertical="top"/>
    </xf>
    <xf numFmtId="0" fontId="23" fillId="0" borderId="57" xfId="0" applyFont="1" applyBorder="1" applyAlignment="1" applyProtection="1">
      <alignment horizontal="left" vertical="center" wrapText="1"/>
    </xf>
    <xf numFmtId="0" fontId="0" fillId="0" borderId="702" xfId="0" applyBorder="1" applyAlignment="1" applyProtection="1"/>
    <xf numFmtId="0" fontId="23" fillId="0" borderId="58" xfId="0" applyFont="1" applyBorder="1" applyAlignment="1" applyProtection="1">
      <alignment horizontal="left" vertical="center" wrapText="1"/>
    </xf>
    <xf numFmtId="0" fontId="0" fillId="0" borderId="703" xfId="0" applyBorder="1" applyAlignment="1" applyProtection="1"/>
    <xf numFmtId="1" fontId="21" fillId="0" borderId="647" xfId="0" applyNumberFormat="1" applyFont="1" applyFill="1" applyBorder="1" applyAlignment="1" applyProtection="1">
      <alignment horizontal="center" vertical="center" wrapText="1"/>
      <protection locked="0"/>
    </xf>
    <xf numFmtId="1" fontId="21" fillId="0" borderId="0" xfId="0" applyNumberFormat="1" applyFont="1" applyFill="1" applyBorder="1" applyAlignment="1" applyProtection="1">
      <alignment horizontal="center" vertical="center" wrapText="1"/>
      <protection locked="0"/>
    </xf>
    <xf numFmtId="1" fontId="21" fillId="0" borderId="26" xfId="0" applyNumberFormat="1" applyFont="1" applyFill="1" applyBorder="1" applyAlignment="1" applyProtection="1">
      <alignment horizontal="center" vertical="center" wrapText="1"/>
      <protection locked="0"/>
    </xf>
    <xf numFmtId="0" fontId="28" fillId="3" borderId="459" xfId="6" applyFont="1" applyFill="1" applyBorder="1" applyAlignment="1" applyProtection="1">
      <alignment horizontal="center" vertical="center" wrapText="1"/>
    </xf>
    <xf numFmtId="0" fontId="28" fillId="3" borderId="467" xfId="6" applyFont="1" applyFill="1" applyBorder="1" applyAlignment="1" applyProtection="1">
      <alignment horizontal="center" vertical="center" wrapText="1"/>
    </xf>
    <xf numFmtId="0" fontId="23" fillId="34" borderId="459" xfId="6" applyFont="1" applyFill="1" applyBorder="1" applyAlignment="1" applyProtection="1">
      <alignment horizontal="center" vertical="center" wrapText="1"/>
    </xf>
    <xf numFmtId="0" fontId="23" fillId="34" borderId="467" xfId="6" applyFont="1" applyFill="1" applyBorder="1" applyAlignment="1" applyProtection="1">
      <alignment horizontal="center" vertical="center" wrapText="1"/>
    </xf>
    <xf numFmtId="0" fontId="81" fillId="0" borderId="722" xfId="6" applyFont="1" applyFill="1" applyBorder="1" applyAlignment="1" applyProtection="1">
      <alignment horizontal="left" vertical="top" wrapText="1"/>
    </xf>
    <xf numFmtId="0" fontId="81" fillId="0" borderId="724" xfId="6" applyFont="1" applyFill="1" applyBorder="1" applyAlignment="1" applyProtection="1">
      <alignment horizontal="left" vertical="top" wrapText="1"/>
    </xf>
    <xf numFmtId="0" fontId="30" fillId="41" borderId="599" xfId="0" applyFont="1" applyFill="1" applyBorder="1" applyAlignment="1" applyProtection="1">
      <alignment horizontal="center" vertical="center" wrapText="1"/>
      <protection locked="0"/>
    </xf>
    <xf numFmtId="0" fontId="30" fillId="41" borderId="697" xfId="0" applyFont="1" applyFill="1" applyBorder="1" applyAlignment="1" applyProtection="1">
      <alignment horizontal="center" vertical="center" wrapText="1"/>
      <protection locked="0"/>
    </xf>
    <xf numFmtId="0" fontId="22" fillId="0" borderId="202" xfId="0" applyFont="1" applyBorder="1" applyAlignment="1" applyProtection="1">
      <alignment horizontal="left" vertical="top" wrapText="1"/>
    </xf>
    <xf numFmtId="0" fontId="22" fillId="0" borderId="26" xfId="0" applyFont="1" applyBorder="1" applyAlignment="1" applyProtection="1">
      <alignment horizontal="left" vertical="top" wrapText="1"/>
    </xf>
    <xf numFmtId="0" fontId="22" fillId="0" borderId="292" xfId="0" applyFont="1" applyBorder="1" applyAlignment="1" applyProtection="1">
      <alignment horizontal="left" vertical="top" wrapText="1"/>
    </xf>
    <xf numFmtId="1" fontId="21" fillId="0" borderId="608" xfId="0" applyNumberFormat="1" applyFont="1" applyBorder="1" applyAlignment="1" applyProtection="1">
      <alignment horizontal="center" vertical="center" wrapText="1"/>
      <protection locked="0"/>
    </xf>
    <xf numFmtId="1" fontId="21" fillId="0" borderId="467" xfId="0" applyNumberFormat="1" applyFont="1" applyBorder="1" applyAlignment="1" applyProtection="1">
      <alignment horizontal="center" vertical="center" wrapText="1"/>
      <protection locked="0"/>
    </xf>
    <xf numFmtId="0" fontId="28" fillId="0" borderId="599" xfId="0" applyFont="1" applyBorder="1" applyAlignment="1" applyProtection="1">
      <alignment horizontal="center" vertical="center" wrapText="1"/>
    </xf>
    <xf numFmtId="0" fontId="28" fillId="0" borderId="201" xfId="0" applyFont="1" applyBorder="1" applyAlignment="1" applyProtection="1">
      <alignment horizontal="center" vertical="center" wrapText="1"/>
    </xf>
    <xf numFmtId="0" fontId="81" fillId="0" borderId="607" xfId="6" applyFont="1" applyFill="1" applyBorder="1" applyAlignment="1" applyProtection="1">
      <alignment horizontal="left" vertical="top" wrapText="1" indent="2"/>
    </xf>
    <xf numFmtId="0" fontId="81" fillId="0" borderId="734" xfId="6" applyFont="1" applyFill="1" applyBorder="1" applyAlignment="1" applyProtection="1">
      <alignment horizontal="left" vertical="top" wrapText="1" indent="2"/>
    </xf>
    <xf numFmtId="1" fontId="21" fillId="0" borderId="697" xfId="0" applyNumberFormat="1" applyFont="1" applyFill="1" applyBorder="1" applyAlignment="1" applyProtection="1">
      <alignment horizontal="center" vertical="center" wrapText="1"/>
    </xf>
    <xf numFmtId="0" fontId="22" fillId="0" borderId="599" xfId="0" applyFont="1" applyFill="1" applyBorder="1" applyAlignment="1" applyProtection="1">
      <alignment horizontal="left" vertical="top" wrapText="1" indent="4"/>
    </xf>
    <xf numFmtId="0" fontId="22" fillId="0" borderId="201" xfId="0" applyFont="1" applyFill="1" applyBorder="1" applyAlignment="1" applyProtection="1">
      <alignment horizontal="left" vertical="top" wrapText="1" indent="4"/>
    </xf>
    <xf numFmtId="0" fontId="14" fillId="0" borderId="599" xfId="4" applyNumberFormat="1" applyFont="1" applyBorder="1" applyAlignment="1">
      <alignment horizontal="center" vertical="center" wrapText="1"/>
    </xf>
    <xf numFmtId="0" fontId="14" fillId="0" borderId="602" xfId="4" applyNumberFormat="1" applyFont="1" applyBorder="1" applyAlignment="1">
      <alignment horizontal="center" vertical="center" wrapText="1"/>
    </xf>
    <xf numFmtId="0" fontId="22" fillId="0" borderId="599" xfId="4" applyNumberFormat="1" applyFont="1" applyBorder="1" applyAlignment="1">
      <alignment horizontal="center" vertical="center" wrapText="1"/>
    </xf>
    <xf numFmtId="0" fontId="22" fillId="0" borderId="201" xfId="4" applyNumberFormat="1" applyFont="1" applyBorder="1" applyAlignment="1">
      <alignment horizontal="center" vertical="center" wrapText="1"/>
    </xf>
    <xf numFmtId="1" fontId="21" fillId="0" borderId="230" xfId="0" applyNumberFormat="1" applyFont="1" applyBorder="1" applyAlignment="1" applyProtection="1">
      <alignment horizontal="center" vertical="center" wrapText="1"/>
    </xf>
    <xf numFmtId="0" fontId="21" fillId="0" borderId="618" xfId="0" applyFont="1" applyBorder="1" applyAlignment="1" applyProtection="1">
      <alignment horizontal="right" vertical="top" wrapText="1"/>
    </xf>
    <xf numFmtId="0" fontId="21" fillId="0" borderId="612" xfId="0" applyFont="1" applyBorder="1" applyAlignment="1" applyProtection="1">
      <alignment horizontal="right" vertical="top" wrapText="1"/>
    </xf>
    <xf numFmtId="0" fontId="22" fillId="0" borderId="647" xfId="0" applyFont="1" applyBorder="1" applyAlignment="1" applyProtection="1">
      <alignment horizontal="left" vertical="top" wrapText="1"/>
    </xf>
    <xf numFmtId="0" fontId="22" fillId="0" borderId="215" xfId="0" applyFont="1" applyBorder="1" applyAlignment="1" applyProtection="1">
      <alignment horizontal="left" vertical="top" wrapText="1"/>
    </xf>
    <xf numFmtId="0" fontId="22" fillId="0" borderId="0" xfId="0" applyFont="1" applyBorder="1" applyAlignment="1" applyProtection="1">
      <alignment horizontal="left" vertical="top" wrapText="1"/>
    </xf>
    <xf numFmtId="167" fontId="21" fillId="11" borderId="219" xfId="10" applyFont="1" applyBorder="1" applyAlignment="1" applyProtection="1">
      <alignment horizontal="left" vertical="top" wrapText="1"/>
    </xf>
    <xf numFmtId="167" fontId="21" fillId="11" borderId="36" xfId="10" applyFont="1" applyBorder="1" applyAlignment="1" applyProtection="1">
      <alignment horizontal="left" vertical="top" wrapText="1"/>
    </xf>
    <xf numFmtId="167" fontId="21" fillId="11" borderId="551" xfId="10" applyFont="1" applyBorder="1" applyAlignment="1" applyProtection="1">
      <alignment horizontal="left" vertical="top" wrapText="1"/>
    </xf>
    <xf numFmtId="0" fontId="81" fillId="3" borderId="719" xfId="6" applyFont="1" applyFill="1" applyBorder="1" applyAlignment="1" applyProtection="1">
      <alignment horizontal="left" vertical="top" wrapText="1"/>
    </xf>
    <xf numFmtId="0" fontId="81" fillId="3" borderId="66" xfId="6" applyFont="1" applyFill="1" applyBorder="1" applyAlignment="1" applyProtection="1">
      <alignment horizontal="left" vertical="top" wrapText="1"/>
    </xf>
    <xf numFmtId="0" fontId="81" fillId="3" borderId="606" xfId="6" applyFont="1" applyFill="1" applyBorder="1" applyAlignment="1" applyProtection="1">
      <alignment horizontal="left" vertical="top" wrapText="1"/>
    </xf>
    <xf numFmtId="0" fontId="81" fillId="3" borderId="726" xfId="6" applyFont="1" applyFill="1" applyBorder="1" applyAlignment="1" applyProtection="1">
      <alignment horizontal="left" vertical="top" wrapText="1"/>
    </xf>
    <xf numFmtId="0" fontId="81" fillId="3" borderId="613" xfId="6" applyFont="1" applyFill="1" applyBorder="1" applyAlignment="1" applyProtection="1">
      <alignment horizontal="left" vertical="top" wrapText="1"/>
    </xf>
    <xf numFmtId="0" fontId="81" fillId="3" borderId="614" xfId="6" applyFont="1" applyFill="1" applyBorder="1" applyAlignment="1" applyProtection="1">
      <alignment horizontal="left" vertical="top" wrapText="1"/>
    </xf>
    <xf numFmtId="0" fontId="28" fillId="0" borderId="697" xfId="0" applyFont="1" applyBorder="1" applyAlignment="1" applyProtection="1">
      <alignment horizontal="center" vertical="center" wrapText="1"/>
    </xf>
    <xf numFmtId="0" fontId="30" fillId="0" borderId="599" xfId="0" applyFont="1" applyBorder="1" applyAlignment="1" applyProtection="1">
      <alignment horizontal="center" vertical="center" wrapText="1"/>
      <protection locked="0"/>
    </xf>
    <xf numFmtId="0" fontId="30" fillId="0" borderId="697" xfId="0" applyFont="1" applyBorder="1" applyAlignment="1" applyProtection="1">
      <alignment horizontal="center" vertical="center" wrapText="1"/>
      <protection locked="0"/>
    </xf>
    <xf numFmtId="49" fontId="31" fillId="0" borderId="230" xfId="16" applyFont="1" applyBorder="1" applyAlignment="1">
      <alignment horizontal="center" vertical="center" wrapText="1"/>
    </xf>
    <xf numFmtId="49" fontId="31" fillId="0" borderId="697" xfId="16" applyFont="1" applyBorder="1" applyAlignment="1">
      <alignment horizontal="center" vertical="center" wrapText="1"/>
    </xf>
    <xf numFmtId="0" fontId="81" fillId="0" borderId="607" xfId="6" applyFont="1" applyFill="1" applyBorder="1" applyAlignment="1" applyProtection="1">
      <alignment horizontal="left" vertical="top" wrapText="1" indent="1"/>
    </xf>
    <xf numFmtId="0" fontId="81" fillId="0" borderId="724" xfId="6" applyFont="1" applyFill="1" applyBorder="1" applyAlignment="1" applyProtection="1">
      <alignment horizontal="left" vertical="top" wrapText="1" indent="1"/>
    </xf>
    <xf numFmtId="1" fontId="0" fillId="0" borderId="0" xfId="0" applyNumberFormat="1" applyFont="1" applyAlignment="1">
      <alignment horizontal="center" vertical="center"/>
    </xf>
    <xf numFmtId="0" fontId="13" fillId="0" borderId="600" xfId="0" applyFont="1" applyBorder="1" applyAlignment="1">
      <alignment horizontal="left" vertical="top" wrapText="1"/>
    </xf>
    <xf numFmtId="0" fontId="23" fillId="0" borderId="631" xfId="0" applyFont="1" applyBorder="1" applyAlignment="1" applyProtection="1">
      <alignment horizontal="left" vertical="top" wrapText="1"/>
    </xf>
    <xf numFmtId="0" fontId="19" fillId="8" borderId="552" xfId="6" applyBorder="1" applyProtection="1">
      <alignment horizontal="center" vertical="center" wrapText="1"/>
    </xf>
    <xf numFmtId="0" fontId="19" fillId="8" borderId="718" xfId="6" applyBorder="1" applyProtection="1">
      <alignment horizontal="center" vertical="center" wrapText="1"/>
    </xf>
    <xf numFmtId="0" fontId="0" fillId="0" borderId="214" xfId="0" applyBorder="1" applyAlignment="1" applyProtection="1">
      <alignment horizontal="center" vertical="center" wrapText="1"/>
      <protection locked="0"/>
    </xf>
    <xf numFmtId="0" fontId="0" fillId="0" borderId="697" xfId="0" applyBorder="1" applyAlignment="1" applyProtection="1">
      <alignment horizontal="center" vertical="center" wrapText="1"/>
      <protection locked="0"/>
    </xf>
    <xf numFmtId="0" fontId="22" fillId="0" borderId="571" xfId="0" applyFont="1" applyBorder="1" applyAlignment="1" applyProtection="1">
      <alignment horizontal="center" vertical="center" wrapText="1"/>
    </xf>
    <xf numFmtId="1" fontId="21" fillId="0" borderId="571" xfId="0" applyNumberFormat="1" applyFont="1" applyBorder="1" applyAlignment="1" applyProtection="1">
      <alignment horizontal="center" vertical="center" wrapText="1"/>
    </xf>
    <xf numFmtId="0" fontId="0" fillId="0" borderId="0" xfId="0" applyAlignment="1">
      <alignment horizontal="right" vertical="center"/>
    </xf>
    <xf numFmtId="0" fontId="0" fillId="0" borderId="0" xfId="0" applyFont="1" applyAlignment="1">
      <alignment horizontal="right" vertical="center"/>
    </xf>
    <xf numFmtId="0" fontId="0" fillId="0" borderId="0" xfId="0" applyBorder="1" applyAlignment="1">
      <alignment horizontal="right" indent="1"/>
    </xf>
    <xf numFmtId="0" fontId="0" fillId="0" borderId="0" xfId="0" applyFont="1" applyBorder="1" applyAlignment="1">
      <alignment horizontal="right" indent="1"/>
    </xf>
    <xf numFmtId="0" fontId="22" fillId="0" borderId="214" xfId="0" applyFont="1" applyBorder="1" applyAlignment="1" applyProtection="1">
      <alignment horizontal="left" vertical="top" wrapText="1" indent="8"/>
    </xf>
    <xf numFmtId="0" fontId="23" fillId="22" borderId="292" xfId="0" applyFont="1" applyFill="1" applyBorder="1" applyAlignment="1" applyProtection="1">
      <alignment horizontal="left" vertical="top" wrapText="1"/>
    </xf>
    <xf numFmtId="1" fontId="21" fillId="3" borderId="604" xfId="0" applyNumberFormat="1" applyFont="1" applyFill="1" applyBorder="1" applyAlignment="1" applyProtection="1">
      <alignment horizontal="center" vertical="center" wrapText="1"/>
    </xf>
    <xf numFmtId="1" fontId="21" fillId="3" borderId="292" xfId="0" applyNumberFormat="1" applyFont="1" applyFill="1" applyBorder="1" applyAlignment="1" applyProtection="1">
      <alignment horizontal="center" vertical="center" wrapText="1"/>
    </xf>
    <xf numFmtId="1" fontId="21" fillId="40" borderId="599" xfId="0" applyNumberFormat="1" applyFont="1" applyFill="1" applyBorder="1" applyAlignment="1" applyProtection="1">
      <alignment horizontal="center" vertical="center" wrapText="1"/>
    </xf>
    <xf numFmtId="1" fontId="21" fillId="40" borderId="201" xfId="0" applyNumberFormat="1" applyFont="1" applyFill="1" applyBorder="1" applyAlignment="1" applyProtection="1">
      <alignment horizontal="center" vertical="center" wrapText="1"/>
    </xf>
    <xf numFmtId="0" fontId="23" fillId="0" borderId="462" xfId="6" applyFont="1" applyFill="1" applyBorder="1" applyAlignment="1" applyProtection="1">
      <alignment horizontal="center" vertical="center" wrapText="1"/>
    </xf>
    <xf numFmtId="0" fontId="23" fillId="0" borderId="466" xfId="6" applyFont="1" applyFill="1" applyBorder="1" applyAlignment="1" applyProtection="1">
      <alignment horizontal="center" vertical="center" wrapText="1"/>
    </xf>
    <xf numFmtId="0" fontId="0" fillId="0" borderId="201" xfId="0" applyBorder="1" applyAlignment="1" applyProtection="1">
      <alignment horizontal="center" vertical="center" wrapText="1"/>
      <protection locked="0"/>
    </xf>
    <xf numFmtId="0" fontId="23" fillId="0" borderId="109" xfId="6" applyFont="1" applyFill="1" applyBorder="1" applyAlignment="1" applyProtection="1">
      <alignment horizontal="left" vertical="center" wrapText="1"/>
      <protection locked="0"/>
    </xf>
    <xf numFmtId="0" fontId="23" fillId="0" borderId="570" xfId="6" applyFont="1" applyFill="1" applyBorder="1" applyAlignment="1" applyProtection="1">
      <alignment horizontal="left" vertical="center" wrapText="1"/>
      <protection locked="0"/>
    </xf>
    <xf numFmtId="0" fontId="23" fillId="0" borderId="467" xfId="6" applyFont="1" applyFill="1" applyBorder="1" applyAlignment="1" applyProtection="1">
      <alignment horizontal="left" vertical="center" wrapText="1"/>
      <protection locked="0"/>
    </xf>
    <xf numFmtId="0" fontId="81" fillId="3" borderId="730" xfId="6" applyFont="1" applyFill="1" applyBorder="1" applyAlignment="1" applyProtection="1">
      <alignment horizontal="left" vertical="top" wrapText="1"/>
    </xf>
    <xf numFmtId="0" fontId="81" fillId="3" borderId="68" xfId="6" applyFont="1" applyFill="1" applyBorder="1" applyAlignment="1" applyProtection="1">
      <alignment horizontal="left" vertical="top" wrapText="1"/>
    </xf>
    <xf numFmtId="0" fontId="81" fillId="3" borderId="627" xfId="6" applyFont="1" applyFill="1" applyBorder="1" applyAlignment="1" applyProtection="1">
      <alignment horizontal="left" vertical="top" wrapText="1"/>
    </xf>
    <xf numFmtId="1" fontId="21" fillId="66" borderId="230" xfId="0" applyNumberFormat="1" applyFont="1" applyFill="1" applyBorder="1" applyAlignment="1" applyProtection="1">
      <alignment horizontal="center" vertical="center" wrapText="1"/>
      <protection locked="0"/>
    </xf>
    <xf numFmtId="1" fontId="21" fillId="66" borderId="571" xfId="0" applyNumberFormat="1" applyFont="1" applyFill="1" applyBorder="1" applyAlignment="1" applyProtection="1">
      <alignment horizontal="center" vertical="center" wrapText="1"/>
      <protection locked="0"/>
    </xf>
    <xf numFmtId="0" fontId="21" fillId="0" borderId="697" xfId="0" applyFont="1" applyBorder="1" applyAlignment="1" applyProtection="1">
      <alignment horizontal="left" vertical="top" wrapText="1"/>
    </xf>
    <xf numFmtId="0" fontId="63" fillId="3" borderId="109" xfId="6" applyFont="1" applyFill="1" applyBorder="1" applyAlignment="1" applyProtection="1">
      <alignment horizontal="center" vertical="center" wrapText="1"/>
    </xf>
    <xf numFmtId="0" fontId="63" fillId="3" borderId="467" xfId="6" applyFont="1" applyFill="1" applyBorder="1" applyAlignment="1" applyProtection="1">
      <alignment horizontal="center" vertical="center" wrapText="1"/>
    </xf>
    <xf numFmtId="0" fontId="23" fillId="0" borderId="109" xfId="6" applyFont="1" applyFill="1" applyBorder="1" applyAlignment="1" applyProtection="1">
      <alignment horizontal="center" vertical="center" wrapText="1"/>
    </xf>
    <xf numFmtId="0" fontId="23" fillId="0" borderId="622" xfId="6" applyFont="1" applyFill="1" applyBorder="1" applyAlignment="1" applyProtection="1">
      <alignment horizontal="center" vertical="center" wrapText="1"/>
      <protection locked="0"/>
    </xf>
    <xf numFmtId="0" fontId="23" fillId="0" borderId="464" xfId="6" applyFont="1" applyFill="1" applyBorder="1" applyAlignment="1" applyProtection="1">
      <alignment horizontal="center" vertical="center" wrapText="1"/>
      <protection locked="0"/>
    </xf>
    <xf numFmtId="0" fontId="23" fillId="41" borderId="623" xfId="6" applyFont="1" applyFill="1" applyBorder="1" applyAlignment="1" applyProtection="1">
      <alignment horizontal="center" vertical="center" wrapText="1"/>
      <protection locked="0"/>
    </xf>
    <xf numFmtId="0" fontId="23" fillId="41" borderId="624" xfId="6" applyFont="1" applyFill="1" applyBorder="1" applyAlignment="1" applyProtection="1">
      <alignment horizontal="center" vertical="center" wrapText="1"/>
      <protection locked="0"/>
    </xf>
    <xf numFmtId="1" fontId="21" fillId="41" borderId="713" xfId="0" applyNumberFormat="1" applyFont="1" applyFill="1" applyBorder="1" applyAlignment="1" applyProtection="1">
      <alignment horizontal="center" vertical="center" wrapText="1"/>
      <protection locked="0"/>
    </xf>
    <xf numFmtId="0" fontId="23" fillId="22" borderId="618" xfId="0" applyFont="1" applyFill="1" applyBorder="1" applyAlignment="1" applyProtection="1">
      <alignment horizontal="left" vertical="top"/>
    </xf>
    <xf numFmtId="0" fontId="23" fillId="22" borderId="612" xfId="0" applyFont="1" applyFill="1" applyBorder="1" applyAlignment="1" applyProtection="1">
      <alignment horizontal="left" vertical="top"/>
    </xf>
    <xf numFmtId="0" fontId="22" fillId="0" borderId="618" xfId="0" applyFont="1" applyFill="1" applyBorder="1" applyAlignment="1" applyProtection="1">
      <alignment horizontal="left" vertical="top" wrapText="1"/>
    </xf>
    <xf numFmtId="0" fontId="22" fillId="0" borderId="597" xfId="0" applyFont="1" applyFill="1" applyBorder="1" applyAlignment="1" applyProtection="1">
      <alignment horizontal="left" vertical="top" wrapText="1"/>
    </xf>
    <xf numFmtId="0" fontId="22" fillId="0" borderId="612" xfId="0" applyFont="1" applyFill="1" applyBorder="1" applyAlignment="1" applyProtection="1">
      <alignment horizontal="left" vertical="top" wrapText="1"/>
    </xf>
    <xf numFmtId="0" fontId="13" fillId="0" borderId="211" xfId="0" applyFont="1" applyBorder="1" applyAlignment="1">
      <alignment horizontal="left" vertical="top" wrapText="1"/>
    </xf>
    <xf numFmtId="0" fontId="13" fillId="0" borderId="657" xfId="0" applyFont="1" applyBorder="1" applyAlignment="1">
      <alignment horizontal="left" vertical="top" wrapText="1"/>
    </xf>
    <xf numFmtId="0" fontId="13" fillId="0" borderId="377" xfId="0" applyFont="1" applyBorder="1" applyAlignment="1">
      <alignment horizontal="left" vertical="top" wrapText="1"/>
    </xf>
    <xf numFmtId="0" fontId="22" fillId="0" borderId="599" xfId="0" applyFont="1" applyFill="1" applyBorder="1" applyAlignment="1" applyProtection="1">
      <alignment horizontal="center" vertical="center" wrapText="1"/>
    </xf>
    <xf numFmtId="0" fontId="22" fillId="0" borderId="201" xfId="0" applyFont="1" applyFill="1" applyBorder="1" applyAlignment="1" applyProtection="1">
      <alignment horizontal="center" vertical="center" wrapText="1"/>
    </xf>
    <xf numFmtId="1" fontId="21" fillId="39" borderId="603" xfId="0" applyNumberFormat="1" applyFont="1" applyFill="1" applyBorder="1" applyAlignment="1" applyProtection="1">
      <alignment horizontal="center" vertical="center" wrapText="1"/>
    </xf>
    <xf numFmtId="1" fontId="21" fillId="39" borderId="604" xfId="0" applyNumberFormat="1" applyFont="1" applyFill="1" applyBorder="1" applyAlignment="1" applyProtection="1">
      <alignment horizontal="center" vertical="center" wrapText="1"/>
    </xf>
    <xf numFmtId="1" fontId="21" fillId="39" borderId="215" xfId="0" applyNumberFormat="1" applyFont="1" applyFill="1" applyBorder="1" applyAlignment="1" applyProtection="1">
      <alignment horizontal="center" vertical="center" wrapText="1"/>
    </xf>
    <xf numFmtId="1" fontId="21" fillId="39" borderId="605" xfId="0" applyNumberFormat="1" applyFont="1" applyFill="1" applyBorder="1" applyAlignment="1" applyProtection="1">
      <alignment horizontal="center" vertical="center" wrapText="1"/>
    </xf>
    <xf numFmtId="1" fontId="21" fillId="39" borderId="202" xfId="0" applyNumberFormat="1" applyFont="1" applyFill="1" applyBorder="1" applyAlignment="1" applyProtection="1">
      <alignment horizontal="center" vertical="center" wrapText="1"/>
    </xf>
    <xf numFmtId="1" fontId="21" fillId="39" borderId="292" xfId="0" applyNumberFormat="1" applyFont="1" applyFill="1" applyBorder="1" applyAlignment="1" applyProtection="1">
      <alignment horizontal="center" vertical="center" wrapText="1"/>
    </xf>
    <xf numFmtId="0" fontId="22" fillId="0" borderId="599" xfId="0" applyFont="1" applyBorder="1" applyAlignment="1" applyProtection="1">
      <alignment horizontal="left" vertical="top" wrapText="1" indent="6"/>
    </xf>
    <xf numFmtId="0" fontId="22" fillId="0" borderId="201" xfId="0" applyFont="1" applyBorder="1" applyAlignment="1" applyProtection="1">
      <alignment horizontal="left" vertical="top" wrapText="1" indent="6"/>
    </xf>
    <xf numFmtId="0" fontId="22" fillId="0" borderId="697" xfId="0" applyFont="1" applyFill="1" applyBorder="1" applyAlignment="1" applyProtection="1">
      <alignment horizontal="center" vertical="center" wrapText="1"/>
    </xf>
    <xf numFmtId="1" fontId="21" fillId="34" borderId="599" xfId="0" applyNumberFormat="1" applyFont="1" applyFill="1" applyBorder="1" applyAlignment="1" applyProtection="1">
      <alignment horizontal="center" vertical="center" wrapText="1"/>
      <protection locked="0"/>
    </xf>
    <xf numFmtId="1" fontId="21" fillId="34" borderId="214" xfId="0" applyNumberFormat="1" applyFont="1" applyFill="1" applyBorder="1" applyAlignment="1" applyProtection="1">
      <alignment horizontal="center" vertical="center" wrapText="1"/>
      <protection locked="0"/>
    </xf>
    <xf numFmtId="1" fontId="21" fillId="34" borderId="201" xfId="0" applyNumberFormat="1" applyFont="1" applyFill="1" applyBorder="1" applyAlignment="1" applyProtection="1">
      <alignment horizontal="center" vertical="center" wrapText="1"/>
      <protection locked="0"/>
    </xf>
    <xf numFmtId="1" fontId="21" fillId="0" borderId="647" xfId="0" applyNumberFormat="1" applyFont="1" applyFill="1" applyBorder="1" applyAlignment="1" applyProtection="1">
      <alignment horizontal="center" vertical="center" wrapText="1"/>
    </xf>
    <xf numFmtId="1" fontId="21" fillId="0" borderId="0" xfId="0" applyNumberFormat="1" applyFont="1" applyFill="1" applyBorder="1" applyAlignment="1" applyProtection="1">
      <alignment horizontal="center" vertical="center" wrapText="1"/>
    </xf>
    <xf numFmtId="1" fontId="21" fillId="0" borderId="26" xfId="0" applyNumberFormat="1" applyFont="1" applyFill="1" applyBorder="1" applyAlignment="1" applyProtection="1">
      <alignment horizontal="center" vertical="center" wrapText="1"/>
    </xf>
    <xf numFmtId="0" fontId="23" fillId="0" borderId="603" xfId="0" applyFont="1" applyFill="1" applyBorder="1" applyAlignment="1" applyProtection="1">
      <alignment horizontal="left" vertical="top" wrapText="1"/>
    </xf>
    <xf numFmtId="0" fontId="23" fillId="0" borderId="604" xfId="0" applyFont="1" applyFill="1" applyBorder="1" applyAlignment="1" applyProtection="1">
      <alignment horizontal="left" vertical="top" wrapText="1"/>
    </xf>
    <xf numFmtId="0" fontId="23" fillId="0" borderId="215" xfId="0" applyFont="1" applyFill="1" applyBorder="1" applyAlignment="1" applyProtection="1">
      <alignment horizontal="left" vertical="top" wrapText="1"/>
    </xf>
    <xf numFmtId="0" fontId="23" fillId="0" borderId="605" xfId="0" applyFont="1" applyFill="1" applyBorder="1" applyAlignment="1" applyProtection="1">
      <alignment horizontal="left" vertical="top" wrapText="1"/>
    </xf>
    <xf numFmtId="0" fontId="23" fillId="0" borderId="713" xfId="0" applyFont="1" applyFill="1" applyBorder="1" applyAlignment="1" applyProtection="1">
      <alignment horizontal="left" vertical="top" wrapText="1"/>
    </xf>
    <xf numFmtId="0" fontId="23" fillId="0" borderId="714" xfId="0" applyFont="1" applyFill="1" applyBorder="1" applyAlignment="1" applyProtection="1">
      <alignment horizontal="left" vertical="top" wrapText="1"/>
    </xf>
    <xf numFmtId="1" fontId="16" fillId="40" borderId="618" xfId="0" applyNumberFormat="1" applyFont="1" applyFill="1" applyBorder="1" applyAlignment="1" applyProtection="1">
      <alignment horizontal="center" vertical="center" wrapText="1"/>
    </xf>
    <xf numFmtId="1" fontId="16" fillId="40" borderId="612" xfId="0" applyNumberFormat="1" applyFont="1" applyFill="1" applyBorder="1" applyAlignment="1" applyProtection="1">
      <alignment horizontal="center" vertical="center" wrapText="1"/>
    </xf>
    <xf numFmtId="0" fontId="23" fillId="28" borderId="599" xfId="0" applyFont="1" applyFill="1" applyBorder="1" applyAlignment="1" applyProtection="1">
      <alignment horizontal="left" vertical="top" wrapText="1"/>
    </xf>
    <xf numFmtId="0" fontId="0" fillId="0" borderId="699" xfId="0" applyFont="1" applyBorder="1" applyAlignment="1" applyProtection="1">
      <alignment horizontal="center" textRotation="180"/>
    </xf>
    <xf numFmtId="0" fontId="0" fillId="0" borderId="694" xfId="0" applyFont="1" applyBorder="1" applyAlignment="1" applyProtection="1">
      <alignment horizontal="center" textRotation="180"/>
    </xf>
    <xf numFmtId="0" fontId="0" fillId="0" borderId="0" xfId="0" applyFont="1" applyAlignment="1">
      <alignment horizontal="center"/>
    </xf>
    <xf numFmtId="0" fontId="22" fillId="0" borderId="603" xfId="0" applyFont="1" applyBorder="1" applyAlignment="1" applyProtection="1">
      <alignment horizontal="left" vertical="center" wrapText="1"/>
    </xf>
    <xf numFmtId="0" fontId="22" fillId="0" borderId="202" xfId="0" applyFont="1" applyBorder="1" applyAlignment="1" applyProtection="1">
      <alignment horizontal="left" vertical="center" wrapText="1"/>
    </xf>
    <xf numFmtId="1" fontId="21" fillId="0" borderId="604" xfId="0" applyNumberFormat="1" applyFont="1" applyFill="1" applyBorder="1" applyAlignment="1" applyProtection="1">
      <alignment horizontal="center" vertical="center" wrapText="1"/>
    </xf>
    <xf numFmtId="1" fontId="21" fillId="0" borderId="292" xfId="0" applyNumberFormat="1" applyFont="1" applyFill="1" applyBorder="1" applyAlignment="1" applyProtection="1">
      <alignment horizontal="center" vertical="center" wrapText="1"/>
    </xf>
    <xf numFmtId="0" fontId="30" fillId="0" borderId="599" xfId="0" applyFont="1" applyFill="1" applyBorder="1" applyAlignment="1" applyProtection="1">
      <alignment horizontal="center" vertical="center" wrapText="1"/>
      <protection locked="0"/>
    </xf>
    <xf numFmtId="0" fontId="30" fillId="0" borderId="697" xfId="0" applyFont="1" applyFill="1" applyBorder="1" applyAlignment="1" applyProtection="1">
      <alignment horizontal="center" vertical="center" wrapText="1"/>
      <protection locked="0"/>
    </xf>
    <xf numFmtId="0" fontId="23" fillId="0" borderId="377" xfId="0" applyFont="1" applyBorder="1" applyAlignment="1" applyProtection="1">
      <alignment horizontal="left" vertical="top" wrapText="1"/>
    </xf>
    <xf numFmtId="0" fontId="0" fillId="0" borderId="215" xfId="0" applyBorder="1" applyAlignment="1" applyProtection="1">
      <alignment horizontal="right" vertical="top" wrapText="1"/>
    </xf>
    <xf numFmtId="0" fontId="0" fillId="0" borderId="0" xfId="0" applyBorder="1" applyAlignment="1" applyProtection="1">
      <alignment horizontal="right" vertical="top" wrapText="1"/>
    </xf>
    <xf numFmtId="1" fontId="21" fillId="67" borderId="603" xfId="0" applyNumberFormat="1" applyFont="1" applyFill="1" applyBorder="1" applyAlignment="1" applyProtection="1">
      <alignment horizontal="center" vertical="center" wrapText="1"/>
    </xf>
    <xf numFmtId="1" fontId="21" fillId="67" borderId="604" xfId="0" applyNumberFormat="1" applyFont="1" applyFill="1" applyBorder="1" applyAlignment="1" applyProtection="1">
      <alignment horizontal="center" vertical="center" wrapText="1"/>
    </xf>
    <xf numFmtId="1" fontId="21" fillId="67" borderId="202" xfId="0" applyNumberFormat="1" applyFont="1" applyFill="1" applyBorder="1" applyAlignment="1" applyProtection="1">
      <alignment horizontal="center" vertical="center" wrapText="1"/>
    </xf>
    <xf numFmtId="1" fontId="21" fillId="67" borderId="292" xfId="0" applyNumberFormat="1" applyFont="1" applyFill="1" applyBorder="1" applyAlignment="1" applyProtection="1">
      <alignment horizontal="center" vertical="center" wrapText="1"/>
    </xf>
    <xf numFmtId="0" fontId="63" fillId="3" borderId="599" xfId="4" applyNumberFormat="1" applyFont="1" applyFill="1" applyBorder="1" applyAlignment="1">
      <alignment horizontal="center" vertical="center" wrapText="1"/>
    </xf>
    <xf numFmtId="0" fontId="63" fillId="3" borderId="201" xfId="4" applyNumberFormat="1" applyFont="1" applyFill="1" applyBorder="1" applyAlignment="1">
      <alignment horizontal="center" vertical="center" wrapText="1"/>
    </xf>
    <xf numFmtId="0" fontId="21" fillId="0" borderId="599" xfId="0" applyFont="1" applyBorder="1" applyAlignment="1" applyProtection="1">
      <alignment horizontal="center" vertical="center" wrapText="1"/>
    </xf>
    <xf numFmtId="0" fontId="21" fillId="0" borderId="214" xfId="0" applyFont="1" applyBorder="1" applyAlignment="1" applyProtection="1">
      <alignment horizontal="center" vertical="center" wrapText="1"/>
    </xf>
    <xf numFmtId="0" fontId="21" fillId="0" borderId="201" xfId="0" applyFont="1" applyBorder="1" applyAlignment="1" applyProtection="1">
      <alignment horizontal="center" vertical="center" wrapText="1"/>
    </xf>
    <xf numFmtId="0" fontId="3" fillId="0" borderId="215" xfId="0" applyFont="1" applyBorder="1" applyAlignment="1" applyProtection="1">
      <alignment horizontal="right" vertical="top" wrapText="1"/>
    </xf>
    <xf numFmtId="0" fontId="3" fillId="0" borderId="0" xfId="0" applyFont="1" applyBorder="1" applyAlignment="1" applyProtection="1">
      <alignment horizontal="right" vertical="top" wrapText="1"/>
    </xf>
    <xf numFmtId="0" fontId="3" fillId="0" borderId="603" xfId="0" applyFont="1" applyBorder="1" applyAlignment="1" applyProtection="1">
      <alignment horizontal="right" vertical="center" wrapText="1"/>
    </xf>
    <xf numFmtId="0" fontId="3" fillId="0" borderId="647" xfId="0" applyFont="1" applyBorder="1" applyAlignment="1" applyProtection="1">
      <alignment horizontal="right" vertical="center" wrapText="1"/>
    </xf>
    <xf numFmtId="0" fontId="0" fillId="0" borderId="215" xfId="0" applyBorder="1" applyAlignment="1" applyProtection="1">
      <alignment horizontal="right" vertical="top" wrapText="1"/>
      <protection locked="0"/>
    </xf>
    <xf numFmtId="0" fontId="0" fillId="0" borderId="0" xfId="0" applyBorder="1" applyAlignment="1" applyProtection="1">
      <alignment horizontal="right" vertical="top" wrapText="1"/>
      <protection locked="0"/>
    </xf>
    <xf numFmtId="0" fontId="23" fillId="0" borderId="215" xfId="0" applyFont="1" applyBorder="1" applyAlignment="1" applyProtection="1">
      <alignment horizontal="right" vertical="top" wrapText="1"/>
    </xf>
    <xf numFmtId="0" fontId="23" fillId="0" borderId="0" xfId="0" applyFont="1" applyBorder="1" applyAlignment="1" applyProtection="1">
      <alignment horizontal="right" vertical="top" wrapText="1"/>
    </xf>
    <xf numFmtId="1" fontId="18" fillId="3" borderId="751" xfId="0" applyNumberFormat="1" applyFont="1" applyFill="1" applyBorder="1" applyAlignment="1" applyProtection="1">
      <alignment horizontal="left" vertical="center" wrapText="1"/>
    </xf>
    <xf numFmtId="0" fontId="3" fillId="3" borderId="751" xfId="0" applyNumberFormat="1" applyFont="1" applyFill="1" applyBorder="1" applyAlignment="1" applyProtection="1">
      <alignment horizontal="center" vertical="center" wrapText="1"/>
    </xf>
    <xf numFmtId="1" fontId="21" fillId="0" borderId="618" xfId="0" applyNumberFormat="1" applyFont="1" applyFill="1" applyBorder="1" applyAlignment="1" applyProtection="1">
      <alignment horizontal="center" vertical="center" wrapText="1"/>
      <protection locked="0"/>
    </xf>
    <xf numFmtId="1" fontId="21" fillId="0" borderId="612" xfId="0" applyNumberFormat="1" applyFont="1" applyFill="1" applyBorder="1" applyAlignment="1" applyProtection="1">
      <alignment horizontal="center" vertical="center" wrapText="1"/>
      <protection locked="0"/>
    </xf>
    <xf numFmtId="1" fontId="21" fillId="73" borderId="603" xfId="0" applyNumberFormat="1" applyFont="1" applyFill="1" applyBorder="1" applyAlignment="1" applyProtection="1">
      <alignment horizontal="center" vertical="center" wrapText="1"/>
    </xf>
    <xf numFmtId="1" fontId="21" fillId="73" borderId="604" xfId="0" applyNumberFormat="1" applyFont="1" applyFill="1" applyBorder="1" applyAlignment="1" applyProtection="1">
      <alignment horizontal="center" vertical="center" wrapText="1"/>
    </xf>
    <xf numFmtId="1" fontId="21" fillId="73" borderId="202" xfId="0" applyNumberFormat="1" applyFont="1" applyFill="1" applyBorder="1" applyAlignment="1" applyProtection="1">
      <alignment horizontal="center" vertical="center" wrapText="1"/>
    </xf>
    <xf numFmtId="1" fontId="21" fillId="73" borderId="292" xfId="0" applyNumberFormat="1" applyFont="1" applyFill="1" applyBorder="1" applyAlignment="1" applyProtection="1">
      <alignment horizontal="center" vertical="center" wrapText="1"/>
    </xf>
    <xf numFmtId="0" fontId="13" fillId="0" borderId="0" xfId="0" applyFont="1"/>
    <xf numFmtId="0" fontId="106" fillId="0" borderId="581" xfId="0" applyFont="1" applyBorder="1" applyAlignment="1" applyProtection="1">
      <alignment horizontal="left" vertical="top" wrapText="1"/>
      <protection locked="0"/>
    </xf>
    <xf numFmtId="0" fontId="110" fillId="0" borderId="412" xfId="0" applyFont="1" applyBorder="1" applyAlignment="1">
      <alignment vertical="top" wrapText="1"/>
    </xf>
    <xf numFmtId="0" fontId="103" fillId="0" borderId="584" xfId="0" applyFont="1" applyBorder="1" applyAlignment="1">
      <alignment horizontal="center" vertical="center"/>
    </xf>
    <xf numFmtId="0" fontId="103" fillId="0" borderId="575" xfId="0" applyFont="1" applyBorder="1" applyAlignment="1">
      <alignment horizontal="center" vertical="center"/>
    </xf>
    <xf numFmtId="0" fontId="105" fillId="0" borderId="18" xfId="0" applyFont="1" applyBorder="1" applyAlignment="1">
      <alignment horizontal="center" wrapText="1"/>
    </xf>
    <xf numFmtId="0" fontId="105" fillId="0" borderId="343" xfId="0" applyFont="1" applyBorder="1" applyAlignment="1">
      <alignment horizontal="center" wrapText="1"/>
    </xf>
    <xf numFmtId="0" fontId="105" fillId="0" borderId="18" xfId="0" applyFont="1" applyBorder="1" applyAlignment="1">
      <alignment horizontal="center" vertical="center" wrapText="1"/>
    </xf>
    <xf numFmtId="0" fontId="105" fillId="0" borderId="343" xfId="0" applyFont="1" applyBorder="1" applyAlignment="1">
      <alignment horizontal="center" vertical="center" wrapText="1"/>
    </xf>
    <xf numFmtId="0" fontId="104" fillId="0" borderId="338" xfId="0" applyFont="1" applyBorder="1" applyAlignment="1">
      <alignment horizontal="center" vertical="center" wrapText="1"/>
    </xf>
    <xf numFmtId="0" fontId="104" fillId="0" borderId="339" xfId="0" applyFont="1" applyBorder="1" applyAlignment="1">
      <alignment horizontal="center" vertical="center" wrapText="1"/>
    </xf>
    <xf numFmtId="0" fontId="104" fillId="0" borderId="340" xfId="0" applyFont="1" applyBorder="1" applyAlignment="1">
      <alignment horizontal="center" vertical="center" wrapText="1"/>
    </xf>
    <xf numFmtId="0" fontId="106" fillId="0" borderId="574" xfId="0" applyFont="1" applyBorder="1" applyAlignment="1" applyProtection="1">
      <alignment horizontal="left" vertical="top"/>
      <protection locked="0"/>
    </xf>
    <xf numFmtId="0" fontId="0" fillId="0" borderId="257" xfId="0" applyBorder="1" applyAlignment="1" applyProtection="1">
      <alignment horizontal="left" vertical="top"/>
      <protection locked="0"/>
    </xf>
    <xf numFmtId="0" fontId="0" fillId="0" borderId="408" xfId="0" applyBorder="1" applyAlignment="1" applyProtection="1">
      <alignment horizontal="left" vertical="top"/>
      <protection locked="0"/>
    </xf>
    <xf numFmtId="0" fontId="0" fillId="0" borderId="273"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416" xfId="0" applyBorder="1" applyAlignment="1" applyProtection="1">
      <alignment horizontal="left" vertical="top"/>
      <protection locked="0"/>
    </xf>
    <xf numFmtId="0" fontId="0" fillId="0" borderId="414" xfId="0" applyBorder="1" applyAlignment="1" applyProtection="1">
      <alignment horizontal="left" vertical="top" wrapText="1"/>
    </xf>
    <xf numFmtId="0" fontId="0" fillId="0" borderId="27" xfId="0" applyBorder="1" applyAlignment="1" applyProtection="1">
      <alignment horizontal="left" vertical="top" wrapText="1"/>
    </xf>
    <xf numFmtId="0" fontId="0" fillId="0" borderId="401" xfId="0" applyBorder="1" applyAlignment="1" applyProtection="1">
      <alignment horizontal="left" vertical="top" wrapText="1"/>
    </xf>
    <xf numFmtId="0" fontId="0" fillId="13" borderId="341" xfId="0" applyFill="1" applyBorder="1" applyAlignment="1" applyProtection="1">
      <protection locked="0"/>
    </xf>
    <xf numFmtId="0" fontId="0" fillId="13" borderId="206" xfId="0" applyFill="1" applyBorder="1" applyAlignment="1" applyProtection="1">
      <protection locked="0"/>
    </xf>
    <xf numFmtId="0" fontId="0" fillId="0" borderId="206" xfId="0" applyFill="1" applyBorder="1" applyAlignment="1" applyProtection="1">
      <protection locked="0"/>
    </xf>
    <xf numFmtId="0" fontId="108" fillId="0" borderId="405" xfId="0" applyFont="1" applyBorder="1" applyAlignment="1" applyProtection="1"/>
    <xf numFmtId="0" fontId="0" fillId="0" borderId="553" xfId="0" applyBorder="1" applyAlignment="1" applyProtection="1"/>
    <xf numFmtId="0" fontId="108" fillId="0" borderId="553" xfId="0" applyFont="1" applyBorder="1" applyAlignment="1" applyProtection="1"/>
    <xf numFmtId="0" fontId="0" fillId="0" borderId="417" xfId="0" applyBorder="1" applyAlignment="1" applyProtection="1">
      <alignment horizontal="left" vertical="top"/>
      <protection locked="0"/>
    </xf>
    <xf numFmtId="0" fontId="0" fillId="0" borderId="26" xfId="0" applyBorder="1" applyAlignment="1" applyProtection="1">
      <alignment horizontal="left" vertical="top"/>
      <protection locked="0"/>
    </xf>
    <xf numFmtId="0" fontId="0" fillId="0" borderId="409" xfId="0" applyBorder="1" applyAlignment="1" applyProtection="1">
      <alignment horizontal="left" vertical="top"/>
      <protection locked="0"/>
    </xf>
    <xf numFmtId="0" fontId="0" fillId="0" borderId="341" xfId="0" applyFill="1" applyBorder="1" applyAlignment="1" applyProtection="1">
      <alignment horizontal="center"/>
      <protection locked="0"/>
    </xf>
    <xf numFmtId="0" fontId="109" fillId="0" borderId="167" xfId="5" applyFont="1" applyBorder="1" applyAlignment="1" applyProtection="1">
      <protection locked="0"/>
    </xf>
    <xf numFmtId="0" fontId="0" fillId="0" borderId="312" xfId="0" applyBorder="1" applyAlignment="1" applyProtection="1">
      <protection locked="0"/>
    </xf>
    <xf numFmtId="0" fontId="108" fillId="0" borderId="585" xfId="0" applyFont="1" applyBorder="1" applyAlignment="1" applyProtection="1"/>
    <xf numFmtId="0" fontId="0" fillId="0" borderId="201" xfId="0" applyBorder="1" applyAlignment="1" applyProtection="1"/>
    <xf numFmtId="0" fontId="108" fillId="0" borderId="201" xfId="0" applyFont="1" applyBorder="1" applyAlignment="1" applyProtection="1"/>
    <xf numFmtId="0" fontId="0" fillId="0" borderId="292" xfId="0" applyBorder="1" applyAlignment="1" applyProtection="1">
      <protection locked="0"/>
    </xf>
    <xf numFmtId="0" fontId="0" fillId="0" borderId="201" xfId="0" applyBorder="1" applyAlignment="1" applyProtection="1">
      <protection locked="0"/>
    </xf>
    <xf numFmtId="0" fontId="103" fillId="0" borderId="406" xfId="0" applyFont="1" applyBorder="1" applyAlignment="1">
      <alignment horizontal="center" vertical="center"/>
    </xf>
    <xf numFmtId="0" fontId="103" fillId="0" borderId="405" xfId="0" applyFont="1" applyBorder="1" applyAlignment="1">
      <alignment horizontal="center" vertical="center"/>
    </xf>
    <xf numFmtId="1" fontId="104" fillId="0" borderId="572" xfId="0" applyNumberFormat="1" applyFont="1" applyBorder="1" applyAlignment="1">
      <alignment horizontal="center" vertical="center" wrapText="1"/>
    </xf>
    <xf numFmtId="0" fontId="104" fillId="0" borderId="553" xfId="0" applyFont="1" applyBorder="1" applyAlignment="1">
      <alignment horizontal="center" vertical="center" wrapText="1"/>
    </xf>
    <xf numFmtId="1" fontId="103" fillId="0" borderId="572" xfId="0" applyNumberFormat="1" applyFont="1" applyBorder="1" applyAlignment="1">
      <alignment horizontal="center" vertical="center"/>
    </xf>
    <xf numFmtId="0" fontId="103" fillId="0" borderId="553" xfId="0" applyFont="1" applyBorder="1" applyAlignment="1">
      <alignment horizontal="center" vertical="center"/>
    </xf>
    <xf numFmtId="0" fontId="101" fillId="0" borderId="417" xfId="0" applyFont="1" applyBorder="1" applyAlignment="1">
      <alignment horizontal="center"/>
    </xf>
    <xf numFmtId="0" fontId="102" fillId="0" borderId="26" xfId="0" applyFont="1" applyBorder="1" applyAlignment="1"/>
    <xf numFmtId="0" fontId="102" fillId="0" borderId="416" xfId="0" applyFont="1" applyBorder="1" applyAlignment="1"/>
    <xf numFmtId="0" fontId="23" fillId="0" borderId="0" xfId="0" applyFont="1" applyFill="1" applyBorder="1" applyAlignment="1">
      <alignment horizontal="left" vertical="center" wrapText="1"/>
    </xf>
    <xf numFmtId="0" fontId="34" fillId="8" borderId="273" xfId="13" applyBorder="1" applyAlignment="1">
      <alignment horizontal="center" vertical="center" wrapText="1"/>
    </xf>
    <xf numFmtId="0" fontId="34" fillId="8" borderId="0" xfId="13" applyBorder="1" applyAlignment="1">
      <alignment horizontal="center" vertical="center" wrapText="1"/>
    </xf>
    <xf numFmtId="0" fontId="34" fillId="8" borderId="416" xfId="13" applyBorder="1" applyAlignment="1">
      <alignment horizontal="center" vertical="center" wrapText="1"/>
    </xf>
    <xf numFmtId="165" fontId="65" fillId="0" borderId="8" xfId="0" applyNumberFormat="1" applyFont="1" applyBorder="1" applyAlignment="1">
      <alignment horizontal="center" vertical="center" wrapText="1"/>
    </xf>
    <xf numFmtId="0" fontId="18" fillId="0" borderId="696" xfId="5" applyFont="1" applyBorder="1" applyAlignment="1">
      <alignment horizontal="left" vertical="center" wrapText="1"/>
    </xf>
    <xf numFmtId="1" fontId="130" fillId="3" borderId="0" xfId="0" applyNumberFormat="1" applyFont="1" applyFill="1" applyAlignment="1">
      <alignment horizontal="center" vertical="center" wrapText="1"/>
    </xf>
    <xf numFmtId="0" fontId="23" fillId="0" borderId="27" xfId="0" applyFont="1" applyBorder="1" applyAlignment="1" applyProtection="1">
      <alignment horizontal="left" vertical="top" indent="1"/>
    </xf>
    <xf numFmtId="0" fontId="23" fillId="0" borderId="60" xfId="0" applyFont="1" applyBorder="1" applyAlignment="1" applyProtection="1">
      <alignment horizontal="left" vertical="center"/>
    </xf>
    <xf numFmtId="0" fontId="30" fillId="0" borderId="0" xfId="0" applyFont="1" applyBorder="1" applyAlignment="1" applyProtection="1">
      <alignment horizontal="left" vertical="center" wrapText="1"/>
    </xf>
    <xf numFmtId="0" fontId="21" fillId="0" borderId="0" xfId="0" applyFont="1" applyBorder="1" applyAlignment="1" applyProtection="1">
      <alignment horizontal="left" vertical="center"/>
    </xf>
    <xf numFmtId="0" fontId="23" fillId="0" borderId="416" xfId="0" applyFont="1" applyBorder="1" applyAlignment="1" applyProtection="1">
      <alignment horizontal="left" vertical="center" wrapText="1"/>
    </xf>
    <xf numFmtId="0" fontId="23" fillId="0" borderId="0" xfId="0" applyFont="1" applyFill="1" applyBorder="1" applyAlignment="1" applyProtection="1">
      <alignment horizontal="left" vertical="center" wrapText="1"/>
    </xf>
    <xf numFmtId="0" fontId="23" fillId="0" borderId="574" xfId="0" applyFont="1" applyBorder="1" applyAlignment="1" applyProtection="1">
      <alignment horizontal="left" vertical="top" wrapText="1"/>
      <protection locked="0"/>
    </xf>
    <xf numFmtId="0" fontId="23" fillId="0" borderId="257" xfId="0" applyFont="1" applyBorder="1" applyAlignment="1" applyProtection="1">
      <alignment horizontal="left" vertical="top" wrapText="1"/>
      <protection locked="0"/>
    </xf>
    <xf numFmtId="0" fontId="23" fillId="0" borderId="408" xfId="0" applyFont="1" applyBorder="1" applyAlignment="1" applyProtection="1">
      <alignment horizontal="left" vertical="top" wrapText="1"/>
      <protection locked="0"/>
    </xf>
    <xf numFmtId="0" fontId="23" fillId="0" borderId="273" xfId="0" applyFont="1" applyBorder="1" applyAlignment="1" applyProtection="1">
      <alignment horizontal="left" vertical="top" wrapText="1"/>
      <protection locked="0"/>
    </xf>
    <xf numFmtId="0" fontId="23" fillId="0" borderId="0" xfId="0" applyFont="1" applyBorder="1" applyAlignment="1" applyProtection="1">
      <alignment horizontal="left" vertical="top" wrapText="1"/>
      <protection locked="0"/>
    </xf>
    <xf numFmtId="0" fontId="23" fillId="0" borderId="416" xfId="0" applyFont="1" applyBorder="1" applyAlignment="1" applyProtection="1">
      <alignment horizontal="left" vertical="top" wrapText="1"/>
      <protection locked="0"/>
    </xf>
    <xf numFmtId="0" fontId="23" fillId="0" borderId="575" xfId="0" applyFont="1" applyBorder="1" applyAlignment="1" applyProtection="1">
      <alignment horizontal="left" vertical="top" wrapText="1"/>
      <protection locked="0"/>
    </xf>
    <xf numFmtId="0" fontId="23" fillId="0" borderId="343" xfId="0" applyFont="1" applyBorder="1" applyAlignment="1" applyProtection="1">
      <alignment horizontal="left" vertical="top" wrapText="1"/>
      <protection locked="0"/>
    </xf>
    <xf numFmtId="0" fontId="23" fillId="0" borderId="738" xfId="0" applyFont="1" applyBorder="1" applyAlignment="1" applyProtection="1">
      <alignment horizontal="left" vertical="top" wrapText="1"/>
      <protection locked="0"/>
    </xf>
    <xf numFmtId="0" fontId="0" fillId="13" borderId="341" xfId="0" applyFill="1" applyBorder="1" applyAlignment="1" applyProtection="1">
      <alignment horizontal="center"/>
      <protection locked="0"/>
    </xf>
    <xf numFmtId="0" fontId="0" fillId="0" borderId="597" xfId="0" applyBorder="1" applyAlignment="1" applyProtection="1">
      <alignment horizontal="left" vertical="top" wrapText="1"/>
    </xf>
    <xf numFmtId="0" fontId="0" fillId="0" borderId="637" xfId="0" applyBorder="1" applyAlignment="1" applyProtection="1">
      <alignment horizontal="left" vertical="top" wrapText="1"/>
    </xf>
    <xf numFmtId="14" fontId="0" fillId="0" borderId="603" xfId="0" applyNumberFormat="1" applyBorder="1" applyAlignment="1" applyProtection="1">
      <alignment horizontal="center"/>
      <protection locked="0"/>
    </xf>
    <xf numFmtId="14" fontId="0" fillId="0" borderId="639" xfId="0" applyNumberFormat="1" applyBorder="1" applyAlignment="1" applyProtection="1">
      <alignment horizontal="center"/>
      <protection locked="0"/>
    </xf>
    <xf numFmtId="0" fontId="108" fillId="0" borderId="202" xfId="0" applyFont="1" applyBorder="1" applyAlignment="1" applyProtection="1">
      <alignment horizontal="center"/>
    </xf>
    <xf numFmtId="0" fontId="108" fillId="0" borderId="409" xfId="0" applyFont="1" applyBorder="1" applyAlignment="1" applyProtection="1">
      <alignment horizontal="center"/>
    </xf>
    <xf numFmtId="0" fontId="0" fillId="0" borderId="597" xfId="0" applyBorder="1" applyAlignment="1" applyProtection="1">
      <alignment horizontal="right" vertical="top" wrapText="1"/>
    </xf>
    <xf numFmtId="0" fontId="0" fillId="0" borderId="574" xfId="0" applyBorder="1" applyAlignment="1" applyProtection="1">
      <alignment horizontal="left" vertical="top" wrapText="1"/>
    </xf>
    <xf numFmtId="0" fontId="0" fillId="0" borderId="257" xfId="0" applyBorder="1" applyAlignment="1" applyProtection="1">
      <alignment horizontal="left" vertical="top" wrapText="1"/>
    </xf>
    <xf numFmtId="0" fontId="0" fillId="0" borderId="641" xfId="0" applyBorder="1" applyAlignment="1" applyProtection="1">
      <alignment horizontal="left" vertical="top" wrapText="1"/>
    </xf>
    <xf numFmtId="0" fontId="0" fillId="0" borderId="417" xfId="0" applyBorder="1" applyAlignment="1" applyProtection="1">
      <alignment horizontal="left" vertical="top" wrapText="1"/>
    </xf>
    <xf numFmtId="0" fontId="0" fillId="0" borderId="26" xfId="0" applyBorder="1" applyAlignment="1" applyProtection="1">
      <alignment horizontal="left" vertical="top" wrapText="1"/>
    </xf>
    <xf numFmtId="0" fontId="0" fillId="0" borderId="292" xfId="0" applyBorder="1" applyAlignment="1" applyProtection="1">
      <alignment horizontal="left" vertical="top" wrapText="1"/>
    </xf>
    <xf numFmtId="0" fontId="0" fillId="0" borderId="597" xfId="0" applyBorder="1" applyAlignment="1" applyProtection="1">
      <alignment horizontal="right" vertical="top" wrapText="1"/>
      <protection locked="0"/>
    </xf>
    <xf numFmtId="0" fontId="0" fillId="0" borderId="597" xfId="0" applyBorder="1" applyAlignment="1" applyProtection="1">
      <alignment horizontal="left" vertical="top" wrapText="1"/>
      <protection locked="0"/>
    </xf>
    <xf numFmtId="0" fontId="0" fillId="0" borderId="637" xfId="0" applyBorder="1" applyAlignment="1" applyProtection="1">
      <alignment horizontal="left" vertical="top" wrapText="1"/>
      <protection locked="0"/>
    </xf>
    <xf numFmtId="0" fontId="35" fillId="8" borderId="62" xfId="13" applyFont="1" applyBorder="1" applyProtection="1">
      <alignment horizontal="left" vertical="center" wrapText="1"/>
      <protection locked="0"/>
    </xf>
    <xf numFmtId="0" fontId="35" fillId="8" borderId="63" xfId="13" applyFont="1" applyBorder="1" applyProtection="1">
      <alignment horizontal="left" vertical="center" wrapText="1"/>
      <protection locked="0"/>
    </xf>
    <xf numFmtId="0" fontId="35" fillId="8" borderId="64" xfId="13" applyFont="1" applyBorder="1" applyProtection="1">
      <alignment horizontal="left" vertical="center" wrapText="1"/>
      <protection locked="0"/>
    </xf>
    <xf numFmtId="0" fontId="17" fillId="3" borderId="12" xfId="5" applyFont="1" applyFill="1" applyBorder="1" applyAlignment="1">
      <alignment wrapText="1"/>
    </xf>
    <xf numFmtId="0" fontId="17" fillId="3" borderId="0" xfId="5" applyFont="1" applyFill="1" applyBorder="1" applyAlignment="1">
      <alignment wrapText="1"/>
    </xf>
    <xf numFmtId="0" fontId="0" fillId="0" borderId="77" xfId="0" applyBorder="1" applyAlignment="1">
      <alignment horizontal="left" vertical="center"/>
    </xf>
    <xf numFmtId="0" fontId="0" fillId="0" borderId="78" xfId="0" applyBorder="1" applyAlignment="1">
      <alignment horizontal="left" vertical="center"/>
    </xf>
    <xf numFmtId="0" fontId="0" fillId="0" borderId="79" xfId="0" applyBorder="1" applyAlignment="1">
      <alignment horizontal="left" vertical="center"/>
    </xf>
    <xf numFmtId="0" fontId="0" fillId="0" borderId="80" xfId="0" applyBorder="1" applyAlignment="1">
      <alignment horizontal="left" vertical="center"/>
    </xf>
    <xf numFmtId="0" fontId="3" fillId="0" borderId="74" xfId="0" applyFont="1" applyBorder="1"/>
    <xf numFmtId="0" fontId="3" fillId="0" borderId="75" xfId="0" applyFont="1" applyBorder="1"/>
    <xf numFmtId="0" fontId="69" fillId="0" borderId="343" xfId="0" applyFont="1" applyBorder="1" applyAlignment="1">
      <alignment horizontal="center" vertical="center" wrapText="1"/>
    </xf>
    <xf numFmtId="0" fontId="131" fillId="0" borderId="0" xfId="0" applyFont="1" applyAlignment="1">
      <alignment horizontal="center" vertical="center" wrapText="1"/>
    </xf>
    <xf numFmtId="0" fontId="131" fillId="0" borderId="343" xfId="0" applyFont="1" applyBorder="1" applyAlignment="1">
      <alignment horizontal="center" vertical="center" wrapText="1"/>
    </xf>
    <xf numFmtId="0" fontId="142" fillId="0" borderId="739" xfId="0" applyFont="1" applyBorder="1" applyAlignment="1">
      <alignment horizontal="center" vertical="center" wrapText="1"/>
    </xf>
    <xf numFmtId="0" fontId="142" fillId="0" borderId="736" xfId="0" applyFont="1" applyBorder="1" applyAlignment="1">
      <alignment horizontal="center" vertical="center" wrapText="1"/>
    </xf>
    <xf numFmtId="0" fontId="0" fillId="0" borderId="257" xfId="0" applyBorder="1" applyAlignment="1">
      <alignment vertical="center" wrapText="1"/>
    </xf>
    <xf numFmtId="0" fontId="0" fillId="0" borderId="0" xfId="0" applyBorder="1" applyAlignment="1">
      <alignment wrapText="1"/>
    </xf>
    <xf numFmtId="0" fontId="17" fillId="3" borderId="345" xfId="5" applyFont="1" applyFill="1" applyBorder="1" applyAlignment="1">
      <alignment horizontal="left" vertical="center" wrapText="1"/>
    </xf>
    <xf numFmtId="0" fontId="17" fillId="3" borderId="0" xfId="5" applyFont="1" applyFill="1" applyBorder="1" applyAlignment="1">
      <alignment horizontal="left" vertical="center" wrapText="1"/>
    </xf>
    <xf numFmtId="0" fontId="13" fillId="0" borderId="354" xfId="0" applyFont="1" applyBorder="1" applyAlignment="1">
      <alignment horizontal="center" vertical="top" wrapText="1"/>
    </xf>
    <xf numFmtId="0" fontId="13" fillId="0" borderId="349" xfId="0" applyFont="1" applyBorder="1" applyAlignment="1">
      <alignment horizontal="center" vertical="top" wrapText="1"/>
    </xf>
    <xf numFmtId="0" fontId="13" fillId="0" borderId="350" xfId="0" applyFont="1" applyBorder="1" applyAlignment="1">
      <alignment horizontal="center" vertical="top" wrapText="1"/>
    </xf>
    <xf numFmtId="0" fontId="13" fillId="0" borderId="78" xfId="0" applyFont="1" applyBorder="1" applyAlignment="1">
      <alignment horizontal="center" vertical="center"/>
    </xf>
    <xf numFmtId="49" fontId="0" fillId="0" borderId="345" xfId="0" applyNumberFormat="1"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345" xfId="0" applyFont="1" applyBorder="1" applyAlignment="1">
      <alignment horizontal="left" vertical="top" wrapText="1"/>
    </xf>
    <xf numFmtId="0" fontId="0" fillId="0" borderId="0" xfId="0" applyFont="1" applyBorder="1" applyAlignment="1">
      <alignment horizontal="left" vertical="top" wrapText="1"/>
    </xf>
    <xf numFmtId="0" fontId="3" fillId="0" borderId="347" xfId="0" applyFont="1" applyBorder="1" applyAlignment="1">
      <alignment horizontal="center" vertical="top" wrapText="1"/>
    </xf>
    <xf numFmtId="0" fontId="3" fillId="0" borderId="75" xfId="0" applyFont="1" applyBorder="1" applyAlignment="1">
      <alignment horizontal="center" vertical="top" wrapText="1"/>
    </xf>
    <xf numFmtId="0" fontId="3" fillId="0" borderId="348" xfId="0" applyFont="1" applyBorder="1" applyAlignment="1">
      <alignment horizontal="center" vertical="top" wrapText="1"/>
    </xf>
    <xf numFmtId="0" fontId="3" fillId="0" borderId="300" xfId="0" applyFont="1" applyBorder="1" applyAlignment="1">
      <alignment horizontal="center" vertical="top" wrapText="1"/>
    </xf>
    <xf numFmtId="0" fontId="3" fillId="0" borderId="78" xfId="0" applyFont="1" applyBorder="1" applyAlignment="1">
      <alignment horizontal="center" vertical="top" wrapText="1"/>
    </xf>
    <xf numFmtId="0" fontId="3" fillId="0" borderId="333" xfId="0" applyFont="1" applyBorder="1" applyAlignment="1">
      <alignment horizontal="center" vertical="top" wrapText="1"/>
    </xf>
    <xf numFmtId="0" fontId="86" fillId="8" borderId="61" xfId="13" applyFont="1" applyProtection="1">
      <alignment horizontal="left" vertical="center" wrapText="1"/>
      <protection locked="0"/>
    </xf>
    <xf numFmtId="0" fontId="17" fillId="27" borderId="166" xfId="5" applyFill="1" applyBorder="1" applyAlignment="1" applyProtection="1">
      <alignment horizontal="center" vertical="center" wrapText="1"/>
      <protection locked="0"/>
    </xf>
    <xf numFmtId="0" fontId="17" fillId="27" borderId="356" xfId="5" applyFill="1" applyBorder="1" applyAlignment="1" applyProtection="1">
      <alignment horizontal="center" vertical="center" wrapText="1"/>
      <protection locked="0"/>
    </xf>
    <xf numFmtId="0" fontId="23" fillId="3" borderId="12" xfId="0" applyFont="1" applyFill="1" applyBorder="1" applyAlignment="1">
      <alignment horizontal="left" vertical="center" wrapText="1" indent="3"/>
    </xf>
    <xf numFmtId="0" fontId="23" fillId="3" borderId="0" xfId="0" applyFont="1" applyFill="1" applyBorder="1" applyAlignment="1">
      <alignment horizontal="left" vertical="center" wrapText="1" indent="3"/>
    </xf>
    <xf numFmtId="0" fontId="23" fillId="3" borderId="12" xfId="0" applyFont="1" applyFill="1" applyBorder="1" applyAlignment="1">
      <alignment horizontal="left" vertical="center" wrapText="1" indent="2"/>
    </xf>
    <xf numFmtId="0" fontId="23" fillId="3" borderId="0" xfId="0" applyFont="1" applyFill="1" applyBorder="1" applyAlignment="1">
      <alignment horizontal="left" vertical="center" wrapText="1" indent="2"/>
    </xf>
    <xf numFmtId="0" fontId="23" fillId="3" borderId="102" xfId="0" applyFont="1" applyFill="1" applyBorder="1" applyAlignment="1">
      <alignment horizontal="left" vertical="top" wrapText="1" indent="1"/>
    </xf>
    <xf numFmtId="0" fontId="23" fillId="3" borderId="8" xfId="0" applyFont="1" applyFill="1" applyBorder="1" applyAlignment="1">
      <alignment horizontal="left" vertical="top" wrapText="1" indent="1"/>
    </xf>
    <xf numFmtId="0" fontId="0" fillId="0" borderId="0" xfId="0" applyFont="1" applyBorder="1" applyAlignment="1" applyProtection="1">
      <alignment horizontal="left" vertical="top" wrapText="1"/>
      <protection locked="0"/>
    </xf>
    <xf numFmtId="0" fontId="23" fillId="3" borderId="12"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12" xfId="0" applyFont="1" applyFill="1" applyBorder="1" applyAlignment="1">
      <alignment horizontal="left" vertical="center" wrapText="1" indent="1"/>
    </xf>
    <xf numFmtId="0" fontId="23" fillId="3" borderId="0" xfId="0" applyFont="1" applyFill="1" applyBorder="1" applyAlignment="1">
      <alignment horizontal="left" vertical="center" wrapText="1" indent="1"/>
    </xf>
    <xf numFmtId="49" fontId="70" fillId="17" borderId="238" xfId="0" applyNumberFormat="1" applyFont="1" applyFill="1" applyBorder="1" applyAlignment="1">
      <alignment horizontal="center" vertical="center" wrapText="1"/>
    </xf>
    <xf numFmtId="49" fontId="70" fillId="17" borderId="240" xfId="0" applyNumberFormat="1" applyFont="1" applyFill="1" applyBorder="1" applyAlignment="1">
      <alignment horizontal="center" vertical="center" wrapText="1"/>
    </xf>
    <xf numFmtId="49" fontId="70" fillId="17" borderId="159" xfId="0" applyNumberFormat="1" applyFont="1" applyFill="1" applyBorder="1" applyAlignment="1">
      <alignment horizontal="center" vertical="center" wrapText="1"/>
    </xf>
    <xf numFmtId="49" fontId="70" fillId="17" borderId="239" xfId="0" applyNumberFormat="1" applyFont="1" applyFill="1" applyBorder="1" applyAlignment="1">
      <alignment horizontal="center" vertical="center" wrapText="1"/>
    </xf>
    <xf numFmtId="0" fontId="71" fillId="0" borderId="242" xfId="0" applyFont="1" applyBorder="1" applyAlignment="1">
      <alignment horizontal="center" vertical="center"/>
    </xf>
    <xf numFmtId="0" fontId="71" fillId="0" borderId="162" xfId="0" applyFont="1" applyBorder="1" applyAlignment="1">
      <alignment horizontal="center" vertical="center"/>
    </xf>
    <xf numFmtId="0" fontId="71" fillId="0" borderId="243" xfId="0" applyFont="1" applyBorder="1" applyAlignment="1">
      <alignment horizontal="center" vertical="center"/>
    </xf>
    <xf numFmtId="0" fontId="17" fillId="3" borderId="12" xfId="5" applyFont="1" applyFill="1" applyBorder="1" applyAlignment="1">
      <alignment horizontal="left" vertical="center" wrapText="1"/>
    </xf>
    <xf numFmtId="167" fontId="23" fillId="3" borderId="12" xfId="0" applyNumberFormat="1" applyFont="1" applyFill="1" applyBorder="1" applyAlignment="1">
      <alignment horizontal="left" vertical="center" wrapText="1" indent="1"/>
    </xf>
    <xf numFmtId="167" fontId="23" fillId="3" borderId="0" xfId="0" applyNumberFormat="1" applyFont="1" applyFill="1" applyBorder="1" applyAlignment="1">
      <alignment horizontal="left" vertical="center" wrapText="1" indent="1"/>
    </xf>
    <xf numFmtId="0" fontId="17" fillId="3" borderId="12" xfId="5" applyFont="1" applyFill="1" applyBorder="1" applyAlignment="1" applyProtection="1">
      <alignment horizontal="left" wrapText="1" indent="2"/>
      <protection locked="0"/>
    </xf>
    <xf numFmtId="0" fontId="17" fillId="3" borderId="0" xfId="5" applyFont="1" applyFill="1" applyBorder="1" applyAlignment="1" applyProtection="1">
      <alignment horizontal="left" wrapText="1" indent="2"/>
      <protection locked="0"/>
    </xf>
    <xf numFmtId="167" fontId="23" fillId="3" borderId="12" xfId="0" applyNumberFormat="1" applyFont="1" applyFill="1" applyBorder="1" applyAlignment="1">
      <alignment horizontal="left" wrapText="1" indent="1"/>
    </xf>
    <xf numFmtId="167" fontId="23" fillId="3" borderId="0" xfId="0" applyNumberFormat="1" applyFont="1" applyFill="1" applyBorder="1" applyAlignment="1">
      <alignment horizontal="left" wrapText="1" inden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23" fillId="3" borderId="102" xfId="0" applyFont="1" applyFill="1" applyBorder="1" applyAlignment="1">
      <alignment horizontal="left" vertical="top" wrapText="1"/>
    </xf>
    <xf numFmtId="0" fontId="23" fillId="3" borderId="8"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0" xfId="0" applyFont="1" applyFill="1" applyBorder="1" applyAlignment="1">
      <alignment horizontal="left" vertical="top" wrapText="1"/>
    </xf>
    <xf numFmtId="0" fontId="23" fillId="3" borderId="12" xfId="0" applyFont="1" applyFill="1" applyBorder="1" applyAlignment="1">
      <alignment horizontal="left" vertical="top" wrapText="1" indent="1"/>
    </xf>
    <xf numFmtId="0" fontId="23" fillId="3" borderId="0" xfId="0" applyFont="1" applyFill="1" applyBorder="1" applyAlignment="1">
      <alignment horizontal="left" vertical="top" wrapText="1" indent="1"/>
    </xf>
    <xf numFmtId="0" fontId="23" fillId="3" borderId="12" xfId="0" applyFont="1" applyFill="1" applyBorder="1" applyAlignment="1">
      <alignment horizontal="left" vertical="top" wrapText="1"/>
    </xf>
    <xf numFmtId="0" fontId="23" fillId="3" borderId="0"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42" fillId="0" borderId="0" xfId="0" applyFont="1" applyAlignment="1" applyProtection="1">
      <alignment horizontal="left" vertical="center" wrapText="1"/>
    </xf>
    <xf numFmtId="0" fontId="0" fillId="0" borderId="0" xfId="0" applyAlignment="1" applyProtection="1">
      <alignment wrapText="1"/>
    </xf>
    <xf numFmtId="0" fontId="0" fillId="0" borderId="13" xfId="0" applyBorder="1" applyAlignment="1" applyProtection="1">
      <alignment wrapText="1"/>
    </xf>
    <xf numFmtId="0" fontId="20" fillId="3" borderId="693"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0" fillId="3" borderId="12" xfId="0" applyFont="1" applyFill="1" applyBorder="1"/>
    <xf numFmtId="0" fontId="0" fillId="3" borderId="0" xfId="0" applyFont="1" applyFill="1" applyBorder="1"/>
    <xf numFmtId="0" fontId="23" fillId="3" borderId="12" xfId="0" applyFont="1" applyFill="1" applyBorder="1" applyAlignment="1">
      <alignment vertical="center" wrapText="1"/>
    </xf>
    <xf numFmtId="0" fontId="23" fillId="3" borderId="0" xfId="0" applyFont="1" applyFill="1" applyBorder="1" applyAlignment="1">
      <alignment vertical="center" wrapText="1"/>
    </xf>
    <xf numFmtId="0" fontId="18" fillId="0" borderId="8" xfId="0" applyFont="1" applyBorder="1" applyAlignment="1">
      <alignment horizontal="left" vertical="center" wrapText="1"/>
    </xf>
    <xf numFmtId="0" fontId="23" fillId="3" borderId="12" xfId="0" applyFont="1" applyFill="1" applyBorder="1" applyAlignment="1">
      <alignment horizontal="left" vertical="top" wrapText="1" indent="2"/>
    </xf>
    <xf numFmtId="0" fontId="23" fillId="3" borderId="0" xfId="0" applyFont="1" applyFill="1" applyBorder="1" applyAlignment="1">
      <alignment horizontal="left" vertical="top" wrapText="1" indent="2"/>
    </xf>
    <xf numFmtId="0" fontId="41" fillId="0" borderId="0" xfId="4" applyFont="1" applyBorder="1" applyAlignment="1">
      <alignment horizontal="center" vertical="top" wrapText="1"/>
    </xf>
    <xf numFmtId="0" fontId="0" fillId="0" borderId="8" xfId="0" applyBorder="1" applyAlignment="1">
      <alignment horizontal="center" vertical="center" wrapText="1"/>
    </xf>
    <xf numFmtId="0" fontId="4" fillId="0" borderId="0" xfId="4" applyBorder="1" applyProtection="1">
      <protection locked="0"/>
    </xf>
    <xf numFmtId="0" fontId="4" fillId="0" borderId="0" xfId="4" applyProtection="1">
      <protection locked="0"/>
    </xf>
    <xf numFmtId="0" fontId="34" fillId="8" borderId="61" xfId="13" applyBorder="1" applyProtection="1">
      <alignment horizontal="left" vertical="center" wrapText="1"/>
      <protection locked="0"/>
    </xf>
    <xf numFmtId="0" fontId="72" fillId="3" borderId="102" xfId="5" applyFont="1" applyFill="1" applyBorder="1" applyAlignment="1" applyProtection="1">
      <alignment vertical="top" wrapText="1"/>
      <protection locked="0"/>
    </xf>
    <xf numFmtId="0" fontId="72" fillId="3" borderId="8" xfId="5" applyFont="1" applyFill="1" applyBorder="1" applyAlignment="1" applyProtection="1">
      <alignment vertical="top" wrapText="1"/>
      <protection locked="0"/>
    </xf>
    <xf numFmtId="0" fontId="72" fillId="3" borderId="104" xfId="5" applyFont="1" applyFill="1" applyBorder="1" applyAlignment="1" applyProtection="1">
      <alignment vertical="top" wrapText="1"/>
      <protection locked="0"/>
    </xf>
    <xf numFmtId="0" fontId="72" fillId="3" borderId="0" xfId="5" applyFont="1" applyFill="1" applyBorder="1" applyAlignment="1" applyProtection="1">
      <alignment vertical="top" wrapText="1"/>
      <protection locked="0"/>
    </xf>
    <xf numFmtId="0" fontId="17" fillId="3" borderId="102" xfId="5" applyFill="1" applyBorder="1" applyAlignment="1" applyProtection="1">
      <alignment vertical="top" wrapText="1"/>
      <protection locked="0"/>
    </xf>
    <xf numFmtId="0" fontId="17" fillId="3" borderId="8" xfId="5" applyFill="1" applyBorder="1" applyAlignment="1" applyProtection="1">
      <alignment vertical="top" wrapText="1"/>
      <protection locked="0"/>
    </xf>
    <xf numFmtId="0" fontId="17" fillId="3" borderId="104" xfId="5" applyFill="1" applyBorder="1" applyAlignment="1" applyProtection="1">
      <alignment vertical="top" wrapText="1"/>
      <protection locked="0"/>
    </xf>
    <xf numFmtId="0" fontId="72" fillId="3" borderId="102" xfId="5" applyFont="1" applyFill="1" applyBorder="1" applyAlignment="1" applyProtection="1">
      <alignment horizontal="left" vertical="center" wrapText="1"/>
      <protection locked="0"/>
    </xf>
    <xf numFmtId="0" fontId="72" fillId="3" borderId="8" xfId="5" applyFont="1" applyFill="1" applyBorder="1" applyAlignment="1" applyProtection="1">
      <alignment horizontal="left" vertical="center" wrapText="1"/>
      <protection locked="0"/>
    </xf>
    <xf numFmtId="0" fontId="72" fillId="3" borderId="104" xfId="5" applyFont="1" applyFill="1" applyBorder="1" applyAlignment="1" applyProtection="1">
      <alignment horizontal="left" vertical="center" wrapText="1"/>
      <protection locked="0"/>
    </xf>
    <xf numFmtId="0" fontId="72" fillId="3" borderId="12" xfId="5" applyFont="1" applyFill="1" applyBorder="1" applyAlignment="1" applyProtection="1">
      <alignment horizontal="left"/>
      <protection locked="0"/>
    </xf>
    <xf numFmtId="0" fontId="72" fillId="3" borderId="0" xfId="5" applyFont="1" applyFill="1" applyBorder="1" applyAlignment="1" applyProtection="1">
      <alignment horizontal="left"/>
      <protection locked="0"/>
    </xf>
    <xf numFmtId="0" fontId="72" fillId="3" borderId="102" xfId="5" applyFont="1" applyFill="1" applyBorder="1" applyProtection="1">
      <protection locked="0"/>
    </xf>
    <xf numFmtId="0" fontId="72" fillId="3" borderId="8" xfId="5" applyFont="1" applyFill="1" applyBorder="1" applyProtection="1">
      <protection locked="0"/>
    </xf>
    <xf numFmtId="0" fontId="72" fillId="3" borderId="104" xfId="5" applyFont="1" applyFill="1" applyBorder="1" applyProtection="1">
      <protection locked="0"/>
    </xf>
    <xf numFmtId="0" fontId="0" fillId="0" borderId="414" xfId="0" applyFont="1" applyBorder="1" applyAlignment="1">
      <alignment horizontal="left" vertical="top" wrapText="1"/>
    </xf>
    <xf numFmtId="0" fontId="0" fillId="0" borderId="27" xfId="0" applyFont="1" applyBorder="1" applyAlignment="1">
      <alignment horizontal="left" vertical="top" wrapText="1"/>
    </xf>
    <xf numFmtId="0" fontId="0" fillId="0" borderId="167" xfId="0" applyFont="1" applyBorder="1" applyAlignment="1">
      <alignment horizontal="left" vertical="top" wrapText="1"/>
    </xf>
    <xf numFmtId="0" fontId="69" fillId="0" borderId="343" xfId="0" applyFont="1" applyBorder="1" applyAlignment="1">
      <alignment horizontal="center" wrapText="1"/>
    </xf>
    <xf numFmtId="0" fontId="69" fillId="0" borderId="343" xfId="0" applyFont="1" applyBorder="1" applyAlignment="1">
      <alignment horizontal="center"/>
    </xf>
    <xf numFmtId="0" fontId="69" fillId="0" borderId="0" xfId="0" applyFont="1" applyBorder="1" applyAlignment="1">
      <alignment horizontal="center"/>
    </xf>
    <xf numFmtId="0" fontId="2" fillId="29" borderId="74" xfId="0" applyFont="1" applyFill="1" applyBorder="1" applyAlignment="1">
      <alignment wrapText="1"/>
    </xf>
    <xf numFmtId="0" fontId="2" fillId="29" borderId="75" xfId="0" applyFont="1" applyFill="1" applyBorder="1" applyAlignment="1">
      <alignment wrapText="1"/>
    </xf>
    <xf numFmtId="0" fontId="2" fillId="29" borderId="76" xfId="0" applyFont="1" applyFill="1" applyBorder="1" applyAlignment="1">
      <alignment wrapText="1"/>
    </xf>
    <xf numFmtId="0" fontId="0" fillId="0" borderId="77" xfId="0" applyFont="1" applyBorder="1" applyAlignment="1">
      <alignment horizontal="left" vertical="top" wrapText="1"/>
    </xf>
    <xf numFmtId="0" fontId="0" fillId="0" borderId="312" xfId="0" applyFont="1" applyBorder="1" applyAlignment="1">
      <alignment horizontal="left" vertical="top" wrapText="1"/>
    </xf>
    <xf numFmtId="0" fontId="0" fillId="0" borderId="406" xfId="0" applyFont="1" applyBorder="1" applyAlignment="1">
      <alignment horizontal="left" vertical="top" wrapText="1"/>
    </xf>
    <xf numFmtId="0" fontId="0" fillId="0" borderId="404" xfId="0" applyFont="1" applyBorder="1" applyAlignment="1">
      <alignment horizontal="left" vertical="top" wrapText="1"/>
    </xf>
    <xf numFmtId="0" fontId="0" fillId="0" borderId="405" xfId="0" applyFont="1" applyBorder="1" applyAlignment="1">
      <alignment horizontal="left" vertical="top" wrapText="1"/>
    </xf>
    <xf numFmtId="0" fontId="0" fillId="30" borderId="406" xfId="0" applyFont="1" applyFill="1" applyBorder="1" applyAlignment="1">
      <alignment horizontal="left" vertical="top" wrapText="1"/>
    </xf>
    <xf numFmtId="0" fontId="0" fillId="30" borderId="405" xfId="0" applyFont="1" applyFill="1" applyBorder="1" applyAlignment="1">
      <alignment horizontal="left" vertical="top" wrapText="1"/>
    </xf>
    <xf numFmtId="0" fontId="2" fillId="29" borderId="407" xfId="0" applyFont="1" applyFill="1" applyBorder="1" applyAlignment="1">
      <alignment horizontal="left" vertical="top" wrapText="1"/>
    </xf>
    <xf numFmtId="0" fontId="2" fillId="29" borderId="257" xfId="0" applyFont="1" applyFill="1" applyBorder="1" applyAlignment="1">
      <alignment horizontal="left" vertical="top" wrapText="1"/>
    </xf>
    <xf numFmtId="0" fontId="2" fillId="29" borderId="408" xfId="0" applyFont="1" applyFill="1" applyBorder="1" applyAlignment="1">
      <alignment horizontal="left" vertical="top" wrapText="1"/>
    </xf>
    <xf numFmtId="0" fontId="0" fillId="0" borderId="411" xfId="0" applyFont="1" applyBorder="1" applyAlignment="1">
      <alignment horizontal="left" vertical="top" wrapText="1"/>
    </xf>
    <xf numFmtId="0" fontId="0" fillId="0" borderId="412" xfId="0" applyFont="1" applyBorder="1" applyAlignment="1">
      <alignment horizontal="left" vertical="top" wrapText="1"/>
    </xf>
    <xf numFmtId="0" fontId="0" fillId="0" borderId="413" xfId="0" applyFont="1" applyBorder="1" applyAlignment="1">
      <alignment horizontal="left" vertical="top" wrapText="1"/>
    </xf>
    <xf numFmtId="0" fontId="0" fillId="0" borderId="166" xfId="0" applyFont="1" applyBorder="1" applyAlignment="1">
      <alignment horizontal="left" vertical="top" wrapText="1"/>
    </xf>
    <xf numFmtId="0" fontId="0" fillId="0" borderId="401" xfId="0" applyFont="1" applyBorder="1" applyAlignment="1">
      <alignment horizontal="left" vertical="top" wrapText="1"/>
    </xf>
    <xf numFmtId="0" fontId="0" fillId="0" borderId="338" xfId="0" applyFont="1" applyBorder="1" applyAlignment="1">
      <alignment horizontal="left" vertical="top" wrapText="1"/>
    </xf>
    <xf numFmtId="0" fontId="0" fillId="0" borderId="339" xfId="0" applyFont="1" applyBorder="1" applyAlignment="1">
      <alignment horizontal="left" vertical="top" wrapText="1"/>
    </xf>
    <xf numFmtId="0" fontId="0" fillId="0" borderId="402" xfId="0" applyFont="1" applyBorder="1" applyAlignment="1">
      <alignment horizontal="left" vertical="top" wrapText="1"/>
    </xf>
    <xf numFmtId="0" fontId="0" fillId="0" borderId="415" xfId="0" applyFont="1" applyBorder="1" applyAlignment="1">
      <alignment horizontal="left" vertical="top" wrapText="1"/>
    </xf>
    <xf numFmtId="0" fontId="0" fillId="0" borderId="340" xfId="0" applyFont="1" applyBorder="1" applyAlignment="1">
      <alignment horizontal="left" vertical="top" wrapText="1"/>
    </xf>
    <xf numFmtId="0" fontId="0" fillId="30" borderId="411" xfId="0" applyFont="1" applyFill="1" applyBorder="1" applyAlignment="1">
      <alignment horizontal="left" vertical="top" wrapText="1"/>
    </xf>
    <xf numFmtId="0" fontId="0" fillId="30" borderId="412" xfId="0" applyFont="1" applyFill="1" applyBorder="1" applyAlignment="1">
      <alignment horizontal="left" vertical="top" wrapText="1"/>
    </xf>
    <xf numFmtId="0" fontId="0" fillId="30" borderId="413" xfId="0" applyFont="1" applyFill="1" applyBorder="1" applyAlignment="1">
      <alignment horizontal="left" vertical="top" wrapText="1"/>
    </xf>
    <xf numFmtId="0" fontId="0" fillId="0" borderId="233" xfId="0" applyFont="1" applyBorder="1" applyAlignment="1">
      <alignment horizontal="left" vertical="top" wrapText="1"/>
    </xf>
    <xf numFmtId="0" fontId="0" fillId="0" borderId="337" xfId="0" applyFont="1" applyBorder="1" applyAlignment="1">
      <alignment horizontal="left" vertical="top" wrapText="1"/>
    </xf>
    <xf numFmtId="0" fontId="0" fillId="0" borderId="403" xfId="0" applyFont="1" applyBorder="1" applyAlignment="1">
      <alignment horizontal="left" vertical="top" wrapText="1"/>
    </xf>
    <xf numFmtId="0" fontId="0" fillId="30" borderId="233" xfId="0" applyFont="1" applyFill="1" applyBorder="1" applyAlignment="1">
      <alignment horizontal="left" vertical="top" wrapText="1"/>
    </xf>
    <xf numFmtId="0" fontId="0" fillId="30" borderId="337" xfId="0" applyFont="1" applyFill="1" applyBorder="1" applyAlignment="1">
      <alignment horizontal="left" vertical="top" wrapText="1"/>
    </xf>
    <xf numFmtId="0" fontId="0" fillId="30" borderId="403" xfId="0" applyFont="1" applyFill="1" applyBorder="1" applyAlignment="1">
      <alignment horizontal="left" vertical="top" wrapText="1"/>
    </xf>
    <xf numFmtId="0" fontId="0" fillId="30" borderId="338" xfId="0" applyFont="1" applyFill="1" applyBorder="1" applyAlignment="1">
      <alignment horizontal="left" vertical="top" wrapText="1"/>
    </xf>
    <xf numFmtId="0" fontId="0" fillId="30" borderId="339" xfId="0" applyFont="1" applyFill="1" applyBorder="1" applyAlignment="1">
      <alignment horizontal="left" vertical="top" wrapText="1"/>
    </xf>
    <xf numFmtId="0" fontId="0" fillId="30" borderId="402" xfId="0" applyFont="1" applyFill="1" applyBorder="1" applyAlignment="1">
      <alignment horizontal="left" vertical="top" wrapText="1"/>
    </xf>
    <xf numFmtId="0" fontId="0" fillId="30" borderId="404" xfId="0" applyFont="1" applyFill="1" applyBorder="1" applyAlignment="1">
      <alignment horizontal="left" vertical="top" wrapText="1"/>
    </xf>
    <xf numFmtId="0" fontId="0" fillId="30" borderId="166" xfId="0" applyFont="1" applyFill="1" applyBorder="1" applyAlignment="1">
      <alignment horizontal="left" vertical="top" wrapText="1"/>
    </xf>
    <xf numFmtId="0" fontId="0" fillId="30" borderId="27" xfId="0" applyFont="1" applyFill="1" applyBorder="1" applyAlignment="1">
      <alignment horizontal="left" vertical="top" wrapText="1"/>
    </xf>
    <xf numFmtId="0" fontId="0" fillId="30" borderId="401" xfId="0" applyFont="1" applyFill="1" applyBorder="1" applyAlignment="1">
      <alignment horizontal="left" vertical="top" wrapText="1"/>
    </xf>
    <xf numFmtId="0" fontId="0" fillId="0" borderId="202" xfId="0" applyFont="1" applyBorder="1" applyAlignment="1">
      <alignment horizontal="left" vertical="top" wrapText="1"/>
    </xf>
    <xf numFmtId="0" fontId="0" fillId="0" borderId="26" xfId="0" applyFont="1" applyBorder="1" applyAlignment="1">
      <alignment horizontal="left" vertical="top" wrapText="1"/>
    </xf>
    <xf numFmtId="0" fontId="0" fillId="0" borderId="409" xfId="0" applyFont="1" applyBorder="1" applyAlignment="1">
      <alignment horizontal="left" vertical="top" wrapText="1"/>
    </xf>
    <xf numFmtId="0" fontId="0" fillId="0" borderId="389" xfId="0" applyFont="1" applyBorder="1" applyAlignment="1">
      <alignment horizontal="left" vertical="top" wrapText="1"/>
    </xf>
    <xf numFmtId="0" fontId="17" fillId="27" borderId="62" xfId="5" applyFill="1" applyBorder="1" applyAlignment="1" applyProtection="1">
      <alignment horizontal="center" vertical="center" wrapText="1"/>
      <protection locked="0"/>
    </xf>
    <xf numFmtId="0" fontId="17" fillId="27" borderId="64" xfId="5" applyFill="1" applyBorder="1" applyAlignment="1" applyProtection="1">
      <alignment horizontal="center" vertical="center" wrapText="1"/>
      <protection locked="0"/>
    </xf>
    <xf numFmtId="0" fontId="17" fillId="7" borderId="62" xfId="5" applyFill="1" applyBorder="1" applyAlignment="1" applyProtection="1">
      <alignment horizontal="center" vertical="center" wrapText="1"/>
      <protection locked="0"/>
    </xf>
    <xf numFmtId="0" fontId="17" fillId="7" borderId="64" xfId="5" applyFill="1" applyBorder="1" applyAlignment="1" applyProtection="1">
      <alignment horizontal="center" vertical="center" wrapText="1"/>
      <protection locked="0"/>
    </xf>
    <xf numFmtId="0" fontId="17" fillId="7" borderId="62" xfId="5" applyFill="1" applyBorder="1" applyAlignment="1" applyProtection="1">
      <alignment horizontal="center" vertical="center"/>
      <protection locked="0"/>
    </xf>
    <xf numFmtId="0" fontId="17" fillId="7" borderId="64" xfId="5" applyFill="1" applyBorder="1" applyAlignment="1" applyProtection="1">
      <alignment horizontal="center" vertical="center"/>
      <protection locked="0"/>
    </xf>
    <xf numFmtId="0" fontId="0" fillId="0" borderId="102" xfId="0" applyFont="1" applyBorder="1"/>
    <xf numFmtId="0" fontId="0" fillId="0" borderId="8" xfId="0" applyFont="1" applyBorder="1"/>
    <xf numFmtId="0" fontId="0" fillId="0" borderId="104" xfId="0" applyFont="1" applyBorder="1"/>
    <xf numFmtId="0" fontId="0" fillId="0" borderId="12" xfId="0" applyFont="1" applyBorder="1" applyAlignment="1">
      <alignment vertical="top" wrapText="1"/>
    </xf>
    <xf numFmtId="0" fontId="0" fillId="0" borderId="0"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horizontal="left" vertical="top" wrapText="1" indent="1"/>
    </xf>
    <xf numFmtId="0" fontId="0" fillId="0" borderId="0" xfId="0" applyFont="1" applyBorder="1" applyAlignment="1">
      <alignment horizontal="left" vertical="top" wrapText="1" indent="1"/>
    </xf>
    <xf numFmtId="0" fontId="0" fillId="0" borderId="13" xfId="0" applyFont="1" applyBorder="1" applyAlignment="1">
      <alignment horizontal="left" vertical="top" wrapText="1" indent="1"/>
    </xf>
    <xf numFmtId="0" fontId="0" fillId="0" borderId="12" xfId="0" applyFont="1" applyBorder="1" applyAlignment="1">
      <alignment horizontal="left" vertical="top" wrapText="1" indent="2"/>
    </xf>
    <xf numFmtId="0" fontId="0" fillId="0" borderId="0" xfId="0" applyFont="1" applyBorder="1" applyAlignment="1">
      <alignment horizontal="left" vertical="top" wrapText="1" indent="2"/>
    </xf>
    <xf numFmtId="0" fontId="0" fillId="0" borderId="13" xfId="0" applyFont="1" applyBorder="1" applyAlignment="1">
      <alignment horizontal="left" vertical="top" wrapText="1" indent="2"/>
    </xf>
    <xf numFmtId="0" fontId="0" fillId="0" borderId="12" xfId="0" applyFont="1" applyBorder="1" applyAlignment="1">
      <alignment horizontal="left" vertical="top" wrapText="1" indent="3"/>
    </xf>
    <xf numFmtId="0" fontId="0" fillId="0" borderId="0" xfId="0" applyFont="1" applyBorder="1" applyAlignment="1">
      <alignment horizontal="left" vertical="top" wrapText="1" indent="3"/>
    </xf>
    <xf numFmtId="0" fontId="0" fillId="0" borderId="13" xfId="0" applyFont="1" applyBorder="1" applyAlignment="1">
      <alignment horizontal="left" vertical="top" wrapText="1" indent="3"/>
    </xf>
    <xf numFmtId="0" fontId="30" fillId="0" borderId="253" xfId="0" applyFont="1" applyBorder="1" applyAlignment="1">
      <alignment vertical="top" wrapText="1"/>
    </xf>
    <xf numFmtId="0" fontId="30" fillId="0" borderId="66" xfId="0" applyFont="1" applyBorder="1" applyAlignment="1">
      <alignment vertical="top" wrapText="1"/>
    </xf>
    <xf numFmtId="0" fontId="30" fillId="0" borderId="254" xfId="0" applyFont="1" applyBorder="1" applyAlignment="1">
      <alignment vertical="top" wrapText="1"/>
    </xf>
    <xf numFmtId="9" fontId="23" fillId="0" borderId="148" xfId="0" applyNumberFormat="1" applyFont="1" applyBorder="1" applyAlignment="1">
      <alignment horizontal="center" vertical="center" wrapText="1"/>
    </xf>
    <xf numFmtId="0" fontId="23" fillId="0" borderId="78" xfId="0" applyFont="1" applyBorder="1" applyAlignment="1">
      <alignment horizontal="center" vertical="center" wrapText="1"/>
    </xf>
    <xf numFmtId="2" fontId="23" fillId="0" borderId="78" xfId="0" applyNumberFormat="1" applyFont="1" applyBorder="1" applyAlignment="1">
      <alignment horizontal="center" vertical="center" wrapText="1"/>
    </xf>
    <xf numFmtId="2" fontId="23" fillId="0" borderId="149" xfId="0" applyNumberFormat="1" applyFont="1" applyBorder="1" applyAlignment="1">
      <alignment horizontal="center" vertical="center" wrapText="1"/>
    </xf>
    <xf numFmtId="0" fontId="23" fillId="0" borderId="148" xfId="0" applyFont="1" applyBorder="1" applyAlignment="1">
      <alignment horizontal="center" vertical="center" wrapText="1"/>
    </xf>
    <xf numFmtId="0" fontId="23" fillId="0" borderId="161" xfId="0" applyFont="1" applyBorder="1" applyAlignment="1">
      <alignment horizontal="center" vertical="center" wrapText="1"/>
    </xf>
    <xf numFmtId="0" fontId="23" fillId="0" borderId="162" xfId="0" applyFont="1" applyBorder="1" applyAlignment="1">
      <alignment horizontal="center" vertical="center" wrapText="1"/>
    </xf>
    <xf numFmtId="2" fontId="23" fillId="0" borderId="162" xfId="0" applyNumberFormat="1" applyFont="1" applyBorder="1" applyAlignment="1">
      <alignment horizontal="center" vertical="center" wrapText="1"/>
    </xf>
    <xf numFmtId="2" fontId="23" fillId="0" borderId="163" xfId="0" applyNumberFormat="1" applyFont="1" applyBorder="1" applyAlignment="1">
      <alignment horizontal="center" vertical="center" wrapText="1"/>
    </xf>
    <xf numFmtId="0" fontId="5" fillId="0" borderId="0" xfId="0" applyFont="1" applyFill="1" applyBorder="1" applyAlignment="1">
      <alignment horizontal="center" vertical="top" wrapText="1"/>
    </xf>
    <xf numFmtId="0" fontId="2" fillId="17" borderId="158" xfId="0" applyFont="1" applyFill="1" applyBorder="1" applyAlignment="1">
      <alignment horizontal="center" vertical="top" wrapText="1"/>
    </xf>
    <xf numFmtId="0" fontId="2" fillId="17" borderId="159" xfId="0" applyFont="1" applyFill="1" applyBorder="1" applyAlignment="1">
      <alignment horizontal="center" vertical="top" wrapText="1"/>
    </xf>
    <xf numFmtId="0" fontId="2" fillId="17" borderId="160" xfId="0" applyFont="1" applyFill="1" applyBorder="1" applyAlignment="1">
      <alignment horizontal="center" vertical="top" wrapText="1"/>
    </xf>
    <xf numFmtId="0" fontId="0" fillId="0" borderId="150" xfId="0" applyFont="1" applyBorder="1" applyAlignment="1">
      <alignment vertical="top" wrapText="1"/>
    </xf>
    <xf numFmtId="0" fontId="0" fillId="0" borderId="151" xfId="0" applyFont="1" applyBorder="1" applyAlignment="1">
      <alignment vertical="top" wrapText="1"/>
    </xf>
    <xf numFmtId="0" fontId="0" fillId="0" borderId="152" xfId="0" applyFont="1" applyBorder="1" applyAlignment="1">
      <alignment vertical="top" wrapText="1"/>
    </xf>
    <xf numFmtId="0" fontId="0" fillId="0" borderId="12" xfId="0" applyBorder="1" applyAlignment="1">
      <alignment horizontal="left" vertical="top" wrapText="1" indent="2"/>
    </xf>
    <xf numFmtId="0" fontId="2" fillId="17" borderId="144" xfId="0" applyFont="1" applyFill="1" applyBorder="1" applyAlignment="1">
      <alignment horizontal="center" vertical="top" wrapText="1"/>
    </xf>
    <xf numFmtId="0" fontId="2" fillId="17" borderId="145" xfId="0" applyFont="1" applyFill="1" applyBorder="1" applyAlignment="1">
      <alignment horizontal="center" vertical="top" wrapText="1"/>
    </xf>
    <xf numFmtId="0" fontId="2" fillId="17" borderId="146" xfId="0" applyFont="1" applyFill="1" applyBorder="1" applyAlignment="1">
      <alignment horizontal="center" vertical="top" wrapText="1"/>
    </xf>
    <xf numFmtId="0" fontId="38" fillId="0" borderId="0" xfId="0" applyFont="1" applyBorder="1" applyAlignment="1">
      <alignment vertical="top" wrapText="1"/>
    </xf>
    <xf numFmtId="0" fontId="38" fillId="0" borderId="252" xfId="0" applyFont="1" applyBorder="1" applyAlignment="1">
      <alignment vertical="top" wrapText="1"/>
    </xf>
    <xf numFmtId="0" fontId="0" fillId="0" borderId="147" xfId="0" applyFont="1" applyBorder="1" applyAlignment="1">
      <alignment vertical="top" wrapText="1"/>
    </xf>
    <xf numFmtId="0" fontId="0" fillId="0" borderId="252" xfId="0" applyFont="1" applyBorder="1" applyAlignment="1">
      <alignment vertical="top" wrapText="1"/>
    </xf>
    <xf numFmtId="0" fontId="3" fillId="0" borderId="0" xfId="0" applyFont="1" applyBorder="1" applyAlignment="1">
      <alignment horizontal="center" wrapText="1"/>
    </xf>
    <xf numFmtId="0" fontId="2" fillId="17" borderId="159" xfId="0" applyFont="1" applyFill="1" applyBorder="1" applyAlignment="1">
      <alignment horizontal="center" vertical="center" wrapText="1"/>
    </xf>
    <xf numFmtId="0" fontId="2" fillId="17" borderId="160" xfId="0" applyFont="1" applyFill="1" applyBorder="1" applyAlignment="1">
      <alignment horizontal="center" vertical="center" wrapText="1"/>
    </xf>
    <xf numFmtId="0" fontId="0" fillId="0" borderId="12" xfId="0" applyBorder="1" applyAlignment="1">
      <alignment horizontal="left" vertical="top" wrapText="1" indent="3"/>
    </xf>
    <xf numFmtId="0" fontId="30" fillId="0" borderId="249" xfId="0" applyFont="1" applyBorder="1"/>
    <xf numFmtId="0" fontId="30" fillId="0" borderId="250" xfId="0" applyFont="1" applyBorder="1"/>
    <xf numFmtId="0" fontId="30" fillId="0" borderId="251" xfId="0" applyFont="1" applyBorder="1"/>
    <xf numFmtId="0" fontId="0" fillId="0" borderId="119" xfId="0" applyFont="1" applyBorder="1" applyAlignment="1" applyProtection="1">
      <alignment horizontal="left" vertical="top" wrapText="1"/>
      <protection locked="0"/>
    </xf>
    <xf numFmtId="0" fontId="0" fillId="0" borderId="60" xfId="0" applyFont="1" applyBorder="1" applyAlignment="1" applyProtection="1">
      <alignment horizontal="left" vertical="top" wrapText="1"/>
      <protection locked="0"/>
    </xf>
    <xf numFmtId="0" fontId="0" fillId="0" borderId="120" xfId="0" applyFont="1" applyBorder="1" applyAlignment="1" applyProtection="1">
      <alignment horizontal="left" vertical="top" wrapText="1"/>
      <protection locked="0"/>
    </xf>
    <xf numFmtId="0" fontId="3" fillId="0" borderId="12" xfId="0" applyFont="1" applyBorder="1" applyAlignment="1">
      <alignment vertical="top" wrapText="1"/>
    </xf>
    <xf numFmtId="0" fontId="3" fillId="0" borderId="0" xfId="0" applyFont="1" applyBorder="1" applyAlignment="1">
      <alignment vertical="top" wrapText="1"/>
    </xf>
    <xf numFmtId="0" fontId="3" fillId="0" borderId="13" xfId="0" applyFont="1" applyBorder="1" applyAlignment="1">
      <alignment vertical="top" wrapText="1"/>
    </xf>
    <xf numFmtId="0" fontId="30" fillId="0" borderId="247" xfId="0" applyFont="1" applyBorder="1"/>
    <xf numFmtId="0" fontId="30" fillId="0" borderId="214" xfId="0" applyFont="1" applyBorder="1"/>
    <xf numFmtId="0" fontId="30" fillId="0" borderId="248" xfId="0" applyFont="1" applyBorder="1"/>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0" fillId="0" borderId="0" xfId="0" applyFont="1" applyBorder="1"/>
    <xf numFmtId="0" fontId="0" fillId="0" borderId="13" xfId="0" applyFont="1" applyBorder="1"/>
    <xf numFmtId="0" fontId="8" fillId="17" borderId="159" xfId="0" applyFont="1" applyFill="1" applyBorder="1" applyAlignment="1">
      <alignment horizontal="center" vertical="center"/>
    </xf>
    <xf numFmtId="0" fontId="8" fillId="17" borderId="239" xfId="0" applyFont="1" applyFill="1" applyBorder="1" applyAlignment="1">
      <alignment horizontal="center" vertical="center"/>
    </xf>
    <xf numFmtId="0" fontId="8" fillId="17" borderId="78" xfId="0" applyFont="1" applyFill="1" applyBorder="1" applyAlignment="1">
      <alignment horizontal="center" vertical="center"/>
    </xf>
    <xf numFmtId="0" fontId="8" fillId="17" borderId="241" xfId="0" applyFont="1" applyFill="1" applyBorder="1" applyAlignment="1">
      <alignment horizontal="center" vertical="center"/>
    </xf>
    <xf numFmtId="0" fontId="30" fillId="0" borderId="245" xfId="0" applyFont="1" applyBorder="1"/>
    <xf numFmtId="0" fontId="30" fillId="0" borderId="206" xfId="0" applyFont="1" applyBorder="1"/>
    <xf numFmtId="0" fontId="30" fillId="0" borderId="246" xfId="0" applyFont="1" applyBorder="1"/>
    <xf numFmtId="0" fontId="3" fillId="0" borderId="8" xfId="0" applyFont="1" applyBorder="1" applyAlignment="1">
      <alignment horizontal="center" vertical="center" wrapText="1"/>
    </xf>
    <xf numFmtId="0" fontId="23" fillId="0" borderId="8" xfId="0" applyFont="1" applyBorder="1" applyAlignment="1">
      <alignment horizontal="center" vertical="center" wrapText="1"/>
    </xf>
    <xf numFmtId="0" fontId="68" fillId="0" borderId="0" xfId="0" applyFont="1" applyAlignment="1">
      <alignment horizontal="left" vertical="center"/>
    </xf>
    <xf numFmtId="0" fontId="154" fillId="74" borderId="0" xfId="0" applyFont="1" applyFill="1" applyAlignment="1" applyProtection="1">
      <alignment vertical="top" wrapText="1"/>
      <protection locked="0"/>
    </xf>
  </cellXfs>
  <cellStyles count="67">
    <cellStyle name="20% - Accent1 2" xfId="24" xr:uid="{00000000-0005-0000-0000-000000000000}"/>
    <cellStyle name="20% - Accent2 2" xfId="25" xr:uid="{00000000-0005-0000-0000-000001000000}"/>
    <cellStyle name="20% - Accent3 2" xfId="26" xr:uid="{00000000-0005-0000-0000-000002000000}"/>
    <cellStyle name="20% - Accent4 2" xfId="27" xr:uid="{00000000-0005-0000-0000-000003000000}"/>
    <cellStyle name="20% - Accent5 2" xfId="28" xr:uid="{00000000-0005-0000-0000-000004000000}"/>
    <cellStyle name="20% - Accent6 2" xfId="29" xr:uid="{00000000-0005-0000-0000-000005000000}"/>
    <cellStyle name="40% - Accent1 2" xfId="30" xr:uid="{00000000-0005-0000-0000-000006000000}"/>
    <cellStyle name="40% - Accent2 2" xfId="31" xr:uid="{00000000-0005-0000-0000-000007000000}"/>
    <cellStyle name="40% - Accent3" xfId="3" builtinId="39"/>
    <cellStyle name="40% - Accent3 2" xfId="32" xr:uid="{00000000-0005-0000-0000-000009000000}"/>
    <cellStyle name="40% - Accent4 2" xfId="33" xr:uid="{00000000-0005-0000-0000-00000A000000}"/>
    <cellStyle name="40% - Accent5 2" xfId="34" xr:uid="{00000000-0005-0000-0000-00000B000000}"/>
    <cellStyle name="40% - Accent6 2" xfId="35" xr:uid="{00000000-0005-0000-0000-00000C000000}"/>
    <cellStyle name="60% - Accent1 2" xfId="36" xr:uid="{00000000-0005-0000-0000-00000D000000}"/>
    <cellStyle name="60% - Accent2 2" xfId="37" xr:uid="{00000000-0005-0000-0000-00000E000000}"/>
    <cellStyle name="60% - Accent3 2" xfId="38" xr:uid="{00000000-0005-0000-0000-00000F000000}"/>
    <cellStyle name="60% - Accent4 2" xfId="39" xr:uid="{00000000-0005-0000-0000-000010000000}"/>
    <cellStyle name="60% - Accent5 2" xfId="40" xr:uid="{00000000-0005-0000-0000-000011000000}"/>
    <cellStyle name="60% - Accent6 2" xfId="41" xr:uid="{00000000-0005-0000-0000-000012000000}"/>
    <cellStyle name="Accent1 2" xfId="42" xr:uid="{00000000-0005-0000-0000-000013000000}"/>
    <cellStyle name="Accent2 2" xfId="43" xr:uid="{00000000-0005-0000-0000-000014000000}"/>
    <cellStyle name="Accent3 2" xfId="44" xr:uid="{00000000-0005-0000-0000-000015000000}"/>
    <cellStyle name="Accent4 2" xfId="45" xr:uid="{00000000-0005-0000-0000-000016000000}"/>
    <cellStyle name="Accent5 2" xfId="46" xr:uid="{00000000-0005-0000-0000-000017000000}"/>
    <cellStyle name="Accent6 2" xfId="47" xr:uid="{00000000-0005-0000-0000-000018000000}"/>
    <cellStyle name="Bad 2" xfId="48" xr:uid="{00000000-0005-0000-0000-000019000000}"/>
    <cellStyle name="Builders Challenge" xfId="14" xr:uid="{00000000-0005-0000-0000-00001A000000}"/>
    <cellStyle name="Calculation 2" xfId="49" xr:uid="{00000000-0005-0000-0000-00001B000000}"/>
    <cellStyle name="Check Cell 2" xfId="50" xr:uid="{00000000-0005-0000-0000-00001C000000}"/>
    <cellStyle name="Climate Zone" xfId="19" xr:uid="{00000000-0005-0000-0000-00001D000000}"/>
    <cellStyle name="Column Header" xfId="6" xr:uid="{00000000-0005-0000-0000-00001E000000}"/>
    <cellStyle name="Comma 2" xfId="20" xr:uid="{00000000-0005-0000-0000-00001F000000}"/>
    <cellStyle name="Comments" xfId="12" xr:uid="{00000000-0005-0000-0000-000020000000}"/>
    <cellStyle name="Comments:" xfId="11" xr:uid="{00000000-0005-0000-0000-000021000000}"/>
    <cellStyle name="Divider" xfId="17" xr:uid="{00000000-0005-0000-0000-000022000000}"/>
    <cellStyle name="Error" xfId="18" xr:uid="{00000000-0005-0000-0000-000023000000}"/>
    <cellStyle name="Explanatory Text 2" xfId="51" xr:uid="{00000000-0005-0000-0000-000024000000}"/>
    <cellStyle name="Good" xfId="2" builtinId="26" customBuiltin="1"/>
    <cellStyle name="Good 2" xfId="52" xr:uid="{00000000-0005-0000-0000-000026000000}"/>
    <cellStyle name="Heading 1 2" xfId="53" xr:uid="{00000000-0005-0000-0000-000027000000}"/>
    <cellStyle name="Heading 2 2" xfId="54" xr:uid="{00000000-0005-0000-0000-000028000000}"/>
    <cellStyle name="Heading 3 2" xfId="55" xr:uid="{00000000-0005-0000-0000-000029000000}"/>
    <cellStyle name="Heading 4 2" xfId="56" xr:uid="{00000000-0005-0000-0000-00002A000000}"/>
    <cellStyle name="Hyperlink" xfId="5" builtinId="8"/>
    <cellStyle name="Hyperlink 2" xfId="57" xr:uid="{00000000-0005-0000-0000-00002C000000}"/>
    <cellStyle name="Input 2" xfId="58" xr:uid="{00000000-0005-0000-0000-00002D000000}"/>
    <cellStyle name="Linked Cell 2" xfId="59" xr:uid="{00000000-0005-0000-0000-00002E000000}"/>
    <cellStyle name="Main Title" xfId="13" xr:uid="{00000000-0005-0000-0000-00002F000000}"/>
    <cellStyle name="Mandatory" xfId="16" xr:uid="{00000000-0005-0000-0000-000030000000}"/>
    <cellStyle name="Measure" xfId="9" xr:uid="{00000000-0005-0000-0000-000031000000}"/>
    <cellStyle name="Neutral 2" xfId="60" xr:uid="{00000000-0005-0000-0000-000032000000}"/>
    <cellStyle name="No Note" xfId="8" xr:uid="{00000000-0005-0000-0000-000033000000}"/>
    <cellStyle name="Normal" xfId="0" builtinId="0"/>
    <cellStyle name="Normal 2" xfId="4" xr:uid="{00000000-0005-0000-0000-000035000000}"/>
    <cellStyle name="Normal 3" xfId="23" xr:uid="{00000000-0005-0000-0000-000036000000}"/>
    <cellStyle name="Note 2" xfId="61" xr:uid="{00000000-0005-0000-0000-000037000000}"/>
    <cellStyle name="Notes" xfId="22" xr:uid="{00000000-0005-0000-0000-000038000000}"/>
    <cellStyle name="Output 2" xfId="62" xr:uid="{00000000-0005-0000-0000-000039000000}"/>
    <cellStyle name="Per cent" xfId="1" builtinId="5"/>
    <cellStyle name="Percent 2" xfId="21" xr:uid="{00000000-0005-0000-0000-00003B000000}"/>
    <cellStyle name="Style 1" xfId="63" xr:uid="{00000000-0005-0000-0000-00003C000000}"/>
    <cellStyle name="Subtitle" xfId="7" xr:uid="{00000000-0005-0000-0000-00003D000000}"/>
    <cellStyle name="SUM" xfId="15" xr:uid="{00000000-0005-0000-0000-00003E000000}"/>
    <cellStyle name="Title 2" xfId="64" xr:uid="{00000000-0005-0000-0000-00003F000000}"/>
    <cellStyle name="Total 2" xfId="65" xr:uid="{00000000-0005-0000-0000-000040000000}"/>
    <cellStyle name="Warning Text 2" xfId="66" xr:uid="{00000000-0005-0000-0000-000041000000}"/>
    <cellStyle name="Warnings" xfId="10" xr:uid="{00000000-0005-0000-0000-000042000000}"/>
  </cellStyles>
  <dxfs count="1316">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patternType="solid">
          <bgColor theme="0" tint="-0.2499465926084170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patternType="none">
          <bgColor auto="1"/>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ill>
        <patternFill patternType="solid">
          <bgColor rgb="FFFFFF0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solid">
          <bgColor rgb="FFFF0000"/>
        </patternFill>
      </fill>
    </dxf>
    <dxf>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ill>
        <patternFill patternType="solid">
          <bgColor rgb="FFFFFF0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color theme="1"/>
      </font>
      <fill>
        <patternFill patternType="solid">
          <bgColor theme="6"/>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bgColor rgb="FFFFFF00"/>
        </patternFill>
      </fill>
    </dxf>
    <dxf>
      <fill>
        <patternFill>
          <bgColor rgb="FFFFFF00"/>
        </patternFill>
      </fill>
    </dxf>
    <dxf>
      <fill>
        <patternFill patternType="lightDown">
          <fgColor rgb="FF92D050"/>
        </patternFill>
      </fill>
    </dxf>
    <dxf>
      <fill>
        <patternFill patternType="lightDown">
          <fgColor rgb="FFFF0000"/>
          <bgColor theme="0"/>
        </patternFill>
      </fill>
    </dxf>
    <dxf>
      <fill>
        <patternFill patternType="lightTrellis">
          <fgColor rgb="FF80808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ill>
        <patternFill>
          <bgColor theme="4" tint="0.79998168889431442"/>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Down">
          <fgColor rgb="FF92D05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b/>
        <i val="0"/>
        <color rgb="FFFFFF00"/>
      </font>
      <fill>
        <patternFill>
          <bgColor rgb="FFFF0000"/>
        </patternFill>
      </fill>
    </dxf>
    <dxf>
      <font>
        <b val="0"/>
        <i val="0"/>
        <color auto="1"/>
      </font>
      <fill>
        <patternFill patternType="lightTrellis">
          <bgColor theme="4" tint="0.79998168889431442"/>
        </patternFill>
      </fill>
    </dxf>
    <dxf>
      <fill>
        <patternFill patternType="lightTrellis">
          <bgColor theme="4" tint="0.79998168889431442"/>
        </patternFill>
      </fill>
    </dxf>
    <dxf>
      <font>
        <b/>
        <i val="0"/>
        <color rgb="FFFFFF00"/>
      </font>
      <fill>
        <patternFill>
          <bgColor rgb="FFFF0000"/>
        </patternFill>
      </fill>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fgColor auto="1"/>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ont>
        <b val="0"/>
        <i val="0"/>
        <color theme="1"/>
      </font>
      <fill>
        <patternFill patternType="solid">
          <bgColor theme="0"/>
        </patternFill>
      </fill>
      <border>
        <vertical/>
        <horizontal/>
      </border>
    </dxf>
    <dxf>
      <font>
        <strike val="0"/>
      </font>
      <fill>
        <patternFill>
          <bgColor rgb="FFFFFF00"/>
        </patternFill>
      </fill>
      <border>
        <left style="thin">
          <color rgb="FF0070C0"/>
        </left>
        <right style="thin">
          <color rgb="FF0070C0"/>
        </right>
        <top style="thin">
          <color rgb="FF0070C0"/>
        </top>
        <bottom style="thin">
          <color theme="1"/>
        </bottom>
        <vertical/>
        <horizontal/>
      </border>
    </dxf>
    <dxf>
      <font>
        <strike val="0"/>
      </font>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ill>
        <patternFill>
          <bgColor rgb="FFFF0000"/>
        </patternFill>
      </fill>
    </dxf>
    <dxf>
      <font>
        <b/>
        <i val="0"/>
        <strike val="0"/>
        <color rgb="FFFFFF00"/>
      </font>
      <fill>
        <patternFill patternType="solid">
          <bgColor rgb="FFFF0000"/>
        </patternFill>
      </fill>
    </dxf>
    <dxf>
      <fill>
        <patternFill>
          <bgColor rgb="FFFF0000"/>
        </patternFill>
      </fill>
    </dxf>
    <dxf>
      <fill>
        <patternFill patternType="lightTrellis">
          <bgColor theme="4" tint="0.79998168889431442"/>
        </patternFill>
      </fill>
    </dxf>
    <dxf>
      <fill>
        <patternFill patternType="lightTrellis"/>
      </fill>
    </dxf>
    <dxf>
      <fill>
        <patternFill>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i val="0"/>
        <strike val="0"/>
        <color rgb="FFFF0000"/>
      </font>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ill>
        <patternFill>
          <bgColor rgb="FFFF0000"/>
        </patternFill>
      </fill>
    </dxf>
    <dxf>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strike val="0"/>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bgColor theme="4" tint="0.79998168889431442"/>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bgColor rgb="FFFFFF00"/>
        </patternFill>
      </fill>
      <border>
        <left style="thin">
          <color theme="4"/>
        </left>
        <right style="thin">
          <color theme="4"/>
        </right>
        <bottom style="thin">
          <color theme="4"/>
        </bottom>
        <vertical/>
        <horizontal/>
      </border>
    </dxf>
    <dxf>
      <font>
        <strike val="0"/>
        <color theme="1"/>
      </font>
      <fill>
        <patternFill>
          <bgColor theme="6"/>
        </patternFill>
      </fill>
      <border>
        <top style="thin">
          <color auto="1"/>
        </top>
      </border>
    </dxf>
    <dxf>
      <font>
        <strike val="0"/>
        <color theme="1"/>
      </font>
      <fill>
        <patternFill>
          <bgColor theme="6"/>
        </patternFill>
      </fill>
      <border>
        <bottom style="thin">
          <color auto="1"/>
        </bottom>
      </border>
    </dxf>
    <dxf>
      <font>
        <strike val="0"/>
        <color theme="1"/>
      </font>
      <fill>
        <patternFill>
          <bgColor rgb="FFFFFF00"/>
        </patternFill>
      </fill>
      <border>
        <left style="thin">
          <color theme="4"/>
        </left>
        <right style="thin">
          <color theme="4"/>
        </right>
        <top style="thin">
          <color theme="4"/>
        </top>
        <vertical/>
        <horizontal/>
      </border>
    </dxf>
    <dxf>
      <font>
        <strike val="0"/>
        <color theme="1"/>
      </font>
      <fill>
        <patternFill>
          <bgColor theme="6"/>
        </patternFill>
      </fill>
    </dxf>
    <dxf>
      <fill>
        <patternFill patternType="darkDown">
          <fgColor rgb="FFFFFF00"/>
        </patternFill>
      </fill>
      <border>
        <left style="thin">
          <color rgb="FFFFC000"/>
        </left>
        <right style="thin">
          <color rgb="FFFFC000"/>
        </right>
        <vertical/>
        <horizontal/>
      </border>
    </dxf>
    <dxf>
      <font>
        <b/>
        <i val="0"/>
        <color rgb="FFFFFF00"/>
      </font>
      <fill>
        <patternFill>
          <bgColor rgb="FFFF0000"/>
        </patternFill>
      </fill>
    </dxf>
    <dxf>
      <font>
        <b val="0"/>
        <i val="0"/>
        <strike val="0"/>
        <color theme="1"/>
      </font>
      <fill>
        <patternFill>
          <bgColor theme="6"/>
        </patternFill>
      </fill>
    </dxf>
    <dxf>
      <font>
        <strike val="0"/>
        <color theme="1"/>
      </font>
      <fill>
        <patternFill>
          <bgColor theme="6"/>
        </patternFill>
      </fill>
    </dxf>
    <dxf>
      <fill>
        <patternFill>
          <bgColor rgb="FFFFFF99"/>
        </patternFill>
      </fill>
    </dxf>
    <dxf>
      <fill>
        <patternFill patternType="mediumGray">
          <fgColor theme="4" tint="0.79998168889431442"/>
          <bgColor theme="4" tint="0.79989013336588644"/>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strike val="0"/>
        <color theme="1"/>
      </font>
      <fill>
        <patternFill>
          <bgColor theme="6"/>
        </patternFill>
      </fill>
    </dxf>
    <dxf>
      <fill>
        <patternFill>
          <bgColor rgb="FFFFFF00"/>
        </patternFill>
      </fill>
    </dxf>
    <dxf>
      <fill>
        <patternFill>
          <bgColor rgb="FFFFFF00"/>
        </patternFill>
      </fill>
    </dxf>
    <dxf>
      <font>
        <b/>
        <i val="0"/>
        <color rgb="FF00B050"/>
      </font>
      <fill>
        <patternFill>
          <bgColor theme="0"/>
        </patternFill>
      </fill>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ont>
        <b val="0"/>
        <i val="0"/>
        <color theme="1"/>
      </font>
      <fill>
        <patternFill patternType="solid">
          <bgColor theme="0"/>
        </patternFill>
      </fill>
      <border>
        <vertical/>
        <horizontal/>
      </border>
    </dxf>
    <dxf>
      <fill>
        <patternFill patternType="lightTrellis">
          <bgColor theme="4" tint="0.79998168889431442"/>
        </patternFill>
      </fill>
    </dxf>
    <dxf>
      <font>
        <strike val="0"/>
      </font>
      <fill>
        <patternFill>
          <bgColor rgb="FFFFFF00"/>
        </patternFill>
      </fill>
      <border>
        <left style="thin">
          <color rgb="FF0070C0"/>
        </left>
        <right style="thin">
          <color rgb="FF0070C0"/>
        </right>
        <top style="thin">
          <color rgb="FF0070C0"/>
        </top>
        <bottom style="thin">
          <color theme="1"/>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patternType="lightTrellis">
          <bgColor theme="4" tint="0.79998168889431442"/>
        </patternFill>
      </fill>
    </dxf>
    <dxf>
      <fill>
        <patternFill>
          <bgColor rgb="FFFF0000"/>
        </patternFill>
      </fill>
    </dxf>
    <dxf>
      <fill>
        <patternFill>
          <bgColor rgb="FFFF0000"/>
        </patternFill>
      </fill>
    </dxf>
    <dxf>
      <fill>
        <patternFill patternType="lightTrellis">
          <bgColor theme="4" tint="0.79998168889431442"/>
        </patternFill>
      </fill>
    </dxf>
    <dxf>
      <font>
        <color rgb="FFFF0000"/>
      </font>
    </dxf>
    <dxf>
      <fill>
        <patternFill patternType="lightTrellis"/>
      </fill>
    </dxf>
    <dxf>
      <fill>
        <patternFill>
          <bgColor rgb="FFFF0000"/>
        </patternFill>
      </fill>
    </dxf>
    <dxf>
      <fill>
        <patternFill patternType="lightTrellis"/>
      </fill>
    </dxf>
    <dxf>
      <fill>
        <patternFill patternType="lightTrellis"/>
      </fill>
    </dxf>
    <dxf>
      <font>
        <b/>
        <i val="0"/>
        <strike val="0"/>
        <color rgb="FFFFFF00"/>
      </font>
      <fill>
        <patternFill patternType="solid">
          <bgColor rgb="FFFF0000"/>
        </patternFill>
      </fill>
    </dxf>
    <dxf>
      <fill>
        <patternFill>
          <bgColor rgb="FFFFFF00"/>
        </patternFill>
      </fill>
    </dxf>
    <dxf>
      <fill>
        <patternFill>
          <bgColor rgb="FFFFFF00"/>
        </patternFill>
      </fill>
    </dxf>
    <dxf>
      <fill>
        <patternFill patternType="lightTrellis">
          <fgColor theme="1"/>
          <bgColor theme="4" tint="0.79998168889431442"/>
        </patternFill>
      </fill>
    </dxf>
    <dxf>
      <fill>
        <patternFill patternType="darkDown">
          <fgColor rgb="FF92D050"/>
          <bgColor rgb="FFFFFF00"/>
        </patternFill>
      </fill>
    </dxf>
    <dxf>
      <font>
        <b val="0"/>
        <i val="0"/>
        <strike val="0"/>
        <color auto="1"/>
      </font>
      <fill>
        <patternFill patternType="lightTrellis">
          <fgColor theme="1"/>
          <bgColor theme="4" tint="0.79998168889431442"/>
        </patternFill>
      </fill>
    </dxf>
    <dxf>
      <font>
        <strike val="0"/>
        <color theme="1"/>
      </font>
      <fill>
        <patternFill>
          <bgColor theme="6"/>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0070C0"/>
        </patternFill>
      </fill>
    </dxf>
    <dxf>
      <fill>
        <patternFill>
          <bgColor rgb="FFFFFF00"/>
        </patternFill>
      </fill>
    </dxf>
    <dxf>
      <fill>
        <patternFill>
          <bgColor rgb="FFFFFF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color theme="1"/>
      </font>
      <fill>
        <patternFill patternType="solid">
          <bgColor theme="6"/>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lightTrellis"/>
      </fill>
    </dxf>
    <dxf>
      <fill>
        <patternFill>
          <bgColor rgb="FFFF0000"/>
        </patternFill>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gColor auto="1"/>
        </patternFill>
      </fill>
    </dxf>
    <dxf>
      <fill>
        <patternFill>
          <bgColor theme="6"/>
        </patternFill>
      </fill>
    </dxf>
    <dxf>
      <fill>
        <patternFill patternType="darkDown">
          <fgColor rgb="FFFFFF00"/>
          <bgColor auto="1"/>
        </patternFill>
      </fill>
    </dxf>
    <dxf>
      <font>
        <b val="0"/>
        <i val="0"/>
        <strike val="0"/>
        <color theme="1"/>
      </font>
      <fill>
        <patternFill patternType="darkDown">
          <fgColor rgb="FFFFFF00"/>
          <bgColor auto="1"/>
        </patternFill>
      </fill>
    </dxf>
    <dxf>
      <font>
        <b val="0"/>
        <i val="0"/>
        <strike val="0"/>
      </font>
      <fill>
        <patternFill patternType="solid">
          <bgColor theme="6"/>
        </patternFill>
      </fill>
    </dxf>
    <dxf>
      <font>
        <b val="0"/>
        <i val="0"/>
        <strike val="0"/>
        <color theme="1"/>
      </font>
      <fill>
        <patternFill patternType="darkDown">
          <fgColor rgb="FFFFFF00"/>
          <bgColor auto="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0000"/>
        </patternFill>
      </fill>
    </dxf>
    <dxf>
      <fill>
        <patternFill patternType="solid">
          <bgColor theme="6"/>
        </patternFill>
      </fill>
    </dxf>
    <dxf>
      <fill>
        <patternFill>
          <bgColor rgb="FFFFFF00"/>
        </patternFill>
      </fill>
      <border>
        <left style="thin">
          <color theme="4"/>
        </left>
        <right style="thin">
          <color theme="4"/>
        </right>
        <bottom style="thin">
          <color theme="4"/>
        </bottom>
        <vertical/>
        <horizontal/>
      </border>
    </dxf>
    <dxf>
      <fill>
        <patternFill>
          <bgColor rgb="FFFFFF00"/>
        </patternFill>
      </fill>
      <border>
        <left style="thin">
          <color theme="4"/>
        </left>
        <right style="thin">
          <color theme="4"/>
        </right>
        <vertical/>
        <horizontal/>
      </border>
    </dxf>
    <dxf>
      <fill>
        <patternFill>
          <bgColor rgb="FFFFFF00"/>
        </patternFill>
      </fill>
      <border>
        <left style="thin">
          <color theme="4"/>
        </left>
        <right style="thin">
          <color theme="4"/>
        </right>
        <vertical/>
        <horizontal/>
      </border>
    </dxf>
    <dxf>
      <fill>
        <patternFill patternType="solid">
          <bgColor theme="6"/>
        </patternFill>
      </fill>
    </dxf>
    <dxf>
      <fill>
        <patternFill patternType="darkDown">
          <fgColor rgb="FFFFFF00"/>
          <bgColor auto="1"/>
        </patternFill>
      </fill>
    </dxf>
    <dxf>
      <fill>
        <patternFill patternType="mediumGray">
          <fgColor theme="3" tint="0.79998168889431442"/>
          <bgColor auto="1"/>
        </patternFill>
      </fill>
    </dxf>
    <dxf>
      <fill>
        <patternFill patternType="darkDown">
          <fgColor rgb="FFFFFF00"/>
          <bgColor auto="1"/>
        </patternFill>
      </fill>
    </dxf>
    <dxf>
      <fill>
        <patternFill patternType="solid">
          <bgColor theme="6"/>
        </patternFill>
      </fill>
    </dxf>
    <dxf>
      <font>
        <strike val="0"/>
        <color theme="1"/>
      </font>
      <fill>
        <patternFill patternType="darkDown">
          <fgColor rgb="FFFFFF00"/>
          <bgColor theme="0"/>
        </patternFill>
      </fill>
      <border>
        <left style="thin">
          <color theme="0" tint="-0.14996795556505021"/>
        </left>
        <right style="thin">
          <color theme="0" tint="-0.14996795556505021"/>
        </right>
        <vertical/>
        <horizontal/>
      </border>
    </dxf>
    <dxf>
      <font>
        <color theme="1"/>
      </font>
      <fill>
        <patternFill patternType="solid">
          <bgColor theme="6"/>
        </patternFill>
      </fill>
      <border>
        <left style="thin">
          <color theme="0" tint="-0.14996795556505021"/>
        </left>
        <right style="thin">
          <color theme="0" tint="-0.14996795556505021"/>
        </right>
      </border>
    </dxf>
    <dxf>
      <fill>
        <patternFill patternType="solid">
          <bgColor theme="6"/>
        </patternFill>
      </fill>
    </dxf>
    <dxf>
      <fill>
        <patternFill patternType="darkDown">
          <fgColor rgb="FFFFFF00"/>
        </patternFill>
      </fill>
    </dxf>
    <dxf>
      <fill>
        <patternFill patternType="solid">
          <bgColor theme="6"/>
        </patternFill>
      </fill>
    </dxf>
    <dxf>
      <fill>
        <patternFill patternType="darkDown">
          <fgColor rgb="FFFFFF00"/>
          <bgColor auto="1"/>
        </patternFill>
      </fill>
    </dxf>
    <dxf>
      <font>
        <strike val="0"/>
        <color theme="1"/>
      </font>
      <fill>
        <patternFill patternType="solid">
          <bgColor theme="6"/>
        </patternFill>
      </fill>
    </dxf>
    <dxf>
      <font>
        <color theme="1"/>
      </font>
      <fill>
        <patternFill patternType="solid">
          <bgColor theme="6"/>
        </patternFill>
      </fill>
    </dxf>
    <dxf>
      <font>
        <color theme="1"/>
      </font>
      <fill>
        <patternFill patternType="solid">
          <bgColor theme="6"/>
        </patternFill>
      </fill>
      <border>
        <right style="thin">
          <color theme="0" tint="-0.14996795556505021"/>
        </right>
      </border>
    </dxf>
    <dxf>
      <font>
        <color theme="1"/>
      </font>
      <fill>
        <patternFill patternType="darkDown">
          <fgColor rgb="FFFFFF00"/>
          <bgColor theme="0"/>
        </patternFill>
      </fill>
      <border>
        <right style="thin">
          <color theme="0" tint="-0.14996795556505021"/>
        </right>
        <bottom style="thin">
          <color rgb="FF006666"/>
        </bottom>
        <vertical/>
        <horizontal/>
      </border>
    </dxf>
    <dxf>
      <font>
        <color theme="1"/>
      </font>
      <fill>
        <patternFill patternType="solid">
          <bgColor theme="6"/>
        </patternFill>
      </fill>
      <border>
        <right style="thin">
          <color theme="0" tint="-0.14996795556505021"/>
        </right>
        <bottom style="thin">
          <color rgb="FF006666"/>
        </bottom>
        <vertical/>
        <horizontal/>
      </border>
    </dxf>
    <dxf>
      <font>
        <color theme="1"/>
      </font>
      <fill>
        <patternFill patternType="darkDown">
          <fgColor rgb="FFFFFF00"/>
          <bgColor theme="0"/>
        </patternFill>
      </fill>
      <border>
        <right style="thin">
          <color theme="0" tint="-0.14996795556505021"/>
        </right>
        <vertical/>
        <horizontal/>
      </border>
    </dxf>
    <dxf>
      <font>
        <color theme="1"/>
      </font>
      <fill>
        <patternFill patternType="solid">
          <bgColor theme="6"/>
        </patternFill>
      </fill>
      <border>
        <right style="thin">
          <color theme="0" tint="-0.14996795556505021"/>
        </right>
        <vertical/>
        <horizontal/>
      </border>
    </dxf>
    <dxf>
      <font>
        <strike val="0"/>
        <color theme="1"/>
      </font>
      <fill>
        <patternFill patternType="darkDown">
          <fgColor rgb="FFFFFF00"/>
          <bgColor theme="0"/>
        </patternFill>
      </fill>
      <border>
        <right style="thin">
          <color theme="0" tint="-0.14996795556505021"/>
        </right>
        <top style="thin">
          <color theme="0" tint="-0.14996795556505021"/>
        </top>
      </border>
    </dxf>
    <dxf>
      <font>
        <strike val="0"/>
        <color theme="1"/>
      </font>
      <fill>
        <patternFill patternType="solid">
          <bgColor theme="6"/>
        </patternFill>
      </fill>
      <border>
        <right style="thin">
          <color theme="0" tint="-0.14996795556505021"/>
        </right>
        <top style="thin">
          <color theme="0" tint="-0.14996795556505021"/>
        </top>
      </border>
    </dxf>
    <dxf>
      <font>
        <color theme="1"/>
      </font>
      <fill>
        <patternFill>
          <bgColor theme="6"/>
        </patternFill>
      </fill>
      <border>
        <bottom style="thin">
          <color theme="1"/>
        </bottom>
        <vertical/>
        <horizontal/>
      </border>
    </dxf>
    <dxf>
      <fill>
        <patternFill>
          <bgColor theme="6"/>
        </patternFill>
      </fill>
      <border>
        <bottom style="thin">
          <color theme="0" tint="-0.499984740745262"/>
        </bottom>
        <vertical/>
        <horizontal/>
      </border>
    </dxf>
    <dxf>
      <font>
        <strike val="0"/>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ill>
        <patternFill>
          <bgColor theme="6"/>
        </patternFill>
      </fill>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ont>
        <color theme="1"/>
      </font>
      <fill>
        <patternFill>
          <bgColor theme="6"/>
        </patternFill>
      </fill>
    </dxf>
    <dxf>
      <fill>
        <patternFill>
          <bgColor rgb="FFFFFF00"/>
        </patternFill>
      </fill>
    </dxf>
    <dxf>
      <fill>
        <patternFill>
          <bgColor rgb="FFFFFF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darkDown">
          <fgColor theme="0"/>
          <bgColor rgb="FFFFFF00"/>
        </patternFill>
      </fill>
    </dxf>
    <dxf>
      <font>
        <b/>
        <i val="0"/>
        <strike val="0"/>
        <color rgb="FFC00000"/>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border>
        <left style="thin">
          <color auto="1"/>
        </left>
        <right style="thin">
          <color auto="1"/>
        </right>
        <top style="thin">
          <color auto="1"/>
        </top>
        <bottom style="thin">
          <color auto="1"/>
        </bottom>
        <vertical/>
        <horizontal/>
      </border>
    </dxf>
    <dxf>
      <font>
        <b/>
        <i val="0"/>
        <strike val="0"/>
        <color rgb="FFFFFF00"/>
      </font>
      <fill>
        <patternFill patternType="solid">
          <bgColor rgb="FFFF0000"/>
        </patternFill>
      </fill>
    </dxf>
    <dxf>
      <font>
        <b/>
        <i val="0"/>
        <color rgb="FF0D776E"/>
      </font>
    </dxf>
    <dxf>
      <font>
        <b/>
        <i val="0"/>
        <color rgb="FFFF0000"/>
      </font>
    </dxf>
    <dxf>
      <fill>
        <patternFill>
          <bgColor theme="6"/>
        </patternFill>
      </fill>
    </dxf>
    <dxf>
      <fill>
        <patternFill>
          <bgColor theme="6"/>
        </patternFill>
      </fill>
    </dxf>
    <dxf>
      <fill>
        <patternFill patternType="darkDown">
          <fgColor rgb="FFFFFF00"/>
          <bgColor auto="1"/>
        </patternFill>
      </fill>
    </dxf>
    <dxf>
      <fill>
        <patternFill patternType="darkDown">
          <fgColor rgb="FFFFFF00"/>
          <bgColor auto="1"/>
        </patternFill>
      </fill>
      <border>
        <right style="thin">
          <color theme="0" tint="-0.14996795556505021"/>
        </right>
        <vertical/>
        <horizontal/>
      </border>
    </dxf>
    <dxf>
      <fill>
        <patternFill patternType="solid">
          <bgColor theme="6"/>
        </patternFill>
      </fill>
      <border>
        <right/>
      </border>
    </dxf>
    <dxf>
      <fill>
        <patternFill patternType="darkDown">
          <fgColor rgb="FFFFFF00"/>
          <bgColor auto="1"/>
        </patternFill>
      </fill>
      <border>
        <left style="thin">
          <color theme="4"/>
        </left>
        <right style="thin">
          <color theme="0" tint="-0.14996795556505021"/>
        </right>
        <top style="thin">
          <color theme="0" tint="-0.14996795556505021"/>
        </top>
        <bottom style="thin">
          <color theme="1"/>
        </bottom>
        <vertical/>
        <horizontal/>
      </border>
    </dxf>
    <dxf>
      <fill>
        <patternFill patternType="solid">
          <bgColor theme="6"/>
        </patternFill>
      </fill>
      <border>
        <right/>
        <top/>
      </border>
    </dxf>
    <dxf>
      <font>
        <color theme="1"/>
      </font>
      <fill>
        <patternFill>
          <bgColor theme="6"/>
        </patternFill>
      </fill>
      <border>
        <bottom style="thin">
          <color theme="0" tint="-0.499984740745262"/>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auto="1"/>
      </font>
      <fill>
        <patternFill patternType="darkDown">
          <fgColor rgb="FFFFFF00"/>
          <bgColor auto="1"/>
        </patternFill>
      </fill>
      <border>
        <right/>
        <top style="thin">
          <color auto="1"/>
        </top>
        <bottom style="thin">
          <color auto="1"/>
        </bottom>
        <vertical/>
        <horizontal/>
      </border>
    </dxf>
    <dxf>
      <font>
        <color theme="1"/>
      </font>
      <fill>
        <patternFill patternType="solid">
          <bgColor theme="6"/>
        </patternFill>
      </fill>
    </dxf>
    <dxf>
      <font>
        <strike val="0"/>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border>
    </dxf>
    <dxf>
      <fill>
        <patternFill>
          <bgColor theme="6"/>
        </patternFill>
      </fill>
    </dxf>
    <dxf>
      <fill>
        <patternFill>
          <bgColor theme="6"/>
        </patternFill>
      </fill>
    </dxf>
    <dxf>
      <fill>
        <patternFill>
          <bgColor theme="6"/>
        </patternFill>
      </fill>
    </dxf>
    <dxf>
      <fill>
        <patternFill>
          <bgColor theme="6"/>
        </patternFill>
      </fill>
      <border>
        <bottom style="thin">
          <color theme="0" tint="-0.499984740745262"/>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C00000"/>
      </font>
      <fill>
        <patternFill>
          <bgColor rgb="FFFFFF00"/>
        </patternFill>
      </fill>
      <border>
        <left style="thin">
          <color rgb="FFC00000"/>
        </left>
        <right style="thin">
          <color rgb="FFC00000"/>
        </right>
        <top style="thin">
          <color rgb="FFC00000"/>
        </top>
        <bottom style="thin">
          <color rgb="FFC00000"/>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border>
        <top style="thin">
          <color auto="1"/>
        </top>
        <bottom style="thin">
          <color theme="0" tint="-0.499984740745262"/>
        </bottom>
        <vertical/>
        <horizontal/>
      </border>
    </dxf>
    <dxf>
      <font>
        <strike val="0"/>
        <color theme="1"/>
      </font>
      <fill>
        <patternFill>
          <bgColor theme="6"/>
        </patternFill>
      </fill>
    </dxf>
    <dxf>
      <fill>
        <patternFill patternType="darkDown">
          <fgColor rgb="FFFFFF00"/>
        </patternFill>
      </fill>
    </dxf>
    <dxf>
      <font>
        <strike val="0"/>
        <color theme="1"/>
      </font>
      <fill>
        <patternFill patternType="solid">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patternType="darkDown">
          <fgColor rgb="FFFFFF00"/>
          <bgColor theme="0"/>
        </patternFill>
      </fill>
      <border>
        <right/>
        <vertical/>
        <horizontal/>
      </border>
    </dxf>
    <dxf>
      <font>
        <strike val="0"/>
        <color theme="1"/>
      </font>
      <fill>
        <patternFill patternType="solid">
          <bgColor theme="6"/>
        </patternFill>
      </fill>
    </dxf>
    <dxf>
      <font>
        <color theme="1"/>
      </font>
      <fill>
        <patternFill>
          <bgColor theme="6"/>
        </patternFill>
      </fill>
    </dxf>
    <dxf>
      <font>
        <color theme="1"/>
      </font>
      <fill>
        <patternFill>
          <bgColor theme="6"/>
        </patternFill>
      </fill>
    </dxf>
    <dxf>
      <fill>
        <patternFill>
          <bgColor rgb="FFFFFF00"/>
        </patternFill>
      </fill>
    </dxf>
    <dxf>
      <font>
        <b val="0"/>
        <i val="0"/>
        <color theme="1"/>
      </font>
      <fill>
        <patternFill patternType="solid">
          <bgColor theme="0"/>
        </patternFill>
      </fill>
      <border>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lightTrellis"/>
      </fill>
    </dxf>
    <dxf>
      <fill>
        <patternFill>
          <bgColor rgb="FFFFFF00"/>
        </patternFill>
      </fill>
    </dxf>
    <dxf>
      <fill>
        <patternFill>
          <bgColor rgb="FFFFFF00"/>
        </patternFill>
      </fill>
    </dxf>
    <dxf>
      <fill>
        <patternFill patternType="lightTrellis">
          <bgColor theme="4" tint="0.79998168889431442"/>
        </patternFill>
      </fill>
    </dxf>
    <dxf>
      <fill>
        <patternFill>
          <bgColor rgb="FFFFFF00"/>
        </patternFill>
      </fill>
    </dxf>
    <dxf>
      <font>
        <b/>
        <i val="0"/>
        <color rgb="FFFFFF00"/>
      </font>
      <fill>
        <patternFill>
          <bgColor rgb="FFFF0000"/>
        </patternFill>
      </fill>
    </dxf>
    <dxf>
      <font>
        <b val="0"/>
        <i val="0"/>
        <color theme="1"/>
      </font>
      <fill>
        <patternFill patternType="solid">
          <bgColor theme="0"/>
        </patternFill>
      </fill>
      <border>
        <vertical/>
        <horizontal/>
      </border>
    </dxf>
  </dxfs>
  <tableStyles count="0" defaultTableStyle="TableStyleMedium9" defaultPivotStyle="PivotStyleLight16"/>
  <colors>
    <mruColors>
      <color rgb="FF8BBD00"/>
      <color rgb="FF0D776E"/>
      <color rgb="FFCCECFF"/>
      <color rgb="FFFFFFFF"/>
      <color rgb="FF92D050"/>
      <color rgb="FF003F72"/>
      <color rgb="FFC5D6F7"/>
      <color rgb="FFC5D9F1"/>
      <color rgb="FFFFFF00"/>
      <color rgb="FF094E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6" Type="http://schemas.openxmlformats.org/officeDocument/2006/relationships/image" Target="../media/image1.png"/><Relationship Id="rId5" Type="http://schemas.openxmlformats.org/officeDocument/2006/relationships/image" Target="../media/image8.gif"/><Relationship Id="rId4"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8.gi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504537</xdr:colOff>
      <xdr:row>10</xdr:row>
      <xdr:rowOff>1598</xdr:rowOff>
    </xdr:from>
    <xdr:ext cx="184731" cy="937629"/>
    <xdr:sp macro="" textlink="">
      <xdr:nvSpPr>
        <xdr:cNvPr id="4" name="Rectangle 3">
          <a:extLst>
            <a:ext uri="{FF2B5EF4-FFF2-40B4-BE49-F238E27FC236}">
              <a16:creationId xmlns:a16="http://schemas.microsoft.com/office/drawing/2014/main" id="{00000000-0008-0000-0000-000004000000}"/>
            </a:ext>
          </a:extLst>
        </xdr:cNvPr>
        <xdr:cNvSpPr/>
      </xdr:nvSpPr>
      <xdr:spPr>
        <a:xfrm>
          <a:off x="6600537" y="1897073"/>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619125</xdr:colOff>
      <xdr:row>0</xdr:row>
      <xdr:rowOff>0</xdr:rowOff>
    </xdr:from>
    <xdr:to>
      <xdr:col>5</xdr:col>
      <xdr:colOff>462534</xdr:colOff>
      <xdr:row>2</xdr:row>
      <xdr:rowOff>175870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619125" y="0"/>
          <a:ext cx="2386584" cy="5568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609600</xdr:colOff>
      <xdr:row>0</xdr:row>
      <xdr:rowOff>0</xdr:rowOff>
    </xdr:from>
    <xdr:to>
      <xdr:col>0</xdr:col>
      <xdr:colOff>2987246</xdr:colOff>
      <xdr:row>0</xdr:row>
      <xdr:rowOff>554784</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609600" y="0"/>
          <a:ext cx="2377646" cy="5547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676275</xdr:colOff>
      <xdr:row>0</xdr:row>
      <xdr:rowOff>0</xdr:rowOff>
    </xdr:from>
    <xdr:to>
      <xdr:col>0</xdr:col>
      <xdr:colOff>3053921</xdr:colOff>
      <xdr:row>0</xdr:row>
      <xdr:rowOff>554784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6275" y="0"/>
          <a:ext cx="2377646" cy="5547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571482</xdr:colOff>
      <xdr:row>0</xdr:row>
      <xdr:rowOff>0</xdr:rowOff>
    </xdr:from>
    <xdr:to>
      <xdr:col>1</xdr:col>
      <xdr:colOff>1234628</xdr:colOff>
      <xdr:row>0</xdr:row>
      <xdr:rowOff>554784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571482" y="0"/>
          <a:ext cx="2377646" cy="554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142875</xdr:colOff>
      <xdr:row>6</xdr:row>
      <xdr:rowOff>85725</xdr:rowOff>
    </xdr:from>
    <xdr:to>
      <xdr:col>6</xdr:col>
      <xdr:colOff>233892</xdr:colOff>
      <xdr:row>41</xdr:row>
      <xdr:rowOff>57150</xdr:rowOff>
    </xdr:to>
    <xdr:pic>
      <xdr:nvPicPr>
        <xdr:cNvPr id="2" name="Picture 1" descr="climatezonesbystates.gif">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142875" y="2019300"/>
          <a:ext cx="7620000" cy="5638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609598</xdr:colOff>
      <xdr:row>56</xdr:row>
      <xdr:rowOff>40996</xdr:rowOff>
    </xdr:from>
    <xdr:to>
      <xdr:col>8</xdr:col>
      <xdr:colOff>110065</xdr:colOff>
      <xdr:row>86</xdr:row>
      <xdr:rowOff>155295</xdr:rowOff>
    </xdr:to>
    <xdr:pic>
      <xdr:nvPicPr>
        <xdr:cNvPr id="3" name="Picture 2" descr="climatezonesbystates.gif">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cstate="print"/>
        <a:stretch>
          <a:fillRect/>
        </a:stretch>
      </xdr:blipFill>
      <xdr:spPr>
        <a:xfrm>
          <a:off x="609598" y="10432771"/>
          <a:ext cx="9525000" cy="5257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476249</xdr:colOff>
      <xdr:row>94</xdr:row>
      <xdr:rowOff>152400</xdr:rowOff>
    </xdr:from>
    <xdr:to>
      <xdr:col>6</xdr:col>
      <xdr:colOff>567266</xdr:colOff>
      <xdr:row>125</xdr:row>
      <xdr:rowOff>9525</xdr:rowOff>
    </xdr:to>
    <xdr:pic>
      <xdr:nvPicPr>
        <xdr:cNvPr id="4" name="Picture 3" descr="Climate Zone Map of the United States">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49" y="17116425"/>
          <a:ext cx="7620000" cy="4876800"/>
        </a:xfrm>
        <a:prstGeom prst="rect">
          <a:avLst/>
        </a:prstGeom>
        <a:noFill/>
        <a:ln w="9525">
          <a:noFill/>
          <a:miter lim="800000"/>
          <a:headEnd/>
          <a:tailEnd/>
        </a:ln>
        <a:effectLst>
          <a:outerShdw blurRad="63500" sx="102000" sy="102000" algn="ctr" rotWithShape="0">
            <a:prstClr val="black">
              <a:alpha val="40000"/>
            </a:prstClr>
          </a:outerShdw>
        </a:effectLst>
      </xdr:spPr>
    </xdr:pic>
    <xdr:clientData/>
  </xdr:twoCellAnchor>
  <xdr:twoCellAnchor editAs="oneCell">
    <xdr:from>
      <xdr:col>0</xdr:col>
      <xdr:colOff>419101</xdr:colOff>
      <xdr:row>132</xdr:row>
      <xdr:rowOff>28575</xdr:rowOff>
    </xdr:from>
    <xdr:to>
      <xdr:col>8</xdr:col>
      <xdr:colOff>362018</xdr:colOff>
      <xdr:row>179</xdr:row>
      <xdr:rowOff>114299</xdr:rowOff>
    </xdr:to>
    <xdr:pic>
      <xdr:nvPicPr>
        <xdr:cNvPr id="5" name="Picture 3" descr="http://www.epa.gov/radon/images/zonemapcolor_800.jpg">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19101" y="23288625"/>
          <a:ext cx="9967450" cy="7724774"/>
        </a:xfrm>
        <a:prstGeom prst="rect">
          <a:avLst/>
        </a:prstGeom>
        <a:noFill/>
      </xdr:spPr>
    </xdr:pic>
    <xdr:clientData/>
  </xdr:twoCellAnchor>
  <xdr:twoCellAnchor editAs="oneCell">
    <xdr:from>
      <xdr:col>0</xdr:col>
      <xdr:colOff>7515225</xdr:colOff>
      <xdr:row>0</xdr:row>
      <xdr:rowOff>152400</xdr:rowOff>
    </xdr:from>
    <xdr:to>
      <xdr:col>1</xdr:col>
      <xdr:colOff>908</xdr:colOff>
      <xdr:row>0</xdr:row>
      <xdr:rowOff>171450</xdr:rowOff>
    </xdr:to>
    <xdr:pic>
      <xdr:nvPicPr>
        <xdr:cNvPr id="6" name="Picture 5" descr="NGBCP Logo.gif">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1247775" y="152400"/>
          <a:ext cx="908" cy="19050"/>
        </a:xfrm>
        <a:prstGeom prst="rect">
          <a:avLst/>
        </a:prstGeom>
      </xdr:spPr>
    </xdr:pic>
    <xdr:clientData/>
  </xdr:twoCellAnchor>
  <xdr:twoCellAnchor editAs="oneCell">
    <xdr:from>
      <xdr:col>0</xdr:col>
      <xdr:colOff>709061</xdr:colOff>
      <xdr:row>0</xdr:row>
      <xdr:rowOff>0</xdr:rowOff>
    </xdr:from>
    <xdr:to>
      <xdr:col>2</xdr:col>
      <xdr:colOff>589040</xdr:colOff>
      <xdr:row>0</xdr:row>
      <xdr:rowOff>554784</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6"/>
        <a:stretch>
          <a:fillRect/>
        </a:stretch>
      </xdr:blipFill>
      <xdr:spPr>
        <a:xfrm>
          <a:off x="709061" y="0"/>
          <a:ext cx="2377646" cy="55478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7515225</xdr:colOff>
      <xdr:row>0</xdr:row>
      <xdr:rowOff>152400</xdr:rowOff>
    </xdr:from>
    <xdr:to>
      <xdr:col>1</xdr:col>
      <xdr:colOff>3176</xdr:colOff>
      <xdr:row>0</xdr:row>
      <xdr:rowOff>171450</xdr:rowOff>
    </xdr:to>
    <xdr:pic>
      <xdr:nvPicPr>
        <xdr:cNvPr id="2" name="Picture 1" descr="NGBCP Logo.gif">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2047875" y="152400"/>
          <a:ext cx="3176" cy="19050"/>
        </a:xfrm>
        <a:prstGeom prst="rect">
          <a:avLst/>
        </a:prstGeom>
      </xdr:spPr>
    </xdr:pic>
    <xdr:clientData/>
  </xdr:twoCellAnchor>
  <xdr:twoCellAnchor editAs="oneCell">
    <xdr:from>
      <xdr:col>0</xdr:col>
      <xdr:colOff>349239</xdr:colOff>
      <xdr:row>0</xdr:row>
      <xdr:rowOff>0</xdr:rowOff>
    </xdr:from>
    <xdr:to>
      <xdr:col>1</xdr:col>
      <xdr:colOff>673718</xdr:colOff>
      <xdr:row>0</xdr:row>
      <xdr:rowOff>554784</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349239" y="0"/>
          <a:ext cx="2377646" cy="554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272412</xdr:colOff>
      <xdr:row>0</xdr:row>
      <xdr:rowOff>21166</xdr:rowOff>
    </xdr:from>
    <xdr:ext cx="45719" cy="45719"/>
    <xdr:sp macro="" textlink="">
      <xdr:nvSpPr>
        <xdr:cNvPr id="3" name="Rectangle 2">
          <a:extLst>
            <a:ext uri="{FF2B5EF4-FFF2-40B4-BE49-F238E27FC236}">
              <a16:creationId xmlns:a16="http://schemas.microsoft.com/office/drawing/2014/main" id="{00000000-0008-0000-0100-000003000000}"/>
            </a:ext>
          </a:extLst>
        </xdr:cNvPr>
        <xdr:cNvSpPr/>
      </xdr:nvSpPr>
      <xdr:spPr>
        <a:xfrm>
          <a:off x="5320662" y="21166"/>
          <a:ext cx="45719" cy="45719"/>
        </a:xfrm>
        <a:prstGeom prst="rect">
          <a:avLst/>
        </a:prstGeom>
        <a:noFill/>
      </xdr:spPr>
      <xdr:txBody>
        <a:bodyPr wrap="square" lIns="91440" tIns="45720" rIns="91440" bIns="45720">
          <a:noAutofit/>
        </a:bodyPr>
        <a:lstStyle/>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1</xdr:col>
      <xdr:colOff>381000</xdr:colOff>
      <xdr:row>0</xdr:row>
      <xdr:rowOff>0</xdr:rowOff>
    </xdr:from>
    <xdr:to>
      <xdr:col>7</xdr:col>
      <xdr:colOff>43434</xdr:colOff>
      <xdr:row>2</xdr:row>
      <xdr:rowOff>175870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381000" y="0"/>
          <a:ext cx="2386584" cy="556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381000</xdr:colOff>
      <xdr:row>0</xdr:row>
      <xdr:rowOff>1</xdr:rowOff>
    </xdr:from>
    <xdr:to>
      <xdr:col>8</xdr:col>
      <xdr:colOff>43434</xdr:colOff>
      <xdr:row>2</xdr:row>
      <xdr:rowOff>178217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
          <a:ext cx="2386584" cy="559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381000</xdr:colOff>
      <xdr:row>0</xdr:row>
      <xdr:rowOff>0</xdr:rowOff>
    </xdr:from>
    <xdr:to>
      <xdr:col>8</xdr:col>
      <xdr:colOff>46689</xdr:colOff>
      <xdr:row>2</xdr:row>
      <xdr:rowOff>173784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81000" y="0"/>
          <a:ext cx="2389839" cy="5547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52959</xdr:colOff>
      <xdr:row>2</xdr:row>
      <xdr:rowOff>175870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390525" y="0"/>
          <a:ext cx="2386584" cy="556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0</xdr:row>
      <xdr:rowOff>0</xdr:rowOff>
    </xdr:from>
    <xdr:to>
      <xdr:col>7</xdr:col>
      <xdr:colOff>34496</xdr:colOff>
      <xdr:row>2</xdr:row>
      <xdr:rowOff>173784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381000" y="0"/>
          <a:ext cx="2377646" cy="5547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44021</xdr:colOff>
      <xdr:row>2</xdr:row>
      <xdr:rowOff>173784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390525" y="0"/>
          <a:ext cx="2377646" cy="5547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2571750</xdr:colOff>
      <xdr:row>16</xdr:row>
      <xdr:rowOff>476250</xdr:rowOff>
    </xdr:from>
    <xdr:to>
      <xdr:col>2</xdr:col>
      <xdr:colOff>2724150</xdr:colOff>
      <xdr:row>16</xdr:row>
      <xdr:rowOff>609600</xdr:rowOff>
    </xdr:to>
    <xdr:sp macro="" textlink="">
      <xdr:nvSpPr>
        <xdr:cNvPr id="2" name="Text Box 12">
          <a:extLst>
            <a:ext uri="{FF2B5EF4-FFF2-40B4-BE49-F238E27FC236}">
              <a16:creationId xmlns:a16="http://schemas.microsoft.com/office/drawing/2014/main" id="{00000000-0008-0000-0700-000002000000}"/>
            </a:ext>
          </a:extLst>
        </xdr:cNvPr>
        <xdr:cNvSpPr txBox="1">
          <a:spLocks noChangeArrowheads="1"/>
        </xdr:cNvSpPr>
      </xdr:nvSpPr>
      <xdr:spPr bwMode="auto">
        <a:xfrm>
          <a:off x="2571750" y="5114925"/>
          <a:ext cx="152400" cy="0"/>
        </a:xfrm>
        <a:prstGeom prst="rect">
          <a:avLst/>
        </a:prstGeom>
        <a:noFill/>
        <a:ln w="9525">
          <a:noFill/>
          <a:miter lim="800000"/>
          <a:headEnd/>
          <a:tailEnd/>
        </a:ln>
      </xdr:spPr>
    </xdr:sp>
    <xdr:clientData/>
  </xdr:twoCellAnchor>
  <xdr:twoCellAnchor>
    <xdr:from>
      <xdr:col>2</xdr:col>
      <xdr:colOff>219075</xdr:colOff>
      <xdr:row>16</xdr:row>
      <xdr:rowOff>1181100</xdr:rowOff>
    </xdr:from>
    <xdr:to>
      <xdr:col>2</xdr:col>
      <xdr:colOff>371475</xdr:colOff>
      <xdr:row>16</xdr:row>
      <xdr:rowOff>1314450</xdr:rowOff>
    </xdr:to>
    <xdr:sp macro="" textlink="">
      <xdr:nvSpPr>
        <xdr:cNvPr id="3" name="Text Box 17">
          <a:extLst>
            <a:ext uri="{FF2B5EF4-FFF2-40B4-BE49-F238E27FC236}">
              <a16:creationId xmlns:a16="http://schemas.microsoft.com/office/drawing/2014/main" id="{00000000-0008-0000-0700-000003000000}"/>
            </a:ext>
          </a:extLst>
        </xdr:cNvPr>
        <xdr:cNvSpPr txBox="1">
          <a:spLocks noChangeArrowheads="1"/>
        </xdr:cNvSpPr>
      </xdr:nvSpPr>
      <xdr:spPr bwMode="auto">
        <a:xfrm>
          <a:off x="219075" y="5114925"/>
          <a:ext cx="152400" cy="0"/>
        </a:xfrm>
        <a:prstGeom prst="rect">
          <a:avLst/>
        </a:prstGeom>
        <a:noFill/>
        <a:ln w="9525">
          <a:noFill/>
          <a:miter lim="800000"/>
          <a:headEnd/>
          <a:tailEnd/>
        </a:ln>
      </xdr:spPr>
    </xdr:sp>
    <xdr:clientData/>
  </xdr:twoCellAnchor>
  <xdr:twoCellAnchor>
    <xdr:from>
      <xdr:col>2</xdr:col>
      <xdr:colOff>2571750</xdr:colOff>
      <xdr:row>15</xdr:row>
      <xdr:rowOff>476250</xdr:rowOff>
    </xdr:from>
    <xdr:to>
      <xdr:col>2</xdr:col>
      <xdr:colOff>2724150</xdr:colOff>
      <xdr:row>15</xdr:row>
      <xdr:rowOff>609600</xdr:rowOff>
    </xdr:to>
    <xdr:sp macro="" textlink="">
      <xdr:nvSpPr>
        <xdr:cNvPr id="5" name="Text Box 12">
          <a:extLst>
            <a:ext uri="{FF2B5EF4-FFF2-40B4-BE49-F238E27FC236}">
              <a16:creationId xmlns:a16="http://schemas.microsoft.com/office/drawing/2014/main" id="{00000000-0008-0000-0700-000005000000}"/>
            </a:ext>
          </a:extLst>
        </xdr:cNvPr>
        <xdr:cNvSpPr txBox="1">
          <a:spLocks noChangeArrowheads="1"/>
        </xdr:cNvSpPr>
      </xdr:nvSpPr>
      <xdr:spPr bwMode="auto">
        <a:xfrm>
          <a:off x="2571750" y="6049180"/>
          <a:ext cx="152400" cy="0"/>
        </a:xfrm>
        <a:prstGeom prst="rect">
          <a:avLst/>
        </a:prstGeom>
        <a:noFill/>
        <a:ln w="9525">
          <a:noFill/>
          <a:miter lim="800000"/>
          <a:headEnd/>
          <a:tailEnd/>
        </a:ln>
      </xdr:spPr>
    </xdr:sp>
    <xdr:clientData/>
  </xdr:twoCellAnchor>
  <xdr:twoCellAnchor>
    <xdr:from>
      <xdr:col>2</xdr:col>
      <xdr:colOff>219075</xdr:colOff>
      <xdr:row>15</xdr:row>
      <xdr:rowOff>1181100</xdr:rowOff>
    </xdr:from>
    <xdr:to>
      <xdr:col>2</xdr:col>
      <xdr:colOff>371475</xdr:colOff>
      <xdr:row>15</xdr:row>
      <xdr:rowOff>1314450</xdr:rowOff>
    </xdr:to>
    <xdr:sp macro="" textlink="">
      <xdr:nvSpPr>
        <xdr:cNvPr id="6" name="Text Box 17">
          <a:extLst>
            <a:ext uri="{FF2B5EF4-FFF2-40B4-BE49-F238E27FC236}">
              <a16:creationId xmlns:a16="http://schemas.microsoft.com/office/drawing/2014/main" id="{00000000-0008-0000-0700-000006000000}"/>
            </a:ext>
          </a:extLst>
        </xdr:cNvPr>
        <xdr:cNvSpPr txBox="1">
          <a:spLocks noChangeArrowheads="1"/>
        </xdr:cNvSpPr>
      </xdr:nvSpPr>
      <xdr:spPr bwMode="auto">
        <a:xfrm>
          <a:off x="219075" y="6049180"/>
          <a:ext cx="152400" cy="0"/>
        </a:xfrm>
        <a:prstGeom prst="rect">
          <a:avLst/>
        </a:prstGeom>
        <a:noFill/>
        <a:ln w="9525">
          <a:noFill/>
          <a:miter lim="800000"/>
          <a:headEnd/>
          <a:tailEnd/>
        </a:ln>
      </xdr:spPr>
    </xdr:sp>
    <xdr:clientData/>
  </xdr:twoCellAnchor>
  <xdr:oneCellAnchor>
    <xdr:from>
      <xdr:col>7</xdr:col>
      <xdr:colOff>600847</xdr:colOff>
      <xdr:row>3</xdr:row>
      <xdr:rowOff>189981</xdr:rowOff>
    </xdr:from>
    <xdr:ext cx="184731" cy="937629"/>
    <xdr:sp macro="" textlink="">
      <xdr:nvSpPr>
        <xdr:cNvPr id="7" name="Rectangle 6">
          <a:extLst>
            <a:ext uri="{FF2B5EF4-FFF2-40B4-BE49-F238E27FC236}">
              <a16:creationId xmlns:a16="http://schemas.microsoft.com/office/drawing/2014/main" id="{00000000-0008-0000-0700-000007000000}"/>
            </a:ext>
          </a:extLst>
        </xdr:cNvPr>
        <xdr:cNvSpPr/>
      </xdr:nvSpPr>
      <xdr:spPr>
        <a:xfrm>
          <a:off x="13142097" y="13753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2</xdr:col>
      <xdr:colOff>1418122</xdr:colOff>
      <xdr:row>0</xdr:row>
      <xdr:rowOff>0</xdr:rowOff>
    </xdr:from>
    <xdr:to>
      <xdr:col>2</xdr:col>
      <xdr:colOff>3795768</xdr:colOff>
      <xdr:row>0</xdr:row>
      <xdr:rowOff>554784</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a:stretch>
          <a:fillRect/>
        </a:stretch>
      </xdr:blipFill>
      <xdr:spPr>
        <a:xfrm>
          <a:off x="1418122" y="0"/>
          <a:ext cx="2377646" cy="55478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2571750</xdr:colOff>
      <xdr:row>16</xdr:row>
      <xdr:rowOff>476250</xdr:rowOff>
    </xdr:from>
    <xdr:to>
      <xdr:col>4</xdr:col>
      <xdr:colOff>2724150</xdr:colOff>
      <xdr:row>16</xdr:row>
      <xdr:rowOff>609600</xdr:rowOff>
    </xdr:to>
    <xdr:sp macro="" textlink="">
      <xdr:nvSpPr>
        <xdr:cNvPr id="2" name="Text Box 12">
          <a:extLst>
            <a:ext uri="{FF2B5EF4-FFF2-40B4-BE49-F238E27FC236}">
              <a16:creationId xmlns:a16="http://schemas.microsoft.com/office/drawing/2014/main" id="{00000000-0008-0000-0800-000002000000}"/>
            </a:ext>
          </a:extLst>
        </xdr:cNvPr>
        <xdr:cNvSpPr txBox="1">
          <a:spLocks noChangeArrowheads="1"/>
        </xdr:cNvSpPr>
      </xdr:nvSpPr>
      <xdr:spPr bwMode="auto">
        <a:xfrm>
          <a:off x="2571750" y="7048500"/>
          <a:ext cx="152400" cy="133350"/>
        </a:xfrm>
        <a:prstGeom prst="rect">
          <a:avLst/>
        </a:prstGeom>
        <a:noFill/>
        <a:ln w="9525">
          <a:noFill/>
          <a:miter lim="800000"/>
          <a:headEnd/>
          <a:tailEnd/>
        </a:ln>
      </xdr:spPr>
    </xdr:sp>
    <xdr:clientData/>
  </xdr:twoCellAnchor>
  <xdr:twoCellAnchor>
    <xdr:from>
      <xdr:col>4</xdr:col>
      <xdr:colOff>219075</xdr:colOff>
      <xdr:row>16</xdr:row>
      <xdr:rowOff>1181100</xdr:rowOff>
    </xdr:from>
    <xdr:to>
      <xdr:col>4</xdr:col>
      <xdr:colOff>371475</xdr:colOff>
      <xdr:row>16</xdr:row>
      <xdr:rowOff>1314450</xdr:rowOff>
    </xdr:to>
    <xdr:sp macro="" textlink="">
      <xdr:nvSpPr>
        <xdr:cNvPr id="3" name="Text Box 17">
          <a:extLst>
            <a:ext uri="{FF2B5EF4-FFF2-40B4-BE49-F238E27FC236}">
              <a16:creationId xmlns:a16="http://schemas.microsoft.com/office/drawing/2014/main" id="{00000000-0008-0000-0800-000003000000}"/>
            </a:ext>
          </a:extLst>
        </xdr:cNvPr>
        <xdr:cNvSpPr txBox="1">
          <a:spLocks noChangeArrowheads="1"/>
        </xdr:cNvSpPr>
      </xdr:nvSpPr>
      <xdr:spPr bwMode="auto">
        <a:xfrm>
          <a:off x="219075" y="7219950"/>
          <a:ext cx="152400" cy="0"/>
        </a:xfrm>
        <a:prstGeom prst="rect">
          <a:avLst/>
        </a:prstGeom>
        <a:noFill/>
        <a:ln w="9525">
          <a:noFill/>
          <a:miter lim="800000"/>
          <a:headEnd/>
          <a:tailEnd/>
        </a:ln>
      </xdr:spPr>
    </xdr:sp>
    <xdr:clientData/>
  </xdr:twoCellAnchor>
  <xdr:twoCellAnchor>
    <xdr:from>
      <xdr:col>4</xdr:col>
      <xdr:colOff>2571750</xdr:colOff>
      <xdr:row>15</xdr:row>
      <xdr:rowOff>476250</xdr:rowOff>
    </xdr:from>
    <xdr:to>
      <xdr:col>4</xdr:col>
      <xdr:colOff>2724150</xdr:colOff>
      <xdr:row>15</xdr:row>
      <xdr:rowOff>609600</xdr:rowOff>
    </xdr:to>
    <xdr:sp macro="" textlink="">
      <xdr:nvSpPr>
        <xdr:cNvPr id="5" name="Text Box 12">
          <a:extLst>
            <a:ext uri="{FF2B5EF4-FFF2-40B4-BE49-F238E27FC236}">
              <a16:creationId xmlns:a16="http://schemas.microsoft.com/office/drawing/2014/main" id="{00000000-0008-0000-0800-000005000000}"/>
            </a:ext>
          </a:extLst>
        </xdr:cNvPr>
        <xdr:cNvSpPr txBox="1">
          <a:spLocks noChangeArrowheads="1"/>
        </xdr:cNvSpPr>
      </xdr:nvSpPr>
      <xdr:spPr bwMode="auto">
        <a:xfrm>
          <a:off x="2571750" y="6400800"/>
          <a:ext cx="152400" cy="133350"/>
        </a:xfrm>
        <a:prstGeom prst="rect">
          <a:avLst/>
        </a:prstGeom>
        <a:noFill/>
        <a:ln w="9525">
          <a:noFill/>
          <a:miter lim="800000"/>
          <a:headEnd/>
          <a:tailEnd/>
        </a:ln>
      </xdr:spPr>
    </xdr:sp>
    <xdr:clientData/>
  </xdr:twoCellAnchor>
  <xdr:twoCellAnchor>
    <xdr:from>
      <xdr:col>4</xdr:col>
      <xdr:colOff>219075</xdr:colOff>
      <xdr:row>15</xdr:row>
      <xdr:rowOff>1181100</xdr:rowOff>
    </xdr:from>
    <xdr:to>
      <xdr:col>4</xdr:col>
      <xdr:colOff>371475</xdr:colOff>
      <xdr:row>15</xdr:row>
      <xdr:rowOff>1314450</xdr:rowOff>
    </xdr:to>
    <xdr:sp macro="" textlink="">
      <xdr:nvSpPr>
        <xdr:cNvPr id="6" name="Text Box 17">
          <a:extLst>
            <a:ext uri="{FF2B5EF4-FFF2-40B4-BE49-F238E27FC236}">
              <a16:creationId xmlns:a16="http://schemas.microsoft.com/office/drawing/2014/main" id="{00000000-0008-0000-0800-000006000000}"/>
            </a:ext>
          </a:extLst>
        </xdr:cNvPr>
        <xdr:cNvSpPr txBox="1">
          <a:spLocks noChangeArrowheads="1"/>
        </xdr:cNvSpPr>
      </xdr:nvSpPr>
      <xdr:spPr bwMode="auto">
        <a:xfrm>
          <a:off x="219075" y="6572250"/>
          <a:ext cx="152400" cy="0"/>
        </a:xfrm>
        <a:prstGeom prst="rect">
          <a:avLst/>
        </a:prstGeom>
        <a:noFill/>
        <a:ln w="9525">
          <a:noFill/>
          <a:miter lim="800000"/>
          <a:headEnd/>
          <a:tailEnd/>
        </a:ln>
      </xdr:spPr>
    </xdr:sp>
    <xdr:clientData/>
  </xdr:twoCellAnchor>
  <xdr:oneCellAnchor>
    <xdr:from>
      <xdr:col>4</xdr:col>
      <xdr:colOff>1745967</xdr:colOff>
      <xdr:row>0</xdr:row>
      <xdr:rowOff>41814</xdr:rowOff>
    </xdr:from>
    <xdr:ext cx="184731" cy="937629"/>
    <xdr:sp macro="" textlink="">
      <xdr:nvSpPr>
        <xdr:cNvPr id="7" name="Rectangle 6">
          <a:extLst>
            <a:ext uri="{FF2B5EF4-FFF2-40B4-BE49-F238E27FC236}">
              <a16:creationId xmlns:a16="http://schemas.microsoft.com/office/drawing/2014/main" id="{00000000-0008-0000-0800-000007000000}"/>
            </a:ext>
          </a:extLst>
        </xdr:cNvPr>
        <xdr:cNvSpPr/>
      </xdr:nvSpPr>
      <xdr:spPr>
        <a:xfrm>
          <a:off x="3165192" y="418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4</xdr:col>
      <xdr:colOff>838200</xdr:colOff>
      <xdr:row>0</xdr:row>
      <xdr:rowOff>0</xdr:rowOff>
    </xdr:from>
    <xdr:to>
      <xdr:col>4</xdr:col>
      <xdr:colOff>3215846</xdr:colOff>
      <xdr:row>0</xdr:row>
      <xdr:rowOff>554784</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1"/>
        <a:stretch>
          <a:fillRect/>
        </a:stretch>
      </xdr:blipFill>
      <xdr:spPr>
        <a:xfrm>
          <a:off x="1304925" y="0"/>
          <a:ext cx="2377646" cy="5547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omeinnovation.com/greenscor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www.nahbgreen.org/GreenStandard/Maps/climatezonesbystates.pdf" TargetMode="External"/></Relationships>
</file>

<file path=xl/worksheets/_rels/sheet14.xml.rels><?xml version="1.0" encoding="UTF-8" standalone="yes"?>
<Relationships xmlns="http://schemas.openxmlformats.org/package/2006/relationships"><Relationship Id="rId8" Type="http://schemas.openxmlformats.org/officeDocument/2006/relationships/drawing" Target="../drawings/drawing13.xml"/><Relationship Id="rId3" Type="http://schemas.openxmlformats.org/officeDocument/2006/relationships/hyperlink" Target="http://www.nationalatlas.gov/" TargetMode="External"/><Relationship Id="rId7" Type="http://schemas.openxmlformats.org/officeDocument/2006/relationships/printerSettings" Target="../printerSettings/printerSettings14.bin"/><Relationship Id="rId2" Type="http://schemas.openxmlformats.org/officeDocument/2006/relationships/hyperlink" Target="http://www.nationalatlas.gov/" TargetMode="External"/><Relationship Id="rId1" Type="http://schemas.openxmlformats.org/officeDocument/2006/relationships/hyperlink" Target="http://www.iccsafe.org/" TargetMode="External"/><Relationship Id="rId6" Type="http://schemas.openxmlformats.org/officeDocument/2006/relationships/hyperlink" Target="http://www.epa.gov/radon/zonemap.html" TargetMode="External"/><Relationship Id="rId5" Type="http://schemas.openxmlformats.org/officeDocument/2006/relationships/hyperlink" Target="http://www.iccsafe.gov/" TargetMode="External"/><Relationship Id="rId4" Type="http://schemas.openxmlformats.org/officeDocument/2006/relationships/hyperlink" Target="http://www.iccsafe.gov/"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K101"/>
  <sheetViews>
    <sheetView zoomScaleNormal="100" zoomScalePageLayoutView="70" workbookViewId="0">
      <selection activeCell="F16" sqref="F16:H16"/>
    </sheetView>
  </sheetViews>
  <sheetFormatPr baseColWidth="10" defaultColWidth="8.83203125" defaultRowHeight="15"/>
  <cols>
    <col min="1" max="1" width="10.33203125" customWidth="1"/>
    <col min="2" max="2" width="6.6640625" customWidth="1"/>
    <col min="3" max="3" width="3.6640625" customWidth="1"/>
    <col min="4" max="8" width="8.6640625" customWidth="1"/>
    <col min="9" max="9" width="9.6640625" customWidth="1"/>
    <col min="10" max="11" width="8.6640625" customWidth="1"/>
    <col min="12" max="12" width="10.6640625" bestFit="1" customWidth="1"/>
    <col min="13" max="13" width="15.6640625" customWidth="1"/>
    <col min="14" max="14" width="10.6640625" customWidth="1"/>
    <col min="15" max="18" width="11.6640625" customWidth="1"/>
  </cols>
  <sheetData>
    <row r="1" spans="1:37" s="73" customFormat="1" ht="15" customHeight="1">
      <c r="A1" s="1603"/>
      <c r="B1" s="1603"/>
      <c r="C1" s="1603"/>
      <c r="D1" s="1603"/>
      <c r="E1" s="1603"/>
      <c r="F1" s="1603"/>
      <c r="G1" s="1603"/>
      <c r="H1" s="2118" t="str">
        <f>levelStatement</f>
        <v>This project has not met all the requirements for Bronze, Silver, Gold, or Emerald.</v>
      </c>
      <c r="I1" s="2118"/>
      <c r="J1" s="2118"/>
      <c r="K1" s="2119"/>
      <c r="L1" s="2123">
        <v>2012</v>
      </c>
      <c r="M1" s="2125" t="s">
        <v>0</v>
      </c>
      <c r="N1" s="2126"/>
      <c r="O1" s="2125" t="s">
        <v>1</v>
      </c>
      <c r="P1" s="2127"/>
      <c r="Q1" s="2127"/>
      <c r="R1" s="2126"/>
      <c r="T1" s="74"/>
      <c r="U1" s="74"/>
      <c r="V1" s="74"/>
    </row>
    <row r="2" spans="1:37" s="73" customFormat="1" ht="15" customHeight="1">
      <c r="A2" s="1603"/>
      <c r="B2" s="1603"/>
      <c r="C2" s="1603"/>
      <c r="D2" s="1603"/>
      <c r="E2" s="1603"/>
      <c r="F2" s="1603"/>
      <c r="G2" s="1603"/>
      <c r="H2" s="2118"/>
      <c r="I2" s="2118"/>
      <c r="J2" s="2118"/>
      <c r="K2" s="2119"/>
      <c r="L2" s="2124"/>
      <c r="M2" s="1" t="s">
        <v>2</v>
      </c>
      <c r="N2" s="1" t="s">
        <v>3</v>
      </c>
      <c r="O2" s="2" t="s">
        <v>4</v>
      </c>
      <c r="P2" s="3" t="s">
        <v>5</v>
      </c>
      <c r="Q2" s="75" t="s">
        <v>6</v>
      </c>
      <c r="R2" s="5" t="s">
        <v>7</v>
      </c>
      <c r="T2" s="74"/>
      <c r="U2" s="74"/>
      <c r="V2" s="74"/>
      <c r="AK2" s="74"/>
    </row>
    <row r="3" spans="1:37" s="73" customFormat="1" ht="15" customHeight="1">
      <c r="A3" s="1603"/>
      <c r="B3" s="1603"/>
      <c r="C3" s="1603"/>
      <c r="D3" s="1603"/>
      <c r="E3" s="1603"/>
      <c r="F3" s="1603"/>
      <c r="G3" s="1603"/>
      <c r="H3" s="2118"/>
      <c r="I3" s="2118"/>
      <c r="J3" s="2118"/>
      <c r="K3" s="2119"/>
      <c r="L3" s="2128"/>
      <c r="M3" s="2129"/>
      <c r="N3" s="2129"/>
      <c r="O3" s="2129"/>
      <c r="P3" s="2129"/>
      <c r="Q3" s="2129"/>
      <c r="R3" s="2130"/>
      <c r="T3" s="74"/>
      <c r="U3" s="74"/>
      <c r="V3" s="74"/>
      <c r="AK3" s="74"/>
    </row>
    <row r="4" spans="1:37" s="73" customFormat="1" ht="15" customHeight="1">
      <c r="A4" s="2122" t="s">
        <v>2143</v>
      </c>
      <c r="B4" s="2122"/>
      <c r="C4" s="2122"/>
      <c r="D4" s="2122"/>
      <c r="E4" s="2122"/>
      <c r="F4" s="2122"/>
      <c r="G4" s="2122"/>
      <c r="H4" s="2120" t="str">
        <f>CONCATENATE("Revised ",TEXT(startRevisionDate,"mmmm dd, yyyy"))</f>
        <v>Revised January 26, 2018</v>
      </c>
      <c r="I4" s="2120"/>
      <c r="J4" s="2120"/>
      <c r="K4" s="2121"/>
      <c r="L4" s="1600" t="s">
        <v>10</v>
      </c>
      <c r="M4" s="1601">
        <f>projectTotal</f>
        <v>0</v>
      </c>
      <c r="N4" s="1602" t="str">
        <f>IF(SUM(projectMandatoryCount)=4,"Met","Not Met")</f>
        <v>Not Met</v>
      </c>
      <c r="O4" s="1601">
        <f>SUM(bronzeMinimum)</f>
        <v>88</v>
      </c>
      <c r="P4" s="1601">
        <f>SUM(silverMinimum)</f>
        <v>125</v>
      </c>
      <c r="Q4" s="1601">
        <f>SUM(goldMinimum)</f>
        <v>181</v>
      </c>
      <c r="R4" s="1601">
        <f>SUM(emeraldMinimum)</f>
        <v>225</v>
      </c>
      <c r="T4" s="74"/>
      <c r="U4" s="74"/>
      <c r="V4" s="74"/>
      <c r="AK4" s="74"/>
    </row>
    <row r="5" spans="1:37" ht="50" customHeight="1">
      <c r="A5" s="2117" t="s">
        <v>2553</v>
      </c>
      <c r="B5" s="2117"/>
      <c r="C5" s="2117"/>
      <c r="D5" s="2117"/>
      <c r="E5" s="2117"/>
      <c r="F5" s="2117"/>
      <c r="G5" s="2117"/>
      <c r="H5" s="2134" t="s">
        <v>2145</v>
      </c>
      <c r="I5" s="2134"/>
      <c r="J5" s="2134"/>
      <c r="K5" s="2134"/>
      <c r="L5" s="2134"/>
      <c r="M5" s="2134"/>
      <c r="N5" s="2134"/>
      <c r="O5" s="2134"/>
      <c r="P5" s="2134"/>
      <c r="Q5" s="2134"/>
      <c r="R5" s="2134"/>
    </row>
    <row r="6" spans="1:37" s="73" customFormat="1" ht="18.75" customHeight="1" thickBot="1">
      <c r="A6" s="2150" t="s">
        <v>143</v>
      </c>
      <c r="B6" s="2151"/>
      <c r="C6" s="2152" t="str">
        <f>Errata!B3</f>
        <v>R2.06</v>
      </c>
      <c r="D6" s="2152"/>
      <c r="E6" s="2151" t="s">
        <v>2144</v>
      </c>
      <c r="F6" s="2151"/>
      <c r="G6" s="2151"/>
      <c r="H6" s="2151"/>
      <c r="I6" s="2151"/>
      <c r="J6" s="2151"/>
      <c r="K6" s="2151"/>
      <c r="L6" s="2151"/>
      <c r="M6" s="2151"/>
      <c r="N6" s="2151"/>
      <c r="O6" s="2151"/>
      <c r="P6" s="2151"/>
      <c r="Q6" s="2151"/>
      <c r="R6" s="2153"/>
      <c r="T6" s="74"/>
      <c r="U6" s="74"/>
      <c r="V6" s="74"/>
    </row>
    <row r="7" spans="1:37">
      <c r="A7" s="2135" t="s">
        <v>144</v>
      </c>
      <c r="B7" s="2136"/>
      <c r="C7" s="2136"/>
      <c r="D7" s="2136"/>
      <c r="E7" s="2136"/>
      <c r="F7" s="2136"/>
      <c r="G7" s="2136"/>
      <c r="H7" s="2136"/>
      <c r="I7" s="2136"/>
      <c r="J7" s="2136"/>
      <c r="K7" s="2136"/>
      <c r="L7" s="2136"/>
      <c r="M7" s="2136"/>
      <c r="N7" s="2136"/>
      <c r="O7" s="2136"/>
      <c r="P7" s="2136"/>
      <c r="Q7" s="2136"/>
      <c r="R7" s="2137"/>
    </row>
    <row r="8" spans="1:37">
      <c r="A8" s="2138" t="s">
        <v>2598</v>
      </c>
      <c r="B8" s="2139"/>
      <c r="C8" s="2139"/>
      <c r="D8" s="2139"/>
      <c r="E8" s="2139"/>
      <c r="F8" s="2139"/>
      <c r="G8" s="2139"/>
      <c r="H8" s="2139"/>
      <c r="I8" s="2139"/>
      <c r="J8" s="2139"/>
      <c r="K8" s="2139"/>
      <c r="L8" s="2139"/>
      <c r="M8" s="2139"/>
      <c r="N8" s="2139"/>
      <c r="O8" s="2139"/>
      <c r="P8" s="2139"/>
      <c r="Q8" s="2139"/>
      <c r="R8" s="2140"/>
    </row>
    <row r="9" spans="1:37" ht="16" thickBot="1">
      <c r="A9" s="2141" t="s">
        <v>145</v>
      </c>
      <c r="B9" s="2142"/>
      <c r="C9" s="2143">
        <f>Errata!$A$3</f>
        <v>43126</v>
      </c>
      <c r="D9" s="2143"/>
      <c r="E9" s="2143"/>
      <c r="F9" s="2145" t="s">
        <v>146</v>
      </c>
      <c r="G9" s="2146"/>
      <c r="H9" s="2146"/>
      <c r="I9" s="2146"/>
      <c r="J9" s="2146"/>
      <c r="K9" s="2146"/>
      <c r="L9" s="2147" t="str">
        <f ca="1">IF(TODAY()-startRevisionDate&gt;60,CONCATENATE("An updated version may be available.  Please check for an updated version before starting a new project."),"")</f>
        <v>An updated version may be available.  Please check for an updated version before starting a new project.</v>
      </c>
      <c r="M9" s="2148"/>
      <c r="N9" s="2148"/>
      <c r="O9" s="2148"/>
      <c r="P9" s="2148"/>
      <c r="Q9" s="2148"/>
      <c r="R9" s="2149"/>
      <c r="S9" s="77"/>
    </row>
    <row r="10" spans="1:37" ht="4.5" customHeight="1" thickBot="1">
      <c r="A10" s="2144"/>
      <c r="B10" s="2144"/>
      <c r="C10" s="2144"/>
      <c r="D10" s="2144"/>
      <c r="E10" s="2144"/>
      <c r="F10" s="2144"/>
      <c r="G10" s="2144"/>
      <c r="H10" s="2144"/>
      <c r="I10" s="2144"/>
      <c r="J10" s="2144"/>
      <c r="K10" s="2144"/>
      <c r="L10" s="2144"/>
      <c r="M10" s="2144"/>
      <c r="N10" s="2144"/>
      <c r="O10" s="2144"/>
      <c r="P10" s="2144"/>
      <c r="Q10" s="2144"/>
      <c r="R10" s="2144"/>
    </row>
    <row r="11" spans="1:37" s="73" customFormat="1" ht="18.75" customHeight="1" thickBot="1">
      <c r="A11" s="2131" t="s">
        <v>147</v>
      </c>
      <c r="B11" s="2132"/>
      <c r="C11" s="2132"/>
      <c r="D11" s="2132"/>
      <c r="E11" s="2132"/>
      <c r="F11" s="2132"/>
      <c r="G11" s="2132"/>
      <c r="H11" s="2132"/>
      <c r="I11" s="2132"/>
      <c r="J11" s="2132"/>
      <c r="K11" s="2132"/>
      <c r="L11" s="2132"/>
      <c r="M11" s="2132"/>
      <c r="N11" s="2132"/>
      <c r="O11" s="2132"/>
      <c r="P11" s="2132"/>
      <c r="Q11" s="2132"/>
      <c r="R11" s="2133"/>
      <c r="T11" s="74"/>
      <c r="U11" s="74"/>
      <c r="V11" s="74"/>
    </row>
    <row r="12" spans="1:37" ht="45" customHeight="1" thickBot="1">
      <c r="A12" s="2154" t="s">
        <v>2149</v>
      </c>
      <c r="B12" s="2155"/>
      <c r="C12" s="2155"/>
      <c r="D12" s="2155"/>
      <c r="E12" s="2155"/>
      <c r="F12" s="2155"/>
      <c r="G12" s="2155"/>
      <c r="H12" s="2155"/>
      <c r="I12" s="2155"/>
      <c r="J12" s="2155"/>
      <c r="K12" s="2155"/>
      <c r="L12" s="2155"/>
      <c r="M12" s="2155"/>
      <c r="N12" s="2155"/>
      <c r="O12" s="2155"/>
      <c r="P12" s="2155"/>
      <c r="Q12" s="2155"/>
      <c r="R12" s="2156"/>
    </row>
    <row r="13" spans="1:37" ht="16" thickBot="1"/>
    <row r="14" spans="1:37" s="73" customFormat="1" ht="19" thickBot="1">
      <c r="A14" s="2157" t="s">
        <v>1917</v>
      </c>
      <c r="B14" s="2157"/>
      <c r="C14" s="2157"/>
      <c r="D14" s="2157"/>
      <c r="E14" s="2157"/>
      <c r="F14" s="2157"/>
      <c r="G14" s="2157"/>
      <c r="H14" s="2157"/>
      <c r="I14" s="2157"/>
      <c r="J14" s="2157"/>
      <c r="K14" s="2157"/>
      <c r="L14" s="2157"/>
      <c r="M14" s="2157"/>
      <c r="N14" s="2157"/>
      <c r="O14" s="2157"/>
      <c r="P14" s="2157"/>
      <c r="Q14" s="2157"/>
      <c r="R14" s="2157"/>
      <c r="T14" s="74"/>
      <c r="U14" s="74"/>
      <c r="V14" s="74"/>
    </row>
    <row r="15" spans="1:37" ht="37.5" customHeight="1">
      <c r="A15" s="2158" t="s">
        <v>148</v>
      </c>
      <c r="B15" s="2159"/>
      <c r="C15" s="2159"/>
      <c r="D15" s="2159"/>
      <c r="E15" s="2159"/>
      <c r="F15" s="2159"/>
      <c r="G15" s="2159"/>
      <c r="H15" s="2159"/>
      <c r="I15" s="2159"/>
      <c r="J15" s="2159"/>
      <c r="K15" s="2159"/>
      <c r="L15" s="2159"/>
      <c r="M15" s="2159"/>
      <c r="N15" s="2159"/>
      <c r="O15" s="2159"/>
      <c r="P15" s="2159"/>
      <c r="Q15" s="2159"/>
      <c r="R15" s="2160"/>
    </row>
    <row r="16" spans="1:37" ht="15" customHeight="1">
      <c r="A16" s="2161" t="s">
        <v>149</v>
      </c>
      <c r="B16" s="2162"/>
      <c r="C16" s="2162"/>
      <c r="D16" s="2162"/>
      <c r="E16" s="2162"/>
      <c r="F16" s="2163"/>
      <c r="G16" s="2163"/>
      <c r="H16" s="2163"/>
      <c r="I16" s="1484"/>
      <c r="J16" s="1484"/>
      <c r="K16" s="1484"/>
      <c r="L16" s="1238"/>
      <c r="M16" s="1241"/>
      <c r="N16" s="1640"/>
      <c r="O16" s="1640"/>
      <c r="P16" s="1640"/>
      <c r="Q16" s="1640"/>
      <c r="R16" s="1641"/>
    </row>
    <row r="17" spans="1:18" ht="14.25" customHeight="1">
      <c r="A17" s="2161" t="s">
        <v>150</v>
      </c>
      <c r="B17" s="2162"/>
      <c r="C17" s="2162"/>
      <c r="D17" s="2162"/>
      <c r="E17" s="2162"/>
      <c r="F17" s="2163"/>
      <c r="G17" s="2163"/>
      <c r="H17" s="2163"/>
      <c r="I17" s="1484"/>
      <c r="J17" s="1484"/>
      <c r="K17" s="1484"/>
      <c r="L17" s="1484"/>
      <c r="M17" s="1484"/>
      <c r="N17" s="1484"/>
      <c r="O17" s="1484"/>
      <c r="P17" s="1638"/>
      <c r="Q17" s="2164"/>
      <c r="R17" s="2165"/>
    </row>
    <row r="18" spans="1:18" ht="16">
      <c r="A18" s="2161" t="s">
        <v>151</v>
      </c>
      <c r="B18" s="2162"/>
      <c r="C18" s="2162"/>
      <c r="D18" s="2166"/>
      <c r="E18" s="2162"/>
      <c r="F18" s="2163"/>
      <c r="G18" s="2163"/>
      <c r="H18" s="2163"/>
      <c r="I18" s="1639" t="s">
        <v>152</v>
      </c>
      <c r="J18" s="2167"/>
      <c r="K18" s="2168"/>
      <c r="L18" s="2169"/>
      <c r="M18" s="1638" t="s">
        <v>153</v>
      </c>
      <c r="N18" s="78" t="s">
        <v>2624</v>
      </c>
      <c r="O18" s="1638" t="s">
        <v>154</v>
      </c>
      <c r="P18" s="2042"/>
      <c r="Q18" s="2164"/>
      <c r="R18" s="2165"/>
    </row>
    <row r="19" spans="1:18">
      <c r="A19" s="2161" t="s">
        <v>155</v>
      </c>
      <c r="B19" s="2162"/>
      <c r="C19" s="2162"/>
      <c r="D19" s="2162"/>
      <c r="E19" s="2162"/>
      <c r="F19" s="2170"/>
      <c r="G19" s="2171"/>
      <c r="H19" s="2172"/>
      <c r="I19" s="1636" t="s">
        <v>1565</v>
      </c>
      <c r="J19" s="2167"/>
      <c r="K19" s="2168"/>
      <c r="L19" s="2169"/>
      <c r="M19" s="1640"/>
      <c r="N19" s="1640"/>
      <c r="O19" s="1638"/>
      <c r="P19" s="1638"/>
      <c r="Q19" s="1640"/>
      <c r="R19" s="1641"/>
    </row>
    <row r="20" spans="1:18" ht="6" customHeight="1">
      <c r="A20" s="2161"/>
      <c r="B20" s="2162"/>
      <c r="C20" s="2162"/>
      <c r="D20" s="2162"/>
      <c r="E20" s="2162"/>
      <c r="F20" s="1484"/>
      <c r="G20" s="1484"/>
      <c r="H20" s="1484"/>
      <c r="I20" s="1484"/>
      <c r="J20" s="1484"/>
      <c r="K20" s="1484"/>
      <c r="L20" s="1484"/>
      <c r="M20" s="1640"/>
      <c r="N20" s="1640"/>
      <c r="O20" s="1638"/>
      <c r="P20" s="1638"/>
      <c r="Q20" s="1640"/>
      <c r="R20" s="1641"/>
    </row>
    <row r="21" spans="1:18">
      <c r="A21" s="2161" t="s">
        <v>156</v>
      </c>
      <c r="B21" s="2162"/>
      <c r="C21" s="2162"/>
      <c r="D21" s="2162"/>
      <c r="E21" s="2162"/>
      <c r="F21" s="2184"/>
      <c r="G21" s="2184"/>
      <c r="H21" s="2184"/>
      <c r="I21" s="2185" t="str">
        <f>IF(startSingleorMulti="Multi-Unit","Enter # of units:","")</f>
        <v/>
      </c>
      <c r="J21" s="2186"/>
      <c r="K21" s="2187"/>
      <c r="L21" s="79"/>
      <c r="M21" s="1643" t="str">
        <f>IF(startSingleorMulti="Multi-Unit", "# of units is required for Multi-Unit projects. Multi-Unit projects must have 2+ units.", "")</f>
        <v/>
      </c>
      <c r="N21" s="1484"/>
      <c r="O21" s="1642"/>
      <c r="P21" s="1642"/>
      <c r="Q21" s="1642"/>
      <c r="R21" s="80"/>
    </row>
    <row r="22" spans="1:18" ht="11.25" customHeight="1">
      <c r="A22" s="2190" t="str">
        <f>IF(startSingleorMulti="Multi-Unit", "Multi-Unit buildings are buildings where units are typically one above another and the units share a common foundation and roof. Townhouses, rowhomes, and quads must be scored and certified as single-family units.", "")</f>
        <v/>
      </c>
      <c r="B22" s="2191"/>
      <c r="C22" s="2191"/>
      <c r="D22" s="2191"/>
      <c r="E22" s="2191"/>
      <c r="F22" s="2191"/>
      <c r="G22" s="2191"/>
      <c r="H22" s="2191"/>
      <c r="I22" s="2191"/>
      <c r="J22" s="2191"/>
      <c r="K22" s="2191"/>
      <c r="L22" s="2191"/>
      <c r="M22" s="2191"/>
      <c r="N22" s="2191"/>
      <c r="O22" s="2191"/>
      <c r="P22" s="2191"/>
      <c r="Q22" s="2191"/>
      <c r="R22" s="80"/>
    </row>
    <row r="23" spans="1:18">
      <c r="A23" s="2161" t="s">
        <v>157</v>
      </c>
      <c r="B23" s="2162"/>
      <c r="C23" s="2162"/>
      <c r="D23" s="2162"/>
      <c r="E23" s="2162"/>
      <c r="F23" s="2163"/>
      <c r="G23" s="2163"/>
      <c r="H23" s="2163"/>
      <c r="I23" s="2188" t="s">
        <v>1580</v>
      </c>
      <c r="J23" s="2189"/>
      <c r="K23" s="2167"/>
      <c r="L23" s="2169"/>
      <c r="M23" s="1484"/>
      <c r="N23" s="1640"/>
      <c r="O23" s="2177" t="s">
        <v>158</v>
      </c>
      <c r="P23" s="2177"/>
      <c r="Q23" s="2177"/>
      <c r="R23" s="1641"/>
    </row>
    <row r="24" spans="1:18" ht="5.25" customHeight="1">
      <c r="A24" s="81"/>
      <c r="B24" s="1484"/>
      <c r="C24" s="1484"/>
      <c r="D24" s="1484"/>
      <c r="E24" s="1484"/>
      <c r="F24" s="1484"/>
      <c r="G24" s="1484"/>
      <c r="H24" s="1484"/>
      <c r="I24" s="1484"/>
      <c r="J24" s="1484"/>
      <c r="K24" s="1484"/>
      <c r="L24" s="1484"/>
      <c r="M24" s="1484"/>
      <c r="N24" s="1642"/>
      <c r="O24" s="1642"/>
      <c r="P24" s="1642"/>
      <c r="Q24" s="1642"/>
      <c r="R24" s="80"/>
    </row>
    <row r="25" spans="1:18">
      <c r="A25" s="2161" t="s">
        <v>1563</v>
      </c>
      <c r="B25" s="2162"/>
      <c r="C25" s="2162"/>
      <c r="D25" s="2162"/>
      <c r="E25" s="2162"/>
      <c r="F25" s="2178"/>
      <c r="G25" s="2179"/>
      <c r="H25" s="2180"/>
      <c r="I25" s="1644" t="s">
        <v>1902</v>
      </c>
      <c r="J25" s="2164" t="s">
        <v>1916</v>
      </c>
      <c r="K25" s="2164"/>
      <c r="L25" s="2164"/>
      <c r="M25" s="2164"/>
      <c r="N25" s="2164"/>
      <c r="O25" s="2164"/>
      <c r="P25" s="2164"/>
      <c r="Q25" s="2164"/>
      <c r="R25" s="2165"/>
    </row>
    <row r="26" spans="1:18" ht="6.75" customHeight="1">
      <c r="A26" s="1637"/>
      <c r="B26" s="1638"/>
      <c r="C26" s="1638"/>
      <c r="D26" s="1638"/>
      <c r="E26" s="1638"/>
      <c r="F26" s="1484"/>
      <c r="G26" s="1484"/>
      <c r="H26" s="1484"/>
      <c r="I26" s="1484"/>
      <c r="J26" s="1640"/>
      <c r="K26" s="1640"/>
      <c r="L26" s="1640"/>
      <c r="M26" s="1640"/>
      <c r="N26" s="1640"/>
      <c r="O26" s="1640"/>
      <c r="P26" s="1640"/>
      <c r="Q26" s="1640"/>
      <c r="R26" s="1641"/>
    </row>
    <row r="27" spans="1:18" ht="15" customHeight="1">
      <c r="A27" s="2161" t="s">
        <v>1564</v>
      </c>
      <c r="B27" s="2162"/>
      <c r="C27" s="2162"/>
      <c r="D27" s="2162"/>
      <c r="E27" s="2162"/>
      <c r="F27" s="2178"/>
      <c r="G27" s="2179"/>
      <c r="H27" s="2180"/>
      <c r="I27" s="1644" t="s">
        <v>160</v>
      </c>
      <c r="J27" s="1640"/>
      <c r="K27" s="1640"/>
      <c r="L27" s="1640"/>
      <c r="M27" s="1640"/>
      <c r="N27" s="1640"/>
      <c r="O27" s="1640"/>
      <c r="P27" s="1640"/>
      <c r="Q27" s="1640"/>
      <c r="R27" s="1641"/>
    </row>
    <row r="28" spans="1:18" ht="7.5" customHeight="1">
      <c r="A28" s="1637"/>
      <c r="B28" s="1638"/>
      <c r="C28" s="1638"/>
      <c r="D28" s="1638"/>
      <c r="E28" s="1638"/>
      <c r="F28" s="1484"/>
      <c r="G28" s="1484"/>
      <c r="H28" s="1484"/>
      <c r="I28" s="1484"/>
      <c r="J28" s="1640"/>
      <c r="K28" s="1640"/>
      <c r="L28" s="1640"/>
      <c r="M28" s="1640"/>
      <c r="N28" s="1640"/>
      <c r="O28" s="1640"/>
      <c r="P28" s="1640"/>
      <c r="Q28" s="1640"/>
      <c r="R28" s="1641"/>
    </row>
    <row r="29" spans="1:18">
      <c r="A29" s="2161" t="s">
        <v>161</v>
      </c>
      <c r="B29" s="2162"/>
      <c r="C29" s="2162"/>
      <c r="D29" s="2162"/>
      <c r="E29" s="2162"/>
      <c r="F29" s="2181"/>
      <c r="G29" s="2182"/>
      <c r="H29" s="2182"/>
      <c r="I29" s="2182"/>
      <c r="J29" s="2182"/>
      <c r="K29" s="2182"/>
      <c r="L29" s="2182"/>
      <c r="M29" s="2182"/>
      <c r="N29" s="2182"/>
      <c r="O29" s="2182"/>
      <c r="P29" s="2183"/>
      <c r="Q29" s="1640"/>
      <c r="R29" s="1641"/>
    </row>
    <row r="30" spans="1:18" ht="6" customHeight="1">
      <c r="A30" s="1637"/>
      <c r="B30" s="1638"/>
      <c r="C30" s="1638"/>
      <c r="D30" s="1638"/>
      <c r="E30" s="1638"/>
      <c r="F30" s="1484"/>
      <c r="G30" s="1484"/>
      <c r="H30" s="1484"/>
      <c r="I30" s="1484"/>
      <c r="J30" s="1640"/>
      <c r="K30" s="1640"/>
      <c r="L30" s="1640"/>
      <c r="M30" s="1640"/>
      <c r="N30" s="1640"/>
      <c r="O30" s="1640"/>
      <c r="P30" s="1640"/>
      <c r="Q30" s="1640"/>
      <c r="R30" s="1641"/>
    </row>
    <row r="31" spans="1:18" ht="15.75" customHeight="1">
      <c r="A31" s="2161" t="s">
        <v>1901</v>
      </c>
      <c r="B31" s="2162"/>
      <c r="C31" s="2162"/>
      <c r="D31" s="2162"/>
      <c r="E31" s="2173"/>
      <c r="F31" s="2174"/>
      <c r="G31" s="2175"/>
      <c r="H31" s="2176"/>
      <c r="I31" s="1484"/>
      <c r="J31" s="1640"/>
      <c r="K31" s="1640"/>
      <c r="L31" s="1640"/>
      <c r="M31" s="1640"/>
      <c r="N31" s="1640"/>
      <c r="O31" s="1640"/>
      <c r="P31" s="1640"/>
      <c r="Q31" s="1640"/>
      <c r="R31" s="1641"/>
    </row>
    <row r="32" spans="1:18" s="1190" customFormat="1" ht="6" customHeight="1">
      <c r="A32" s="1637"/>
      <c r="B32" s="1638"/>
      <c r="C32" s="1638"/>
      <c r="D32" s="1638"/>
      <c r="E32" s="1638"/>
      <c r="F32" s="1484"/>
      <c r="G32" s="1484"/>
      <c r="H32" s="1484"/>
      <c r="I32" s="1484"/>
      <c r="J32" s="1640"/>
      <c r="K32" s="1640"/>
      <c r="L32" s="1640"/>
      <c r="M32" s="1640"/>
      <c r="N32" s="1640"/>
      <c r="O32" s="1640"/>
      <c r="P32" s="1640"/>
      <c r="Q32" s="1640"/>
      <c r="R32" s="1641"/>
    </row>
    <row r="33" spans="1:18" ht="15" customHeight="1">
      <c r="A33" s="2192" t="s">
        <v>162</v>
      </c>
      <c r="B33" s="2193"/>
      <c r="C33" s="2193"/>
      <c r="D33" s="2193"/>
      <c r="E33" s="2195"/>
      <c r="F33" s="2196"/>
      <c r="G33" s="2197"/>
      <c r="H33" s="2198"/>
      <c r="I33" s="1631"/>
      <c r="J33" s="1631"/>
      <c r="K33" s="1631"/>
      <c r="L33" s="1631"/>
      <c r="M33" s="1631"/>
      <c r="N33" s="1631"/>
      <c r="O33" s="1631"/>
      <c r="P33" s="1631"/>
      <c r="Q33" s="1631"/>
      <c r="R33" s="1632"/>
    </row>
    <row r="34" spans="1:18" ht="5.25" customHeight="1">
      <c r="A34" s="81"/>
      <c r="B34" s="1484"/>
      <c r="C34" s="84"/>
      <c r="D34" s="84"/>
      <c r="E34" s="84"/>
      <c r="F34" s="84"/>
      <c r="G34" s="84"/>
      <c r="H34" s="84"/>
      <c r="I34" s="84"/>
      <c r="J34" s="84"/>
      <c r="K34" s="1484"/>
      <c r="L34" s="1484"/>
      <c r="M34" s="1484"/>
      <c r="N34" s="1484"/>
      <c r="O34" s="1484"/>
      <c r="P34" s="1484"/>
      <c r="Q34" s="1484"/>
      <c r="R34" s="85"/>
    </row>
    <row r="35" spans="1:18" ht="15" customHeight="1">
      <c r="A35" s="2192" t="s">
        <v>163</v>
      </c>
      <c r="B35" s="2193"/>
      <c r="C35" s="2193"/>
      <c r="D35" s="2193"/>
      <c r="E35" s="2193"/>
      <c r="F35" s="2196"/>
      <c r="G35" s="2197"/>
      <c r="H35" s="2198"/>
      <c r="I35" s="2199" t="s">
        <v>899</v>
      </c>
      <c r="J35" s="2200"/>
      <c r="K35" s="2196"/>
      <c r="L35" s="2197"/>
      <c r="M35" s="2198"/>
      <c r="N35" s="2189" t="s">
        <v>898</v>
      </c>
      <c r="O35" s="2189"/>
      <c r="P35" s="2196"/>
      <c r="Q35" s="2198"/>
      <c r="R35" s="85"/>
    </row>
    <row r="36" spans="1:18" ht="5.25" customHeight="1">
      <c r="A36" s="81"/>
      <c r="B36" s="1484"/>
      <c r="C36" s="1484"/>
      <c r="D36" s="1484"/>
      <c r="E36" s="84"/>
      <c r="F36" s="1484"/>
      <c r="G36" s="1484"/>
      <c r="H36" s="1484"/>
      <c r="I36" s="84"/>
      <c r="J36" s="84"/>
      <c r="K36" s="84"/>
      <c r="L36" s="84"/>
      <c r="M36" s="84"/>
      <c r="N36" s="84"/>
      <c r="O36" s="84"/>
      <c r="P36" s="84"/>
      <c r="Q36" s="84"/>
      <c r="R36" s="85"/>
    </row>
    <row r="37" spans="1:18" ht="15" customHeight="1">
      <c r="A37" s="2192" t="s">
        <v>164</v>
      </c>
      <c r="B37" s="2193"/>
      <c r="C37" s="2193"/>
      <c r="D37" s="2193"/>
      <c r="E37" s="2193"/>
      <c r="F37" s="2196"/>
      <c r="G37" s="2197"/>
      <c r="H37" s="2198"/>
      <c r="I37" s="1631"/>
      <c r="J37" s="1631"/>
      <c r="K37" s="1631"/>
      <c r="L37" s="1631"/>
      <c r="M37" s="1631"/>
      <c r="N37" s="1631"/>
      <c r="O37" s="1631"/>
      <c r="P37" s="1631"/>
      <c r="Q37" s="1631"/>
      <c r="R37" s="1632"/>
    </row>
    <row r="38" spans="1:18" ht="6" customHeight="1">
      <c r="A38" s="81"/>
      <c r="B38" s="1484"/>
      <c r="C38" s="1484"/>
      <c r="D38" s="1484"/>
      <c r="E38" s="84"/>
      <c r="F38" s="1484"/>
      <c r="G38" s="1484"/>
      <c r="H38" s="1484"/>
      <c r="I38" s="84"/>
      <c r="J38" s="84"/>
      <c r="K38" s="84"/>
      <c r="L38" s="84"/>
      <c r="M38" s="84"/>
      <c r="N38" s="84"/>
      <c r="O38" s="84"/>
      <c r="P38" s="84"/>
      <c r="Q38" s="84"/>
      <c r="R38" s="85"/>
    </row>
    <row r="39" spans="1:18" ht="15" customHeight="1">
      <c r="A39" s="2192" t="s">
        <v>165</v>
      </c>
      <c r="B39" s="2193"/>
      <c r="C39" s="2193"/>
      <c r="D39" s="2193"/>
      <c r="E39" s="2193"/>
      <c r="F39" s="2196"/>
      <c r="G39" s="2197"/>
      <c r="H39" s="2198"/>
      <c r="I39" s="1631"/>
      <c r="J39" s="1631"/>
      <c r="K39" s="1631"/>
      <c r="L39" s="1631"/>
      <c r="M39" s="1631"/>
      <c r="N39" s="1631"/>
      <c r="O39" s="1631"/>
      <c r="P39" s="1631"/>
      <c r="Q39" s="1631"/>
      <c r="R39" s="1632"/>
    </row>
    <row r="40" spans="1:18" ht="6" customHeight="1">
      <c r="A40" s="81"/>
      <c r="B40" s="1484"/>
      <c r="C40" s="1484"/>
      <c r="D40" s="1484"/>
      <c r="E40" s="84"/>
      <c r="F40" s="1484"/>
      <c r="G40" s="1484"/>
      <c r="H40" s="1484"/>
      <c r="I40" s="84"/>
      <c r="J40" s="84"/>
      <c r="K40" s="84"/>
      <c r="L40" s="84"/>
      <c r="M40" s="84"/>
      <c r="N40" s="84"/>
      <c r="O40" s="84"/>
      <c r="P40" s="84"/>
      <c r="Q40" s="84"/>
      <c r="R40" s="85"/>
    </row>
    <row r="41" spans="1:18" ht="15" customHeight="1">
      <c r="A41" s="2192" t="s">
        <v>166</v>
      </c>
      <c r="B41" s="2193"/>
      <c r="C41" s="2193"/>
      <c r="D41" s="2193"/>
      <c r="E41" s="2193"/>
      <c r="F41" s="2196"/>
      <c r="G41" s="2197"/>
      <c r="H41" s="2198"/>
      <c r="I41" s="1631"/>
      <c r="J41" s="1631"/>
      <c r="K41" s="1631"/>
      <c r="L41" s="1631"/>
      <c r="M41" s="1631"/>
      <c r="N41" s="1631"/>
      <c r="O41" s="1631"/>
      <c r="P41" s="1631"/>
      <c r="Q41" s="1631"/>
      <c r="R41" s="1632"/>
    </row>
    <row r="42" spans="1:18" ht="5.25" customHeight="1">
      <c r="A42" s="81"/>
      <c r="B42" s="1484"/>
      <c r="C42" s="1484"/>
      <c r="D42" s="1484"/>
      <c r="E42" s="84"/>
      <c r="F42" s="1484"/>
      <c r="G42" s="1484"/>
      <c r="H42" s="1484"/>
      <c r="I42" s="84"/>
      <c r="J42" s="84"/>
      <c r="K42" s="84"/>
      <c r="L42" s="84"/>
      <c r="M42" s="84"/>
      <c r="N42" s="84"/>
      <c r="O42" s="84"/>
      <c r="P42" s="84"/>
      <c r="Q42" s="84"/>
      <c r="R42" s="85"/>
    </row>
    <row r="43" spans="1:18" ht="15" customHeight="1">
      <c r="A43" s="2192" t="s">
        <v>167</v>
      </c>
      <c r="B43" s="2193"/>
      <c r="C43" s="2193"/>
      <c r="D43" s="2193"/>
      <c r="E43" s="2193"/>
      <c r="F43" s="2196"/>
      <c r="G43" s="2197"/>
      <c r="H43" s="2198"/>
      <c r="I43" s="1631"/>
      <c r="J43" s="1631"/>
      <c r="K43" s="1631"/>
      <c r="L43" s="1631"/>
      <c r="M43" s="1631"/>
      <c r="N43" s="1631"/>
      <c r="O43" s="1631"/>
      <c r="P43" s="1631"/>
      <c r="Q43" s="1631"/>
      <c r="R43" s="1632"/>
    </row>
    <row r="44" spans="1:18" ht="6" customHeight="1">
      <c r="A44" s="81"/>
      <c r="B44" s="1484"/>
      <c r="C44" s="1484"/>
      <c r="D44" s="1484"/>
      <c r="E44" s="84"/>
      <c r="F44" s="1484"/>
      <c r="G44" s="1484"/>
      <c r="H44" s="1484"/>
      <c r="I44" s="84"/>
      <c r="J44" s="84"/>
      <c r="K44" s="84"/>
      <c r="L44" s="84"/>
      <c r="M44" s="84"/>
      <c r="N44" s="84"/>
      <c r="O44" s="84"/>
      <c r="P44" s="84"/>
      <c r="Q44" s="84"/>
      <c r="R44" s="85"/>
    </row>
    <row r="45" spans="1:18" ht="15" customHeight="1">
      <c r="A45" s="2192" t="s">
        <v>168</v>
      </c>
      <c r="B45" s="2193"/>
      <c r="C45" s="2193"/>
      <c r="D45" s="2193"/>
      <c r="E45" s="2193"/>
      <c r="F45" s="2196"/>
      <c r="G45" s="2197"/>
      <c r="H45" s="2198"/>
      <c r="I45" s="1631"/>
      <c r="J45" s="1631"/>
      <c r="K45" s="1631"/>
      <c r="L45" s="1631"/>
      <c r="M45" s="1631"/>
      <c r="N45" s="1631"/>
      <c r="O45" s="1631"/>
      <c r="P45" s="1631"/>
      <c r="Q45" s="1631"/>
      <c r="R45" s="1632"/>
    </row>
    <row r="46" spans="1:18" ht="6" customHeight="1">
      <c r="A46" s="81"/>
      <c r="B46" s="1484"/>
      <c r="C46" s="84"/>
      <c r="D46" s="84"/>
      <c r="E46" s="84"/>
      <c r="F46" s="1484"/>
      <c r="G46" s="1484"/>
      <c r="H46" s="1484"/>
      <c r="I46" s="84"/>
      <c r="J46" s="84"/>
      <c r="K46" s="84"/>
      <c r="L46" s="84"/>
      <c r="M46" s="84"/>
      <c r="N46" s="84"/>
      <c r="O46" s="84"/>
      <c r="P46" s="84"/>
      <c r="Q46" s="84"/>
      <c r="R46" s="85"/>
    </row>
    <row r="47" spans="1:18" ht="15" customHeight="1">
      <c r="A47" s="2192" t="s">
        <v>169</v>
      </c>
      <c r="B47" s="2193"/>
      <c r="C47" s="2193"/>
      <c r="D47" s="2193"/>
      <c r="E47" s="2193"/>
      <c r="F47" s="2196"/>
      <c r="G47" s="2197"/>
      <c r="H47" s="2198"/>
      <c r="I47" s="1631"/>
      <c r="J47" s="1631"/>
      <c r="K47" s="1631"/>
      <c r="L47" s="1631"/>
      <c r="M47" s="1631"/>
      <c r="N47" s="1631"/>
      <c r="O47" s="1631"/>
      <c r="P47" s="1631"/>
      <c r="Q47" s="1631"/>
      <c r="R47" s="1632"/>
    </row>
    <row r="48" spans="1:18" ht="5.25" customHeight="1">
      <c r="A48" s="81"/>
      <c r="B48" s="1484"/>
      <c r="C48" s="84"/>
      <c r="D48" s="84"/>
      <c r="E48" s="84"/>
      <c r="F48" s="1484"/>
      <c r="G48" s="1484"/>
      <c r="H48" s="1484"/>
      <c r="I48" s="84"/>
      <c r="J48" s="84"/>
      <c r="K48" s="84"/>
      <c r="L48" s="84"/>
      <c r="M48" s="84"/>
      <c r="N48" s="84"/>
      <c r="O48" s="84"/>
      <c r="P48" s="84"/>
      <c r="Q48" s="84"/>
      <c r="R48" s="85"/>
    </row>
    <row r="49" spans="1:22" ht="15" customHeight="1">
      <c r="A49" s="2192" t="s">
        <v>170</v>
      </c>
      <c r="B49" s="2193"/>
      <c r="C49" s="2193"/>
      <c r="D49" s="2193"/>
      <c r="E49" s="2193"/>
      <c r="F49" s="2196"/>
      <c r="G49" s="2197"/>
      <c r="H49" s="2198"/>
      <c r="I49" s="1631"/>
      <c r="J49" s="1631"/>
      <c r="K49" s="1631"/>
      <c r="L49" s="1631"/>
      <c r="M49" s="1631"/>
      <c r="N49" s="1631"/>
      <c r="O49" s="1631"/>
      <c r="P49" s="1631"/>
      <c r="Q49" s="1631"/>
      <c r="R49" s="1632"/>
    </row>
    <row r="50" spans="1:22" ht="6" customHeight="1">
      <c r="A50" s="81"/>
      <c r="B50" s="1484"/>
      <c r="C50" s="84"/>
      <c r="D50" s="84"/>
      <c r="E50" s="84"/>
      <c r="F50" s="84"/>
      <c r="G50" s="84"/>
      <c r="H50" s="84"/>
      <c r="I50" s="84"/>
      <c r="J50" s="84"/>
      <c r="K50" s="84"/>
      <c r="L50" s="84"/>
      <c r="M50" s="84"/>
      <c r="N50" s="84"/>
      <c r="O50" s="84"/>
      <c r="P50" s="84"/>
      <c r="Q50" s="84"/>
      <c r="R50" s="85"/>
    </row>
    <row r="51" spans="1:22" ht="15" customHeight="1">
      <c r="A51" s="2192" t="s">
        <v>171</v>
      </c>
      <c r="B51" s="2193"/>
      <c r="C51" s="2193"/>
      <c r="D51" s="2193"/>
      <c r="E51" s="2193"/>
      <c r="F51" s="2194" t="s">
        <v>172</v>
      </c>
      <c r="G51" s="2194"/>
      <c r="H51" s="430"/>
      <c r="I51" s="1631"/>
      <c r="J51" s="2194" t="s">
        <v>173</v>
      </c>
      <c r="K51" s="2194"/>
      <c r="L51" s="2194"/>
      <c r="M51" s="430"/>
      <c r="N51" s="1631"/>
      <c r="O51" s="1631"/>
      <c r="P51" s="1631"/>
      <c r="Q51" s="1631"/>
      <c r="R51" s="1632"/>
    </row>
    <row r="52" spans="1:22" ht="15" customHeight="1">
      <c r="A52" s="1634"/>
      <c r="B52" s="1635"/>
      <c r="C52" s="1635"/>
      <c r="D52" s="1635"/>
      <c r="E52" s="1635"/>
      <c r="F52" s="2194" t="s">
        <v>174</v>
      </c>
      <c r="G52" s="2194"/>
      <c r="H52" s="430"/>
      <c r="I52" s="1631"/>
      <c r="J52" s="2207" t="s">
        <v>175</v>
      </c>
      <c r="K52" s="2207"/>
      <c r="L52" s="2207"/>
      <c r="M52" s="430"/>
      <c r="N52" s="1631"/>
      <c r="O52" s="1631"/>
      <c r="P52" s="1631"/>
      <c r="Q52" s="1631"/>
      <c r="R52" s="1632"/>
    </row>
    <row r="53" spans="1:22" s="1128" customFormat="1" ht="15" customHeight="1">
      <c r="A53" s="1634"/>
      <c r="B53" s="1635"/>
      <c r="C53" s="1635"/>
      <c r="D53" s="1635"/>
      <c r="E53" s="1635"/>
      <c r="F53" s="2194" t="s">
        <v>1891</v>
      </c>
      <c r="G53" s="2194"/>
      <c r="H53" s="430"/>
      <c r="I53" s="1631"/>
      <c r="J53" s="1633"/>
      <c r="K53" s="1633"/>
      <c r="L53" s="1633"/>
      <c r="M53" s="1204"/>
      <c r="N53" s="1631"/>
      <c r="O53" s="1631"/>
      <c r="P53" s="1631"/>
      <c r="Q53" s="1631"/>
      <c r="R53" s="1632"/>
    </row>
    <row r="54" spans="1:22" s="1128" customFormat="1" ht="15" customHeight="1">
      <c r="A54" s="1634"/>
      <c r="B54" s="1635"/>
      <c r="C54" s="1635"/>
      <c r="D54" s="1635"/>
      <c r="E54" s="1635"/>
      <c r="F54" s="2194" t="s">
        <v>1892</v>
      </c>
      <c r="G54" s="2194"/>
      <c r="H54" s="430"/>
      <c r="I54" s="1631"/>
      <c r="J54" s="1633"/>
      <c r="K54" s="1633"/>
      <c r="L54" s="1633"/>
      <c r="M54" s="1204"/>
      <c r="N54" s="1631"/>
      <c r="O54" s="1631"/>
      <c r="P54" s="1631"/>
      <c r="Q54" s="1631"/>
      <c r="R54" s="1632"/>
    </row>
    <row r="55" spans="1:22" s="1119" customFormat="1" ht="5.25" customHeight="1">
      <c r="A55" s="1634"/>
      <c r="B55" s="1635"/>
      <c r="C55" s="1635"/>
      <c r="D55" s="1635"/>
      <c r="E55" s="1635"/>
      <c r="F55" s="1645"/>
      <c r="G55" s="1645"/>
      <c r="H55" s="1484"/>
      <c r="I55" s="1631"/>
      <c r="J55" s="1633"/>
      <c r="K55" s="1633"/>
      <c r="L55" s="1633"/>
      <c r="M55" s="1484"/>
      <c r="N55" s="1631"/>
      <c r="O55" s="1631"/>
      <c r="P55" s="1631"/>
      <c r="Q55" s="1631"/>
      <c r="R55" s="1632"/>
    </row>
    <row r="56" spans="1:22" s="1119" customFormat="1" ht="15" customHeight="1">
      <c r="A56" s="2218" t="s">
        <v>1875</v>
      </c>
      <c r="B56" s="2189"/>
      <c r="C56" s="2189"/>
      <c r="D56" s="2189"/>
      <c r="E56" s="2189"/>
      <c r="F56" s="2219"/>
      <c r="G56" s="2220"/>
      <c r="H56" s="2221"/>
      <c r="I56" s="1631"/>
      <c r="J56" s="1633"/>
      <c r="K56" s="1633"/>
      <c r="L56" s="1633"/>
      <c r="M56" s="1484"/>
      <c r="N56" s="1631"/>
      <c r="O56" s="1631"/>
      <c r="P56" s="1631"/>
      <c r="Q56" s="1631"/>
      <c r="R56" s="1632"/>
    </row>
    <row r="57" spans="1:22" s="1119" customFormat="1" ht="6" customHeight="1">
      <c r="A57" s="1634"/>
      <c r="B57" s="1635"/>
      <c r="C57" s="1635"/>
      <c r="D57" s="1635"/>
      <c r="E57" s="1635"/>
      <c r="F57" s="1645"/>
      <c r="G57" s="1645"/>
      <c r="H57" s="1484"/>
      <c r="I57" s="1631"/>
      <c r="J57" s="1633"/>
      <c r="K57" s="1633"/>
      <c r="L57" s="1633"/>
      <c r="M57" s="1484"/>
      <c r="N57" s="1631"/>
      <c r="O57" s="1631"/>
      <c r="P57" s="1631"/>
      <c r="Q57" s="1631"/>
      <c r="R57" s="1632"/>
    </row>
    <row r="58" spans="1:22" s="1119" customFormat="1" ht="15" customHeight="1">
      <c r="A58" s="2218" t="s">
        <v>1876</v>
      </c>
      <c r="B58" s="2189"/>
      <c r="C58" s="2189"/>
      <c r="D58" s="2189"/>
      <c r="E58" s="2189"/>
      <c r="F58" s="2219"/>
      <c r="G58" s="2220"/>
      <c r="H58" s="2221"/>
      <c r="I58" s="1631"/>
      <c r="J58" s="1633"/>
      <c r="K58" s="1633"/>
      <c r="L58" s="1633"/>
      <c r="M58" s="1484"/>
      <c r="N58" s="1631"/>
      <c r="O58" s="1631"/>
      <c r="P58" s="1631"/>
      <c r="Q58" s="1631"/>
      <c r="R58" s="1632"/>
    </row>
    <row r="59" spans="1:22" ht="6.75" customHeight="1" thickBot="1">
      <c r="A59" s="86"/>
      <c r="B59" s="693"/>
      <c r="C59" s="87"/>
      <c r="D59" s="87"/>
      <c r="E59" s="87"/>
      <c r="F59" s="87"/>
      <c r="G59" s="87"/>
      <c r="H59" s="87"/>
      <c r="I59" s="87"/>
      <c r="J59" s="87"/>
      <c r="K59" s="87"/>
      <c r="L59" s="87"/>
      <c r="M59" s="87"/>
      <c r="N59" s="87"/>
      <c r="O59" s="87"/>
      <c r="P59" s="87"/>
      <c r="Q59" s="87"/>
      <c r="R59" s="88"/>
    </row>
    <row r="60" spans="1:22" ht="6" customHeight="1" thickBot="1"/>
    <row r="61" spans="1:22" ht="19" thickBot="1">
      <c r="A61" s="2157" t="s">
        <v>176</v>
      </c>
      <c r="B61" s="2157"/>
      <c r="C61" s="2157"/>
      <c r="D61" s="2157"/>
      <c r="E61" s="2157"/>
      <c r="F61" s="2157"/>
      <c r="G61" s="2157"/>
      <c r="H61" s="2157"/>
      <c r="I61" s="2157"/>
      <c r="J61" s="2157"/>
      <c r="K61" s="2157"/>
      <c r="L61" s="2157"/>
      <c r="M61" s="2157"/>
      <c r="N61" s="2157"/>
      <c r="O61" s="2157"/>
      <c r="P61" s="2157"/>
      <c r="Q61" s="2157"/>
      <c r="R61" s="2157"/>
    </row>
    <row r="62" spans="1:22" ht="15" customHeight="1">
      <c r="A62" s="81"/>
      <c r="B62" s="21"/>
      <c r="C62" s="21"/>
      <c r="D62" s="21"/>
      <c r="E62" s="21"/>
      <c r="F62" s="21"/>
      <c r="G62" s="21"/>
      <c r="H62" s="21"/>
      <c r="I62" s="21"/>
      <c r="J62" s="21"/>
      <c r="K62" s="21"/>
      <c r="L62" s="21"/>
      <c r="M62" s="21"/>
      <c r="N62" s="21"/>
      <c r="O62" s="21"/>
      <c r="P62" s="21"/>
      <c r="Q62" s="21"/>
      <c r="R62" s="83"/>
    </row>
    <row r="63" spans="1:22" s="73" customFormat="1" ht="30" customHeight="1">
      <c r="A63" s="81"/>
      <c r="B63" s="89"/>
      <c r="C63" s="2214" t="s">
        <v>1903</v>
      </c>
      <c r="D63" s="2222"/>
      <c r="E63" s="2222"/>
      <c r="F63" s="2222"/>
      <c r="G63" s="2222"/>
      <c r="H63" s="2222"/>
      <c r="I63" s="1151"/>
      <c r="J63" s="1174"/>
      <c r="K63" s="2209" t="s">
        <v>1904</v>
      </c>
      <c r="L63" s="2222"/>
      <c r="M63" s="2222"/>
      <c r="N63" s="2222"/>
      <c r="O63" s="2222"/>
      <c r="P63" s="2222"/>
      <c r="Q63" s="2222"/>
      <c r="R63" s="2210"/>
      <c r="T63" s="74"/>
      <c r="U63" s="74"/>
      <c r="V63" s="74"/>
    </row>
    <row r="64" spans="1:22" ht="15" customHeight="1">
      <c r="A64" s="81"/>
      <c r="B64" s="21"/>
      <c r="C64" s="84"/>
      <c r="D64" s="84"/>
      <c r="E64" s="84"/>
      <c r="F64" s="84"/>
      <c r="G64" s="84"/>
      <c r="H64" s="84"/>
      <c r="I64" s="84"/>
      <c r="J64" s="84"/>
      <c r="K64" s="84"/>
      <c r="L64" s="84"/>
      <c r="M64" s="84"/>
      <c r="N64" s="84"/>
      <c r="O64" s="84"/>
      <c r="P64" s="84"/>
      <c r="Q64" s="84"/>
      <c r="R64" s="85"/>
    </row>
    <row r="65" spans="1:18" ht="30" customHeight="1">
      <c r="A65" s="81"/>
      <c r="B65" s="90"/>
      <c r="C65" s="2208" t="s">
        <v>177</v>
      </c>
      <c r="D65" s="2209"/>
      <c r="E65" s="2209"/>
      <c r="F65" s="2209"/>
      <c r="G65" s="2209"/>
      <c r="H65" s="2209"/>
      <c r="I65" s="2209"/>
      <c r="J65" s="2209"/>
      <c r="K65" s="2209"/>
      <c r="L65" s="2209"/>
      <c r="M65" s="2209"/>
      <c r="N65" s="2209"/>
      <c r="O65" s="2209"/>
      <c r="P65" s="2209"/>
      <c r="Q65" s="2209"/>
      <c r="R65" s="2210"/>
    </row>
    <row r="66" spans="1:18" ht="15" customHeight="1">
      <c r="A66" s="81"/>
      <c r="B66" s="21"/>
      <c r="C66" s="84"/>
      <c r="D66" s="84"/>
      <c r="E66" s="84"/>
      <c r="F66" s="84"/>
      <c r="G66" s="84"/>
      <c r="H66" s="84"/>
      <c r="I66" s="84"/>
      <c r="J66" s="84"/>
      <c r="K66" s="84"/>
      <c r="L66" s="84"/>
      <c r="M66" s="84"/>
      <c r="N66" s="84"/>
      <c r="O66" s="84"/>
      <c r="P66" s="84"/>
      <c r="Q66" s="84"/>
      <c r="R66" s="85"/>
    </row>
    <row r="67" spans="1:18" ht="30" customHeight="1">
      <c r="A67" s="81"/>
      <c r="B67" s="852"/>
      <c r="C67" s="2211" t="s">
        <v>1906</v>
      </c>
      <c r="D67" s="2212"/>
      <c r="E67" s="2212"/>
      <c r="F67" s="2212"/>
      <c r="G67" s="2212"/>
      <c r="H67" s="2212"/>
      <c r="I67" s="2212"/>
      <c r="J67" s="2212"/>
      <c r="K67" s="2212"/>
      <c r="L67" s="2212"/>
      <c r="M67" s="2212"/>
      <c r="N67" s="2212"/>
      <c r="O67" s="2212"/>
      <c r="P67" s="2212"/>
      <c r="Q67" s="2212"/>
      <c r="R67" s="2213"/>
    </row>
    <row r="68" spans="1:18" ht="15" customHeight="1">
      <c r="A68" s="81"/>
      <c r="B68" s="21"/>
      <c r="C68" s="84"/>
      <c r="D68" s="84"/>
      <c r="E68" s="84"/>
      <c r="F68" s="84"/>
      <c r="G68" s="84"/>
      <c r="H68" s="84"/>
      <c r="I68" s="84"/>
      <c r="J68" s="84"/>
      <c r="K68" s="84"/>
      <c r="L68" s="84"/>
      <c r="M68" s="84"/>
      <c r="N68" s="84"/>
      <c r="O68" s="84"/>
      <c r="P68" s="84"/>
      <c r="Q68" s="84"/>
      <c r="R68" s="85"/>
    </row>
    <row r="69" spans="1:18" ht="30" customHeight="1">
      <c r="A69" s="81"/>
      <c r="B69" s="91"/>
      <c r="C69" s="2214" t="s">
        <v>1905</v>
      </c>
      <c r="D69" s="2209"/>
      <c r="E69" s="2209"/>
      <c r="F69" s="2209"/>
      <c r="G69" s="2209"/>
      <c r="H69" s="2209"/>
      <c r="I69" s="2209"/>
      <c r="J69" s="2209"/>
      <c r="K69" s="2209"/>
      <c r="L69" s="2209"/>
      <c r="M69" s="2209"/>
      <c r="N69" s="2209"/>
      <c r="O69" s="2209"/>
      <c r="P69" s="2209"/>
      <c r="Q69" s="2209"/>
      <c r="R69" s="2210"/>
    </row>
    <row r="70" spans="1:18" ht="15" customHeight="1">
      <c r="A70" s="81"/>
      <c r="B70" s="21"/>
      <c r="C70" s="84"/>
      <c r="D70" s="84"/>
      <c r="E70" s="84"/>
      <c r="F70" s="84"/>
      <c r="G70" s="84"/>
      <c r="H70" s="84"/>
      <c r="I70" s="84"/>
      <c r="J70" s="84"/>
      <c r="K70" s="84"/>
      <c r="L70" s="84"/>
      <c r="M70" s="84"/>
      <c r="N70" s="84"/>
      <c r="O70" s="84"/>
      <c r="P70" s="84"/>
      <c r="Q70" s="84"/>
      <c r="R70" s="85"/>
    </row>
    <row r="71" spans="1:18" ht="30" customHeight="1">
      <c r="A71" s="81"/>
      <c r="B71" s="92" t="s">
        <v>178</v>
      </c>
      <c r="C71" s="2215" t="s">
        <v>179</v>
      </c>
      <c r="D71" s="2209"/>
      <c r="E71" s="2209"/>
      <c r="F71" s="2209"/>
      <c r="G71" s="2209"/>
      <c r="H71" s="2209"/>
      <c r="I71" s="2209"/>
      <c r="J71" s="2209"/>
      <c r="K71" s="2209"/>
      <c r="L71" s="2209"/>
      <c r="M71" s="2209"/>
      <c r="N71" s="2209"/>
      <c r="O71" s="2209"/>
      <c r="P71" s="2209"/>
      <c r="Q71" s="2209"/>
      <c r="R71" s="2210"/>
    </row>
    <row r="72" spans="1:18" ht="15" customHeight="1">
      <c r="A72" s="81"/>
      <c r="B72" s="21"/>
      <c r="C72" s="84"/>
      <c r="D72" s="84"/>
      <c r="E72" s="84"/>
      <c r="F72" s="84"/>
      <c r="G72" s="84"/>
      <c r="H72" s="84"/>
      <c r="I72" s="84"/>
      <c r="J72" s="84"/>
      <c r="K72" s="84"/>
      <c r="L72" s="84"/>
      <c r="M72" s="84"/>
      <c r="N72" s="84"/>
      <c r="O72" s="84"/>
      <c r="P72" s="84"/>
      <c r="Q72" s="84"/>
      <c r="R72" s="85"/>
    </row>
    <row r="73" spans="1:18" s="1119" customFormat="1" ht="30" customHeight="1">
      <c r="A73" s="81"/>
      <c r="B73" s="1117"/>
      <c r="C73" s="2209" t="s">
        <v>1907</v>
      </c>
      <c r="D73" s="2209"/>
      <c r="E73" s="2209"/>
      <c r="F73" s="2209"/>
      <c r="G73" s="2209"/>
      <c r="H73" s="2209"/>
      <c r="I73" s="2209"/>
      <c r="J73" s="2209"/>
      <c r="K73" s="2209"/>
      <c r="L73" s="2209"/>
      <c r="M73" s="2209"/>
      <c r="N73" s="2209"/>
      <c r="O73" s="2222"/>
      <c r="P73" s="1175"/>
      <c r="Q73" s="1151"/>
      <c r="R73" s="1152"/>
    </row>
    <row r="74" spans="1:18" s="1119" customFormat="1" ht="15" customHeight="1">
      <c r="A74" s="81"/>
      <c r="B74" s="1116"/>
      <c r="C74" s="84"/>
      <c r="D74" s="84"/>
      <c r="E74" s="84"/>
      <c r="F74" s="84"/>
      <c r="G74" s="84"/>
      <c r="H74" s="84"/>
      <c r="I74" s="84"/>
      <c r="J74" s="84"/>
      <c r="K74" s="84"/>
      <c r="L74" s="84"/>
      <c r="M74" s="84"/>
      <c r="N74" s="84"/>
      <c r="O74" s="84"/>
      <c r="P74" s="84"/>
      <c r="Q74" s="84"/>
      <c r="R74" s="85"/>
    </row>
    <row r="75" spans="1:18" ht="30" customHeight="1">
      <c r="A75" s="81"/>
      <c r="B75" s="92"/>
      <c r="C75" s="2215" t="s">
        <v>1510</v>
      </c>
      <c r="D75" s="2209"/>
      <c r="E75" s="2209"/>
      <c r="F75" s="2209"/>
      <c r="G75" s="2209"/>
      <c r="H75" s="2209"/>
      <c r="I75" s="2209"/>
      <c r="J75" s="2209"/>
      <c r="K75" s="2209"/>
      <c r="L75" s="2209"/>
      <c r="M75" s="2209"/>
      <c r="N75" s="2209"/>
      <c r="O75" s="2209"/>
      <c r="P75" s="2209"/>
      <c r="Q75" s="2209"/>
      <c r="R75" s="2210"/>
    </row>
    <row r="76" spans="1:18" ht="15" customHeight="1">
      <c r="A76" s="81"/>
      <c r="B76" s="805"/>
      <c r="C76" s="84"/>
      <c r="D76" s="84"/>
      <c r="E76" s="84"/>
      <c r="F76" s="84"/>
      <c r="G76" s="84"/>
      <c r="H76" s="84"/>
      <c r="I76" s="84"/>
      <c r="J76" s="84"/>
      <c r="K76" s="84"/>
      <c r="L76" s="84"/>
      <c r="M76" s="84"/>
      <c r="N76" s="84"/>
      <c r="O76" s="84"/>
      <c r="P76" s="84"/>
      <c r="Q76" s="84"/>
      <c r="R76" s="85"/>
    </row>
    <row r="77" spans="1:18" ht="30" customHeight="1">
      <c r="A77" s="81"/>
      <c r="B77" s="93"/>
      <c r="C77" s="2214" t="s">
        <v>1511</v>
      </c>
      <c r="D77" s="2209"/>
      <c r="E77" s="2209"/>
      <c r="F77" s="2209"/>
      <c r="G77" s="2209"/>
      <c r="H77" s="2209"/>
      <c r="I77" s="2209"/>
      <c r="J77" s="2209"/>
      <c r="K77" s="2209"/>
      <c r="L77" s="2209"/>
      <c r="M77" s="2209"/>
      <c r="N77" s="2209"/>
      <c r="O77" s="2209"/>
      <c r="P77" s="2209"/>
      <c r="Q77" s="2209"/>
      <c r="R77" s="2210"/>
    </row>
    <row r="78" spans="1:18" ht="15" customHeight="1" thickBot="1">
      <c r="A78" s="82"/>
      <c r="B78" s="94"/>
      <c r="C78" s="95"/>
      <c r="D78" s="95"/>
      <c r="E78" s="95"/>
      <c r="F78" s="95"/>
      <c r="G78" s="95"/>
      <c r="H78" s="95"/>
      <c r="I78" s="95"/>
      <c r="J78" s="95"/>
      <c r="K78" s="95"/>
      <c r="L78" s="95"/>
      <c r="M78" s="95"/>
      <c r="N78" s="95"/>
      <c r="O78" s="95"/>
      <c r="P78" s="95"/>
      <c r="Q78" s="95"/>
      <c r="R78" s="96"/>
    </row>
    <row r="79" spans="1:18" ht="15" customHeight="1" thickBot="1"/>
    <row r="80" spans="1:18" ht="19" thickBot="1">
      <c r="A80" s="2157" t="s">
        <v>180</v>
      </c>
      <c r="B80" s="2157"/>
      <c r="C80" s="2157"/>
      <c r="D80" s="2157"/>
      <c r="E80" s="2157"/>
      <c r="F80" s="2157"/>
      <c r="G80" s="2157"/>
      <c r="H80" s="2157"/>
      <c r="I80" s="2157"/>
      <c r="J80" s="2157"/>
      <c r="K80" s="2157"/>
      <c r="L80" s="2157"/>
      <c r="M80" s="2157"/>
      <c r="N80" s="2157"/>
      <c r="O80" s="2157"/>
      <c r="P80" s="2157"/>
      <c r="Q80" s="2157"/>
      <c r="R80" s="2157"/>
    </row>
    <row r="81" spans="1:18" ht="15" customHeight="1">
      <c r="A81" s="97"/>
      <c r="B81" s="98"/>
      <c r="C81" s="98"/>
      <c r="D81" s="98"/>
      <c r="E81" s="98"/>
      <c r="F81" s="98"/>
      <c r="G81" s="98"/>
      <c r="H81" s="98"/>
      <c r="I81" s="98"/>
      <c r="J81" s="98"/>
      <c r="K81" s="98"/>
      <c r="L81" s="98"/>
      <c r="M81" s="98"/>
      <c r="N81" s="98"/>
      <c r="O81" s="98"/>
      <c r="P81" s="98"/>
      <c r="Q81" s="98"/>
      <c r="R81" s="99"/>
    </row>
    <row r="82" spans="1:18" ht="15" customHeight="1">
      <c r="A82" s="2135" t="s">
        <v>181</v>
      </c>
      <c r="B82" s="2216"/>
      <c r="C82" s="2216"/>
      <c r="D82" s="2216"/>
      <c r="E82" s="2216"/>
      <c r="F82" s="2216"/>
      <c r="G82" s="2216"/>
      <c r="H82" s="2216"/>
      <c r="I82" s="2216"/>
      <c r="J82" s="2216"/>
      <c r="K82" s="2216"/>
      <c r="L82" s="2216"/>
      <c r="M82" s="2216"/>
      <c r="N82" s="2216"/>
      <c r="O82" s="2216"/>
      <c r="P82" s="2216"/>
      <c r="Q82" s="2216"/>
      <c r="R82" s="2217"/>
    </row>
    <row r="83" spans="1:18" ht="15" customHeight="1">
      <c r="A83" s="100"/>
      <c r="B83" s="101"/>
      <c r="C83" s="101"/>
      <c r="D83" s="101"/>
      <c r="E83" s="101"/>
      <c r="F83" s="101"/>
      <c r="G83" s="101"/>
      <c r="H83" s="101"/>
      <c r="I83" s="101"/>
      <c r="J83" s="101"/>
      <c r="K83" s="101"/>
      <c r="L83" s="101"/>
      <c r="M83" s="101"/>
      <c r="N83" s="101"/>
      <c r="O83" s="101"/>
      <c r="P83" s="101"/>
      <c r="Q83" s="101"/>
      <c r="R83" s="102"/>
    </row>
    <row r="84" spans="1:18" ht="45" customHeight="1">
      <c r="A84" s="2135" t="s">
        <v>182</v>
      </c>
      <c r="B84" s="2216"/>
      <c r="C84" s="2216"/>
      <c r="D84" s="2216"/>
      <c r="E84" s="2216"/>
      <c r="F84" s="2216"/>
      <c r="G84" s="2216"/>
      <c r="H84" s="2216"/>
      <c r="I84" s="2216"/>
      <c r="J84" s="2216"/>
      <c r="K84" s="2216"/>
      <c r="L84" s="2216"/>
      <c r="M84" s="2216"/>
      <c r="N84" s="2216"/>
      <c r="O84" s="2216"/>
      <c r="P84" s="2216"/>
      <c r="Q84" s="2216"/>
      <c r="R84" s="2217"/>
    </row>
    <row r="85" spans="1:18" ht="15" customHeight="1">
      <c r="A85" s="97"/>
      <c r="B85" s="98"/>
      <c r="C85" s="98"/>
      <c r="D85" s="98"/>
      <c r="E85" s="98"/>
      <c r="F85" s="98"/>
      <c r="G85" s="98"/>
      <c r="H85" s="98"/>
      <c r="I85" s="98"/>
      <c r="J85" s="98"/>
      <c r="K85" s="98"/>
      <c r="L85" s="98"/>
      <c r="M85" s="98"/>
      <c r="N85" s="98"/>
      <c r="O85" s="98"/>
      <c r="P85" s="98"/>
      <c r="Q85" s="98"/>
      <c r="R85" s="99"/>
    </row>
    <row r="86" spans="1:18" ht="30" customHeight="1">
      <c r="A86" s="2201" t="s">
        <v>2607</v>
      </c>
      <c r="B86" s="2202"/>
      <c r="C86" s="2202"/>
      <c r="D86" s="2202"/>
      <c r="E86" s="2202"/>
      <c r="F86" s="2202"/>
      <c r="G86" s="2202"/>
      <c r="H86" s="2202"/>
      <c r="I86" s="2202"/>
      <c r="J86" s="2202"/>
      <c r="K86" s="2202"/>
      <c r="L86" s="2202"/>
      <c r="M86" s="2202"/>
      <c r="N86" s="2202"/>
      <c r="O86" s="2202"/>
      <c r="P86" s="2202"/>
      <c r="Q86" s="2202"/>
      <c r="R86" s="2203"/>
    </row>
    <row r="87" spans="1:18" ht="15" customHeight="1">
      <c r="A87" s="97"/>
      <c r="B87" s="98"/>
      <c r="C87" s="98"/>
      <c r="D87" s="98"/>
      <c r="E87" s="98"/>
      <c r="F87" s="98"/>
      <c r="G87" s="98"/>
      <c r="H87" s="98"/>
      <c r="I87" s="98"/>
      <c r="J87" s="98"/>
      <c r="K87" s="98"/>
      <c r="L87" s="98"/>
      <c r="M87" s="98"/>
      <c r="N87" s="98"/>
      <c r="O87" s="98"/>
      <c r="P87" s="98"/>
      <c r="Q87" s="98"/>
      <c r="R87" s="99"/>
    </row>
    <row r="88" spans="1:18" ht="15" customHeight="1">
      <c r="A88" s="2201" t="s">
        <v>183</v>
      </c>
      <c r="B88" s="2202"/>
      <c r="C88" s="2202"/>
      <c r="D88" s="2202"/>
      <c r="E88" s="2202"/>
      <c r="F88" s="2202"/>
      <c r="G88" s="2202"/>
      <c r="H88" s="2202"/>
      <c r="I88" s="2202"/>
      <c r="J88" s="2202"/>
      <c r="K88" s="2202"/>
      <c r="L88" s="2202"/>
      <c r="M88" s="2202"/>
      <c r="N88" s="2202"/>
      <c r="O88" s="2202"/>
      <c r="P88" s="2202"/>
      <c r="Q88" s="2202"/>
      <c r="R88" s="2203"/>
    </row>
    <row r="89" spans="1:18" ht="15" customHeight="1">
      <c r="A89" s="97"/>
      <c r="B89" s="98"/>
      <c r="C89" s="98"/>
      <c r="D89" s="98"/>
      <c r="E89" s="98"/>
      <c r="F89" s="98"/>
      <c r="G89" s="98"/>
      <c r="H89" s="98"/>
      <c r="I89" s="98"/>
      <c r="J89" s="98"/>
      <c r="K89" s="98"/>
      <c r="L89" s="98"/>
      <c r="M89" s="98"/>
      <c r="N89" s="98"/>
      <c r="O89" s="98"/>
      <c r="P89" s="98"/>
      <c r="Q89" s="98"/>
      <c r="R89" s="99"/>
    </row>
    <row r="90" spans="1:18" ht="30" customHeight="1">
      <c r="A90" s="2201" t="s">
        <v>184</v>
      </c>
      <c r="B90" s="2202"/>
      <c r="C90" s="2202"/>
      <c r="D90" s="2202"/>
      <c r="E90" s="2202"/>
      <c r="F90" s="2202"/>
      <c r="G90" s="2202"/>
      <c r="H90" s="2202"/>
      <c r="I90" s="2202"/>
      <c r="J90" s="2202"/>
      <c r="K90" s="2202"/>
      <c r="L90" s="2202"/>
      <c r="M90" s="2202"/>
      <c r="N90" s="2202"/>
      <c r="O90" s="2202"/>
      <c r="P90" s="2202"/>
      <c r="Q90" s="2202"/>
      <c r="R90" s="2203"/>
    </row>
    <row r="91" spans="1:18" ht="15" customHeight="1">
      <c r="A91" s="97"/>
      <c r="B91" s="98"/>
      <c r="C91" s="98"/>
      <c r="D91" s="98"/>
      <c r="E91" s="98"/>
      <c r="F91" s="98"/>
      <c r="G91" s="98"/>
      <c r="H91" s="98"/>
      <c r="I91" s="98"/>
      <c r="J91" s="98"/>
      <c r="K91" s="98"/>
      <c r="L91" s="98"/>
      <c r="M91" s="98"/>
      <c r="N91" s="98"/>
      <c r="O91" s="98"/>
      <c r="P91" s="98"/>
      <c r="Q91" s="98"/>
      <c r="R91" s="99"/>
    </row>
    <row r="92" spans="1:18" ht="33" customHeight="1">
      <c r="A92" s="2201" t="s">
        <v>1908</v>
      </c>
      <c r="B92" s="2202"/>
      <c r="C92" s="2202"/>
      <c r="D92" s="2202"/>
      <c r="E92" s="2202"/>
      <c r="F92" s="2202"/>
      <c r="G92" s="2202"/>
      <c r="H92" s="2202"/>
      <c r="I92" s="2202"/>
      <c r="J92" s="2202"/>
      <c r="K92" s="2202"/>
      <c r="L92" s="2202"/>
      <c r="M92" s="2202"/>
      <c r="N92" s="2202"/>
      <c r="O92" s="2202"/>
      <c r="P92" s="2202"/>
      <c r="Q92" s="2202"/>
      <c r="R92" s="2203"/>
    </row>
    <row r="93" spans="1:18" ht="15" customHeight="1">
      <c r="A93" s="97"/>
      <c r="B93" s="98"/>
      <c r="C93" s="98"/>
      <c r="D93" s="98"/>
      <c r="E93" s="98"/>
      <c r="F93" s="98"/>
      <c r="G93" s="98"/>
      <c r="H93" s="98"/>
      <c r="I93" s="98"/>
      <c r="J93" s="98"/>
      <c r="K93" s="98"/>
      <c r="L93" s="98"/>
      <c r="M93" s="98"/>
      <c r="N93" s="98"/>
      <c r="O93" s="98"/>
      <c r="P93" s="98"/>
      <c r="Q93" s="98"/>
      <c r="R93" s="99"/>
    </row>
    <row r="94" spans="1:18" ht="30" customHeight="1">
      <c r="A94" s="2201" t="s">
        <v>185</v>
      </c>
      <c r="B94" s="2202"/>
      <c r="C94" s="2202"/>
      <c r="D94" s="2202"/>
      <c r="E94" s="2202"/>
      <c r="F94" s="2202"/>
      <c r="G94" s="2202"/>
      <c r="H94" s="2202"/>
      <c r="I94" s="2202"/>
      <c r="J94" s="2202"/>
      <c r="K94" s="2202"/>
      <c r="L94" s="2202"/>
      <c r="M94" s="2202"/>
      <c r="N94" s="2202"/>
      <c r="O94" s="2202"/>
      <c r="P94" s="2202"/>
      <c r="Q94" s="2202"/>
      <c r="R94" s="2203"/>
    </row>
    <row r="95" spans="1:18" ht="15" customHeight="1">
      <c r="A95" s="97"/>
      <c r="B95" s="98"/>
      <c r="C95" s="98"/>
      <c r="D95" s="98"/>
      <c r="E95" s="98"/>
      <c r="F95" s="98"/>
      <c r="G95" s="98"/>
      <c r="H95" s="98"/>
      <c r="I95" s="98"/>
      <c r="J95" s="98"/>
      <c r="K95" s="98"/>
      <c r="L95" s="98"/>
      <c r="M95" s="98"/>
      <c r="N95" s="98"/>
      <c r="O95" s="98"/>
      <c r="P95" s="98"/>
      <c r="Q95" s="98"/>
      <c r="R95" s="99"/>
    </row>
    <row r="96" spans="1:18" ht="15" customHeight="1">
      <c r="A96" s="2201" t="s">
        <v>186</v>
      </c>
      <c r="B96" s="2202"/>
      <c r="C96" s="2202"/>
      <c r="D96" s="2202"/>
      <c r="E96" s="2202"/>
      <c r="F96" s="2202"/>
      <c r="G96" s="2202"/>
      <c r="H96" s="2202"/>
      <c r="I96" s="2202"/>
      <c r="J96" s="2202"/>
      <c r="K96" s="2202"/>
      <c r="L96" s="2202"/>
      <c r="M96" s="2202"/>
      <c r="N96" s="2202"/>
      <c r="O96" s="2202"/>
      <c r="P96" s="2202"/>
      <c r="Q96" s="2202"/>
      <c r="R96" s="2203"/>
    </row>
    <row r="97" spans="1:18" ht="15" customHeight="1">
      <c r="A97" s="97"/>
      <c r="B97" s="98"/>
      <c r="C97" s="98"/>
      <c r="D97" s="98"/>
      <c r="E97" s="98"/>
      <c r="F97" s="98"/>
      <c r="G97" s="98"/>
      <c r="H97" s="98"/>
      <c r="I97" s="98"/>
      <c r="J97" s="98"/>
      <c r="K97" s="98"/>
      <c r="L97" s="98"/>
      <c r="M97" s="98"/>
      <c r="N97" s="98"/>
      <c r="O97" s="98"/>
      <c r="P97" s="98"/>
      <c r="Q97" s="98"/>
      <c r="R97" s="99"/>
    </row>
    <row r="98" spans="1:18" ht="30" customHeight="1">
      <c r="A98" s="2201" t="s">
        <v>187</v>
      </c>
      <c r="B98" s="2202"/>
      <c r="C98" s="2202"/>
      <c r="D98" s="2202"/>
      <c r="E98" s="2202"/>
      <c r="F98" s="2202"/>
      <c r="G98" s="2202"/>
      <c r="H98" s="2202"/>
      <c r="I98" s="2202"/>
      <c r="J98" s="2202"/>
      <c r="K98" s="2202"/>
      <c r="L98" s="2202"/>
      <c r="M98" s="2202"/>
      <c r="N98" s="2202"/>
      <c r="O98" s="2202"/>
      <c r="P98" s="2202"/>
      <c r="Q98" s="2202"/>
      <c r="R98" s="2203"/>
    </row>
    <row r="99" spans="1:18" ht="15" customHeight="1">
      <c r="A99" s="97"/>
      <c r="B99" s="98"/>
      <c r="C99" s="98"/>
      <c r="D99" s="98"/>
      <c r="E99" s="98"/>
      <c r="F99" s="98"/>
      <c r="G99" s="98"/>
      <c r="H99" s="98"/>
      <c r="I99" s="98"/>
      <c r="J99" s="98"/>
      <c r="K99" s="98"/>
      <c r="L99" s="98"/>
      <c r="M99" s="98"/>
      <c r="N99" s="98"/>
      <c r="O99" s="98"/>
      <c r="P99" s="98"/>
      <c r="Q99" s="98"/>
      <c r="R99" s="99"/>
    </row>
    <row r="100" spans="1:18" ht="30" customHeight="1">
      <c r="A100" s="2201" t="s">
        <v>188</v>
      </c>
      <c r="B100" s="2202"/>
      <c r="C100" s="2202"/>
      <c r="D100" s="2202"/>
      <c r="E100" s="2202"/>
      <c r="F100" s="2202"/>
      <c r="G100" s="2202"/>
      <c r="H100" s="2202"/>
      <c r="I100" s="2202"/>
      <c r="J100" s="2202"/>
      <c r="K100" s="2202"/>
      <c r="L100" s="2202"/>
      <c r="M100" s="2202"/>
      <c r="N100" s="2202"/>
      <c r="O100" s="2202"/>
      <c r="P100" s="2202"/>
      <c r="Q100" s="2202"/>
      <c r="R100" s="2203"/>
    </row>
    <row r="101" spans="1:18" ht="15" customHeight="1" thickBot="1">
      <c r="A101" s="2204"/>
      <c r="B101" s="2205"/>
      <c r="C101" s="2205"/>
      <c r="D101" s="2205"/>
      <c r="E101" s="2205"/>
      <c r="F101" s="2205"/>
      <c r="G101" s="2205"/>
      <c r="H101" s="2205"/>
      <c r="I101" s="2205"/>
      <c r="J101" s="2205"/>
      <c r="K101" s="2205"/>
      <c r="L101" s="2205"/>
      <c r="M101" s="2205"/>
      <c r="N101" s="2205"/>
      <c r="O101" s="2205"/>
      <c r="P101" s="2205"/>
      <c r="Q101" s="2205"/>
      <c r="R101" s="2206"/>
    </row>
  </sheetData>
  <sheetProtection algorithmName="SHA-512" hashValue="+WmvRwIzaJZzU5MmXJrYQeBmXjKqpDvcZUHorF3RIZZvbTSPNFvTclegL/RuszPNrxLmrjxdVukjJbJ4vZ8/yQ==" saltValue="uFq5C7VRXUf7jqigSgnaKw==" spinCount="100000" sheet="1" formatColumns="0" selectLockedCells="1"/>
  <mergeCells count="109">
    <mergeCell ref="F53:G53"/>
    <mergeCell ref="F54:G54"/>
    <mergeCell ref="A86:R86"/>
    <mergeCell ref="A61:R61"/>
    <mergeCell ref="C65:R65"/>
    <mergeCell ref="C67:R67"/>
    <mergeCell ref="C69:R69"/>
    <mergeCell ref="C71:R71"/>
    <mergeCell ref="C77:R77"/>
    <mergeCell ref="A80:R80"/>
    <mergeCell ref="A82:R82"/>
    <mergeCell ref="A84:R84"/>
    <mergeCell ref="C75:R75"/>
    <mergeCell ref="A56:E56"/>
    <mergeCell ref="F56:H56"/>
    <mergeCell ref="A58:E58"/>
    <mergeCell ref="F58:H58"/>
    <mergeCell ref="C63:H63"/>
    <mergeCell ref="K63:R63"/>
    <mergeCell ref="C73:O73"/>
    <mergeCell ref="P35:Q35"/>
    <mergeCell ref="A98:R98"/>
    <mergeCell ref="A100:R100"/>
    <mergeCell ref="A101:R101"/>
    <mergeCell ref="A88:R88"/>
    <mergeCell ref="A90:R90"/>
    <mergeCell ref="A92:R92"/>
    <mergeCell ref="A94:R94"/>
    <mergeCell ref="A96:R96"/>
    <mergeCell ref="A37:E37"/>
    <mergeCell ref="F37:H37"/>
    <mergeCell ref="A39:E39"/>
    <mergeCell ref="F39:H39"/>
    <mergeCell ref="A41:E41"/>
    <mergeCell ref="F41:H41"/>
    <mergeCell ref="F52:G52"/>
    <mergeCell ref="J52:L52"/>
    <mergeCell ref="A43:E43"/>
    <mergeCell ref="F43:H43"/>
    <mergeCell ref="A45:E45"/>
    <mergeCell ref="F45:H45"/>
    <mergeCell ref="A47:E47"/>
    <mergeCell ref="F47:H47"/>
    <mergeCell ref="A49:E49"/>
    <mergeCell ref="A51:E51"/>
    <mergeCell ref="F51:G51"/>
    <mergeCell ref="J51:L51"/>
    <mergeCell ref="A33:E33"/>
    <mergeCell ref="F33:H33"/>
    <mergeCell ref="A35:E35"/>
    <mergeCell ref="F35:H35"/>
    <mergeCell ref="K35:M35"/>
    <mergeCell ref="N35:O35"/>
    <mergeCell ref="I35:J35"/>
    <mergeCell ref="F49:H49"/>
    <mergeCell ref="F19:H19"/>
    <mergeCell ref="A20:E20"/>
    <mergeCell ref="A31:E31"/>
    <mergeCell ref="F31:H31"/>
    <mergeCell ref="A23:E23"/>
    <mergeCell ref="F23:H23"/>
    <mergeCell ref="O23:Q23"/>
    <mergeCell ref="A25:E25"/>
    <mergeCell ref="F25:H25"/>
    <mergeCell ref="A27:E27"/>
    <mergeCell ref="A29:E29"/>
    <mergeCell ref="F29:P29"/>
    <mergeCell ref="A21:E21"/>
    <mergeCell ref="F21:H21"/>
    <mergeCell ref="I21:K21"/>
    <mergeCell ref="A19:E19"/>
    <mergeCell ref="F27:H27"/>
    <mergeCell ref="J19:L19"/>
    <mergeCell ref="I23:J23"/>
    <mergeCell ref="K23:L23"/>
    <mergeCell ref="J25:R25"/>
    <mergeCell ref="A22:Q22"/>
    <mergeCell ref="A12:R12"/>
    <mergeCell ref="A14:R14"/>
    <mergeCell ref="A15:R15"/>
    <mergeCell ref="A16:E16"/>
    <mergeCell ref="F16:H16"/>
    <mergeCell ref="A17:E17"/>
    <mergeCell ref="F17:H17"/>
    <mergeCell ref="Q17:Q18"/>
    <mergeCell ref="R17:R18"/>
    <mergeCell ref="A18:E18"/>
    <mergeCell ref="F18:H18"/>
    <mergeCell ref="J18:L18"/>
    <mergeCell ref="A5:G5"/>
    <mergeCell ref="H1:K3"/>
    <mergeCell ref="H4:K4"/>
    <mergeCell ref="A4:G4"/>
    <mergeCell ref="L1:L2"/>
    <mergeCell ref="M1:N1"/>
    <mergeCell ref="O1:R1"/>
    <mergeCell ref="L3:R3"/>
    <mergeCell ref="A11:R11"/>
    <mergeCell ref="H5:R5"/>
    <mergeCell ref="A7:R7"/>
    <mergeCell ref="A8:R8"/>
    <mergeCell ref="A9:B9"/>
    <mergeCell ref="C9:E9"/>
    <mergeCell ref="A10:R10"/>
    <mergeCell ref="F9:K9"/>
    <mergeCell ref="L9:R9"/>
    <mergeCell ref="A6:B6"/>
    <mergeCell ref="C6:D6"/>
    <mergeCell ref="E6:R6"/>
  </mergeCells>
  <conditionalFormatting sqref="H1">
    <cfRule type="expression" dxfId="1315" priority="16" stopIfTrue="1">
      <formula>levelStatement="This project has not met all the requirements for Bronze, Silver, Gold, or Emerald."</formula>
    </cfRule>
  </conditionalFormatting>
  <conditionalFormatting sqref="L21">
    <cfRule type="expression" dxfId="1314" priority="13" stopIfTrue="1">
      <formula>AND(OR(startSingleorMulti="Single-Family", startSingleorMulti=0),startMultiUnits&gt;0)</formula>
    </cfRule>
    <cfRule type="expression" dxfId="1313" priority="14" stopIfTrue="1">
      <formula>AND(startSingleorMulti="Multi-Unit",startMultiUnits=0)</formula>
    </cfRule>
    <cfRule type="expression" dxfId="1312" priority="15" stopIfTrue="1">
      <formula>AND(OR(startSingleorMulti="Single-Family",startSingleorMulti=0),startMultiUnits=0)</formula>
    </cfRule>
  </conditionalFormatting>
  <conditionalFormatting sqref="N4">
    <cfRule type="expression" dxfId="1311" priority="12" stopIfTrue="1">
      <formula>$N$4="Not Met"</formula>
    </cfRule>
  </conditionalFormatting>
  <conditionalFormatting sqref="K23:L23">
    <cfRule type="expression" dxfId="1310" priority="7">
      <formula>AND($F$23&lt;&gt;"",$K$23="")</formula>
    </cfRule>
    <cfRule type="expression" dxfId="1309" priority="11">
      <formula>AND($F$23="")</formula>
    </cfRule>
  </conditionalFormatting>
  <conditionalFormatting sqref="F21:H21">
    <cfRule type="expression" dxfId="1308" priority="10">
      <formula>AND($F$21="")</formula>
    </cfRule>
  </conditionalFormatting>
  <conditionalFormatting sqref="F23:H23">
    <cfRule type="expression" dxfId="1307" priority="9">
      <formula>AND($F$23="")</formula>
    </cfRule>
  </conditionalFormatting>
  <conditionalFormatting sqref="F25:H25">
    <cfRule type="expression" dxfId="1306" priority="6">
      <formula>AND($F$25="")</formula>
    </cfRule>
  </conditionalFormatting>
  <conditionalFormatting sqref="F33:H33">
    <cfRule type="expression" dxfId="1305" priority="5">
      <formula>AND($F$33="")</formula>
    </cfRule>
  </conditionalFormatting>
  <conditionalFormatting sqref="F35:H35">
    <cfRule type="expression" dxfId="1304" priority="4">
      <formula>AND($F$35="")</formula>
    </cfRule>
  </conditionalFormatting>
  <conditionalFormatting sqref="F37:H37">
    <cfRule type="expression" dxfId="1303" priority="3">
      <formula>AND($F$37="")</formula>
    </cfRule>
  </conditionalFormatting>
  <conditionalFormatting sqref="F43:H43">
    <cfRule type="expression" dxfId="1302" priority="2">
      <formula>AND($F$43="")</formula>
    </cfRule>
  </conditionalFormatting>
  <conditionalFormatting sqref="L9:R9">
    <cfRule type="expression" dxfId="1301" priority="1">
      <formula>$L$9&lt;&gt;""</formula>
    </cfRule>
  </conditionalFormatting>
  <dataValidations count="21">
    <dataValidation type="list" allowBlank="1" showInputMessage="1" showErrorMessage="1" errorTitle="Invalid value" error="Select a value from the dropdown list." sqref="F33:H33" xr:uid="{00000000-0002-0000-0000-000000000000}">
      <formula1>ddFoundationTypes</formula1>
    </dataValidation>
    <dataValidation type="list" allowBlank="1" showInputMessage="1" showErrorMessage="1" errorTitle="Invalid value" error="Select a value from the dropdown list." sqref="F35:H35 P35 K35:M35" xr:uid="{00000000-0002-0000-0000-000001000000}">
      <formula1>ddHVACSystems</formula1>
    </dataValidation>
    <dataValidation type="list" allowBlank="1" showInputMessage="1" showErrorMessage="1" errorTitle="Invalid value" error="Select a value from the dropdown list." sqref="F37:H37" xr:uid="{00000000-0002-0000-0000-000002000000}">
      <formula1>ddHeatingFuel</formula1>
    </dataValidation>
    <dataValidation type="list" allowBlank="1" showInputMessage="1" showErrorMessage="1" errorTitle="Invalid value" error="Select a value from the dropdown list." sqref="F39:H39" xr:uid="{00000000-0002-0000-0000-000003000000}">
      <formula1>ddRenewableEnergy</formula1>
    </dataValidation>
    <dataValidation type="list" allowBlank="1" showInputMessage="1" showErrorMessage="1" errorTitle="Invalid value" error="Select a value from the dropdown list." sqref="F41:H41" xr:uid="{00000000-0002-0000-0000-000004000000}">
      <formula1>ddTEInsulation</formula1>
    </dataValidation>
    <dataValidation type="list" allowBlank="1" showInputMessage="1" showErrorMessage="1" errorTitle="Invalid value" error="Select a value from the dropdown list." sqref="F43:H43" xr:uid="{00000000-0002-0000-0000-000005000000}">
      <formula1>ddAtticType</formula1>
    </dataValidation>
    <dataValidation type="list" allowBlank="1" showInputMessage="1" showErrorMessage="1" errorTitle="Invalid value" error="Select a value from the dropdown list." sqref="F45:H45" xr:uid="{00000000-0002-0000-0000-000006000000}">
      <formula1>ddSFBurningAppliance</formula1>
    </dataValidation>
    <dataValidation type="list" allowBlank="1" showInputMessage="1" showErrorMessage="1" errorTitle="Invalid value" error="Select a value from the dropdown list." sqref="F49:H49" xr:uid="{00000000-0002-0000-0000-000007000000}">
      <formula1>ddRecessedLighting</formula1>
    </dataValidation>
    <dataValidation type="list" allowBlank="1" showInputMessage="1" showErrorMessage="1" sqref="H51" xr:uid="{00000000-0002-0000-0000-000008000000}">
      <formula1>ddPassiveSolar</formula1>
    </dataValidation>
    <dataValidation type="list" allowBlank="1" showInputMessage="1" showErrorMessage="1" sqref="H52:H54" xr:uid="{00000000-0002-0000-0000-000009000000}">
      <formula1>ddMassWalls</formula1>
    </dataValidation>
    <dataValidation type="list" allowBlank="1" showInputMessage="1" showErrorMessage="1" sqref="M51" xr:uid="{00000000-0002-0000-0000-00000A000000}">
      <formula1>ddTanklessWH</formula1>
    </dataValidation>
    <dataValidation type="list" allowBlank="1" showInputMessage="1" showErrorMessage="1" sqref="M52" xr:uid="{00000000-0002-0000-0000-00000B000000}">
      <formula1>ddCompostingToilet</formula1>
    </dataValidation>
    <dataValidation type="list" allowBlank="1" showInputMessage="1" showErrorMessage="1" errorTitle="Invalid value" error="Select a value from the dropdown list." sqref="F47:H47" xr:uid="{00000000-0002-0000-0000-00000C000000}">
      <formula1>ddAttachedGarage</formula1>
    </dataValidation>
    <dataValidation type="list" allowBlank="1" showInputMessage="1" showErrorMessage="1" sqref="F56:H56" xr:uid="{00000000-0002-0000-0000-00000D000000}">
      <formula1>startEnergyCode</formula1>
    </dataValidation>
    <dataValidation type="list" allowBlank="1" showInputMessage="1" showErrorMessage="1" sqref="F58:H58" xr:uid="{00000000-0002-0000-0000-00000E000000}">
      <formula1>startBuildingCode</formula1>
    </dataValidation>
    <dataValidation type="whole" operator="greaterThanOrEqual" allowBlank="1" showInputMessage="1" showErrorMessage="1" errorTitle="Invalid value" error="Multi-Unit projects must have 2 or more units. Enter whole numbers only." prompt="The number of units is required for Multi-Unit projects. Multi-Unit projects must have 2 or more units." sqref="L21" xr:uid="{00000000-0002-0000-0000-00000F000000}">
      <formula1>2</formula1>
    </dataValidation>
    <dataValidation type="list" allowBlank="1" showInputMessage="1" showErrorMessage="1" errorTitle="Invalid Entry" error="Select an option from the dropdown list provided." sqref="F21:H21" xr:uid="{00000000-0002-0000-0000-000010000000}">
      <formula1>ddSingleorMulti</formula1>
    </dataValidation>
    <dataValidation type="whole" operator="greaterThan" allowBlank="1" showInputMessage="1" showErrorMessage="1" errorTitle="Invalid value" error="Enter a whole number." sqref="F25:H25 F27:H27" xr:uid="{00000000-0002-0000-0000-000011000000}">
      <formula1>0</formula1>
    </dataValidation>
    <dataValidation type="whole" operator="greaterThan" allowBlank="1" showInputMessage="1" showErrorMessage="1" errorTitle="Invalid value" error="Enter a whole number greater than 1." sqref="M24" xr:uid="{00000000-0002-0000-0000-000012000000}">
      <formula1>0</formula1>
    </dataValidation>
    <dataValidation type="list" allowBlank="1" showInputMessage="1" showErrorMessage="1" errorTitle="Invalid Entry" error="Select an option from the dropdown list provided." sqref="F23:H23" xr:uid="{00000000-0002-0000-0000-000013000000}">
      <formula1>ddClimateZone</formula1>
    </dataValidation>
    <dataValidation type="list" allowBlank="1" showInputMessage="1" showErrorMessage="1" sqref="K23:L23" xr:uid="{00000000-0002-0000-0000-000014000000}">
      <formula1>INDIRECT(CZword)</formula1>
    </dataValidation>
  </dataValidations>
  <hyperlinks>
    <hyperlink ref="O23" location="figure6_1" display="See Climate Zone Map." xr:uid="{00000000-0004-0000-0000-000000000000}"/>
    <hyperlink ref="A8:R8" r:id="rId1" display="Go to http://www.homeinnovation.com/greenscoring to download the latest version of the NGBS Scoring for New Construction spreadsheet." xr:uid="{00000000-0004-0000-0000-000001000000}"/>
  </hyperlinks>
  <pageMargins left="0.7" right="0.7" top="0.75" bottom="0.75" header="0.3" footer="0.3"/>
  <pageSetup scale="52" fitToHeight="3" orientation="portrait" r:id="rId2"/>
  <headerFooter>
    <oddFooter>&amp;C&amp;10(c) 2013 NAHB Research Center. All rights reserved.  This document is protected by U.S. copyright law.   Research Center authorizes use by those persons participating in the Research Center's Green Building Certification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F345"/>
  <sheetViews>
    <sheetView topLeftCell="CG1" zoomScaleNormal="100" workbookViewId="0">
      <selection sqref="A1:CF1048576"/>
    </sheetView>
  </sheetViews>
  <sheetFormatPr baseColWidth="10" defaultColWidth="9.1640625" defaultRowHeight="14"/>
  <cols>
    <col min="1" max="1" width="22.1640625" style="106" hidden="1" customWidth="1"/>
    <col min="2" max="2" width="13.5" style="106" hidden="1" customWidth="1"/>
    <col min="3" max="3" width="22.83203125" style="106" hidden="1" customWidth="1"/>
    <col min="4" max="4" width="17.5" style="106" hidden="1" customWidth="1"/>
    <col min="5" max="5" width="24.5" style="106" hidden="1" customWidth="1"/>
    <col min="6" max="6" width="17.83203125" style="106" hidden="1" customWidth="1"/>
    <col min="7" max="7" width="26.6640625" style="106" hidden="1" customWidth="1"/>
    <col min="8" max="8" width="10.1640625" style="106" hidden="1" customWidth="1"/>
    <col min="9" max="9" width="27.5" style="106" hidden="1" customWidth="1"/>
    <col min="10" max="10" width="16.5" style="106" hidden="1" customWidth="1"/>
    <col min="11" max="11" width="17" style="106" hidden="1" customWidth="1"/>
    <col min="12" max="12" width="21.1640625" style="106" hidden="1" customWidth="1"/>
    <col min="13" max="13" width="11.5" style="106" hidden="1" customWidth="1"/>
    <col min="14" max="14" width="21.5" style="106" hidden="1" customWidth="1"/>
    <col min="15" max="15" width="17.5" style="106" hidden="1" customWidth="1"/>
    <col min="16" max="16" width="10.5" style="106" hidden="1" customWidth="1"/>
    <col min="17" max="18" width="9.1640625" style="106" hidden="1" customWidth="1"/>
    <col min="19" max="19" width="11.5" style="106" hidden="1" customWidth="1"/>
    <col min="20" max="84" width="9.1640625" style="106" hidden="1" customWidth="1"/>
    <col min="85" max="103" width="9.1640625" style="106" customWidth="1"/>
    <col min="104" max="16384" width="9.1640625" style="106"/>
  </cols>
  <sheetData>
    <row r="1" spans="1:26" s="1195" customFormat="1">
      <c r="A1" s="642" t="s">
        <v>1935</v>
      </c>
      <c r="B1" s="1242">
        <f ca="1">TODAY()-startRevisionDate</f>
        <v>1322</v>
      </c>
      <c r="C1" s="1195" t="s">
        <v>1936</v>
      </c>
    </row>
    <row r="2" spans="1:26" s="1195" customFormat="1"/>
    <row r="3" spans="1:26">
      <c r="A3" s="3995" t="s">
        <v>141</v>
      </c>
      <c r="B3" s="3995"/>
      <c r="C3" s="3995"/>
      <c r="P3" s="1195" t="s">
        <v>2017</v>
      </c>
      <c r="Q3" s="106">
        <v>1</v>
      </c>
      <c r="R3" s="106">
        <v>2</v>
      </c>
      <c r="S3" s="106">
        <v>3</v>
      </c>
      <c r="T3" s="106">
        <v>4</v>
      </c>
      <c r="U3" s="106">
        <v>5</v>
      </c>
      <c r="V3" s="106">
        <v>6</v>
      </c>
      <c r="W3" s="106">
        <v>7</v>
      </c>
      <c r="X3" s="106">
        <v>8</v>
      </c>
    </row>
    <row r="4" spans="1:26" s="546" customFormat="1">
      <c r="A4" s="546" t="s">
        <v>189</v>
      </c>
      <c r="B4" s="546" t="s">
        <v>192</v>
      </c>
      <c r="C4" s="546" t="s">
        <v>101</v>
      </c>
      <c r="D4" s="546" t="s">
        <v>102</v>
      </c>
      <c r="E4" s="546" t="s">
        <v>103</v>
      </c>
      <c r="F4" s="546" t="s">
        <v>104</v>
      </c>
      <c r="G4" s="546" t="s">
        <v>105</v>
      </c>
      <c r="H4" s="546" t="s">
        <v>106</v>
      </c>
      <c r="I4" s="546" t="s">
        <v>107</v>
      </c>
      <c r="J4" s="546" t="s">
        <v>108</v>
      </c>
      <c r="K4" s="546" t="s">
        <v>109</v>
      </c>
      <c r="L4" s="546" t="s">
        <v>110</v>
      </c>
      <c r="M4" s="546" t="s">
        <v>111</v>
      </c>
      <c r="N4" s="546" t="s">
        <v>112</v>
      </c>
      <c r="O4" s="546" t="s">
        <v>113</v>
      </c>
      <c r="P4" s="546" t="s">
        <v>192</v>
      </c>
      <c r="Q4" s="546" t="s">
        <v>1586</v>
      </c>
      <c r="R4" s="546" t="s">
        <v>1587</v>
      </c>
      <c r="S4" s="546" t="s">
        <v>1588</v>
      </c>
      <c r="T4" s="546" t="s">
        <v>1589</v>
      </c>
      <c r="U4" s="546" t="s">
        <v>1590</v>
      </c>
      <c r="V4" s="546" t="s">
        <v>1591</v>
      </c>
      <c r="W4" s="546" t="s">
        <v>1592</v>
      </c>
      <c r="X4" s="546" t="s">
        <v>1593</v>
      </c>
      <c r="Y4" s="546" t="s">
        <v>1877</v>
      </c>
      <c r="Z4" s="546" t="s">
        <v>1882</v>
      </c>
    </row>
    <row r="5" spans="1:26">
      <c r="A5" s="106" t="s">
        <v>190</v>
      </c>
      <c r="B5" s="106">
        <v>1</v>
      </c>
      <c r="C5" s="106" t="s">
        <v>114</v>
      </c>
      <c r="D5" s="1129" t="s">
        <v>115</v>
      </c>
      <c r="E5" s="106" t="s">
        <v>116</v>
      </c>
      <c r="F5" s="1150" t="s">
        <v>118</v>
      </c>
      <c r="G5" s="1150" t="s">
        <v>1897</v>
      </c>
      <c r="H5" s="106" t="s">
        <v>118</v>
      </c>
      <c r="I5" s="106" t="s">
        <v>119</v>
      </c>
      <c r="J5" s="106" t="s">
        <v>120</v>
      </c>
      <c r="K5" s="106" t="s">
        <v>120</v>
      </c>
      <c r="L5" s="106" t="s">
        <v>120</v>
      </c>
      <c r="M5" s="106" t="s">
        <v>120</v>
      </c>
      <c r="N5" s="106" t="s">
        <v>120</v>
      </c>
      <c r="O5" s="106" t="s">
        <v>120</v>
      </c>
      <c r="P5" s="546" t="s">
        <v>1581</v>
      </c>
      <c r="Q5" s="106" t="s">
        <v>1582</v>
      </c>
      <c r="R5" s="106" t="s">
        <v>1582</v>
      </c>
      <c r="S5" s="106" t="s">
        <v>1582</v>
      </c>
      <c r="T5" s="106" t="s">
        <v>1584</v>
      </c>
      <c r="U5" s="106" t="s">
        <v>1584</v>
      </c>
      <c r="V5" s="106" t="s">
        <v>1584</v>
      </c>
      <c r="W5" s="106" t="s">
        <v>1584</v>
      </c>
      <c r="X5" s="965" t="s">
        <v>1594</v>
      </c>
      <c r="Y5" s="106" t="s">
        <v>1878</v>
      </c>
      <c r="Z5" s="106" t="s">
        <v>1883</v>
      </c>
    </row>
    <row r="6" spans="1:26">
      <c r="A6" s="106" t="s">
        <v>191</v>
      </c>
      <c r="B6" s="106">
        <v>2</v>
      </c>
      <c r="C6" s="106" t="s">
        <v>891</v>
      </c>
      <c r="D6" s="106" t="s">
        <v>121</v>
      </c>
      <c r="E6" s="106" t="s">
        <v>122</v>
      </c>
      <c r="F6" s="106" t="s">
        <v>117</v>
      </c>
      <c r="G6" s="106" t="s">
        <v>124</v>
      </c>
      <c r="H6" s="106" t="s">
        <v>125</v>
      </c>
      <c r="I6" s="106" t="s">
        <v>126</v>
      </c>
      <c r="J6" s="106" t="s">
        <v>127</v>
      </c>
      <c r="K6" s="106" t="s">
        <v>127</v>
      </c>
      <c r="L6" s="106" t="s">
        <v>127</v>
      </c>
      <c r="M6" s="106" t="s">
        <v>127</v>
      </c>
      <c r="N6" s="106" t="s">
        <v>127</v>
      </c>
      <c r="O6" s="106" t="s">
        <v>127</v>
      </c>
      <c r="R6" s="106" t="s">
        <v>1583</v>
      </c>
      <c r="S6" s="106" t="s">
        <v>1584</v>
      </c>
      <c r="T6" s="106" t="s">
        <v>1583</v>
      </c>
      <c r="U6" s="106" t="s">
        <v>1583</v>
      </c>
      <c r="V6" s="106" t="s">
        <v>1583</v>
      </c>
      <c r="W6" s="106" t="s">
        <v>1583</v>
      </c>
      <c r="Y6" s="106" t="s">
        <v>1879</v>
      </c>
      <c r="Z6" s="106" t="s">
        <v>1884</v>
      </c>
    </row>
    <row r="7" spans="1:26">
      <c r="B7" s="106">
        <v>3</v>
      </c>
      <c r="C7" s="106" t="s">
        <v>892</v>
      </c>
      <c r="D7" s="106" t="s">
        <v>128</v>
      </c>
      <c r="E7" s="106" t="s">
        <v>129</v>
      </c>
      <c r="F7" s="106" t="s">
        <v>123</v>
      </c>
      <c r="G7" s="106" t="s">
        <v>131</v>
      </c>
      <c r="H7" s="106" t="s">
        <v>132</v>
      </c>
      <c r="I7" s="106" t="s">
        <v>133</v>
      </c>
      <c r="S7" s="106" t="s">
        <v>1583</v>
      </c>
      <c r="T7" s="106" t="s">
        <v>1585</v>
      </c>
      <c r="Y7" s="106" t="s">
        <v>1880</v>
      </c>
      <c r="Z7" s="106" t="s">
        <v>1885</v>
      </c>
    </row>
    <row r="8" spans="1:26">
      <c r="B8" s="106">
        <v>4</v>
      </c>
      <c r="C8" s="106" t="s">
        <v>879</v>
      </c>
      <c r="D8" s="1145" t="s">
        <v>134</v>
      </c>
      <c r="E8" s="1144" t="s">
        <v>1894</v>
      </c>
      <c r="F8" s="106" t="s">
        <v>130</v>
      </c>
      <c r="G8" s="106" t="s">
        <v>136</v>
      </c>
      <c r="H8" s="106" t="s">
        <v>139</v>
      </c>
      <c r="I8" s="106" t="s">
        <v>137</v>
      </c>
      <c r="S8" s="106" t="s">
        <v>1585</v>
      </c>
      <c r="Y8" s="106" t="s">
        <v>1881</v>
      </c>
      <c r="Z8" s="106" t="s">
        <v>1886</v>
      </c>
    </row>
    <row r="9" spans="1:26">
      <c r="B9" s="106">
        <v>5</v>
      </c>
      <c r="C9" s="106" t="s">
        <v>893</v>
      </c>
      <c r="D9" s="1129" t="s">
        <v>138</v>
      </c>
      <c r="E9" s="1144" t="s">
        <v>140</v>
      </c>
      <c r="F9" s="106" t="s">
        <v>135</v>
      </c>
      <c r="G9" s="1195" t="s">
        <v>1924</v>
      </c>
      <c r="I9" s="106" t="s">
        <v>139</v>
      </c>
      <c r="P9" s="1195" t="s">
        <v>2018</v>
      </c>
      <c r="Q9" s="106" t="str">
        <f>IF(startClimateZone=1,"One",IF(startClimateZone=2,"Two",IF(startClimateZone=3,"Three",IF(startClimateZone=4,"Four",IF(startClimateZone=5,"Five",IF(startClimateZone=6,"Six",IF(startClimateZone=7,"Seven",IF(startClimateZone=8,"Eight",""))))))))</f>
        <v/>
      </c>
      <c r="Y9" s="106" t="s">
        <v>139</v>
      </c>
      <c r="Z9" s="106" t="s">
        <v>1887</v>
      </c>
    </row>
    <row r="10" spans="1:26">
      <c r="B10" s="106">
        <v>6</v>
      </c>
      <c r="C10" s="1129" t="s">
        <v>894</v>
      </c>
      <c r="D10" s="1129" t="s">
        <v>139</v>
      </c>
      <c r="E10" s="1144" t="s">
        <v>139</v>
      </c>
      <c r="F10" s="106" t="s">
        <v>139</v>
      </c>
      <c r="G10" s="1150" t="s">
        <v>1898</v>
      </c>
      <c r="Z10" s="106" t="s">
        <v>1888</v>
      </c>
    </row>
    <row r="11" spans="1:26">
      <c r="B11" s="106">
        <v>7</v>
      </c>
      <c r="C11" s="1129" t="s">
        <v>1893</v>
      </c>
      <c r="G11" s="1150" t="s">
        <v>1899</v>
      </c>
      <c r="P11" s="1195" t="s">
        <v>2025</v>
      </c>
      <c r="Q11" s="1195" t="str">
        <f>IF(VCZ=1,"VCZOne",IF(VCZ=2,"VCZTwo",IF(VCZ=3,"VCZThree",IF(VCZ=4,"VCZFour",IF(VCZ=5,"VCZFive",IF(VCZ=6,"VCZSix",IF(VCZ=7,"VCZSeven",IF(VCZ=8,"VCZEight",""))))))))</f>
        <v/>
      </c>
      <c r="Z11" s="106" t="s">
        <v>1889</v>
      </c>
    </row>
    <row r="12" spans="1:26">
      <c r="B12" s="106">
        <v>8</v>
      </c>
      <c r="C12" s="1129" t="s">
        <v>139</v>
      </c>
      <c r="G12" s="1150" t="s">
        <v>1900</v>
      </c>
      <c r="O12" s="642" t="s">
        <v>2019</v>
      </c>
      <c r="P12" s="546" t="s">
        <v>192</v>
      </c>
      <c r="Q12" s="546" t="s">
        <v>1586</v>
      </c>
      <c r="R12" s="546" t="s">
        <v>1587</v>
      </c>
      <c r="S12" s="546" t="s">
        <v>1588</v>
      </c>
      <c r="T12" s="546" t="s">
        <v>1589</v>
      </c>
      <c r="U12" s="546" t="s">
        <v>1590</v>
      </c>
      <c r="V12" s="546" t="s">
        <v>1591</v>
      </c>
      <c r="W12" s="546" t="s">
        <v>1592</v>
      </c>
      <c r="X12" s="546" t="s">
        <v>1593</v>
      </c>
      <c r="Z12" s="106" t="s">
        <v>1890</v>
      </c>
    </row>
    <row r="13" spans="1:26">
      <c r="C13" s="1129"/>
      <c r="G13" s="1150" t="s">
        <v>139</v>
      </c>
      <c r="P13" s="1195" t="s">
        <v>2020</v>
      </c>
      <c r="Q13" s="106">
        <v>0</v>
      </c>
      <c r="R13" s="106">
        <v>0</v>
      </c>
      <c r="S13" s="106">
        <v>0</v>
      </c>
      <c r="T13" s="106">
        <v>0</v>
      </c>
      <c r="U13" s="106">
        <v>0</v>
      </c>
      <c r="V13" s="106">
        <v>0</v>
      </c>
      <c r="W13" s="106">
        <v>0</v>
      </c>
      <c r="X13" s="106">
        <v>0</v>
      </c>
      <c r="Z13" s="106" t="s">
        <v>139</v>
      </c>
    </row>
    <row r="14" spans="1:26">
      <c r="P14" s="1195" t="s">
        <v>2021</v>
      </c>
      <c r="Q14" s="106">
        <v>0</v>
      </c>
      <c r="R14" s="106">
        <v>2</v>
      </c>
      <c r="S14" s="106">
        <v>3</v>
      </c>
      <c r="T14" s="106">
        <v>4</v>
      </c>
      <c r="U14" s="106">
        <v>7</v>
      </c>
      <c r="V14" s="106">
        <v>5</v>
      </c>
      <c r="W14" s="106">
        <v>3</v>
      </c>
      <c r="X14" s="106">
        <v>4</v>
      </c>
      <c r="Z14" s="1195" t="s">
        <v>118</v>
      </c>
    </row>
    <row r="15" spans="1:26">
      <c r="P15" s="1195" t="s">
        <v>2022</v>
      </c>
      <c r="Q15" s="106">
        <v>0</v>
      </c>
      <c r="R15" s="106">
        <v>6</v>
      </c>
      <c r="S15" s="106">
        <v>8</v>
      </c>
      <c r="T15" s="106">
        <v>8</v>
      </c>
      <c r="U15" s="106">
        <v>11</v>
      </c>
      <c r="V15" s="106">
        <v>12</v>
      </c>
      <c r="W15" s="106">
        <v>9</v>
      </c>
      <c r="X15" s="106">
        <v>10</v>
      </c>
    </row>
    <row r="16" spans="1:26">
      <c r="P16" s="1195" t="s">
        <v>2023</v>
      </c>
      <c r="Q16" s="106">
        <v>0</v>
      </c>
      <c r="R16" s="106">
        <v>10</v>
      </c>
      <c r="S16" s="106">
        <v>12</v>
      </c>
      <c r="T16" s="106">
        <v>13</v>
      </c>
      <c r="U16" s="106">
        <v>16</v>
      </c>
      <c r="V16" s="106">
        <v>14</v>
      </c>
      <c r="W16" s="106">
        <v>11</v>
      </c>
      <c r="X16" s="106">
        <v>12</v>
      </c>
    </row>
    <row r="17" spans="1:81" s="547" customFormat="1">
      <c r="A17" s="547" t="s">
        <v>142</v>
      </c>
      <c r="F17" s="106"/>
      <c r="P17" s="1195" t="s">
        <v>2024</v>
      </c>
      <c r="Q17" s="1195">
        <v>2</v>
      </c>
      <c r="R17" s="1195">
        <v>14</v>
      </c>
      <c r="S17" s="1195">
        <v>17</v>
      </c>
      <c r="T17" s="1195">
        <v>18</v>
      </c>
      <c r="U17" s="1195">
        <v>18</v>
      </c>
      <c r="V17" s="1195">
        <v>17</v>
      </c>
      <c r="W17" s="1195">
        <v>14</v>
      </c>
      <c r="X17" s="1195">
        <v>16</v>
      </c>
    </row>
    <row r="18" spans="1:81" s="546" customFormat="1">
      <c r="A18" s="546" t="s">
        <v>42</v>
      </c>
      <c r="B18" s="546" t="s">
        <v>58</v>
      </c>
      <c r="C18" s="546" t="s">
        <v>67</v>
      </c>
      <c r="D18" s="546" t="s">
        <v>90</v>
      </c>
      <c r="E18" s="546">
        <v>505.3</v>
      </c>
      <c r="F18" s="547"/>
    </row>
    <row r="19" spans="1:81">
      <c r="A19" s="106" t="s">
        <v>46</v>
      </c>
      <c r="B19" s="106" t="s">
        <v>716</v>
      </c>
      <c r="C19" s="106" t="s">
        <v>1615</v>
      </c>
      <c r="D19" s="106" t="s">
        <v>718</v>
      </c>
      <c r="E19" s="106" t="s">
        <v>719</v>
      </c>
      <c r="F19" s="546"/>
      <c r="O19" s="1195"/>
      <c r="P19" s="1195" t="s">
        <v>2029</v>
      </c>
      <c r="Q19" s="1195" t="str">
        <f>IF(VCZ=1,"VCZmassOne",IF(VCZ=2,"VCZmassTwo",IF(VCZ=3,"VCZmassThree",IF(VCZ=4,"VCZmassFour",IF(VCZ=5,"VCZmassFive",IF(VCZ=6,"VCZmassSix",IF(VCZ=7,"VCZmassSeven",IF(VCZ=8,"VCZmassEight",""))))))))</f>
        <v/>
      </c>
    </row>
    <row r="20" spans="1:81">
      <c r="A20" s="106" t="s">
        <v>47</v>
      </c>
      <c r="B20" s="106" t="s">
        <v>47</v>
      </c>
      <c r="C20" s="106" t="s">
        <v>1616</v>
      </c>
      <c r="D20" s="106" t="s">
        <v>88</v>
      </c>
      <c r="E20" s="106" t="s">
        <v>720</v>
      </c>
      <c r="O20" s="642" t="s">
        <v>2026</v>
      </c>
      <c r="P20" s="546" t="s">
        <v>192</v>
      </c>
      <c r="Q20" s="546" t="s">
        <v>1586</v>
      </c>
      <c r="R20" s="546" t="s">
        <v>1587</v>
      </c>
      <c r="S20" s="546" t="s">
        <v>1588</v>
      </c>
      <c r="T20" s="546" t="s">
        <v>1589</v>
      </c>
      <c r="U20" s="546" t="s">
        <v>1590</v>
      </c>
      <c r="V20" s="546" t="s">
        <v>1591</v>
      </c>
      <c r="W20" s="546" t="s">
        <v>1592</v>
      </c>
      <c r="X20" s="546" t="s">
        <v>1593</v>
      </c>
    </row>
    <row r="21" spans="1:81">
      <c r="A21" s="106" t="s">
        <v>717</v>
      </c>
      <c r="B21" s="106" t="s">
        <v>717</v>
      </c>
      <c r="C21" s="106" t="s">
        <v>1617</v>
      </c>
      <c r="D21" s="106" t="s">
        <v>717</v>
      </c>
      <c r="E21" s="106" t="s">
        <v>721</v>
      </c>
      <c r="P21" s="1195" t="s">
        <v>2027</v>
      </c>
      <c r="Q21" s="106">
        <v>5</v>
      </c>
      <c r="R21" s="106">
        <v>5</v>
      </c>
      <c r="S21" s="106">
        <v>5</v>
      </c>
      <c r="T21" s="106">
        <v>5</v>
      </c>
      <c r="U21" s="106">
        <v>4</v>
      </c>
      <c r="V21" s="106">
        <v>3</v>
      </c>
      <c r="W21" s="106">
        <v>0</v>
      </c>
      <c r="X21" s="106">
        <v>0</v>
      </c>
    </row>
    <row r="22" spans="1:81">
      <c r="A22" s="106">
        <f>IF(choice503.2_3=A19, 3, IF(choice503.2_3=A20, 4, IF(choice503.2_3=A21, 6, 0)))</f>
        <v>0</v>
      </c>
      <c r="B22" s="106">
        <f>IF(choice503.4_3=B19, 2, IF(choice503.4_3=B20, 4, IF(choice503.4_3=B21, 6, 0)))</f>
        <v>0</v>
      </c>
      <c r="C22" s="106" t="s">
        <v>1618</v>
      </c>
      <c r="D22" s="106">
        <f>IF(choice505.1_3=D19, 4, IF(choice505.1_3=D20, 5, IF(choice505.1_3=D21, 6, 0)))</f>
        <v>0</v>
      </c>
      <c r="E22" s="106">
        <f>IF(choice505.3=E19, 5, IF(choice505.3=E20, 8, IF(choice505.3=E21, 11, 0)))</f>
        <v>0</v>
      </c>
      <c r="P22" s="1195" t="s">
        <v>2028</v>
      </c>
      <c r="Q22" s="106">
        <v>3</v>
      </c>
      <c r="R22" s="106">
        <v>3</v>
      </c>
      <c r="S22" s="106">
        <v>3</v>
      </c>
      <c r="T22" s="106">
        <v>3</v>
      </c>
      <c r="U22" s="106">
        <v>2</v>
      </c>
      <c r="V22" s="106">
        <v>2</v>
      </c>
      <c r="W22" s="106">
        <v>0</v>
      </c>
      <c r="X22" s="106">
        <v>0</v>
      </c>
    </row>
    <row r="24" spans="1:81">
      <c r="P24" s="1195" t="s">
        <v>2031</v>
      </c>
      <c r="Q24" s="1195" t="str">
        <f>IF(VCZ=1,"VCZradiantOne",IF(VCZ=2,"VCZradiantTwo",IF(VCZ=3,"VCZradiantThree",IF(VCZ=4,"VCZradiantFour",IF(VCZ=5,"VCZradiantFive",IF(VCZ=6,"VCZradiantSix",IF(VCZ=7,"VCZradiantSeven",IF(VCZ=8,"VCZradiantEight",""))))))))</f>
        <v/>
      </c>
    </row>
    <row r="25" spans="1:81">
      <c r="O25" s="642" t="s">
        <v>2030</v>
      </c>
      <c r="Q25" s="106">
        <v>0</v>
      </c>
      <c r="R25" s="106">
        <v>0</v>
      </c>
      <c r="S25" s="106">
        <v>0</v>
      </c>
      <c r="T25" s="106">
        <v>0</v>
      </c>
      <c r="U25" s="106">
        <v>0</v>
      </c>
      <c r="V25" s="106">
        <v>0</v>
      </c>
      <c r="W25" s="106">
        <v>0</v>
      </c>
      <c r="X25" s="106">
        <v>0</v>
      </c>
    </row>
    <row r="26" spans="1:81">
      <c r="Q26" s="106">
        <v>1</v>
      </c>
      <c r="R26" s="106">
        <v>3</v>
      </c>
      <c r="S26" s="106">
        <v>3</v>
      </c>
      <c r="T26" s="106">
        <v>1</v>
      </c>
      <c r="AF26" s="106" t="str">
        <f>VCZ</f>
        <v>Verifier Enter on Start Here! tab</v>
      </c>
      <c r="AL26" s="1195" t="s">
        <v>2043</v>
      </c>
      <c r="AM26" s="106" t="str">
        <f>VCZ</f>
        <v>Verifier Enter on Start Here! tab</v>
      </c>
      <c r="AW26" s="1195" t="s">
        <v>2043</v>
      </c>
      <c r="AX26" s="1195" t="str">
        <f>VCZ</f>
        <v>Verifier Enter on Start Here! tab</v>
      </c>
      <c r="AY26" s="1195"/>
      <c r="AZ26" s="1195"/>
      <c r="BA26" s="1195"/>
      <c r="BB26" s="1195"/>
      <c r="BC26" s="1195"/>
      <c r="BD26" s="1195"/>
      <c r="BE26" s="1195"/>
      <c r="BF26" s="1195"/>
      <c r="BH26" s="1195" t="s">
        <v>2043</v>
      </c>
      <c r="BI26" s="1195" t="str">
        <f>VCZ</f>
        <v>Verifier Enter on Start Here! tab</v>
      </c>
      <c r="BJ26" s="1195"/>
      <c r="BK26" s="1195"/>
      <c r="BL26" s="1195"/>
      <c r="BM26" s="1195"/>
      <c r="BN26" s="1195"/>
      <c r="BO26" s="1195"/>
      <c r="BP26" s="1195"/>
      <c r="BQ26" s="1195"/>
      <c r="BS26" s="1195" t="s">
        <v>2043</v>
      </c>
      <c r="BT26" s="1195" t="str">
        <f>VCZ</f>
        <v>Verifier Enter on Start Here! tab</v>
      </c>
      <c r="BU26" s="1195"/>
      <c r="BV26" s="1195"/>
      <c r="BW26" s="1195"/>
      <c r="BX26" s="1195"/>
      <c r="BY26" s="1195"/>
      <c r="BZ26" s="1195"/>
      <c r="CA26" s="1195"/>
      <c r="CB26" s="1195"/>
    </row>
    <row r="27" spans="1:81">
      <c r="N27" s="106" t="str">
        <f>VCZ</f>
        <v>Verifier Enter on Start Here! tab</v>
      </c>
      <c r="AW27" s="1195"/>
      <c r="AX27" s="1195"/>
      <c r="AY27" s="1195"/>
      <c r="AZ27" s="1195"/>
      <c r="BA27" s="1195"/>
      <c r="BB27" s="1195"/>
      <c r="BC27" s="1195"/>
      <c r="BD27" s="1195"/>
      <c r="BE27" s="1195"/>
      <c r="BF27" s="1195"/>
      <c r="BH27" s="1195"/>
      <c r="BI27" s="1195"/>
      <c r="BJ27" s="1195"/>
      <c r="BK27" s="1195"/>
      <c r="BL27" s="1195"/>
      <c r="BM27" s="1195"/>
      <c r="BN27" s="1195"/>
      <c r="BO27" s="1195"/>
      <c r="BP27" s="1195"/>
      <c r="BQ27" s="1195"/>
      <c r="BS27" s="1195"/>
      <c r="BT27" s="1195"/>
      <c r="BU27" s="1195"/>
      <c r="BV27" s="1195"/>
      <c r="BW27" s="1195"/>
      <c r="BX27" s="1195"/>
      <c r="BY27" s="1195"/>
      <c r="BZ27" s="1195"/>
      <c r="CA27" s="1195"/>
      <c r="CB27" s="1195"/>
    </row>
    <row r="28" spans="1:81">
      <c r="P28" s="1195" t="s">
        <v>2033</v>
      </c>
      <c r="Q28" s="1195" t="str">
        <f>IF(VCZ=1,"VCZACH501",IF(VCZ=2,"VCZACH502",IF(VCZ=3,"VCZACH503",IF(VCZ=4,"VCZACH504r",IF(VCZ=5,"VCZACH505",IF(VCZ=6,"VCZACH506",IF(VCZ=7,"VCZACH507",IF(VCZ=8,"VCZACH508",""))))))))</f>
        <v/>
      </c>
      <c r="AL28" s="1195" t="s">
        <v>1404</v>
      </c>
      <c r="AO28" s="642" t="s">
        <v>2042</v>
      </c>
      <c r="AP28" s="106" t="e">
        <f>IF('Verification Rpt'!#REF!&gt;97.99,6,IF('Verification Rpt'!#REF!&gt;95.99,5,IF('Verification Rpt'!#REF!&gt;93.99,4,IF('Verification Rpt'!#REF!&gt;91.99,3,IF('Verification Rpt'!#REF!&gt;89.99,2,7)))))</f>
        <v>#REF!</v>
      </c>
      <c r="AU28" s="1195" t="s">
        <v>256</v>
      </c>
      <c r="AW28" s="1195" t="s">
        <v>1405</v>
      </c>
      <c r="AX28" s="1195"/>
      <c r="AY28" s="1195"/>
      <c r="AZ28" s="642" t="s">
        <v>2042</v>
      </c>
      <c r="BA28" s="1195" t="e">
        <f>IF('Verification Rpt'!#REF!&gt;89.99,3,IF('Verification Rpt'!#REF!&gt;84.99,2,4))</f>
        <v>#REF!</v>
      </c>
      <c r="BB28" s="1195"/>
      <c r="BC28" s="1195"/>
      <c r="BD28" s="1195"/>
      <c r="BE28" s="1195"/>
      <c r="BF28" s="1195" t="s">
        <v>256</v>
      </c>
      <c r="BH28" s="1195" t="s">
        <v>1406</v>
      </c>
      <c r="BI28" s="1195"/>
      <c r="BJ28" s="1195"/>
      <c r="BK28" s="642" t="s">
        <v>2042</v>
      </c>
      <c r="BL28" s="1195" t="e">
        <f>IF('Verification Rpt'!#REF!&gt;95.99,5,IF('Verification Rpt'!#REF!&gt;93.99,4,IF('Verification Rpt'!#REF!&gt;89.99,3,IF('Verification Rpt'!#REF!&gt;84.99,2,6))))</f>
        <v>#REF!</v>
      </c>
      <c r="BM28" s="1195"/>
      <c r="BN28" s="1195"/>
      <c r="BO28" s="1195"/>
      <c r="BP28" s="1195"/>
      <c r="BQ28" s="1195" t="s">
        <v>256</v>
      </c>
      <c r="BS28" s="1195" t="s">
        <v>1407</v>
      </c>
      <c r="BT28" s="1195"/>
      <c r="BU28" s="1195"/>
      <c r="BV28" s="642" t="s">
        <v>2042</v>
      </c>
      <c r="BW28" s="1195" t="e">
        <f>IF('Verification Rpt'!#REF!&gt;89.99,3,IF('Verification Rpt'!#REF!&gt;84.99,2,4))</f>
        <v>#REF!</v>
      </c>
      <c r="BX28" s="1195"/>
      <c r="BY28" s="1195"/>
      <c r="BZ28" s="1195"/>
      <c r="CA28" s="1195"/>
      <c r="CB28" s="1195" t="s">
        <v>256</v>
      </c>
      <c r="CC28" s="1195" t="s">
        <v>2044</v>
      </c>
    </row>
    <row r="29" spans="1:81">
      <c r="O29" s="1195"/>
      <c r="P29" s="1195"/>
      <c r="Q29" s="1149">
        <v>1</v>
      </c>
      <c r="R29" s="1149">
        <v>2</v>
      </c>
      <c r="S29" s="1149">
        <v>3</v>
      </c>
      <c r="T29" s="1149">
        <v>4</v>
      </c>
      <c r="U29" s="1149">
        <v>5</v>
      </c>
      <c r="V29" s="1149">
        <v>6</v>
      </c>
      <c r="W29" s="1149">
        <v>7</v>
      </c>
      <c r="X29" s="1149">
        <v>8</v>
      </c>
      <c r="Z29" s="1195" t="s">
        <v>256</v>
      </c>
      <c r="AB29" s="1195" t="s">
        <v>1387</v>
      </c>
      <c r="AC29" s="1195" t="s">
        <v>2037</v>
      </c>
      <c r="AD29" s="1195" t="s">
        <v>306</v>
      </c>
      <c r="AE29" s="1195" t="s">
        <v>2038</v>
      </c>
      <c r="AF29" s="1195" t="s">
        <v>2039</v>
      </c>
      <c r="AH29" s="1195" t="s">
        <v>2041</v>
      </c>
      <c r="AI29" s="1386" t="s">
        <v>2040</v>
      </c>
      <c r="AJ29" s="1195" t="s">
        <v>256</v>
      </c>
      <c r="AL29" s="1195" t="s">
        <v>1393</v>
      </c>
      <c r="AM29" s="106">
        <v>1</v>
      </c>
      <c r="AN29" s="106">
        <v>2</v>
      </c>
      <c r="AO29" s="106">
        <v>3</v>
      </c>
      <c r="AP29" s="106">
        <v>4</v>
      </c>
      <c r="AQ29" s="106">
        <v>5</v>
      </c>
      <c r="AR29" s="106">
        <v>6</v>
      </c>
      <c r="AS29" s="106">
        <v>7</v>
      </c>
      <c r="AT29" s="106">
        <v>8</v>
      </c>
      <c r="AU29" s="1329" t="e">
        <f>IF(AND('Verification Rpt'!#REF!&lt;&gt;"",'Verification Rpt'!#REF!="Gas Heaters"),HLOOKUP(VCZ,Formulas!AM29:AT35,Formulas!AP28,0),0)</f>
        <v>#REF!</v>
      </c>
      <c r="AW29" s="1195" t="s">
        <v>1393</v>
      </c>
      <c r="AX29" s="1195">
        <v>1</v>
      </c>
      <c r="AY29" s="1195">
        <v>2</v>
      </c>
      <c r="AZ29" s="1195">
        <v>3</v>
      </c>
      <c r="BA29" s="1195">
        <v>4</v>
      </c>
      <c r="BB29" s="1195">
        <v>5</v>
      </c>
      <c r="BC29" s="1195">
        <v>6</v>
      </c>
      <c r="BD29" s="1195">
        <v>7</v>
      </c>
      <c r="BE29" s="1195">
        <v>8</v>
      </c>
      <c r="BF29" s="1329" t="e">
        <f>IF(AND('Verification Rpt'!#REF!&lt;&gt;"",'Verification Rpt'!#REF!="Oil Furnace"),HLOOKUP(VCZ,Formulas!AX29:BE33,Formulas!BA28,0),0)</f>
        <v>#REF!</v>
      </c>
      <c r="BH29" s="1195" t="s">
        <v>1393</v>
      </c>
      <c r="BI29" s="1195">
        <v>1</v>
      </c>
      <c r="BJ29" s="1195">
        <v>2</v>
      </c>
      <c r="BK29" s="1195">
        <v>3</v>
      </c>
      <c r="BL29" s="1195">
        <v>4</v>
      </c>
      <c r="BM29" s="1195">
        <v>5</v>
      </c>
      <c r="BN29" s="1195">
        <v>6</v>
      </c>
      <c r="BO29" s="1195">
        <v>7</v>
      </c>
      <c r="BP29" s="1195">
        <v>8</v>
      </c>
      <c r="BQ29" s="1329" t="e">
        <f>IF(AND('Verification Rpt'!#REF!&lt;&gt;"",'Verification Rpt'!#REF!="Gas Boiler"),HLOOKUP(VCZ,Formulas!BI29:BP34,Formulas!BL28,0),0)</f>
        <v>#REF!</v>
      </c>
      <c r="BS29" s="1195" t="s">
        <v>1393</v>
      </c>
      <c r="BT29" s="1195">
        <v>1</v>
      </c>
      <c r="BU29" s="1195">
        <v>2</v>
      </c>
      <c r="BV29" s="1195">
        <v>3</v>
      </c>
      <c r="BW29" s="1195">
        <v>4</v>
      </c>
      <c r="BX29" s="1195">
        <v>5</v>
      </c>
      <c r="BY29" s="1195">
        <v>6</v>
      </c>
      <c r="BZ29" s="1195">
        <v>7</v>
      </c>
      <c r="CA29" s="1195">
        <v>8</v>
      </c>
      <c r="CB29" s="1329" t="e">
        <f>IF(AND('Verification Rpt'!#REF!&lt;&gt;"",'Verification Rpt'!#REF!="Oil Boiler"),HLOOKUP(VCZ,Formulas!BT29:CA33,Formulas!BW28,0),0)</f>
        <v>#REF!</v>
      </c>
      <c r="CC29" s="1329" t="e">
        <f>MAX(CB29,BQ29,BF29,AU29)</f>
        <v>#REF!</v>
      </c>
    </row>
    <row r="30" spans="1:81">
      <c r="O30" s="642" t="s">
        <v>2032</v>
      </c>
      <c r="P30" s="106">
        <v>5</v>
      </c>
      <c r="Q30" s="106">
        <v>2</v>
      </c>
      <c r="R30" s="106">
        <v>3</v>
      </c>
      <c r="S30" s="106">
        <v>3</v>
      </c>
      <c r="T30" s="106">
        <v>4</v>
      </c>
      <c r="U30" s="106">
        <v>6</v>
      </c>
      <c r="V30" s="106">
        <v>7</v>
      </c>
      <c r="W30" s="106">
        <v>8</v>
      </c>
      <c r="X30" s="106">
        <v>9</v>
      </c>
      <c r="Z30" s="1329" t="e">
        <f>IF('Verification Rpt'!#REF!&lt;&gt;"",HLOOKUP(VCZ,P29:X35,O32),0)</f>
        <v>#REF!</v>
      </c>
      <c r="AB30" s="1195" t="s">
        <v>3</v>
      </c>
      <c r="AC30" s="1195">
        <f>IF(VCZ&lt;3,0.65,IF(VCZ&lt;4,0.4,0.35))</f>
        <v>0.35</v>
      </c>
      <c r="AD30" s="1195">
        <f>IF(VCZ&lt;4,0.3,5)</f>
        <v>5</v>
      </c>
      <c r="AE30" s="1195">
        <f>IF(VCZ&lt;3,0.75,IF(VCZ&lt;4,0.65,0.6))</f>
        <v>0.6</v>
      </c>
      <c r="AF30" s="1195">
        <f>IF(VCZ&lt;4,0.3,5)</f>
        <v>5</v>
      </c>
      <c r="AG30" s="1195"/>
      <c r="AH30" s="1195" t="e">
        <f>IF(AND('Verification Rpt'!#REF!&lt;=Formulas!AC30,'Verification Rpt'!#REF!&lt;=Formulas!AD30,'Verification Rpt'!#REF!&lt;=Formulas!AE30,'Verification Rpt'!#REF!&lt;=Formulas!AF30),"MET","Not Met")</f>
        <v>#REF!</v>
      </c>
      <c r="AI30" s="1386"/>
      <c r="AJ30" s="1195"/>
      <c r="AL30" s="1387">
        <v>90</v>
      </c>
      <c r="AM30" s="106">
        <v>0</v>
      </c>
      <c r="AN30" s="106">
        <v>5</v>
      </c>
      <c r="AO30" s="106">
        <v>6</v>
      </c>
      <c r="AP30" s="106">
        <v>7</v>
      </c>
      <c r="AQ30" s="106">
        <v>9</v>
      </c>
      <c r="AR30" s="106">
        <v>9</v>
      </c>
      <c r="AS30" s="106">
        <v>10</v>
      </c>
      <c r="AT30" s="106">
        <v>10</v>
      </c>
      <c r="AW30" s="1387">
        <v>85</v>
      </c>
      <c r="AX30" s="1195">
        <v>0</v>
      </c>
      <c r="AY30" s="1195">
        <v>5</v>
      </c>
      <c r="AZ30" s="1195">
        <v>6</v>
      </c>
      <c r="BA30" s="1195">
        <v>7</v>
      </c>
      <c r="BB30" s="1195">
        <v>9</v>
      </c>
      <c r="BC30" s="1195">
        <v>9</v>
      </c>
      <c r="BD30" s="1195">
        <v>10</v>
      </c>
      <c r="BE30" s="1195">
        <v>10</v>
      </c>
      <c r="BF30" s="1195"/>
      <c r="BH30" s="1387">
        <v>85</v>
      </c>
      <c r="BI30" s="1195">
        <v>0</v>
      </c>
      <c r="BJ30" s="1195">
        <v>9</v>
      </c>
      <c r="BK30" s="1195">
        <v>16</v>
      </c>
      <c r="BL30" s="1195">
        <v>18</v>
      </c>
      <c r="BM30" s="1195">
        <v>17</v>
      </c>
      <c r="BN30" s="1195">
        <v>16</v>
      </c>
      <c r="BO30" s="1195">
        <v>16</v>
      </c>
      <c r="BP30" s="1195">
        <v>16</v>
      </c>
      <c r="BQ30" s="1195"/>
      <c r="BS30" s="1387">
        <v>85</v>
      </c>
      <c r="BT30" s="1195">
        <v>0</v>
      </c>
      <c r="BU30" s="1195">
        <v>5</v>
      </c>
      <c r="BV30" s="1195">
        <v>6</v>
      </c>
      <c r="BW30" s="1195">
        <v>7</v>
      </c>
      <c r="BX30" s="1195">
        <v>9</v>
      </c>
      <c r="BY30" s="1195">
        <v>9</v>
      </c>
      <c r="BZ30" s="1195">
        <v>10</v>
      </c>
      <c r="CA30" s="1195">
        <v>10</v>
      </c>
      <c r="CB30" s="1195"/>
    </row>
    <row r="31" spans="1:81">
      <c r="A31" s="547" t="s">
        <v>711</v>
      </c>
      <c r="P31" s="106">
        <v>4</v>
      </c>
      <c r="Q31" s="106">
        <v>3</v>
      </c>
      <c r="R31" s="106">
        <v>4</v>
      </c>
      <c r="S31" s="106">
        <v>5</v>
      </c>
      <c r="T31" s="106">
        <v>7</v>
      </c>
      <c r="U31" s="106">
        <v>10</v>
      </c>
      <c r="V31" s="106">
        <v>12</v>
      </c>
      <c r="W31" s="106">
        <v>13</v>
      </c>
      <c r="X31" s="106">
        <v>14</v>
      </c>
      <c r="AB31" s="1195" t="s">
        <v>2034</v>
      </c>
      <c r="AC31" s="106">
        <f>IF(VCZ&lt;3,0.6,IF(VCZ&lt;4,0.35,IF(VCZ&lt;5,0.32,0.3)))</f>
        <v>0.3</v>
      </c>
      <c r="AD31" s="1195">
        <f>IF(VCZ&lt;3,0.27,IF(VCZ&lt;4,0.3,IF(VCZ&lt;5,0.4,5)))</f>
        <v>5</v>
      </c>
      <c r="AE31" s="1195">
        <f>IF(VCZ&lt;3,0.7,IF(VCZ&lt;4,0.57,0.55))</f>
        <v>0.55000000000000004</v>
      </c>
      <c r="AF31" s="1195">
        <f>IF(VCZ&lt;4,0.3,IF(VCZ&lt;5,0.4,5))</f>
        <v>5</v>
      </c>
      <c r="AH31" s="106" t="e">
        <f>IF(AND('Verification Rpt'!#REF!&lt;=Formulas!AC31,'Verification Rpt'!#REF!&lt;=Formulas!AD31,'Verification Rpt'!#REF!&lt;=Formulas!AE31,'Verification Rpt'!#REF!&lt;=Formulas!AF31),"MET","Not Met")</f>
        <v>#REF!</v>
      </c>
      <c r="AI31" s="106">
        <f>IF(VCZ=1,10,IF(VCZ=2,5,IF(VCZ=3,6,IF(VCZ=4,2,5))))</f>
        <v>5</v>
      </c>
      <c r="AJ31" s="106" t="e">
        <f>IF(AH31="Met",AI31,0)</f>
        <v>#REF!</v>
      </c>
      <c r="AL31" s="1387">
        <v>92</v>
      </c>
      <c r="AM31" s="106">
        <v>0</v>
      </c>
      <c r="AN31" s="106">
        <v>5</v>
      </c>
      <c r="AO31" s="106">
        <v>8</v>
      </c>
      <c r="AP31" s="106">
        <v>9</v>
      </c>
      <c r="AQ31" s="106">
        <v>11</v>
      </c>
      <c r="AR31" s="106">
        <v>11</v>
      </c>
      <c r="AS31" s="106">
        <v>12</v>
      </c>
      <c r="AT31" s="106">
        <v>12</v>
      </c>
      <c r="AW31" s="1387">
        <v>90</v>
      </c>
      <c r="AX31" s="1195">
        <v>0</v>
      </c>
      <c r="AY31" s="1195">
        <v>5</v>
      </c>
      <c r="AZ31" s="1195">
        <v>8</v>
      </c>
      <c r="BA31" s="1195">
        <v>9</v>
      </c>
      <c r="BB31" s="1195">
        <v>11</v>
      </c>
      <c r="BC31" s="1195">
        <v>11</v>
      </c>
      <c r="BD31" s="1195">
        <v>12</v>
      </c>
      <c r="BE31" s="1195">
        <v>12</v>
      </c>
      <c r="BF31" s="1195"/>
      <c r="BH31" s="1387">
        <v>90</v>
      </c>
      <c r="BI31" s="1195">
        <v>1</v>
      </c>
      <c r="BJ31" s="1195">
        <v>10</v>
      </c>
      <c r="BK31" s="1195">
        <v>17</v>
      </c>
      <c r="BL31" s="1195">
        <v>19</v>
      </c>
      <c r="BM31" s="1195">
        <v>18</v>
      </c>
      <c r="BN31" s="1195">
        <v>17</v>
      </c>
      <c r="BO31" s="1195">
        <v>17</v>
      </c>
      <c r="BP31" s="1195">
        <v>17</v>
      </c>
      <c r="BQ31" s="1195"/>
      <c r="BS31" s="1387">
        <v>90</v>
      </c>
      <c r="BT31" s="1195">
        <v>0</v>
      </c>
      <c r="BU31" s="1195">
        <v>5</v>
      </c>
      <c r="BV31" s="1195">
        <v>8</v>
      </c>
      <c r="BW31" s="1195">
        <v>9</v>
      </c>
      <c r="BX31" s="1195">
        <v>11</v>
      </c>
      <c r="BY31" s="1195">
        <v>11</v>
      </c>
      <c r="BZ31" s="1195">
        <v>12</v>
      </c>
      <c r="CA31" s="1195">
        <v>12</v>
      </c>
      <c r="CB31" s="1195"/>
    </row>
    <row r="32" spans="1:81" s="546" customFormat="1">
      <c r="A32" s="553" t="s">
        <v>715</v>
      </c>
      <c r="C32" s="546" t="s">
        <v>67</v>
      </c>
      <c r="F32" s="106"/>
      <c r="O32" s="106" t="e">
        <f>IF('Verification Rpt'!#REF!&lt;1.01,6,IF('Verification Rpt'!#REF!&lt;2.01,5,IF('Verification Rpt'!#REF!&lt;3.01,4,IF('Verification Rpt'!#REF!&lt;4.01,3,IF('Verification Rpt'!#REF!&lt;5.5,2,7)))))</f>
        <v>#REF!</v>
      </c>
      <c r="P32" s="106">
        <v>3</v>
      </c>
      <c r="Q32" s="106">
        <v>3</v>
      </c>
      <c r="R32" s="106">
        <v>5</v>
      </c>
      <c r="S32" s="106">
        <v>6</v>
      </c>
      <c r="T32" s="106">
        <v>9</v>
      </c>
      <c r="U32" s="106">
        <v>13</v>
      </c>
      <c r="V32" s="106">
        <v>15</v>
      </c>
      <c r="W32" s="106">
        <v>17</v>
      </c>
      <c r="X32" s="106">
        <v>19</v>
      </c>
      <c r="AB32" s="1195" t="s">
        <v>2035</v>
      </c>
      <c r="AC32" s="1195">
        <f>IF(VCZ&lt;3,0.4,IF(VCZ&lt;4,0.3,IF(VCZ&lt;5,0.28,0.25)))</f>
        <v>0.25</v>
      </c>
      <c r="AD32" s="1195">
        <f>IF(VCZ&lt;4,0.25,IF(VCZ&lt;5,0.4,5))</f>
        <v>5</v>
      </c>
      <c r="AE32" s="1195">
        <v>0.5</v>
      </c>
      <c r="AF32" s="1195">
        <f>IF(VCZ&lt;3,0.3,IF(VCZ&lt;4,0.35,IF(VCZ&lt;5,0.4,5)))</f>
        <v>5</v>
      </c>
      <c r="AG32" s="106"/>
      <c r="AH32" s="1195" t="e">
        <f>IF(AND('Verification Rpt'!#REF!&lt;=Formulas!AC32,'Verification Rpt'!#REF!&lt;=Formulas!AD32,'Verification Rpt'!#REF!&lt;=Formulas!AE32,'Verification Rpt'!#REF!&lt;=Formulas!AF32),"MET","Not Met")</f>
        <v>#REF!</v>
      </c>
      <c r="AI32" s="1195">
        <f>IF(VCZ=1,13,IF(VCZ=2,9,IF(VCZ=3,9,IF(VCZ=4,4,IF(VCZ=5,8,9)))))</f>
        <v>9</v>
      </c>
      <c r="AJ32" s="1195" t="e">
        <f t="shared" ref="AJ32:AJ33" si="0">IF(AH32="Met",AI32,0)</f>
        <v>#REF!</v>
      </c>
      <c r="AL32" s="1388">
        <v>94</v>
      </c>
      <c r="AM32" s="546">
        <v>0</v>
      </c>
      <c r="AN32" s="546">
        <v>5</v>
      </c>
      <c r="AO32" s="546">
        <v>8</v>
      </c>
      <c r="AP32" s="546">
        <v>10</v>
      </c>
      <c r="AQ32" s="546">
        <v>13</v>
      </c>
      <c r="AR32" s="546">
        <v>13</v>
      </c>
      <c r="AS32" s="546">
        <v>13</v>
      </c>
      <c r="AT32" s="546">
        <v>14</v>
      </c>
      <c r="AW32" s="1388"/>
      <c r="AX32" s="546">
        <v>0</v>
      </c>
      <c r="AY32" s="546">
        <v>0</v>
      </c>
      <c r="AZ32" s="546">
        <v>0</v>
      </c>
      <c r="BA32" s="546">
        <v>0</v>
      </c>
      <c r="BB32" s="546">
        <v>0</v>
      </c>
      <c r="BC32" s="546">
        <v>0</v>
      </c>
      <c r="BD32" s="546">
        <v>0</v>
      </c>
      <c r="BE32" s="546">
        <v>0</v>
      </c>
      <c r="BH32" s="1388">
        <v>94</v>
      </c>
      <c r="BI32" s="546">
        <v>1</v>
      </c>
      <c r="BJ32" s="546">
        <v>10</v>
      </c>
      <c r="BK32" s="546">
        <v>18</v>
      </c>
      <c r="BL32" s="546">
        <v>19</v>
      </c>
      <c r="BM32" s="546">
        <v>19</v>
      </c>
      <c r="BN32" s="546">
        <v>17</v>
      </c>
      <c r="BO32" s="546">
        <v>17</v>
      </c>
      <c r="BP32" s="546">
        <v>17</v>
      </c>
      <c r="BS32" s="1388"/>
      <c r="BT32" s="546">
        <v>0</v>
      </c>
      <c r="BU32" s="546">
        <v>0</v>
      </c>
      <c r="BV32" s="546">
        <v>0</v>
      </c>
      <c r="BW32" s="546">
        <v>0</v>
      </c>
      <c r="BX32" s="546">
        <v>0</v>
      </c>
      <c r="BY32" s="546">
        <v>0</v>
      </c>
      <c r="BZ32" s="546">
        <v>0</v>
      </c>
      <c r="CA32" s="546">
        <v>0</v>
      </c>
    </row>
    <row r="33" spans="1:80" ht="15" customHeight="1">
      <c r="A33" s="106" t="s">
        <v>712</v>
      </c>
      <c r="C33" s="530">
        <f>IF(choice503.5_3=C19,points503.5_3a,IF(choice503.5_3=C20,points503.5_3b,IF(choice503.5_3=C21,points503.5_3c,IF(choice503.5_3=C22,points503.5_3d,0))))</f>
        <v>0</v>
      </c>
      <c r="F33" s="546"/>
      <c r="O33" s="546"/>
      <c r="P33" s="1195">
        <v>2</v>
      </c>
      <c r="Q33" s="1195">
        <v>4</v>
      </c>
      <c r="R33" s="1195">
        <v>6</v>
      </c>
      <c r="S33" s="1195">
        <v>8</v>
      </c>
      <c r="T33" s="1195">
        <v>11</v>
      </c>
      <c r="U33" s="1195">
        <v>15</v>
      </c>
      <c r="V33" s="1195">
        <v>18</v>
      </c>
      <c r="W33" s="1195">
        <v>20</v>
      </c>
      <c r="X33" s="1195">
        <v>23</v>
      </c>
      <c r="AB33" s="546" t="s">
        <v>2036</v>
      </c>
      <c r="AC33" s="1195">
        <f>IF(VCZ=4,0.25,IF(VCZ=5,0.22,0))</f>
        <v>0</v>
      </c>
      <c r="AD33" s="1195">
        <f>IF(VCZ=4,0.4,5)</f>
        <v>5</v>
      </c>
      <c r="AE33" s="1195">
        <f>IF(OR(VCZ=4,VCZ=5),0.4,0)</f>
        <v>0</v>
      </c>
      <c r="AF33" s="1195">
        <f>IF(VCZ=4,0.4,5)</f>
        <v>5</v>
      </c>
      <c r="AG33" s="546"/>
      <c r="AH33" s="1195" t="e">
        <f>IF(AND('Verification Rpt'!#REF!&lt;=Formulas!AC33,'Verification Rpt'!#REF!&lt;=Formulas!AD33,'Verification Rpt'!#REF!&lt;=Formulas!AE33,'Verification Rpt'!#REF!&lt;=Formulas!AF33),"MET","Not Met")</f>
        <v>#REF!</v>
      </c>
      <c r="AI33" s="546">
        <f>IF(VCZ=4,5,IF(VCZ=5,9,0))</f>
        <v>0</v>
      </c>
      <c r="AJ33" s="1195" t="e">
        <f t="shared" si="0"/>
        <v>#REF!</v>
      </c>
      <c r="AL33" s="1387">
        <v>96</v>
      </c>
      <c r="AM33" s="106">
        <v>1</v>
      </c>
      <c r="AN33" s="106">
        <v>6</v>
      </c>
      <c r="AO33" s="106">
        <v>10</v>
      </c>
      <c r="AP33" s="106">
        <v>11</v>
      </c>
      <c r="AQ33" s="106">
        <v>14</v>
      </c>
      <c r="AR33" s="106">
        <v>14</v>
      </c>
      <c r="AS33" s="106">
        <v>15</v>
      </c>
      <c r="AT33" s="106">
        <v>16</v>
      </c>
      <c r="AW33" s="1387"/>
      <c r="AX33" s="1195"/>
      <c r="AY33" s="1195"/>
      <c r="AZ33" s="1195"/>
      <c r="BA33" s="1195"/>
      <c r="BB33" s="1195"/>
      <c r="BC33" s="1195"/>
      <c r="BD33" s="1195"/>
      <c r="BE33" s="1195"/>
      <c r="BF33" s="1195"/>
      <c r="BH33" s="106">
        <v>96</v>
      </c>
      <c r="BJ33" s="106">
        <v>10</v>
      </c>
      <c r="BK33" s="106">
        <v>18</v>
      </c>
      <c r="BL33" s="106">
        <v>20</v>
      </c>
      <c r="BM33" s="106">
        <v>19</v>
      </c>
      <c r="BN33" s="106">
        <v>18</v>
      </c>
      <c r="BO33" s="1195">
        <v>18</v>
      </c>
      <c r="BP33" s="1195">
        <v>18</v>
      </c>
      <c r="BS33" s="1195"/>
      <c r="BT33" s="1195"/>
      <c r="BU33" s="1195"/>
      <c r="BV33" s="1195"/>
      <c r="BW33" s="1195"/>
      <c r="BX33" s="1195"/>
      <c r="BY33" s="1195"/>
      <c r="BZ33" s="1195"/>
      <c r="CA33" s="1195"/>
      <c r="CB33" s="1195"/>
    </row>
    <row r="34" spans="1:80" ht="15" customHeight="1">
      <c r="A34" s="106" t="s">
        <v>713</v>
      </c>
      <c r="P34" s="106">
        <v>1</v>
      </c>
      <c r="Q34" s="106">
        <v>4</v>
      </c>
      <c r="R34" s="106">
        <v>5</v>
      </c>
      <c r="S34" s="106">
        <v>8</v>
      </c>
      <c r="T34" s="106">
        <v>12</v>
      </c>
      <c r="U34" s="106">
        <v>17</v>
      </c>
      <c r="V34" s="106">
        <v>19</v>
      </c>
      <c r="W34" s="106">
        <v>22</v>
      </c>
      <c r="X34" s="106">
        <v>24</v>
      </c>
      <c r="AL34" s="1387">
        <v>98</v>
      </c>
      <c r="AM34" s="106">
        <v>1</v>
      </c>
      <c r="AN34" s="106">
        <v>6</v>
      </c>
      <c r="AO34" s="106">
        <v>10</v>
      </c>
      <c r="AP34" s="106">
        <v>13</v>
      </c>
      <c r="AQ34" s="106">
        <v>15</v>
      </c>
      <c r="AR34" s="106">
        <v>15</v>
      </c>
      <c r="AS34" s="106">
        <v>16</v>
      </c>
      <c r="AT34" s="106">
        <v>17</v>
      </c>
      <c r="AW34" s="1387"/>
      <c r="AX34" s="1195"/>
      <c r="AY34" s="1195"/>
      <c r="AZ34" s="1195"/>
      <c r="BA34" s="1195"/>
      <c r="BB34" s="1195"/>
      <c r="BC34" s="1195"/>
      <c r="BD34" s="1195"/>
      <c r="BE34" s="1195"/>
      <c r="BF34" s="1195"/>
      <c r="BI34" s="546">
        <v>0</v>
      </c>
      <c r="BJ34" s="546">
        <v>0</v>
      </c>
      <c r="BK34" s="546">
        <v>0</v>
      </c>
      <c r="BL34" s="546">
        <v>0</v>
      </c>
      <c r="BM34" s="546">
        <v>0</v>
      </c>
      <c r="BN34" s="546">
        <v>0</v>
      </c>
      <c r="BO34" s="546">
        <v>0</v>
      </c>
      <c r="BP34" s="546">
        <v>0</v>
      </c>
      <c r="BS34" s="1195"/>
      <c r="BT34" s="546"/>
      <c r="BU34" s="546"/>
      <c r="BV34" s="546"/>
      <c r="BW34" s="546"/>
      <c r="BX34" s="546"/>
      <c r="BY34" s="546"/>
      <c r="BZ34" s="546"/>
      <c r="CA34" s="546"/>
      <c r="CB34" s="1195"/>
    </row>
    <row r="35" spans="1:80">
      <c r="A35" s="106" t="s">
        <v>714</v>
      </c>
      <c r="C35" s="530"/>
      <c r="Q35" s="106">
        <v>0</v>
      </c>
      <c r="R35" s="106">
        <v>0</v>
      </c>
      <c r="S35" s="106">
        <v>0</v>
      </c>
      <c r="T35" s="106">
        <v>0</v>
      </c>
      <c r="U35" s="106">
        <v>0</v>
      </c>
      <c r="V35" s="106">
        <v>0</v>
      </c>
      <c r="W35" s="106">
        <v>0</v>
      </c>
      <c r="X35" s="106">
        <v>0</v>
      </c>
      <c r="AM35" s="106">
        <v>0</v>
      </c>
      <c r="AN35" s="106">
        <v>0</v>
      </c>
      <c r="AO35" s="106">
        <v>0</v>
      </c>
      <c r="AP35" s="106">
        <v>0</v>
      </c>
      <c r="AQ35" s="106">
        <v>0</v>
      </c>
      <c r="AR35" s="106">
        <v>0</v>
      </c>
      <c r="AS35" s="106">
        <v>0</v>
      </c>
      <c r="AT35" s="106">
        <v>0</v>
      </c>
      <c r="AW35" s="1195" t="s">
        <v>2054</v>
      </c>
      <c r="AX35" s="1195"/>
      <c r="AY35" s="1195"/>
      <c r="AZ35" s="642" t="s">
        <v>2042</v>
      </c>
      <c r="BA35" s="1195" t="e">
        <f>IF(AND('Verification Rpt'!#REF!="Gas",'Verification Rpt'!#REF!&gt;0.799),3,IF(AND('Verification Rpt'!#REF!="Gas",'Verification Rpt'!#REF!&gt;0.669),2,IF(AND('Verification Rpt'!#REF!="Gas &gt;75K BTU/Hr or instaneous",'Verification Rpt'!#REF!&gt;0.859),4,IF(AND('Verification Rpt'!#REF!="Electric",'Verification Rpt'!#REF!&gt;0.949),5,IF(AND('Verification Rpt'!#REF!="Oil",'Verification Rpt'!#REF!&gt;0.589),6,IF(AND('Verification Rpt'!#REF!="Heat Pump",'Verification Rpt'!#REF!&gt;2.19),9,IF(AND('Verification Rpt'!#REF!="Heat Pump",'Verification Rpt'!#REF!&gt;1.99),8,IF(AND('Verification Rpt'!#REF!="Heat Pump",'Verification Rpt'!#REF!&gt;1.49),7,10))))))))</f>
        <v>#REF!</v>
      </c>
      <c r="BB35" s="1195"/>
      <c r="BC35" s="1195"/>
      <c r="BD35" s="1195"/>
      <c r="BE35" s="1195"/>
      <c r="BF35" s="1195" t="s">
        <v>256</v>
      </c>
    </row>
    <row r="36" spans="1:80">
      <c r="C36" s="530"/>
      <c r="AW36" s="1195" t="s">
        <v>1428</v>
      </c>
      <c r="AX36" s="1195">
        <v>1</v>
      </c>
      <c r="AY36" s="1195">
        <v>2</v>
      </c>
      <c r="AZ36" s="1195">
        <v>3</v>
      </c>
      <c r="BA36" s="1195">
        <v>4</v>
      </c>
      <c r="BB36" s="1195">
        <v>5</v>
      </c>
      <c r="BC36" s="1195">
        <v>6</v>
      </c>
      <c r="BD36" s="1195">
        <v>7</v>
      </c>
      <c r="BE36" s="1195">
        <v>8</v>
      </c>
      <c r="BF36" s="1329" t="e">
        <f>IF('Verification Rpt'!#REF!&lt;&gt;"",HLOOKUP(VCZ,Formulas!AX36:BE45,Formulas!BA35,0),0)</f>
        <v>#REF!</v>
      </c>
    </row>
    <row r="37" spans="1:80">
      <c r="C37" s="530"/>
      <c r="AW37" s="1387" t="s">
        <v>2055</v>
      </c>
      <c r="AX37" s="1195">
        <v>4</v>
      </c>
      <c r="AY37" s="1195">
        <v>4</v>
      </c>
      <c r="AZ37" s="1195">
        <v>3</v>
      </c>
      <c r="BA37" s="1195">
        <v>2</v>
      </c>
      <c r="BB37" s="1195">
        <v>3</v>
      </c>
      <c r="BC37" s="1195">
        <v>2</v>
      </c>
      <c r="BD37" s="1195">
        <v>1</v>
      </c>
      <c r="BE37" s="1195">
        <v>1</v>
      </c>
      <c r="BF37" s="1195"/>
    </row>
    <row r="38" spans="1:80">
      <c r="A38" s="547" t="s">
        <v>722</v>
      </c>
      <c r="C38" s="530"/>
      <c r="D38" s="530"/>
      <c r="E38" s="530"/>
      <c r="G38" s="530"/>
      <c r="AW38" s="1195" t="s">
        <v>2059</v>
      </c>
      <c r="AX38" s="106">
        <v>7</v>
      </c>
      <c r="AY38" s="106">
        <v>7</v>
      </c>
      <c r="AZ38" s="106">
        <v>5</v>
      </c>
      <c r="BA38" s="106">
        <v>4</v>
      </c>
      <c r="BB38" s="106">
        <v>5</v>
      </c>
      <c r="BC38" s="106">
        <v>4</v>
      </c>
      <c r="BD38" s="106">
        <v>2</v>
      </c>
      <c r="BE38" s="106">
        <v>2</v>
      </c>
      <c r="BF38" s="1195"/>
    </row>
    <row r="39" spans="1:80" s="546" customFormat="1" ht="15">
      <c r="A39" s="546">
        <v>601.1</v>
      </c>
      <c r="B39" s="546">
        <v>601.20000000000005</v>
      </c>
      <c r="C39" s="347">
        <v>601.6</v>
      </c>
      <c r="D39" s="347" t="s">
        <v>736</v>
      </c>
      <c r="E39" s="347" t="s">
        <v>740</v>
      </c>
      <c r="F39" s="347" t="s">
        <v>743</v>
      </c>
      <c r="G39" s="347" t="s">
        <v>744</v>
      </c>
      <c r="H39" s="546" t="s">
        <v>745</v>
      </c>
      <c r="I39" s="546" t="s">
        <v>749</v>
      </c>
      <c r="J39" s="546" t="s">
        <v>750</v>
      </c>
      <c r="K39" s="546" t="s">
        <v>751</v>
      </c>
      <c r="L39" s="546" t="s">
        <v>760</v>
      </c>
      <c r="M39" s="546" t="s">
        <v>763</v>
      </c>
      <c r="N39" s="546" t="s">
        <v>769</v>
      </c>
      <c r="O39" s="546" t="s">
        <v>774</v>
      </c>
      <c r="P39" s="546" t="s">
        <v>779</v>
      </c>
      <c r="Q39" s="546">
        <v>602.20000000000005</v>
      </c>
      <c r="R39" s="546" t="s">
        <v>739</v>
      </c>
      <c r="S39" s="546" t="s">
        <v>785</v>
      </c>
      <c r="T39" s="546">
        <v>603.1</v>
      </c>
      <c r="U39" s="546">
        <v>603.20000000000005</v>
      </c>
      <c r="V39" s="546" t="s">
        <v>806</v>
      </c>
      <c r="W39" s="546" t="s">
        <v>807</v>
      </c>
      <c r="X39" s="546">
        <v>605.29999999999995</v>
      </c>
      <c r="Y39" s="546" t="s">
        <v>861</v>
      </c>
      <c r="Z39" s="546">
        <v>606.29999999999995</v>
      </c>
      <c r="AA39" s="546">
        <v>608.1</v>
      </c>
      <c r="AB39" s="546">
        <v>609.1</v>
      </c>
      <c r="AE39" s="546" t="s">
        <v>833</v>
      </c>
      <c r="AF39" s="546" t="s">
        <v>834</v>
      </c>
      <c r="AH39" s="546">
        <v>611.1</v>
      </c>
      <c r="AL39" s="1195" t="s">
        <v>2043</v>
      </c>
      <c r="AM39" s="1195" t="str">
        <f>VCZ</f>
        <v>Verifier Enter on Start Here! tab</v>
      </c>
      <c r="AN39" s="1195"/>
      <c r="AO39" s="1195"/>
      <c r="AP39" s="1195"/>
      <c r="AQ39" s="1195"/>
      <c r="AR39" s="1195"/>
      <c r="AS39" s="1195"/>
      <c r="AT39" s="1195"/>
      <c r="AU39" s="1195"/>
      <c r="AW39" s="1387" t="s">
        <v>2056</v>
      </c>
      <c r="AX39" s="1195">
        <v>7</v>
      </c>
      <c r="AY39" s="1195">
        <v>7</v>
      </c>
      <c r="AZ39" s="1195">
        <v>5</v>
      </c>
      <c r="BA39" s="1195">
        <v>4</v>
      </c>
      <c r="BB39" s="1195">
        <v>5</v>
      </c>
      <c r="BC39" s="1195">
        <v>4</v>
      </c>
      <c r="BD39" s="1195">
        <v>2</v>
      </c>
      <c r="BE39" s="1195">
        <v>2</v>
      </c>
    </row>
    <row r="40" spans="1:80" ht="15" customHeight="1">
      <c r="A40" s="106" t="str">
        <f>IF(startSquareFootage&gt;1000,"", "1000 sf or less")</f>
        <v>1000 sf or less</v>
      </c>
      <c r="C40" s="1184" t="s">
        <v>1909</v>
      </c>
      <c r="D40" s="530" t="s">
        <v>737</v>
      </c>
      <c r="E40" s="530" t="s">
        <v>737</v>
      </c>
      <c r="F40" s="530" t="s">
        <v>737</v>
      </c>
      <c r="G40" s="530" t="s">
        <v>737</v>
      </c>
      <c r="H40" s="106" t="s">
        <v>746</v>
      </c>
      <c r="I40" s="535" t="s">
        <v>737</v>
      </c>
      <c r="J40" s="535" t="s">
        <v>737</v>
      </c>
      <c r="K40" s="535" t="s">
        <v>737</v>
      </c>
      <c r="L40" s="106" t="s">
        <v>761</v>
      </c>
      <c r="M40" s="399" t="s">
        <v>765</v>
      </c>
      <c r="N40" s="535" t="s">
        <v>737</v>
      </c>
      <c r="O40" s="535" t="s">
        <v>737</v>
      </c>
      <c r="P40" s="535" t="s">
        <v>737</v>
      </c>
      <c r="Q40" s="106" t="s">
        <v>781</v>
      </c>
      <c r="R40" s="804" t="s">
        <v>1569</v>
      </c>
      <c r="S40" s="535" t="s">
        <v>737</v>
      </c>
      <c r="T40" s="106" t="s">
        <v>789</v>
      </c>
      <c r="U40" s="554">
        <v>0.01</v>
      </c>
      <c r="V40" s="106" t="s">
        <v>808</v>
      </c>
      <c r="W40" s="106" t="s">
        <v>808</v>
      </c>
      <c r="X40" s="106" t="s">
        <v>818</v>
      </c>
      <c r="Y40" s="106">
        <v>1</v>
      </c>
      <c r="Z40" s="106" t="s">
        <v>824</v>
      </c>
      <c r="AA40" s="106" t="s">
        <v>825</v>
      </c>
      <c r="AB40" s="106" t="s">
        <v>829</v>
      </c>
      <c r="AF40" s="106" t="s">
        <v>1831</v>
      </c>
      <c r="AH40" s="106" t="s">
        <v>836</v>
      </c>
      <c r="AL40" s="1195"/>
      <c r="AM40" s="1195"/>
      <c r="AN40" s="1195"/>
      <c r="AO40" s="1195"/>
      <c r="AP40" s="1195"/>
      <c r="AQ40" s="1195"/>
      <c r="AR40" s="1195"/>
      <c r="AS40" s="1195"/>
      <c r="AT40" s="1195"/>
      <c r="AU40" s="1195"/>
      <c r="AW40" s="1388" t="s">
        <v>2057</v>
      </c>
      <c r="AX40" s="546">
        <v>2</v>
      </c>
      <c r="AY40" s="546">
        <v>2</v>
      </c>
      <c r="AZ40" s="546">
        <v>2</v>
      </c>
      <c r="BA40" s="546">
        <v>1</v>
      </c>
      <c r="BB40" s="546">
        <v>1</v>
      </c>
      <c r="BC40" s="546">
        <v>1</v>
      </c>
      <c r="BD40" s="546">
        <v>1</v>
      </c>
      <c r="BE40" s="546">
        <v>1</v>
      </c>
      <c r="BF40" s="1195"/>
    </row>
    <row r="41" spans="1:80" ht="15" customHeight="1">
      <c r="A41" s="106" t="str">
        <f>IF(startSquareFootage&gt;1500,"","1500 sf or less")</f>
        <v>1500 sf or less</v>
      </c>
      <c r="C41" s="1184" t="s">
        <v>1910</v>
      </c>
      <c r="D41" s="530" t="s">
        <v>738</v>
      </c>
      <c r="E41" s="530" t="s">
        <v>738</v>
      </c>
      <c r="F41" s="530" t="s">
        <v>738</v>
      </c>
      <c r="G41" s="530" t="s">
        <v>738</v>
      </c>
      <c r="H41" s="106" t="s">
        <v>747</v>
      </c>
      <c r="I41" s="535" t="s">
        <v>738</v>
      </c>
      <c r="J41" s="535" t="s">
        <v>738</v>
      </c>
      <c r="K41" s="535" t="s">
        <v>738</v>
      </c>
      <c r="L41" s="106" t="s">
        <v>762</v>
      </c>
      <c r="M41" s="399" t="s">
        <v>766</v>
      </c>
      <c r="N41" s="535" t="s">
        <v>738</v>
      </c>
      <c r="O41" s="535" t="s">
        <v>738</v>
      </c>
      <c r="P41" s="535" t="s">
        <v>738</v>
      </c>
      <c r="Q41" s="106" t="s">
        <v>782</v>
      </c>
      <c r="R41" s="804" t="s">
        <v>1570</v>
      </c>
      <c r="S41" s="535" t="s">
        <v>738</v>
      </c>
      <c r="T41" s="106" t="s">
        <v>790</v>
      </c>
      <c r="U41" s="554">
        <v>0.02</v>
      </c>
      <c r="V41" s="106" t="s">
        <v>809</v>
      </c>
      <c r="W41" s="106" t="s">
        <v>809</v>
      </c>
      <c r="X41" s="106" t="s">
        <v>817</v>
      </c>
      <c r="Y41" s="106">
        <v>2</v>
      </c>
      <c r="Z41" s="106" t="s">
        <v>1793</v>
      </c>
      <c r="AA41" s="106" t="s">
        <v>826</v>
      </c>
      <c r="AB41" s="106" t="s">
        <v>818</v>
      </c>
      <c r="AF41" s="106" t="s">
        <v>1832</v>
      </c>
      <c r="AH41" s="106" t="s">
        <v>837</v>
      </c>
      <c r="AL41" s="1195" t="s">
        <v>2045</v>
      </c>
      <c r="AM41" s="1195"/>
      <c r="AN41" s="1195"/>
      <c r="AO41" s="642" t="s">
        <v>2042</v>
      </c>
      <c r="AP41" s="1195" t="e">
        <f>IF('Verification Rpt'!#REF!&gt;9.99,5,IF('Verification Rpt'!#REF!&gt;9.49,4,IF('Verification Rpt'!#REF!&gt;8.99,3,IF('Verification Rpt'!#REF!&gt;8.19,2,6))))</f>
        <v>#REF!</v>
      </c>
      <c r="AQ41" s="1195"/>
      <c r="AR41" s="1195"/>
      <c r="AS41" s="1195"/>
      <c r="AT41" s="1195"/>
      <c r="AU41" s="1195" t="s">
        <v>256</v>
      </c>
      <c r="AW41" s="1387" t="s">
        <v>2058</v>
      </c>
      <c r="AX41" s="1195">
        <v>1</v>
      </c>
      <c r="AY41" s="1195">
        <v>1</v>
      </c>
      <c r="AZ41" s="1195">
        <v>1</v>
      </c>
      <c r="BA41" s="1195">
        <v>1</v>
      </c>
      <c r="BB41" s="1195">
        <v>1</v>
      </c>
      <c r="BC41" s="1195">
        <v>1</v>
      </c>
      <c r="BD41" s="1195">
        <v>1</v>
      </c>
      <c r="BE41" s="1195">
        <v>1</v>
      </c>
    </row>
    <row r="42" spans="1:80" ht="15" customHeight="1">
      <c r="A42" s="106" t="str">
        <f>IF(startSquareFootage&gt;2000,"", "2000 sf or less")</f>
        <v>2000 sf or less</v>
      </c>
      <c r="C42" s="1184" t="s">
        <v>1911</v>
      </c>
      <c r="D42" s="530" t="s">
        <v>889</v>
      </c>
      <c r="E42" s="530" t="s">
        <v>890</v>
      </c>
      <c r="F42" s="530" t="s">
        <v>895</v>
      </c>
      <c r="G42" s="1196" t="s">
        <v>2004</v>
      </c>
      <c r="H42" s="106" t="s">
        <v>748</v>
      </c>
      <c r="I42" s="535" t="s">
        <v>9</v>
      </c>
      <c r="J42" s="535" t="s">
        <v>9</v>
      </c>
      <c r="K42" s="535"/>
      <c r="M42" s="106" t="s">
        <v>767</v>
      </c>
      <c r="N42" s="106" t="s">
        <v>1087</v>
      </c>
      <c r="O42" s="1195" t="s">
        <v>1895</v>
      </c>
      <c r="P42" s="1150" t="s">
        <v>1896</v>
      </c>
      <c r="Q42" s="106" t="s">
        <v>783</v>
      </c>
      <c r="R42" s="804"/>
      <c r="T42" s="106" t="s">
        <v>791</v>
      </c>
      <c r="U42" s="554">
        <v>0.03</v>
      </c>
      <c r="V42" s="106" t="s">
        <v>810</v>
      </c>
      <c r="W42" s="106" t="s">
        <v>810</v>
      </c>
      <c r="X42" s="106" t="s">
        <v>816</v>
      </c>
      <c r="Z42" s="106" t="s">
        <v>1794</v>
      </c>
      <c r="AA42" s="106" t="s">
        <v>827</v>
      </c>
      <c r="AB42" s="106" t="s">
        <v>817</v>
      </c>
      <c r="AH42" s="106" t="s">
        <v>838</v>
      </c>
      <c r="AL42" s="1195" t="s">
        <v>1408</v>
      </c>
      <c r="AM42" s="1195">
        <v>1</v>
      </c>
      <c r="AN42" s="1195">
        <v>2</v>
      </c>
      <c r="AO42" s="1195">
        <v>3</v>
      </c>
      <c r="AP42" s="1195">
        <v>4</v>
      </c>
      <c r="AQ42" s="1195">
        <v>5</v>
      </c>
      <c r="AR42" s="1195">
        <v>6</v>
      </c>
      <c r="AS42" s="1195">
        <v>7</v>
      </c>
      <c r="AT42" s="1195">
        <v>8</v>
      </c>
      <c r="AU42" s="1329" t="e">
        <f>IF('Verification Rpt'!#REF!&lt;&gt;"",HLOOKUP(VCZ,Formulas!AM42:AT47,Formulas!AP41,0),0)</f>
        <v>#REF!</v>
      </c>
      <c r="AW42" s="642" t="s">
        <v>2060</v>
      </c>
      <c r="AX42" s="106">
        <v>14</v>
      </c>
      <c r="AY42" s="106">
        <v>11</v>
      </c>
      <c r="AZ42" s="106">
        <v>11</v>
      </c>
      <c r="BA42" s="106">
        <v>11</v>
      </c>
      <c r="BB42" s="106">
        <v>11</v>
      </c>
      <c r="BC42" s="106">
        <v>4</v>
      </c>
      <c r="BD42" s="106">
        <v>4</v>
      </c>
      <c r="BE42" s="106">
        <v>4</v>
      </c>
    </row>
    <row r="43" spans="1:80" ht="30">
      <c r="A43" s="106" t="str">
        <f>IF(startSquareFootage&gt;2500, "", "2500 sf or less")</f>
        <v>2500 sf or less</v>
      </c>
      <c r="D43" s="530" t="s">
        <v>2147</v>
      </c>
      <c r="E43" s="530" t="s">
        <v>2272</v>
      </c>
      <c r="F43" s="530" t="s">
        <v>896</v>
      </c>
      <c r="G43" s="530" t="s">
        <v>2276</v>
      </c>
      <c r="J43" s="106" t="s">
        <v>2277</v>
      </c>
      <c r="N43" s="106" t="s">
        <v>2279</v>
      </c>
      <c r="R43" s="804"/>
      <c r="T43" s="106" t="s">
        <v>792</v>
      </c>
      <c r="U43" s="554">
        <v>0.04</v>
      </c>
      <c r="X43" s="106" t="s">
        <v>815</v>
      </c>
      <c r="AB43" s="106" t="s">
        <v>816</v>
      </c>
      <c r="AF43" s="106">
        <f>IF(enter610.1.2_2_floors="4 measures",4,IF(enter610.1.2_2_floors="5 measures",5,0))</f>
        <v>0</v>
      </c>
      <c r="AH43" s="106" t="s">
        <v>839</v>
      </c>
      <c r="AL43" s="1387">
        <v>8.1999999999999993</v>
      </c>
      <c r="AM43" s="1195">
        <v>0</v>
      </c>
      <c r="AN43" s="1195">
        <v>1</v>
      </c>
      <c r="AO43" s="1195">
        <v>2</v>
      </c>
      <c r="AP43" s="1195">
        <v>4</v>
      </c>
      <c r="AQ43" s="1195">
        <v>5</v>
      </c>
      <c r="AR43" s="1195">
        <v>5</v>
      </c>
      <c r="AS43" s="1195">
        <v>5</v>
      </c>
      <c r="AT43" s="1195">
        <v>5</v>
      </c>
      <c r="AU43" s="1195"/>
      <c r="AW43" s="642" t="s">
        <v>2061</v>
      </c>
      <c r="AX43" s="106">
        <v>19</v>
      </c>
      <c r="AY43" s="106">
        <v>16</v>
      </c>
      <c r="AZ43" s="106">
        <v>16</v>
      </c>
      <c r="BA43" s="106">
        <v>15</v>
      </c>
      <c r="BB43" s="106">
        <v>15</v>
      </c>
      <c r="BC43" s="106">
        <v>6</v>
      </c>
      <c r="BD43" s="106">
        <v>6</v>
      </c>
      <c r="BE43" s="106">
        <v>6</v>
      </c>
    </row>
    <row r="44" spans="1:80" ht="15" customHeight="1">
      <c r="D44" s="530" t="s">
        <v>2270</v>
      </c>
      <c r="E44" s="530"/>
      <c r="F44" s="530" t="s">
        <v>2274</v>
      </c>
      <c r="G44" s="530"/>
      <c r="J44" s="106" t="s">
        <v>2278</v>
      </c>
      <c r="R44" s="804"/>
      <c r="T44" s="106" t="s">
        <v>793</v>
      </c>
      <c r="U44" s="554">
        <v>0.05</v>
      </c>
      <c r="AB44" s="106" t="s">
        <v>815</v>
      </c>
      <c r="AF44" s="1063">
        <f>IF(enter610.1.2_2_interior="4 measures",4,IF(enter610.1.2_2_interior="5 measures",5,0))</f>
        <v>0</v>
      </c>
      <c r="AH44" s="106" t="s">
        <v>840</v>
      </c>
      <c r="AL44" s="1387">
        <v>9</v>
      </c>
      <c r="AM44" s="1195">
        <v>0</v>
      </c>
      <c r="AN44" s="1195">
        <v>3</v>
      </c>
      <c r="AO44" s="1195">
        <v>6</v>
      </c>
      <c r="AP44" s="1195">
        <v>9</v>
      </c>
      <c r="AQ44" s="1195">
        <v>12</v>
      </c>
      <c r="AR44" s="1195">
        <v>12</v>
      </c>
      <c r="AS44" s="1195">
        <v>12</v>
      </c>
      <c r="AT44" s="1195">
        <v>12</v>
      </c>
      <c r="AU44" s="1195"/>
      <c r="AW44" s="642" t="s">
        <v>2062</v>
      </c>
      <c r="AX44" s="106">
        <v>20</v>
      </c>
      <c r="AY44" s="106">
        <v>17</v>
      </c>
      <c r="AZ44" s="106">
        <v>17</v>
      </c>
      <c r="BA44" s="106">
        <v>17</v>
      </c>
      <c r="BB44" s="106">
        <v>16</v>
      </c>
      <c r="BC44" s="106">
        <v>6</v>
      </c>
      <c r="BD44" s="106">
        <v>6</v>
      </c>
      <c r="BE44" s="106">
        <v>6</v>
      </c>
    </row>
    <row r="45" spans="1:80" ht="15" customHeight="1">
      <c r="C45" s="530"/>
      <c r="D45" s="530"/>
      <c r="E45" s="530"/>
      <c r="F45" s="530"/>
      <c r="G45" s="530"/>
      <c r="R45" s="804"/>
      <c r="T45" s="106" t="s">
        <v>794</v>
      </c>
      <c r="U45" s="554">
        <v>0.06</v>
      </c>
      <c r="AF45" s="1063">
        <f>IF(enter610.1.2_2_roof="4 measures",4,IF(enter610.1.2_2_roof="5 measures",5,0))</f>
        <v>0</v>
      </c>
      <c r="AH45" s="106" t="s">
        <v>841</v>
      </c>
      <c r="AL45" s="1388">
        <v>9.5</v>
      </c>
      <c r="AM45" s="546">
        <v>0</v>
      </c>
      <c r="AN45" s="546">
        <v>4</v>
      </c>
      <c r="AO45" s="546">
        <v>7</v>
      </c>
      <c r="AP45" s="546">
        <v>12</v>
      </c>
      <c r="AQ45" s="546">
        <v>16</v>
      </c>
      <c r="AR45" s="546">
        <v>16</v>
      </c>
      <c r="AS45" s="546">
        <v>16</v>
      </c>
      <c r="AT45" s="546">
        <v>16</v>
      </c>
      <c r="AU45" s="546"/>
      <c r="AX45" s="1195">
        <v>0</v>
      </c>
      <c r="AY45" s="1195">
        <v>0</v>
      </c>
      <c r="AZ45" s="1195">
        <v>0</v>
      </c>
      <c r="BA45" s="1195">
        <v>0</v>
      </c>
      <c r="BB45" s="1195">
        <v>0</v>
      </c>
      <c r="BC45" s="1195">
        <v>0</v>
      </c>
      <c r="BD45" s="1195">
        <v>0</v>
      </c>
      <c r="BE45" s="1195">
        <v>0</v>
      </c>
    </row>
    <row r="46" spans="1:80" ht="15" customHeight="1">
      <c r="D46" s="530"/>
      <c r="E46" s="530"/>
      <c r="F46" s="530"/>
      <c r="G46" s="530"/>
      <c r="R46" s="804"/>
      <c r="T46" s="106" t="s">
        <v>795</v>
      </c>
      <c r="U46" s="554">
        <v>7.0000000000000007E-2</v>
      </c>
      <c r="AF46" s="1063">
        <f>IF(enter610.1.2_2_walls="4 measures",4,IF(enter610.1.2_2_walls="5 measures",5,0))</f>
        <v>0</v>
      </c>
      <c r="AH46" s="106" t="s">
        <v>842</v>
      </c>
      <c r="AL46" s="1387">
        <v>10</v>
      </c>
      <c r="AM46" s="1195">
        <v>1</v>
      </c>
      <c r="AN46" s="1195">
        <v>4</v>
      </c>
      <c r="AO46" s="1195">
        <v>9</v>
      </c>
      <c r="AP46" s="1195">
        <v>15</v>
      </c>
      <c r="AQ46" s="1195">
        <v>19</v>
      </c>
      <c r="AR46" s="1195">
        <v>19</v>
      </c>
      <c r="AS46" s="1195">
        <v>19</v>
      </c>
      <c r="AT46" s="1195">
        <v>19</v>
      </c>
      <c r="AU46" s="1195"/>
    </row>
    <row r="47" spans="1:80" ht="15" customHeight="1">
      <c r="C47" s="530"/>
      <c r="D47" s="530"/>
      <c r="E47" s="530"/>
      <c r="F47" s="530"/>
      <c r="G47" s="530"/>
      <c r="R47" s="804"/>
      <c r="T47" s="106" t="s">
        <v>796</v>
      </c>
      <c r="U47" s="554">
        <v>0.08</v>
      </c>
      <c r="AH47" s="106" t="s">
        <v>843</v>
      </c>
      <c r="AL47" s="1387"/>
      <c r="AM47" s="1195">
        <v>0</v>
      </c>
      <c r="AN47" s="1195">
        <v>0</v>
      </c>
      <c r="AO47" s="1195">
        <v>0</v>
      </c>
      <c r="AP47" s="1195">
        <v>0</v>
      </c>
      <c r="AQ47" s="1195">
        <v>0</v>
      </c>
      <c r="AR47" s="1195">
        <v>0</v>
      </c>
      <c r="AS47" s="1195">
        <v>0</v>
      </c>
      <c r="AT47" s="1195">
        <v>0</v>
      </c>
      <c r="AU47" s="1195"/>
    </row>
    <row r="48" spans="1:80" ht="15" customHeight="1">
      <c r="D48" s="530"/>
      <c r="E48" s="530"/>
      <c r="F48" s="530"/>
      <c r="G48" s="530"/>
      <c r="R48" s="804"/>
      <c r="T48" s="106" t="s">
        <v>797</v>
      </c>
      <c r="U48" s="554" t="s">
        <v>882</v>
      </c>
      <c r="AE48" s="1195" t="s">
        <v>2001</v>
      </c>
      <c r="AH48" s="106" t="s">
        <v>844</v>
      </c>
      <c r="AL48" s="1195"/>
      <c r="AU48" s="1195"/>
      <c r="AW48" s="1195" t="s">
        <v>2048</v>
      </c>
      <c r="AX48" s="1195" t="str">
        <f>VCZ</f>
        <v>Verifier Enter on Start Here! tab</v>
      </c>
      <c r="AY48" s="1195"/>
      <c r="AZ48" s="1195"/>
      <c r="BA48" s="1195"/>
      <c r="BB48" s="1195"/>
      <c r="BC48" s="1195"/>
      <c r="BD48" s="1195"/>
      <c r="BE48" s="1195"/>
      <c r="BF48" s="1195"/>
    </row>
    <row r="49" spans="1:58" ht="15" customHeight="1">
      <c r="C49" s="530"/>
      <c r="D49" s="530"/>
      <c r="E49" s="530"/>
      <c r="F49" s="530"/>
      <c r="G49" s="530"/>
      <c r="R49" s="804"/>
      <c r="T49" s="106" t="s">
        <v>798</v>
      </c>
      <c r="U49" s="554"/>
      <c r="AF49" s="1195">
        <f>SUM(ar610.1.2.2walls,af610.1.2.2walls)</f>
        <v>0</v>
      </c>
      <c r="AH49" s="106" t="s">
        <v>845</v>
      </c>
      <c r="AW49" s="1195" t="s">
        <v>1444</v>
      </c>
      <c r="AX49" s="1195">
        <v>1</v>
      </c>
      <c r="AY49" s="1195">
        <v>2</v>
      </c>
      <c r="AZ49" s="1195">
        <v>3</v>
      </c>
      <c r="BA49" s="1195">
        <v>4</v>
      </c>
      <c r="BB49" s="1195">
        <v>5</v>
      </c>
      <c r="BC49" s="1195">
        <v>6</v>
      </c>
      <c r="BD49" s="1195">
        <v>7</v>
      </c>
      <c r="BE49" s="1195">
        <v>8</v>
      </c>
      <c r="BF49" s="1195" t="s">
        <v>256</v>
      </c>
    </row>
    <row r="50" spans="1:58" ht="15" customHeight="1">
      <c r="D50" s="530"/>
      <c r="E50" s="530"/>
      <c r="F50" s="530"/>
      <c r="G50" s="530"/>
      <c r="R50" s="804"/>
      <c r="T50" s="106" t="s">
        <v>799</v>
      </c>
      <c r="U50" s="554"/>
      <c r="AF50" s="1195">
        <f>SUM(ar610.1.2.2intwalls,af610.1.2.2intwalls)</f>
        <v>0</v>
      </c>
      <c r="AL50" s="1195" t="s">
        <v>2043</v>
      </c>
      <c r="AM50" s="1195" t="str">
        <f>VCZ</f>
        <v>Verifier Enter on Start Here! tab</v>
      </c>
      <c r="AN50" s="1195"/>
      <c r="AO50" s="1195"/>
      <c r="AP50" s="1195"/>
      <c r="AQ50" s="1195"/>
      <c r="AR50" s="1195"/>
      <c r="AS50" s="1195"/>
      <c r="AT50" s="1195"/>
      <c r="AU50" s="1195"/>
      <c r="AW50" s="1195" t="s">
        <v>2063</v>
      </c>
      <c r="AX50" s="1195">
        <v>17</v>
      </c>
      <c r="AY50" s="1195">
        <v>8</v>
      </c>
      <c r="AZ50" s="1195">
        <v>8</v>
      </c>
      <c r="BA50" s="1195">
        <v>8</v>
      </c>
      <c r="BB50" s="1195">
        <v>8</v>
      </c>
      <c r="BC50" s="1195">
        <v>4</v>
      </c>
      <c r="BD50" s="1195">
        <v>4</v>
      </c>
      <c r="BE50" s="1195">
        <v>4</v>
      </c>
      <c r="BF50" s="1329" t="e">
        <f>HLOOKUP(VCZ,Formulas!AX49:BE50,2,0)</f>
        <v>#N/A</v>
      </c>
    </row>
    <row r="51" spans="1:58" ht="15" customHeight="1">
      <c r="C51" s="530"/>
      <c r="D51" s="530"/>
      <c r="E51" s="530"/>
      <c r="F51" s="530"/>
      <c r="G51" s="530"/>
      <c r="R51" s="804"/>
      <c r="T51" s="106" t="s">
        <v>800</v>
      </c>
      <c r="U51" s="554"/>
      <c r="AF51" s="1195">
        <f>SUM(ar610.1.2.2roof,af610.1.2.2roof)</f>
        <v>0</v>
      </c>
      <c r="AL51" s="1195"/>
      <c r="AM51" s="1195"/>
      <c r="AN51" s="1195"/>
      <c r="AO51" s="1195"/>
      <c r="AP51" s="1195"/>
      <c r="AQ51" s="1195"/>
      <c r="AR51" s="1195"/>
      <c r="AS51" s="1195"/>
      <c r="AT51" s="1195"/>
      <c r="AU51" s="1195"/>
    </row>
    <row r="52" spans="1:58" s="804" customFormat="1" ht="15" customHeight="1">
      <c r="C52" s="968"/>
      <c r="D52" s="968"/>
      <c r="E52" s="968"/>
      <c r="F52" s="968"/>
      <c r="G52" s="968"/>
      <c r="U52" s="554"/>
      <c r="AF52" s="1195">
        <f>SUM(ar610.1.2.2floors,af610.1.2.2floors)</f>
        <v>0</v>
      </c>
      <c r="AL52" s="1195" t="s">
        <v>2046</v>
      </c>
      <c r="AM52" s="1195"/>
      <c r="AN52" s="1195"/>
      <c r="AO52" s="642" t="s">
        <v>2042</v>
      </c>
      <c r="AP52" s="1195" t="e">
        <f>IF('Verification Rpt'!#REF!&gt;20.99,6,IF('Verification Rpt'!#REF!&gt;18.99,5,IF('Verification Rpt'!#REF!&gt;16.99,4,IF('Verification Rpt'!#REF!&gt;14.99,3,IF('Verification Rpt'!#REF!&gt;13.99,2,7)))))</f>
        <v>#REF!</v>
      </c>
      <c r="AQ52" s="1195"/>
      <c r="AR52" s="1195"/>
      <c r="AS52" s="1195"/>
      <c r="AT52" s="1195"/>
      <c r="AU52" s="1195" t="s">
        <v>256</v>
      </c>
    </row>
    <row r="53" spans="1:58" s="804" customFormat="1" ht="15" customHeight="1">
      <c r="C53" s="968"/>
      <c r="D53" s="968"/>
      <c r="E53" s="968"/>
      <c r="F53" s="968"/>
      <c r="G53" s="968"/>
      <c r="U53" s="554"/>
      <c r="AL53" s="1195" t="s">
        <v>1413</v>
      </c>
      <c r="AM53" s="1195">
        <v>1</v>
      </c>
      <c r="AN53" s="1195">
        <v>2</v>
      </c>
      <c r="AO53" s="1195">
        <v>3</v>
      </c>
      <c r="AP53" s="1195">
        <v>4</v>
      </c>
      <c r="AQ53" s="1195">
        <v>5</v>
      </c>
      <c r="AR53" s="1195">
        <v>6</v>
      </c>
      <c r="AS53" s="1195">
        <v>7</v>
      </c>
      <c r="AT53" s="1195">
        <v>8</v>
      </c>
      <c r="AU53" s="1329" t="e">
        <f>IF('Verification Rpt'!#REF!&lt;&gt;"",HLOOKUP(VCZ,Formulas!AM53:AT59,Formulas!AP52,0),0)</f>
        <v>#REF!</v>
      </c>
      <c r="AW53" s="1195" t="s">
        <v>2064</v>
      </c>
      <c r="AX53" s="1195"/>
      <c r="AY53" s="1195"/>
      <c r="AZ53" s="642" t="s">
        <v>2042</v>
      </c>
      <c r="BA53" s="1195" t="e">
        <f>IF('Verification Rpt'!#REF!&gt;3,6,IF('Verification Rpt'!#REF!&gt;2.3,5,IF('Verification Rpt'!#REF!&gt;1.8,4,IF('Verification Rpt'!#REF!&gt;1.5,3,IF('Verification Rpt'!#REF!&gt;1.29,2,7)))))</f>
        <v>#REF!</v>
      </c>
      <c r="BB53" s="1195"/>
      <c r="BC53" s="1195"/>
      <c r="BD53" s="1195"/>
      <c r="BE53" s="1195"/>
      <c r="BF53" s="1195" t="s">
        <v>256</v>
      </c>
    </row>
    <row r="54" spans="1:58" s="697" customFormat="1" ht="15" customHeight="1">
      <c r="A54" s="697" t="s">
        <v>723</v>
      </c>
      <c r="C54" s="640"/>
      <c r="D54" s="640"/>
      <c r="E54" s="640"/>
      <c r="F54" s="640"/>
      <c r="G54" s="640"/>
      <c r="R54" s="921"/>
      <c r="AL54" s="1387">
        <v>14</v>
      </c>
      <c r="AM54" s="1195">
        <v>4</v>
      </c>
      <c r="AN54" s="1195">
        <v>3</v>
      </c>
      <c r="AO54" s="1195">
        <v>1</v>
      </c>
      <c r="AP54" s="1195">
        <v>1</v>
      </c>
      <c r="AQ54" s="1195">
        <v>0</v>
      </c>
      <c r="AR54" s="1195">
        <v>0</v>
      </c>
      <c r="AS54" s="1195">
        <v>0</v>
      </c>
      <c r="AT54" s="1195">
        <v>0</v>
      </c>
      <c r="AU54" s="1195"/>
      <c r="AW54" s="1195" t="s">
        <v>1445</v>
      </c>
      <c r="AX54" s="1195">
        <v>1</v>
      </c>
      <c r="AY54" s="1195">
        <v>2</v>
      </c>
      <c r="AZ54" s="1195">
        <v>3</v>
      </c>
      <c r="BA54" s="1195">
        <v>4</v>
      </c>
      <c r="BB54" s="1195">
        <v>5</v>
      </c>
      <c r="BC54" s="1195">
        <v>6</v>
      </c>
      <c r="BD54" s="1195">
        <v>7</v>
      </c>
      <c r="BE54" s="1195">
        <v>8</v>
      </c>
      <c r="BF54" s="1329" t="e">
        <f>IF('Verification Rpt'!#REF!&lt;&gt;"",HLOOKUP(VCZ,Formulas!AX54:BE60,Formulas!BA53,0),0)</f>
        <v>#REF!</v>
      </c>
    </row>
    <row r="55" spans="1:58" s="546" customFormat="1" ht="15" customHeight="1">
      <c r="A55" s="546">
        <v>601.1</v>
      </c>
      <c r="C55" s="347">
        <v>601.6</v>
      </c>
      <c r="E55" s="347"/>
      <c r="F55" s="347"/>
      <c r="G55" s="347"/>
      <c r="H55" s="546" t="s">
        <v>745</v>
      </c>
      <c r="I55" s="546" t="s">
        <v>749</v>
      </c>
      <c r="L55" s="546" t="s">
        <v>760</v>
      </c>
      <c r="M55" s="546" t="s">
        <v>763</v>
      </c>
      <c r="P55" s="546" t="s">
        <v>779</v>
      </c>
      <c r="Q55" s="546">
        <v>602.20000000000005</v>
      </c>
      <c r="R55" s="546" t="s">
        <v>739</v>
      </c>
      <c r="T55" s="546">
        <v>603.1</v>
      </c>
      <c r="U55" s="546">
        <v>603.20000000000005</v>
      </c>
      <c r="V55" s="546" t="s">
        <v>806</v>
      </c>
      <c r="W55" s="546" t="s">
        <v>807</v>
      </c>
      <c r="X55" s="546">
        <v>605.4</v>
      </c>
      <c r="Z55" s="546">
        <v>606.29999999999995</v>
      </c>
      <c r="AA55" s="546">
        <v>608.1</v>
      </c>
      <c r="AB55" s="546">
        <v>609.1</v>
      </c>
      <c r="AC55" s="546">
        <v>610.1</v>
      </c>
      <c r="AD55" s="546" t="s">
        <v>830</v>
      </c>
      <c r="AE55" s="546" t="s">
        <v>833</v>
      </c>
      <c r="AF55" s="546" t="s">
        <v>834</v>
      </c>
      <c r="AG55" s="546" t="s">
        <v>831</v>
      </c>
      <c r="AH55" s="546">
        <v>611.1</v>
      </c>
      <c r="AI55" s="546">
        <v>611.20000000000005</v>
      </c>
      <c r="AL55" s="1387">
        <v>15</v>
      </c>
      <c r="AM55" s="1195">
        <v>7</v>
      </c>
      <c r="AN55" s="1195">
        <v>5</v>
      </c>
      <c r="AO55" s="1195">
        <v>2</v>
      </c>
      <c r="AP55" s="1195">
        <v>1</v>
      </c>
      <c r="AQ55" s="1195">
        <v>1</v>
      </c>
      <c r="AR55" s="1195">
        <v>0</v>
      </c>
      <c r="AS55" s="1195">
        <v>0</v>
      </c>
      <c r="AT55" s="1195">
        <v>0</v>
      </c>
      <c r="AU55" s="1195"/>
      <c r="AW55" s="1387" t="s">
        <v>2065</v>
      </c>
      <c r="AX55" s="1195">
        <v>15</v>
      </c>
      <c r="AY55" s="1195">
        <v>10</v>
      </c>
      <c r="AZ55" s="1195">
        <v>11</v>
      </c>
      <c r="BA55" s="1195">
        <v>12</v>
      </c>
      <c r="BB55" s="1195">
        <v>12</v>
      </c>
      <c r="BC55" s="1195">
        <v>10</v>
      </c>
      <c r="BD55" s="1195">
        <v>7</v>
      </c>
      <c r="BE55" s="1195">
        <v>4</v>
      </c>
      <c r="BF55" s="1195"/>
    </row>
    <row r="56" spans="1:58" ht="15" customHeight="1">
      <c r="A56" s="106">
        <f>IF(AND(startSquareFootage&gt;0,startSquareFootage&lt;=1000), 15, IF(AND(startSquareFootage&gt;0,startSquareFootage&lt;=1500), 12, IF(AND(startSquareFootage&gt;0,startSquareFootage&lt;=2000), 9, IF(AND(startSquareFootage&gt;0,startSquareFootage&lt;=2500), 6, 0))))</f>
        <v>0</v>
      </c>
      <c r="C56" s="530">
        <f>IF(choice601.6=C40, 4,IF(choice601.6=C41,6,IF(choice601.6=C42,8,0)))</f>
        <v>0</v>
      </c>
      <c r="E56" s="530"/>
      <c r="F56" s="530"/>
      <c r="G56" s="530"/>
      <c r="H56" s="106">
        <f>IF(choice602.1.6=H40,2,IF(choice602.1.6=H41,4,IF(choice602.1.6=H42,6,0)))</f>
        <v>0</v>
      </c>
      <c r="I56" s="106">
        <f>IF(choice602.1.7.1_2="Met", 2, 0)</f>
        <v>0</v>
      </c>
      <c r="L56" s="106">
        <f>IF(choice602.1.9_5=L40,4,IF(choice602.1.9_5=L41,2,0))</f>
        <v>0</v>
      </c>
      <c r="M56" s="106">
        <f>IF(choice602.1.10=M40,2,IF(choice602.1.10=M41,4,IF(choice602.1.10=M42,6,0)))</f>
        <v>0</v>
      </c>
      <c r="P56" s="106">
        <f>IF(choice602.1.14_3=P40,1,0)</f>
        <v>0</v>
      </c>
      <c r="Q56" s="106">
        <f>IF(choice602.2&lt;&gt;"",3,0)</f>
        <v>0</v>
      </c>
      <c r="R56" s="804">
        <f>IF(choice602.1.2&lt;&gt;"",4,0)</f>
        <v>0</v>
      </c>
      <c r="T56" s="106">
        <f>IF(choice603.1=T40,1,IF(choice603.1=T41,2,IF(choice603.1=T42,3,IF(choice603.1=T43,4,IF(choice603.1=T44,5,IF(choice603.1=T45,6,IF(choice603.1=T46,7,IF(choice603.1=T47,8,IF(choice603.1=T48,9,IF(choice603.1=T49,10,IF(choice603.1=T50,11,IF(choice603.1=T51,12,0))))))))))))</f>
        <v>0</v>
      </c>
      <c r="U56" s="106">
        <f>IF(choice603.2=U40,1,IF(choice603.2=U41,2,IF(choice603.2=U42,3,IF(choice603.2=U43,4,IF(choice603.2=U44,5,IF(choice603.2=U45,6,IF(choice603.2=U46,7,IF(choice603.2=U47,8,IF(choice603.2=U48,9,0)))))))))</f>
        <v>0</v>
      </c>
      <c r="V56" s="106">
        <f>IF(choice604.1.1=V40,1,IF(choice604.1.1=V41,2,IF(choice604.1.1=V42,3,0)))</f>
        <v>0</v>
      </c>
      <c r="W56" s="106">
        <f>IF(choice604.1.2=W40,2,IF(choice604.1.2=W41,4,IF(choice604.1.2=W42,6,0)))</f>
        <v>0</v>
      </c>
      <c r="X56" s="106">
        <f>IF(choice605.4=X40,3,IF(choice605.4=X41,4,IF(choice605.4=X42,5,IF(choice605.4=X43,6,0))))</f>
        <v>0</v>
      </c>
      <c r="Z56" s="106">
        <f>IF(choice606.3=Z40,2,IF(choice606.3=Z41,4,IF(choice606.3=Z42,6,0)))</f>
        <v>0</v>
      </c>
      <c r="AA56" s="106">
        <f>IF(choice608.1=AA40,3,IF(choice608.1=AA41,6,IF(choice608.1=AA42,9,0)))</f>
        <v>0</v>
      </c>
      <c r="AB56" s="106">
        <f>IF(choice609.1=AB40,2,IF(choice609.1=AB41,4,IF(choice609.1=AB42,6,IF(choice609.1=AB43,8,IF(choice609.1=AB44,10,0)))))</f>
        <v>0</v>
      </c>
      <c r="AC56" s="106">
        <f>IF(SUM(score610.1.1,score610.1.2)&gt;15, 15, SUM(score610.1.1,score610.1.2))</f>
        <v>0</v>
      </c>
      <c r="AD56" s="106">
        <f>claim610.1.1</f>
        <v>0</v>
      </c>
      <c r="AE56" s="106">
        <f>IF(SUM(enter610.1.2_1_4meas*2,enter610.1.2_1_5meas*3)&gt;10,10,SUM(enter610.1.2_1_4meas*2,enter610.1.2_1_5meas*3))</f>
        <v>0</v>
      </c>
      <c r="AF56" s="106">
        <f>IF(SUM(AF43:AF46)=8,3,IF(SUM(AF43:AF46)=9,3,IF(SUM(AF43:AF46)=10,6,IF(SUM(AF43:AF46)=12,4,IF(SUM(AF43:AF46)=13,4,IF(SUM(AF43:AF46)=14,6,IF(SUM(AF43:AF46)=15,8,IF(SUM(AF43:AF46)=16,5,IF(SUM(AF43:AF46)=17,5,IF(SUM(AF43:AF46)=18,9,IF(SUM(AF43:AF46)=19,9,IF(SUM(AF43:AF46)=20,10,0))))))))))))</f>
        <v>0</v>
      </c>
      <c r="AG56" s="106">
        <f>IF(SUM(score610.1.2_1,score610.1.2_2)&gt;10, 10, SUM(score610.1.2_1,score610.1.2_2))</f>
        <v>0</v>
      </c>
      <c r="AH56" s="106">
        <f>IF(choice611.1=AH40,1,IF(choice611.1=AH41,2,IF(choice611.1=AH42,3,IF(choice611.1=AH43,4,IF(choice611.1=AH44,5,IF(choice611.1=AH45,6,IF(choice611.1=AH46,7,IF(choice611.1=AH47,8,IF(choice611.1=AH48,9,IF(choice611.1=AH49,10,0))))))))))</f>
        <v>0</v>
      </c>
      <c r="AI56" s="106">
        <f>IF(SUM(claim611.2_1,claim611.2_2,claim611.2_3,claim611.2_4,claim611.2_5,claim611.2_6,claim611.2_7)&gt;9,9,SUM(claim611.2_1,claim611.2_2,claim611.2_3,claim611.2_4,claim611.2_5,claim611.2_6,claim611.2_7))</f>
        <v>0</v>
      </c>
      <c r="AL56" s="1388">
        <v>17</v>
      </c>
      <c r="AM56" s="546">
        <v>12</v>
      </c>
      <c r="AN56" s="546">
        <v>8</v>
      </c>
      <c r="AO56" s="546">
        <v>4</v>
      </c>
      <c r="AP56" s="546">
        <v>2</v>
      </c>
      <c r="AQ56" s="546">
        <v>1</v>
      </c>
      <c r="AR56" s="546">
        <v>1</v>
      </c>
      <c r="AS56" s="546">
        <v>0</v>
      </c>
      <c r="AT56" s="546">
        <v>0</v>
      </c>
      <c r="AU56" s="546"/>
      <c r="AW56" s="1195" t="s">
        <v>2066</v>
      </c>
      <c r="AX56" s="1195">
        <v>18</v>
      </c>
      <c r="AY56" s="1195">
        <v>12</v>
      </c>
      <c r="AZ56" s="1195">
        <v>14</v>
      </c>
      <c r="BA56" s="1195">
        <v>14</v>
      </c>
      <c r="BB56" s="1195">
        <v>15</v>
      </c>
      <c r="BC56" s="1195">
        <v>12</v>
      </c>
      <c r="BD56" s="1195">
        <v>8</v>
      </c>
      <c r="BE56" s="1195">
        <v>5</v>
      </c>
      <c r="BF56" s="1195"/>
    </row>
    <row r="57" spans="1:58" ht="15" customHeight="1">
      <c r="C57" s="530"/>
      <c r="E57" s="530"/>
      <c r="F57" s="530"/>
      <c r="G57" s="530"/>
      <c r="R57" s="804"/>
      <c r="AL57" s="1387">
        <v>19</v>
      </c>
      <c r="AM57" s="1195">
        <v>16</v>
      </c>
      <c r="AN57" s="1195">
        <v>11</v>
      </c>
      <c r="AO57" s="1195">
        <v>6</v>
      </c>
      <c r="AP57" s="1195">
        <v>3</v>
      </c>
      <c r="AQ57" s="1195">
        <v>2</v>
      </c>
      <c r="AR57" s="1195">
        <v>1</v>
      </c>
      <c r="AS57" s="1195">
        <v>0</v>
      </c>
      <c r="AT57" s="1195">
        <v>0</v>
      </c>
      <c r="AU57" s="1195"/>
      <c r="AW57" s="1387" t="s">
        <v>2067</v>
      </c>
      <c r="AX57" s="1195">
        <v>21</v>
      </c>
      <c r="AY57" s="1195">
        <v>14</v>
      </c>
      <c r="AZ57" s="1195">
        <v>16</v>
      </c>
      <c r="BA57" s="1195">
        <v>17</v>
      </c>
      <c r="BB57" s="1195">
        <v>18</v>
      </c>
      <c r="BC57" s="1195">
        <v>14</v>
      </c>
      <c r="BD57" s="1195">
        <v>10</v>
      </c>
      <c r="BE57" s="1195">
        <v>6</v>
      </c>
      <c r="BF57" s="546"/>
    </row>
    <row r="58" spans="1:58" s="697" customFormat="1" ht="15" customHeight="1">
      <c r="A58" s="697" t="s">
        <v>1284</v>
      </c>
      <c r="C58" s="640"/>
      <c r="E58" s="640"/>
      <c r="F58" s="640"/>
      <c r="G58" s="640"/>
      <c r="R58" s="921"/>
      <c r="AL58" s="1387">
        <v>21</v>
      </c>
      <c r="AM58" s="1195">
        <v>19</v>
      </c>
      <c r="AN58" s="1195">
        <v>14</v>
      </c>
      <c r="AO58" s="1195">
        <v>7</v>
      </c>
      <c r="AP58" s="1195">
        <v>3</v>
      </c>
      <c r="AQ58" s="1195">
        <v>2</v>
      </c>
      <c r="AR58" s="1195">
        <v>0</v>
      </c>
      <c r="AS58" s="1195">
        <v>0</v>
      </c>
      <c r="AT58" s="1195">
        <v>0</v>
      </c>
      <c r="AU58" s="1195"/>
      <c r="AW58" s="1388" t="s">
        <v>2068</v>
      </c>
      <c r="AX58" s="546">
        <v>24</v>
      </c>
      <c r="AY58" s="546">
        <v>17</v>
      </c>
      <c r="AZ58" s="546">
        <v>19</v>
      </c>
      <c r="BA58" s="546">
        <v>20</v>
      </c>
      <c r="BB58" s="546">
        <v>22</v>
      </c>
      <c r="BC58" s="546">
        <v>16</v>
      </c>
      <c r="BD58" s="546">
        <v>12</v>
      </c>
      <c r="BE58" s="546">
        <v>7</v>
      </c>
      <c r="BF58" s="1195"/>
    </row>
    <row r="59" spans="1:58" s="546" customFormat="1" ht="15" customHeight="1">
      <c r="A59" s="786">
        <v>701.1</v>
      </c>
      <c r="B59" s="546">
        <v>701.3</v>
      </c>
      <c r="C59" s="347" t="s">
        <v>1288</v>
      </c>
      <c r="D59" s="546" t="s">
        <v>1289</v>
      </c>
      <c r="E59" s="347" t="s">
        <v>297</v>
      </c>
      <c r="F59" s="347" t="s">
        <v>299</v>
      </c>
      <c r="G59" s="347" t="s">
        <v>1291</v>
      </c>
      <c r="H59" s="546" t="s">
        <v>301</v>
      </c>
      <c r="I59" s="546" t="s">
        <v>302</v>
      </c>
      <c r="J59" s="546" t="s">
        <v>1489</v>
      </c>
      <c r="K59" s="546" t="s">
        <v>303</v>
      </c>
      <c r="L59" s="546" t="s">
        <v>304</v>
      </c>
      <c r="M59" s="546" t="s">
        <v>305</v>
      </c>
      <c r="N59" s="546" t="s">
        <v>1336</v>
      </c>
      <c r="O59" s="546" t="s">
        <v>1337</v>
      </c>
      <c r="P59" s="546" t="s">
        <v>1338</v>
      </c>
      <c r="Q59" s="546" t="s">
        <v>307</v>
      </c>
      <c r="R59" s="546" t="s">
        <v>308</v>
      </c>
      <c r="S59" s="546" t="s">
        <v>1388</v>
      </c>
      <c r="T59" s="546" t="s">
        <v>314</v>
      </c>
      <c r="U59" s="546" t="s">
        <v>1477</v>
      </c>
      <c r="V59" s="546">
        <v>705.3</v>
      </c>
      <c r="AM59" s="1195">
        <v>0</v>
      </c>
      <c r="AN59" s="1195">
        <v>0</v>
      </c>
      <c r="AO59" s="1195">
        <v>0</v>
      </c>
      <c r="AP59" s="1195">
        <v>0</v>
      </c>
      <c r="AQ59" s="1195">
        <v>0</v>
      </c>
      <c r="AR59" s="1195">
        <v>0</v>
      </c>
      <c r="AS59" s="1195">
        <v>0</v>
      </c>
      <c r="AT59" s="1195">
        <v>0</v>
      </c>
      <c r="AW59" s="1387" t="s">
        <v>2069</v>
      </c>
      <c r="AX59" s="1195">
        <v>27</v>
      </c>
      <c r="AY59" s="1195">
        <v>19</v>
      </c>
      <c r="AZ59" s="1195">
        <v>21</v>
      </c>
      <c r="BA59" s="1195">
        <v>23</v>
      </c>
      <c r="BB59" s="1195">
        <v>25</v>
      </c>
      <c r="BC59" s="1195">
        <v>18</v>
      </c>
      <c r="BD59" s="1195">
        <v>13</v>
      </c>
      <c r="BE59" s="1195">
        <v>8</v>
      </c>
      <c r="BF59" s="1195"/>
    </row>
    <row r="60" spans="1:58" ht="15" customHeight="1">
      <c r="A60" s="106" t="s">
        <v>1285</v>
      </c>
      <c r="B60" s="106" t="s">
        <v>737</v>
      </c>
      <c r="C60" s="691" t="s">
        <v>737</v>
      </c>
      <c r="D60" s="106" t="s">
        <v>737</v>
      </c>
      <c r="E60" s="691" t="s">
        <v>737</v>
      </c>
      <c r="F60" s="691" t="s">
        <v>737</v>
      </c>
      <c r="G60" s="691" t="s">
        <v>737</v>
      </c>
      <c r="H60" s="106" t="s">
        <v>737</v>
      </c>
      <c r="I60" s="106" t="s">
        <v>1567</v>
      </c>
      <c r="J60" s="804"/>
      <c r="K60" s="106" t="s">
        <v>737</v>
      </c>
      <c r="L60" s="106" t="s">
        <v>737</v>
      </c>
      <c r="M60" s="106" t="s">
        <v>737</v>
      </c>
      <c r="N60" s="106" t="s">
        <v>737</v>
      </c>
      <c r="O60" s="106" t="s">
        <v>737</v>
      </c>
      <c r="P60" s="554" t="s">
        <v>1927</v>
      </c>
      <c r="R60" s="106" t="s">
        <v>1354</v>
      </c>
      <c r="S60" s="1153" t="s">
        <v>737</v>
      </c>
      <c r="T60" s="554" t="s">
        <v>315</v>
      </c>
      <c r="U60" s="106" t="s">
        <v>1475</v>
      </c>
      <c r="V60" s="106" t="s">
        <v>1478</v>
      </c>
      <c r="AW60" s="642"/>
      <c r="AX60" s="1195">
        <v>0</v>
      </c>
      <c r="AY60" s="1195">
        <v>0</v>
      </c>
      <c r="AZ60" s="1195">
        <v>0</v>
      </c>
      <c r="BA60" s="1195">
        <v>0</v>
      </c>
      <c r="BB60" s="1195">
        <v>0</v>
      </c>
      <c r="BC60" s="1195">
        <v>0</v>
      </c>
      <c r="BD60" s="1195">
        <v>0</v>
      </c>
      <c r="BE60" s="1195">
        <v>0</v>
      </c>
      <c r="BF60" s="1195"/>
    </row>
    <row r="61" spans="1:58" ht="15" customHeight="1">
      <c r="A61" s="106" t="s">
        <v>1286</v>
      </c>
      <c r="C61" s="691"/>
      <c r="E61" s="691"/>
      <c r="F61" s="691"/>
      <c r="G61" s="691"/>
      <c r="I61" s="106" t="s">
        <v>1566</v>
      </c>
      <c r="J61" s="804"/>
      <c r="O61" s="1195" t="s">
        <v>1915</v>
      </c>
      <c r="P61" s="554" t="s">
        <v>1928</v>
      </c>
      <c r="R61" s="106" t="s">
        <v>1355</v>
      </c>
      <c r="S61" s="1153" t="s">
        <v>738</v>
      </c>
      <c r="T61" s="554" t="s">
        <v>316</v>
      </c>
      <c r="U61" s="803" t="s">
        <v>1476</v>
      </c>
      <c r="AF61" s="1195"/>
      <c r="AL61" s="1195" t="s">
        <v>2048</v>
      </c>
      <c r="AM61" s="106" t="str">
        <f>VCZ</f>
        <v>Verifier Enter on Start Here! tab</v>
      </c>
      <c r="AW61" s="642"/>
      <c r="AX61" s="1195"/>
      <c r="AY61" s="1195"/>
      <c r="AZ61" s="1195"/>
      <c r="BA61" s="1195"/>
      <c r="BB61" s="1195"/>
      <c r="BC61" s="1195"/>
      <c r="BD61" s="1195"/>
      <c r="BE61" s="1195"/>
      <c r="BF61" s="1195"/>
    </row>
    <row r="62" spans="1:58" ht="15" customHeight="1">
      <c r="A62" s="106" t="s">
        <v>1287</v>
      </c>
      <c r="C62" s="691" t="s">
        <v>2297</v>
      </c>
      <c r="D62" s="1195" t="s">
        <v>1934</v>
      </c>
      <c r="E62" s="691" t="s">
        <v>1290</v>
      </c>
      <c r="F62" s="1187" t="s">
        <v>1912</v>
      </c>
      <c r="G62" s="1187" t="s">
        <v>1912</v>
      </c>
      <c r="H62" s="106" t="s">
        <v>2307</v>
      </c>
      <c r="J62" s="804"/>
      <c r="K62" s="106" t="s">
        <v>2309</v>
      </c>
      <c r="L62" s="1195" t="s">
        <v>1913</v>
      </c>
      <c r="M62" s="106" t="s">
        <v>2313</v>
      </c>
      <c r="N62" s="1195" t="s">
        <v>1914</v>
      </c>
      <c r="P62" s="554" t="s">
        <v>1929</v>
      </c>
      <c r="S62" s="1153"/>
      <c r="AE62" s="642" t="s">
        <v>2002</v>
      </c>
      <c r="AF62" s="1195">
        <f>IF(SUM(AF49:AF52)=8,3,IF(SUM(AF49:AF52)=9,3,IF(SUM(AF49:AF52)=10,6,IF(SUM(AF49:AF52)=12,4,IF(SUM(AF49:AF52)=13,4,IF(SUM(AF49:AF52)=14,6,IF(SUM(AF49:AF52)=15,8,IF(SUM(AF49:AF52)=16,5,IF(SUM(AF49:AF52)=17,5,IF(SUM(AF49:AF52)=18,9,IF(SUM(AF49:AF52)=19,9,IF(SUM(AF49:AF52)=20,10,0))))))))))))</f>
        <v>0</v>
      </c>
      <c r="AL62" s="1195" t="s">
        <v>1415</v>
      </c>
      <c r="AM62" s="1195">
        <v>1</v>
      </c>
      <c r="AN62" s="1195">
        <v>2</v>
      </c>
      <c r="AO62" s="1195">
        <v>3</v>
      </c>
      <c r="AP62" s="1195">
        <v>4</v>
      </c>
      <c r="AQ62" s="1195">
        <v>5</v>
      </c>
      <c r="AR62" s="1195">
        <v>6</v>
      </c>
      <c r="AS62" s="1195">
        <v>7</v>
      </c>
      <c r="AT62" s="1195">
        <v>8</v>
      </c>
      <c r="AU62" s="1195" t="s">
        <v>256</v>
      </c>
      <c r="AW62" s="642"/>
      <c r="AX62" s="1195"/>
      <c r="AY62" s="1195"/>
      <c r="AZ62" s="1195"/>
      <c r="BA62" s="1195"/>
      <c r="BB62" s="1195"/>
      <c r="BC62" s="1195"/>
      <c r="BD62" s="1195"/>
      <c r="BE62" s="1195"/>
      <c r="BF62" s="1195"/>
    </row>
    <row r="63" spans="1:58" ht="15" customHeight="1">
      <c r="C63" s="691"/>
      <c r="D63" s="1195" t="s">
        <v>9</v>
      </c>
      <c r="E63" s="691" t="s">
        <v>2301</v>
      </c>
      <c r="F63" s="691" t="s">
        <v>2303</v>
      </c>
      <c r="G63" s="691" t="s">
        <v>2305</v>
      </c>
      <c r="I63" s="1085" t="str">
        <f>IF(OR(choice701.4.3.2="Visual Inspection Option",AND(choice701.4.3.2="Testing Option",ch7ACH50&gt;0,ch7ACH50&lt;=7)), "Met","Not Met")</f>
        <v>Not Met</v>
      </c>
      <c r="J63" s="804"/>
      <c r="L63" s="106" t="s">
        <v>2311</v>
      </c>
      <c r="N63" s="106" t="s">
        <v>2315</v>
      </c>
      <c r="P63" s="554" t="s">
        <v>1930</v>
      </c>
      <c r="S63" s="1153"/>
      <c r="AM63" s="106">
        <v>14</v>
      </c>
      <c r="AN63" s="1195">
        <v>18</v>
      </c>
      <c r="AO63" s="106">
        <v>22</v>
      </c>
      <c r="AP63" s="106">
        <v>30</v>
      </c>
      <c r="AQ63" s="106">
        <v>37</v>
      </c>
      <c r="AR63" s="106">
        <v>37</v>
      </c>
      <c r="AS63" s="106">
        <v>37</v>
      </c>
      <c r="AT63" s="106">
        <v>37</v>
      </c>
      <c r="AU63" s="1329" t="e">
        <f>IF('Verification Rpt'!#REF!&lt;&gt;"",HLOOKUP(VCZ,Formulas!AM62:AT63,2,0),0)</f>
        <v>#REF!</v>
      </c>
      <c r="AW63" s="1195" t="s">
        <v>2070</v>
      </c>
      <c r="AX63" s="1195"/>
      <c r="AY63" s="1195"/>
      <c r="AZ63" s="642" t="s">
        <v>2042</v>
      </c>
      <c r="BA63" s="1195" t="e">
        <f>IF('Verification Rpt'!#REF!=75,2,IF('Verification Rpt'!#REF!=95,3,4))</f>
        <v>#REF!</v>
      </c>
      <c r="BB63" s="1195"/>
      <c r="BC63" s="1195"/>
      <c r="BD63" s="1195"/>
      <c r="BE63" s="1195"/>
      <c r="BF63" s="1195" t="s">
        <v>256</v>
      </c>
    </row>
    <row r="64" spans="1:58" ht="15" customHeight="1">
      <c r="C64" s="691"/>
      <c r="D64" s="106" t="s">
        <v>2299</v>
      </c>
      <c r="E64" s="691"/>
      <c r="F64" s="691"/>
      <c r="G64" s="691"/>
      <c r="J64" s="804"/>
      <c r="AW64" s="1195" t="s">
        <v>311</v>
      </c>
      <c r="AX64" s="1195">
        <v>1</v>
      </c>
      <c r="AY64" s="1195">
        <v>2</v>
      </c>
      <c r="AZ64" s="1195">
        <v>3</v>
      </c>
      <c r="BA64" s="1195">
        <v>4</v>
      </c>
      <c r="BB64" s="1195">
        <v>5</v>
      </c>
      <c r="BC64" s="1195">
        <v>6</v>
      </c>
      <c r="BD64" s="1195">
        <v>7</v>
      </c>
      <c r="BE64" s="1195">
        <v>8</v>
      </c>
      <c r="BF64" s="1329" t="e">
        <f>IF('Verification Rpt'!#REF!&lt;&gt;"",HLOOKUP(VCZ,Formulas!AX64:BE67,Formulas!BA63,0),0)</f>
        <v>#REF!</v>
      </c>
    </row>
    <row r="65" spans="1:58" s="697" customFormat="1" ht="15" customHeight="1">
      <c r="C65" s="640"/>
      <c r="E65" s="640"/>
      <c r="F65" s="640"/>
      <c r="G65" s="640"/>
      <c r="J65" s="802"/>
      <c r="AW65" s="555">
        <v>75</v>
      </c>
      <c r="AX65" s="1195">
        <v>5</v>
      </c>
      <c r="AY65" s="1195">
        <v>4</v>
      </c>
      <c r="AZ65" s="1195">
        <v>3</v>
      </c>
      <c r="BA65" s="1195">
        <v>3</v>
      </c>
      <c r="BB65" s="1195">
        <v>3</v>
      </c>
      <c r="BC65" s="1195">
        <v>2</v>
      </c>
      <c r="BD65" s="1195">
        <v>2</v>
      </c>
      <c r="BE65" s="1195">
        <v>1</v>
      </c>
      <c r="BF65" s="1195"/>
    </row>
    <row r="66" spans="1:58" s="546" customFormat="1" ht="15" customHeight="1">
      <c r="C66" s="347"/>
      <c r="E66" s="347"/>
      <c r="F66" s="347"/>
      <c r="G66" s="347"/>
      <c r="P66" s="546" t="s">
        <v>1338</v>
      </c>
      <c r="Q66" s="546" t="s">
        <v>307</v>
      </c>
      <c r="R66" s="546" t="s">
        <v>308</v>
      </c>
      <c r="S66" s="546" t="s">
        <v>314</v>
      </c>
      <c r="T66" s="546" t="s">
        <v>1477</v>
      </c>
      <c r="U66" s="546" t="s">
        <v>312</v>
      </c>
      <c r="V66" s="546" t="s">
        <v>1595</v>
      </c>
      <c r="AL66" s="1195" t="s">
        <v>2043</v>
      </c>
      <c r="AM66" s="1195" t="str">
        <f>VCZ</f>
        <v>Verifier Enter on Start Here! tab</v>
      </c>
      <c r="AN66" s="1195"/>
      <c r="AO66" s="1195"/>
      <c r="AP66" s="1195"/>
      <c r="AQ66" s="1195"/>
      <c r="AR66" s="1195"/>
      <c r="AS66" s="1195"/>
      <c r="AT66" s="1195"/>
      <c r="AU66" s="1195"/>
      <c r="AW66" s="554">
        <v>0.95</v>
      </c>
      <c r="AX66" s="1195">
        <v>9</v>
      </c>
      <c r="AY66" s="1195">
        <v>6</v>
      </c>
      <c r="AZ66" s="1195">
        <v>5</v>
      </c>
      <c r="BA66" s="1195">
        <v>4</v>
      </c>
      <c r="BB66" s="1195">
        <v>4</v>
      </c>
      <c r="BC66" s="1195">
        <v>3</v>
      </c>
      <c r="BD66" s="1195">
        <v>2</v>
      </c>
      <c r="BE66" s="1195">
        <v>1</v>
      </c>
      <c r="BF66" s="1195"/>
    </row>
    <row r="67" spans="1:58" ht="15" customHeight="1">
      <c r="C67" s="691"/>
      <c r="E67" s="691"/>
      <c r="F67" s="691"/>
      <c r="G67" s="691"/>
      <c r="J67" s="804"/>
      <c r="P67" s="106" t="e">
        <f>IF(choice702.2.2=P60,30,IF(choice702.2.2=P61,60,IF(choice702.2.2=P62,80,IF(choice702.2.2=P63,100,0))))</f>
        <v>#REF!</v>
      </c>
      <c r="R67" s="106" t="e">
        <f>IF(choice703.1.2=R60,7,IF(choice703.1.2=R61,4,0))</f>
        <v>#REF!</v>
      </c>
      <c r="S67" s="106" t="e">
        <f>IF(choice704.2.1=T60,1,IF(choice704.2.1=T61,2,0))</f>
        <v>#REF!</v>
      </c>
      <c r="T67" s="106" t="e">
        <f>IF(choice705.2_2=U60,1,IF(choice705.2_2=U61,5,0))</f>
        <v>#REF!</v>
      </c>
      <c r="U67" s="106" t="e">
        <f>IF(OR(startTotalFloorArea="",enterRecessedLights=""),0,IF(AND(startTotalFloorArea&lt;&gt;"",enterRecessedLights=0),2,IF(startTotalFloorArea/enterRecessedLights&gt;400,2,0)))</f>
        <v>#REF!</v>
      </c>
      <c r="V67" s="106" t="e">
        <f>IF(AND(ch7blowerdoor&gt;0,ch7blowerdoor&lt;5.5),5,0)</f>
        <v>#REF!</v>
      </c>
      <c r="AL67" s="1195"/>
      <c r="AM67" s="1195"/>
      <c r="AN67" s="1195"/>
      <c r="AO67" s="1195"/>
      <c r="AP67" s="1195"/>
      <c r="AQ67" s="1195"/>
      <c r="AR67" s="1195"/>
      <c r="AS67" s="1195"/>
      <c r="AT67" s="1195"/>
      <c r="AU67" s="1195"/>
      <c r="AW67" s="1387"/>
      <c r="AX67" s="1195">
        <v>0</v>
      </c>
      <c r="AY67" s="1195">
        <v>0</v>
      </c>
      <c r="AZ67" s="1195">
        <v>0</v>
      </c>
      <c r="BA67" s="1195">
        <v>0</v>
      </c>
      <c r="BB67" s="1195">
        <v>0</v>
      </c>
      <c r="BC67" s="1195">
        <v>0</v>
      </c>
      <c r="BD67" s="1195">
        <v>0</v>
      </c>
      <c r="BE67" s="1195">
        <v>0</v>
      </c>
      <c r="BF67" s="546"/>
    </row>
    <row r="68" spans="1:58" ht="15" customHeight="1">
      <c r="C68" s="691"/>
      <c r="E68" s="691"/>
      <c r="F68" s="691"/>
      <c r="G68" s="691"/>
      <c r="J68" s="804"/>
      <c r="AL68" s="1195" t="s">
        <v>2049</v>
      </c>
      <c r="AM68" s="1195"/>
      <c r="AN68" s="1195"/>
      <c r="AO68" s="642" t="s">
        <v>2042</v>
      </c>
      <c r="AP68" s="1195" t="e">
        <f>IF('Verification Rpt'!#REF!&gt;27.99,6,IF('Verification Rpt'!#REF!&gt;23.99,5,IF('Verification Rpt'!#REF!&gt;16.19,4,IF('Verification Rpt'!#REF!&gt;14.99,3,IF('Verification Rpt'!#REF!&gt;14.09,2,7)))))</f>
        <v>#REF!</v>
      </c>
      <c r="AQ68" s="1195"/>
      <c r="AR68" s="1195"/>
      <c r="AS68" s="1195"/>
      <c r="AT68" s="1195"/>
      <c r="AU68" s="1195" t="s">
        <v>256</v>
      </c>
      <c r="AW68" s="1388"/>
      <c r="AX68" s="546"/>
      <c r="AY68" s="546"/>
      <c r="AZ68" s="546"/>
      <c r="BA68" s="546"/>
      <c r="BB68" s="546"/>
      <c r="BC68" s="546"/>
      <c r="BD68" s="546"/>
      <c r="BE68" s="546"/>
      <c r="BF68" s="1195"/>
    </row>
    <row r="69" spans="1:58" s="697" customFormat="1" ht="15" customHeight="1">
      <c r="A69" s="697" t="s">
        <v>1341</v>
      </c>
      <c r="C69" s="640"/>
      <c r="E69" s="640"/>
      <c r="F69" s="640"/>
      <c r="G69" s="640"/>
      <c r="J69" s="802"/>
      <c r="AL69" s="1195" t="s">
        <v>1415</v>
      </c>
      <c r="AM69" s="1195">
        <v>1</v>
      </c>
      <c r="AN69" s="1195">
        <v>2</v>
      </c>
      <c r="AO69" s="1195">
        <v>3</v>
      </c>
      <c r="AP69" s="1195">
        <v>4</v>
      </c>
      <c r="AQ69" s="1195">
        <v>5</v>
      </c>
      <c r="AR69" s="1195">
        <v>6</v>
      </c>
      <c r="AS69" s="1195">
        <v>7</v>
      </c>
      <c r="AT69" s="1195">
        <v>8</v>
      </c>
      <c r="AU69" s="1329" t="e">
        <f>IF('Verification Rpt'!#REF!&lt;&gt;"",HLOOKUP(VCZ,Formulas!AM69:AT75,Formulas!AP68,0),0)</f>
        <v>#REF!</v>
      </c>
      <c r="AW69" s="1195" t="s">
        <v>2048</v>
      </c>
      <c r="AX69" s="1195" t="str">
        <f>VCZ</f>
        <v>Verifier Enter on Start Here! tab</v>
      </c>
      <c r="AY69" s="1195"/>
      <c r="AZ69" s="1195"/>
      <c r="BA69" s="1195"/>
      <c r="BB69" s="1195"/>
      <c r="BC69" s="1195"/>
      <c r="BD69" s="1195"/>
      <c r="BE69" s="1195"/>
      <c r="BF69" s="1195"/>
    </row>
    <row r="70" spans="1:58" s="546" customFormat="1" ht="15" customHeight="1">
      <c r="A70" s="546" t="s">
        <v>307</v>
      </c>
      <c r="B70" s="546" t="s">
        <v>309</v>
      </c>
      <c r="C70" s="347" t="s">
        <v>1381</v>
      </c>
      <c r="D70" s="546" t="s">
        <v>1389</v>
      </c>
      <c r="E70" s="347" t="s">
        <v>1393</v>
      </c>
      <c r="F70" s="347" t="s">
        <v>1400</v>
      </c>
      <c r="G70" s="347" t="s">
        <v>1401</v>
      </c>
      <c r="H70" s="546" t="s">
        <v>1402</v>
      </c>
      <c r="I70" s="546" t="s">
        <v>1403</v>
      </c>
      <c r="J70" s="546" t="s">
        <v>1408</v>
      </c>
      <c r="K70" s="546" t="s">
        <v>1413</v>
      </c>
      <c r="L70" s="546" t="s">
        <v>1415</v>
      </c>
      <c r="M70" s="546" t="s">
        <v>1424</v>
      </c>
      <c r="N70" s="546" t="s">
        <v>1428</v>
      </c>
      <c r="O70" s="546" t="s">
        <v>1439</v>
      </c>
      <c r="P70" s="546" t="s">
        <v>1440</v>
      </c>
      <c r="Q70" s="546" t="s">
        <v>1441</v>
      </c>
      <c r="R70" s="546" t="s">
        <v>1442</v>
      </c>
      <c r="S70" s="546" t="s">
        <v>1443</v>
      </c>
      <c r="T70" s="546" t="s">
        <v>1445</v>
      </c>
      <c r="U70" s="546" t="s">
        <v>311</v>
      </c>
      <c r="AL70" s="1387">
        <v>14.1</v>
      </c>
      <c r="AM70" s="1195">
        <v>12</v>
      </c>
      <c r="AN70" s="1195">
        <v>14</v>
      </c>
      <c r="AO70" s="1195">
        <v>16</v>
      </c>
      <c r="AP70" s="1195">
        <v>22</v>
      </c>
      <c r="AQ70" s="1195">
        <v>27</v>
      </c>
      <c r="AR70" s="1195">
        <v>27</v>
      </c>
      <c r="AS70" s="1195">
        <v>27</v>
      </c>
      <c r="AT70" s="1195">
        <v>27</v>
      </c>
      <c r="AU70" s="1195"/>
      <c r="AW70" s="1195" t="s">
        <v>313</v>
      </c>
      <c r="AX70" s="1195">
        <v>1</v>
      </c>
      <c r="AY70" s="1195">
        <v>2</v>
      </c>
      <c r="AZ70" s="1195">
        <v>3</v>
      </c>
      <c r="BA70" s="1195">
        <v>4</v>
      </c>
      <c r="BB70" s="1195">
        <v>5</v>
      </c>
      <c r="BC70" s="1195">
        <v>6</v>
      </c>
      <c r="BD70" s="1195">
        <v>7</v>
      </c>
      <c r="BE70" s="1195">
        <v>8</v>
      </c>
      <c r="BF70" s="1195" t="s">
        <v>256</v>
      </c>
    </row>
    <row r="71" spans="1:58" ht="15" customHeight="1">
      <c r="A71" s="106" t="s">
        <v>1342</v>
      </c>
      <c r="B71" s="106" t="s">
        <v>1379</v>
      </c>
      <c r="C71" s="691" t="s">
        <v>1382</v>
      </c>
      <c r="D71" s="106" t="s">
        <v>1390</v>
      </c>
      <c r="F71" s="691" t="s">
        <v>1404</v>
      </c>
      <c r="G71" s="691" t="s">
        <v>1405</v>
      </c>
      <c r="H71" s="691" t="s">
        <v>1406</v>
      </c>
      <c r="I71" s="691" t="s">
        <v>1407</v>
      </c>
      <c r="J71" s="106" t="s">
        <v>1411</v>
      </c>
      <c r="K71" s="106" t="s">
        <v>1850</v>
      </c>
      <c r="L71" s="106" t="s">
        <v>1416</v>
      </c>
      <c r="M71" s="106" t="s">
        <v>1425</v>
      </c>
      <c r="O71" s="106" t="s">
        <v>1437</v>
      </c>
      <c r="P71" s="106" t="s">
        <v>1438</v>
      </c>
      <c r="Q71" s="106" t="s">
        <v>1433</v>
      </c>
      <c r="R71" s="106" t="s">
        <v>129</v>
      </c>
      <c r="S71" s="106" t="s">
        <v>1434</v>
      </c>
      <c r="T71" s="106" t="s">
        <v>1482</v>
      </c>
      <c r="U71" s="106" t="s">
        <v>1446</v>
      </c>
      <c r="AL71" s="1387">
        <v>15</v>
      </c>
      <c r="AM71" s="1195">
        <v>14</v>
      </c>
      <c r="AN71" s="1195">
        <v>16</v>
      </c>
      <c r="AO71" s="1195">
        <v>19</v>
      </c>
      <c r="AP71" s="1195">
        <v>25</v>
      </c>
      <c r="AQ71" s="1195">
        <v>31</v>
      </c>
      <c r="AR71" s="1195">
        <v>31</v>
      </c>
      <c r="AS71" s="1195">
        <v>31</v>
      </c>
      <c r="AT71" s="1195">
        <v>31</v>
      </c>
      <c r="AU71" s="1195"/>
      <c r="AW71" s="1195" t="s">
        <v>1448</v>
      </c>
      <c r="AX71" s="1195">
        <v>3</v>
      </c>
      <c r="AY71" s="1195">
        <v>2</v>
      </c>
      <c r="AZ71" s="1195">
        <v>1</v>
      </c>
      <c r="BA71" s="1195">
        <v>1</v>
      </c>
      <c r="BB71" s="1195">
        <v>1</v>
      </c>
      <c r="BC71" s="1195">
        <v>1</v>
      </c>
      <c r="BD71" s="1195">
        <v>1</v>
      </c>
      <c r="BE71" s="1195">
        <v>1</v>
      </c>
      <c r="BF71" s="1329" t="e">
        <f>HLOOKUP(VCZ,Formulas!AX70:BE71,2,0)</f>
        <v>#N/A</v>
      </c>
    </row>
    <row r="72" spans="1:58" ht="15" customHeight="1">
      <c r="A72" s="106" t="s">
        <v>1340</v>
      </c>
      <c r="B72" s="789" t="s">
        <v>1380</v>
      </c>
      <c r="C72" s="769" t="s">
        <v>1383</v>
      </c>
      <c r="D72" s="106" t="s">
        <v>1391</v>
      </c>
      <c r="F72" s="691" t="s">
        <v>1394</v>
      </c>
      <c r="G72" s="691" t="s">
        <v>1399</v>
      </c>
      <c r="H72" s="106" t="s">
        <v>1399</v>
      </c>
      <c r="I72" s="106" t="s">
        <v>1399</v>
      </c>
      <c r="J72" s="106" t="s">
        <v>1412</v>
      </c>
      <c r="K72" s="106" t="s">
        <v>1851</v>
      </c>
      <c r="L72" s="106" t="s">
        <v>1417</v>
      </c>
      <c r="M72" s="106" t="s">
        <v>1426</v>
      </c>
      <c r="O72" s="106" t="s">
        <v>1429</v>
      </c>
      <c r="P72" s="106" t="s">
        <v>1481</v>
      </c>
      <c r="Q72" s="106" t="s">
        <v>1480</v>
      </c>
      <c r="R72" s="106" t="s">
        <v>1436</v>
      </c>
      <c r="S72" s="106" t="s">
        <v>1431</v>
      </c>
      <c r="T72" s="106" t="s">
        <v>1483</v>
      </c>
      <c r="U72" s="106" t="s">
        <v>1447</v>
      </c>
      <c r="AL72" s="1388">
        <v>16.2</v>
      </c>
      <c r="AM72" s="546">
        <v>17</v>
      </c>
      <c r="AN72" s="546">
        <v>18</v>
      </c>
      <c r="AO72" s="546">
        <v>20</v>
      </c>
      <c r="AP72" s="546">
        <v>27</v>
      </c>
      <c r="AQ72" s="546">
        <v>33</v>
      </c>
      <c r="AR72" s="546">
        <v>33</v>
      </c>
      <c r="AS72" s="546">
        <v>33</v>
      </c>
      <c r="AT72" s="546">
        <v>33</v>
      </c>
      <c r="AU72" s="546"/>
    </row>
    <row r="73" spans="1:58" ht="15" customHeight="1">
      <c r="A73" s="106" t="s">
        <v>1339</v>
      </c>
      <c r="C73" s="769" t="s">
        <v>1384</v>
      </c>
      <c r="D73" s="106" t="s">
        <v>1392</v>
      </c>
      <c r="F73" s="691" t="s">
        <v>1395</v>
      </c>
      <c r="G73" s="691" t="s">
        <v>1394</v>
      </c>
      <c r="H73" s="106" t="s">
        <v>1394</v>
      </c>
      <c r="I73" s="106" t="s">
        <v>1394</v>
      </c>
      <c r="J73" s="106" t="s">
        <v>1409</v>
      </c>
      <c r="K73" s="106" t="s">
        <v>1852</v>
      </c>
      <c r="L73" s="106" t="s">
        <v>1418</v>
      </c>
      <c r="M73" s="106" t="s">
        <v>1427</v>
      </c>
      <c r="O73" s="106" t="s">
        <v>1430</v>
      </c>
      <c r="R73" s="106" t="s">
        <v>1435</v>
      </c>
      <c r="S73" s="106" t="s">
        <v>1432</v>
      </c>
      <c r="T73" s="106" t="s">
        <v>1484</v>
      </c>
      <c r="AL73" s="1387">
        <v>24</v>
      </c>
      <c r="AM73" s="1195">
        <v>29</v>
      </c>
      <c r="AN73" s="1195">
        <v>28</v>
      </c>
      <c r="AO73" s="1195">
        <v>29</v>
      </c>
      <c r="AP73" s="1195">
        <v>35</v>
      </c>
      <c r="AQ73" s="1195">
        <v>42</v>
      </c>
      <c r="AR73" s="1195">
        <v>42</v>
      </c>
      <c r="AS73" s="1195">
        <v>42</v>
      </c>
      <c r="AT73" s="1195">
        <v>42</v>
      </c>
      <c r="AU73" s="1195"/>
    </row>
    <row r="74" spans="1:58" ht="15" customHeight="1">
      <c r="A74" s="106" t="s">
        <v>1343</v>
      </c>
      <c r="C74" s="769" t="s">
        <v>1385</v>
      </c>
      <c r="F74" s="769" t="s">
        <v>1396</v>
      </c>
      <c r="G74" s="691"/>
      <c r="H74" s="106" t="s">
        <v>1396</v>
      </c>
      <c r="J74" s="106" t="s">
        <v>1410</v>
      </c>
      <c r="K74" s="106" t="s">
        <v>1414</v>
      </c>
      <c r="L74" s="106" t="s">
        <v>1419</v>
      </c>
      <c r="S74" s="106" t="s">
        <v>1479</v>
      </c>
      <c r="T74" s="106" t="s">
        <v>1485</v>
      </c>
      <c r="AL74" s="1387">
        <v>28</v>
      </c>
      <c r="AM74" s="1195">
        <v>32</v>
      </c>
      <c r="AN74" s="1195">
        <v>32</v>
      </c>
      <c r="AO74" s="1195">
        <v>32</v>
      </c>
      <c r="AP74" s="1195">
        <v>40</v>
      </c>
      <c r="AQ74" s="1195">
        <v>47</v>
      </c>
      <c r="AR74" s="1195">
        <v>47</v>
      </c>
      <c r="AS74" s="1195">
        <v>47</v>
      </c>
      <c r="AT74" s="1195">
        <v>47</v>
      </c>
      <c r="AU74" s="1195"/>
      <c r="AW74" s="1195" t="s">
        <v>2071</v>
      </c>
    </row>
    <row r="75" spans="1:58" ht="15" customHeight="1">
      <c r="C75" s="769" t="s">
        <v>1386</v>
      </c>
      <c r="F75" s="691" t="s">
        <v>1397</v>
      </c>
      <c r="G75" s="691"/>
      <c r="H75" s="106" t="s">
        <v>1397</v>
      </c>
      <c r="K75" s="1195" t="s">
        <v>2047</v>
      </c>
      <c r="L75" s="106" t="s">
        <v>1420</v>
      </c>
      <c r="T75" s="106" t="s">
        <v>1486</v>
      </c>
      <c r="AL75" s="546"/>
      <c r="AM75" s="1195">
        <v>0</v>
      </c>
      <c r="AN75" s="1195">
        <v>0</v>
      </c>
      <c r="AO75" s="1195">
        <v>0</v>
      </c>
      <c r="AP75" s="1195">
        <v>0</v>
      </c>
      <c r="AQ75" s="1195">
        <v>0</v>
      </c>
      <c r="AR75" s="1195">
        <v>0</v>
      </c>
      <c r="AS75" s="1195">
        <v>0</v>
      </c>
      <c r="AT75" s="1195">
        <v>0</v>
      </c>
      <c r="AU75" s="546"/>
      <c r="AW75" s="106" t="e">
        <f>IF('Verification Rpt'!#REF!="Installed",1,0)</f>
        <v>#REF!</v>
      </c>
    </row>
    <row r="76" spans="1:58" ht="15" customHeight="1">
      <c r="A76" s="106" t="e">
        <f>IF(choice703.1.1=A74,2,0)</f>
        <v>#REF!</v>
      </c>
      <c r="B76" s="106" t="e">
        <f>IF(choice703.1.3=B71,5,IF(choice703.1.3=B72,3,0))</f>
        <v>#REF!</v>
      </c>
      <c r="C76" s="691" t="e">
        <f>IF(choice703.1.5=C71,2,IF(choice703.1.5=C72,2,IF(choice703.1.5=C73,3,IF(choice703.1.5=C74,3,IF(choice703.1.5=C75,4,0)))))</f>
        <v>#REF!</v>
      </c>
      <c r="D76" s="106" t="e">
        <f>IF(choice703.1.6.2=D71,'11.7'!#REF!,IF(choice703.1.6.2=Formulas!D72,'11.7'!#REF!,IF(choice703.1.6.2=Formulas!D73,'11.7'!#REF!,0)))</f>
        <v>#REF!</v>
      </c>
      <c r="F76" s="769" t="s">
        <v>1398</v>
      </c>
      <c r="G76" s="769"/>
      <c r="AW76" s="1195" t="e">
        <f>IF('Verification Rpt'!#REF!="Installed",1,0)</f>
        <v>#REF!</v>
      </c>
    </row>
    <row r="77" spans="1:58" ht="15" customHeight="1">
      <c r="A77" s="106" t="e">
        <f>IF(choice703.1.1=A71,2,IF(choice703.1.1=A72,6,IF(choice703.1.1=A73,10,IF(choice703.1.1=A74,14,0))))</f>
        <v>#REF!</v>
      </c>
      <c r="B77" s="106" t="e">
        <f>IF(choice703.1.3=B71,4,IF(choice703.1.3=B72,2,0))</f>
        <v>#REF!</v>
      </c>
      <c r="C77" s="769" t="e">
        <f>IF(choice703.1.5=C71,3,IF(choice703.1.5=C72,4,IF(choice703.1.5=C73,5,IF(choice703.1.5=C74,6,IF(choice703.1.5=C75,5,0)))))</f>
        <v>#REF!</v>
      </c>
      <c r="E77" s="106" t="e">
        <f>IF(AND(startClimateZone=1,choice703.2.2step1=F71),score703.2.2_1Zone1, IF(AND(startClimateZone=1,choice703.2.2step1=G71),score703.2.2_2Zone1,IF(AND(startClimateZone=1,choice703.2.2step1=H71),score703.2.2_3Zone1,IF(AND(startClimateZone=1,choice703.2.2step1=I71),score703.2.2_4Zone1,0))))</f>
        <v>#REF!</v>
      </c>
      <c r="F77" s="106" t="e">
        <f>IF(choice703.2.2step2=F72,0,IF(choice703.2.2step2=F73,0,IF(choice703.2.2step2=F74,0,IF(choice703.2.2step2=F75,1,IF(choice703.2.2step2=F76,1,0)))))</f>
        <v>#REF!</v>
      </c>
      <c r="G77" s="106" t="e">
        <f>IF(choice703.2.2step2=G72,0,IF(choice703.2.2step2=G73,0,0))</f>
        <v>#REF!</v>
      </c>
      <c r="H77" s="106" t="e">
        <f>IF(choice703.2.2step2=H72,0,IF(choice703.2.2step2=H73,1,IF(choice703.2.2step2=H74,1,IF(choice703.2.2step2=H75,1,0))))</f>
        <v>#REF!</v>
      </c>
      <c r="I77" s="106" t="e">
        <f>IF(choice703.2.2step2=I72,0,IF(choice703.2.2step2=I73,1,0))</f>
        <v>#REF!</v>
      </c>
      <c r="J77" s="769" t="e">
        <f>IF(choice703.2.3=J71,0,IF(choice703.2.3=J72,0,IF(choice703.2.3=J73,0,IF(choice703.2.3=J74,1,0))))</f>
        <v>#REF!</v>
      </c>
      <c r="K77" s="106" t="e">
        <f>IF(choice703.2.4=K71,4,IF(choice703.2.4=K72,7,IF(choice703.2.4=K73,12,IF(choice703.2.4=K74,16,IF(choice703.2.4=K75,19,0)))))</f>
        <v>#REF!</v>
      </c>
      <c r="L77" s="106" t="e">
        <f>IF(choice703.2.6=L71,12,IF(choice703.2.6=L72,14,IF(choice703.2.6=L73,17,IF(choice703.2.6=L74,29,IF(choice703.2.6=L75,32,0)))))</f>
        <v>#REF!</v>
      </c>
      <c r="M77" s="106" t="e">
        <f>IF(choice703.3.4=M71,8,IF(choice703.3.4=M72,3,IF(choice703.3.4=M73,5,0)))</f>
        <v>#REF!</v>
      </c>
      <c r="N77" s="106" t="e">
        <f>IF(AND(startClimateZone=1,choice703.4.1step1=O71),score703.4.1_1aZone1, IF(AND(startClimateZone=1,choice703.4.1step1=P71),score703.4.1_1bZone1,IF(AND(startClimateZone=1,choice703.4.1step1=Q71),score703.4.1_2Zone1,IF(AND(startClimateZone=1,choice703.4.1step1=R71),score703.4.1_3Zone1,IF(AND(startClimateZone=1,choice703.4.1step1=S71),score703.4.1_4Zone1,0)))))</f>
        <v>#REF!</v>
      </c>
      <c r="O77" s="106" t="e">
        <f>IF(choice703.4.1step2=O72,4,IF(choice703.4.1step2=O73,7,0))</f>
        <v>#REF!</v>
      </c>
      <c r="P77" s="106" t="e">
        <f>IF(choice703.4.1step2=P72,7,0)</f>
        <v>#REF!</v>
      </c>
      <c r="Q77" s="106" t="e">
        <f>IF(choice703.4.1step2=Electric,2,0)</f>
        <v>#REF!</v>
      </c>
      <c r="R77" s="106" t="e">
        <f>IF(choice703.4.1step2=R72,1,IF(choice703.4.1step2=R73,1,0))</f>
        <v>#REF!</v>
      </c>
      <c r="S77" s="106" t="e">
        <f>IF(choice703.4.1step2=S72,14,IF(choice703.4.1step2=S73,19,IF(choice703.4.1step2=S74,20,0)))</f>
        <v>#REF!</v>
      </c>
      <c r="T77" s="106" t="e">
        <f>IF(choice703.4.5=T71,15,IF(choice703.4.5=T72,18,IF(choice703.4.5=T73,21,IF(choice703.4.5=T74,24,IF(choice703.4.5=T75,27,0)))))</f>
        <v>#REF!</v>
      </c>
      <c r="U77" s="106" t="e">
        <f>IF(choice703.5.1=U71,5,IF(choice703.5.1=U72,9,0))</f>
        <v>#REF!</v>
      </c>
      <c r="AL77" s="1195" t="s">
        <v>2048</v>
      </c>
      <c r="AM77" s="1195" t="str">
        <f>VCZ</f>
        <v>Verifier Enter on Start Here! tab</v>
      </c>
      <c r="AN77" s="1195"/>
      <c r="AO77" s="1195"/>
      <c r="AP77" s="1195"/>
      <c r="AQ77" s="1195"/>
      <c r="AR77" s="1195"/>
      <c r="AS77" s="1195"/>
      <c r="AT77" s="1195"/>
      <c r="AU77" s="1195"/>
      <c r="AW77" s="1195" t="e">
        <f>IF('Verification Rpt'!#REF!="Installed",1,0)</f>
        <v>#REF!</v>
      </c>
    </row>
    <row r="78" spans="1:58" ht="15" customHeight="1">
      <c r="A78" s="106" t="e">
        <f>IF(choice703.1.1=A71,3,IF(choice703.1.1=A72,8,IF(choice703.1.1=A73,12,IF(choice703.1.1=A74,17,0))))</f>
        <v>#REF!</v>
      </c>
      <c r="B78" s="106" t="e">
        <f>IF(choice703.1.3=B71,3,IF(choice703.1.3=B72,2,0))</f>
        <v>#REF!</v>
      </c>
      <c r="C78" s="691" t="e">
        <f>IF(choice703.1.5=C71,3,IF(choice703.1.5=C72,5,IF(choice703.1.5=C73,6,IF(choice703.1.5=C74,8,IF(choice703.1.5=C75,8,0)))))</f>
        <v>#REF!</v>
      </c>
      <c r="E78" s="106" t="e">
        <f>IF(AND(startClimateZone=2,choice703.2.2step1=F71),score703.2.2_1Zone2, IF(AND(startClimateZone=2,choice703.2.2step1=G71),score703.2.2_2Zone2,IF(AND(startClimateZone=2,choice703.2.2step1=H71),score703.2.2_3Zone2,IF(AND(startClimateZone=2,choice703.2.2step1=I71),score703.2.2_4Zone2,0))))</f>
        <v>#REF!</v>
      </c>
      <c r="F78" s="106" t="e">
        <f>IF(choice703.2.2step2=F72,5,IF(choice703.2.2step2=F73,5,IF(choice703.2.2step2=F74,5,IF(choice703.2.2step2=F75,6,IF(choice703.2.2step2=F76,6,0)))))</f>
        <v>#REF!</v>
      </c>
      <c r="G78" s="106" t="e">
        <f>IF(choice703.2.2step2=G72,1,IF(choice703.2.2step2=G73,2,0))</f>
        <v>#REF!</v>
      </c>
      <c r="H78" s="106" t="e">
        <f>IF(choice703.2.2step2=H72,9,IF(choice703.2.2step2=H73,10,IF(choice703.2.2step2=H74,10,IF(choice703.2.2step2=H75,10,0))))</f>
        <v>#REF!</v>
      </c>
      <c r="I78" s="106" t="e">
        <f>IF(choice703.2.2step2=I72,9,IF(choice703.2.2step2=I73,10,0))</f>
        <v>#REF!</v>
      </c>
      <c r="J78" s="769" t="e">
        <f>IF(choice703.2.3=J71,1,IF(choice703.2.3=J72,3,IF(choice703.2.3=J73,4,IF(choice703.2.3=J74,4,0))))</f>
        <v>#REF!</v>
      </c>
      <c r="K78" s="106" t="e">
        <f>IF(choice703.2.4=K71,3,IF(choice703.2.4=K72,5,IF(choice703.2.4=K73,8,IF(choice703.2.4=K74,11,IF(choice703.2.4=K75,14,0)))))</f>
        <v>#REF!</v>
      </c>
      <c r="L78" s="106" t="e">
        <f>IF(choice703.2.6=L71,14,IF(choice703.2.6=L72,16,IF(choice703.2.6=L73,18,IF(choice703.2.6=L74,28,IF(choice703.2.6=L75,32,0)))))</f>
        <v>#REF!</v>
      </c>
      <c r="M78" s="106" t="e">
        <f>IF(choice703.3.4=M71,9,IF(choice703.3.4=M72,3,IF(choice703.3.4=M73,6,0)))</f>
        <v>#REF!</v>
      </c>
      <c r="N78" s="106" t="e">
        <f>IF(AND(startClimateZone=2,choice703.4.1step1=O71),score703.4.1_1aZone2, IF(AND(startClimateZone=2,choice703.4.1step1=P71),score703.4.1_1bZone2,IF(AND(startClimateZone=2,choice703.4.1step1=Q71),score703.4.1_2Zone2,IF(AND(startClimateZone=2,choice703.4.1step1=R71),score703.4.1_3Zone2,IF(AND(startClimateZone=2,choice703.4.1step1=S71),score703.4.1_4Zone2,0)))))</f>
        <v>#REF!</v>
      </c>
      <c r="O78" s="106" t="e">
        <f>IF(choice703.4.1step2=O72,4,IF(choice703.4.1step2=O73,7,0))</f>
        <v>#REF!</v>
      </c>
      <c r="P78" s="106" t="e">
        <f>IF(choice703.4.1step2=P72,7,0)</f>
        <v>#REF!</v>
      </c>
      <c r="Q78" s="106" t="e">
        <f>IF(choice703.4.1step2=Electric,2,0)</f>
        <v>#REF!</v>
      </c>
      <c r="R78" s="106" t="e">
        <f>IF(choice703.4.1step2=R72,1,IF(choice703.4.1step2=R73,1,0))</f>
        <v>#REF!</v>
      </c>
      <c r="S78" s="106" t="e">
        <f>IF(choice703.4.1step2=S72,11,IF(choice703.4.1step2=S73,16,IF(choice703.4.1step2=S74,17,0)))</f>
        <v>#REF!</v>
      </c>
      <c r="T78" s="106" t="e">
        <f>IF(choice703.4.5=T71,10,IF(choice703.4.5=T72,12,IF(choice703.4.5=T73,14,IF(choice703.4.5=T74,17,IF(choice703.4.5=T75,19,0)))))</f>
        <v>#REF!</v>
      </c>
      <c r="U78" s="106" t="e">
        <f>IF(choice703.5.1=U71,4,IF(choice703.5.1=U72,6,0))</f>
        <v>#REF!</v>
      </c>
      <c r="AL78" s="1195" t="s">
        <v>1421</v>
      </c>
      <c r="AM78" s="1195">
        <v>1</v>
      </c>
      <c r="AN78" s="1195">
        <v>2</v>
      </c>
      <c r="AO78" s="1195">
        <v>3</v>
      </c>
      <c r="AP78" s="1195">
        <v>4</v>
      </c>
      <c r="AQ78" s="1195">
        <v>5</v>
      </c>
      <c r="AR78" s="1195">
        <v>6</v>
      </c>
      <c r="AS78" s="1195">
        <v>7</v>
      </c>
      <c r="AT78" s="1195">
        <v>8</v>
      </c>
      <c r="AU78" s="1195" t="s">
        <v>256</v>
      </c>
      <c r="AW78" s="1195" t="e">
        <f>IF('Verification Rpt'!#REF!="Installed",1,0)</f>
        <v>#REF!</v>
      </c>
    </row>
    <row r="79" spans="1:58" ht="15" customHeight="1">
      <c r="A79" s="106" t="e">
        <f>IF(choice703.1.1=A71,4,IF(choice703.1.1=A72,8,IF(choice703.1.1=A73,13,IF(choice703.1.1=A74,18,0))))</f>
        <v>#REF!</v>
      </c>
      <c r="C79" s="691" t="e">
        <f>IF(choice703.1.5=C71,4,IF(choice703.1.5=C72,7,IF(choice703.1.5=C73,9,IF(choice703.1.5=C74,11,IF(choice703.1.5=C75,12,0)))))</f>
        <v>#REF!</v>
      </c>
      <c r="E79" s="106" t="e">
        <f>IF(AND(startClimateZone=3,choice703.2.2step1=F71),score703.2.2_1Zone3, IF(AND(startClimateZone=3,choice703.2.2step1=G71),score703.2.2_2Zone3,IF(AND(startClimateZone=3,choice703.2.2step1=H71),score703.2.2_3Zone3,IF(AND(startClimateZone=3,choice703.2.2step1=I71),score703.2.2_4Zone3,0))))</f>
        <v>#REF!</v>
      </c>
      <c r="F79" s="106" t="e">
        <f>IF(choice703.2.2step2=F72,6,IF(choice703.2.2step2=F73,8,IF(choice703.2.2step2=F74,8,IF(choice703.2.2step2=F75,10,IF(choice703.2.2step2=F76,10,0)))))</f>
        <v>#REF!</v>
      </c>
      <c r="G79" s="106" t="e">
        <f>IF(choice703.2.2step2=G72,3,IF(choice703.2.2step2=G73,5,0))</f>
        <v>#REF!</v>
      </c>
      <c r="H79" s="106" t="e">
        <f>IF(choice703.2.2step2=H72,16,IF(choice703.2.2step2=H73,17,IF(choice703.2.2step2=H74,18,IF(choice703.2.2step2=H75,18,0))))</f>
        <v>#REF!</v>
      </c>
      <c r="I79" s="106" t="e">
        <f>IF(choice703.2.2step2=I72,16,IF(choice703.2.2step2=I73,17,0))</f>
        <v>#REF!</v>
      </c>
      <c r="J79" s="769" t="e">
        <f>IF(choice703.2.3=J71,2,IF(choice703.2.3=J72,6,IF(choice703.2.3=J73,7,IF(choice703.2.3=J74,9,0))))</f>
        <v>#REF!</v>
      </c>
      <c r="K79" s="106" t="e">
        <f>IF(choice703.2.4=K71,1,IF(choice703.2.4=K72,2,IF(choice703.2.4=K73,4,IF(choice703.2.4=K74,6,IF(choice703.2.4=K75,7,0)))))</f>
        <v>#REF!</v>
      </c>
      <c r="L79" s="106" t="e">
        <f>IF(choice703.2.6=L71,16,IF(choice703.2.6=L72,19,IF(choice703.2.6=L73,20,IF(choice703.2.6=L74,29,IF(choice703.2.6=L75,32,0)))))</f>
        <v>#REF!</v>
      </c>
      <c r="M79" s="106" t="e">
        <f>IF(choice703.3.4=M71,8,IF(choice703.3.4=M72,3,IF(choice703.3.4=M73,5,0)))</f>
        <v>#REF!</v>
      </c>
      <c r="N79" s="106" t="e">
        <f>IF(AND(startClimateZone=3,choice703.4.1step1=O71),score703.4.1_1aZone3, IF(AND(startClimateZone=3,choice703.4.1step1=P71),score703.4.1_1bZone3,IF(AND(startClimateZone=3,choice703.4.1step1=Q71),score703.4.1_2Zone3,IF(AND(startClimateZone=3,choice703.4.1step1=R71),score703.4.1_3Zone3,IF(AND(startClimateZone=3,choice703.4.1step1=S71),score703.4.1_4Zone3,0)))))</f>
        <v>#REF!</v>
      </c>
      <c r="O79" s="106" t="e">
        <f>IF(choice703.4.1step2=O72,3,IF(choice703.4.1step2=O73,5,0))</f>
        <v>#REF!</v>
      </c>
      <c r="P79" s="106" t="e">
        <f>IF(choice703.4.1step2=P72,5,0)</f>
        <v>#REF!</v>
      </c>
      <c r="Q79" s="106" t="e">
        <f>IF(choice703.4.1step2=Electric,2,0)</f>
        <v>#REF!</v>
      </c>
      <c r="R79" s="106" t="e">
        <f>IF(choice703.4.1step2=R72,1,IF(choice703.4.1step2=R73,1,0))</f>
        <v>#REF!</v>
      </c>
      <c r="S79" s="106" t="e">
        <f>IF(choice703.4.1step2=S72,11,IF(choice703.4.1step2=S73,16,IF(choice703.4.1step2=S74,17,0)))</f>
        <v>#REF!</v>
      </c>
      <c r="T79" s="106" t="e">
        <f>IF(choice703.4.5=T71,11,IF(choice703.4.5=T72,14,IF(choice703.4.5=T73,16,IF(choice703.4.5=T74,19,IF(choice703.4.5=T75,21,0)))))</f>
        <v>#REF!</v>
      </c>
      <c r="U79" s="106" t="e">
        <f>IF(choice703.5.1=U71,3,IF(choice703.5.1=U72,5,0))</f>
        <v>#REF!</v>
      </c>
      <c r="AL79" s="1195"/>
      <c r="AM79" s="1195">
        <v>5</v>
      </c>
      <c r="AN79" s="1195">
        <v>5</v>
      </c>
      <c r="AO79" s="1195">
        <v>5</v>
      </c>
      <c r="AP79" s="1195">
        <v>3</v>
      </c>
      <c r="AQ79" s="1195">
        <v>3</v>
      </c>
      <c r="AR79" s="1195">
        <v>3</v>
      </c>
      <c r="AS79" s="1195">
        <v>0</v>
      </c>
      <c r="AT79" s="1195">
        <v>0</v>
      </c>
      <c r="AU79" s="1329" t="e">
        <f>HLOOKUP(VCZ,Formulas!AM78:AT79,2,0)</f>
        <v>#N/A</v>
      </c>
      <c r="AW79" s="1195" t="e">
        <f>IF('Verification Rpt'!#REF!="Installed",1,0)</f>
        <v>#REF!</v>
      </c>
    </row>
    <row r="80" spans="1:58" ht="15" customHeight="1">
      <c r="A80" s="106" t="e">
        <f>IF(choice703.1.1=A71,7,IF(choice703.1.1=A72,11,IF(choice703.1.1=A73,16,IF(choice703.1.1=A74,18,0))))</f>
        <v>#REF!</v>
      </c>
      <c r="C80" s="691" t="e">
        <f>IF(choice703.1.5=C71,6,IF(choice703.1.5=C72,10,IF(choice703.1.5=C73,13,IF(choice703.1.5=C74,15,IF(choice703.1.5=C75,17,0)))))</f>
        <v>#REF!</v>
      </c>
      <c r="E80" s="106" t="e">
        <f>IF(AND(startClimateZone=4,choice703.2.2step1=F71),score703.2.2_1Zone4, IF(AND(startClimateZone=4,choice703.2.2step1=G71),score703.2.2_2Zone4,IF(AND(startClimateZone=4,choice703.2.2step1=H71),score703.2.2_3Zone4,IF(AND(startClimateZone=4,choice703.2.2step1=I71),score703.2.2_4Zone4,0))))</f>
        <v>#REF!</v>
      </c>
      <c r="F80" s="106" t="e">
        <f>IF(choice703.2.2step2=F72,7,IF(choice703.2.2step2=F73,9,IF(choice703.2.2step2=F74,10,IF(choice703.2.2step2=F75,11,IF(choice703.2.2step2=F76,13,0)))))</f>
        <v>#REF!</v>
      </c>
      <c r="G80" s="106" t="e">
        <f>IF(choice703.2.2step2=G72,3,IF(choice703.2.2step2=G73,8,0))</f>
        <v>#REF!</v>
      </c>
      <c r="H80" s="106" t="e">
        <f>IF(choice703.2.2step2=H72,18,IF(choice703.2.2step2=H73,19,IF(choice703.2.2step2=H74,20,IF(choice703.2.2step2=H75,20,0))))</f>
        <v>#REF!</v>
      </c>
      <c r="I80" s="106" t="e">
        <f>IF(choice703.2.2step2=I72,18,IF(choice703.2.2step2=I73,19,0))</f>
        <v>#REF!</v>
      </c>
      <c r="J80" s="769" t="e">
        <f>IF(choice703.2.3=J71,4,IF(choice703.2.3=J72,9,IF(choice703.2.3=J73,12,IF(choice703.2.3=J74,15,0))))</f>
        <v>#REF!</v>
      </c>
      <c r="K80" s="106" t="e">
        <f>IF(choice703.2.4=K71,1,IF(choice703.2.4=K72,1,IF(choice703.2.4=K73,2,IF(choice703.2.4=K74,3,IF(choice703.2.4=K75,3,0)))))</f>
        <v>#REF!</v>
      </c>
      <c r="L80" s="106" t="e">
        <f>IF(choice703.2.6=L71,22,IF(choice703.2.6=L72,25,IF(choice703.2.6=L73,27,IF(choice703.2.6=L74,35,IF(choice703.2.6=L75,40,0)))))</f>
        <v>#REF!</v>
      </c>
      <c r="M80" s="106" t="e">
        <f>IF(choice703.3.4=M71,6,IF(choice703.3.4=M72,2,IF(choice703.3.4=M73,4,0)))</f>
        <v>#REF!</v>
      </c>
      <c r="N80" s="106" t="e">
        <f>IF(AND(startClimateZone=4,choice703.4.1step1=O71),score703.4.1_1aZone4, IF(AND(startClimateZone=4,choice703.4.1step1=P71),score703.4.1_1bZone4,IF(AND(startClimateZone=4,choice703.4.1step1=Q71),score703.4.1_2Zone4,IF(AND(startClimateZone=4,choice703.4.1step1=R71),score703.4.1_3Zone4,IF(AND(startClimateZone=4,choice703.4.1step1=S71),score703.4.1_4Zone4,0)))))</f>
        <v>#REF!</v>
      </c>
      <c r="O80" s="106" t="e">
        <f>IF(choice703.4.1step2=O72,2,IF(choice703.4.1step2=O73,4,0))</f>
        <v>#REF!</v>
      </c>
      <c r="P80" s="106" t="e">
        <f>IF(choice703.4.1step2=P72,4,0)</f>
        <v>#REF!</v>
      </c>
      <c r="Q80" s="106" t="e">
        <f>IF(choice703.4.1step2=Electric,1,0)</f>
        <v>#REF!</v>
      </c>
      <c r="R80" s="106" t="e">
        <f>IF(choice703.4.1step2=R72,1,IF(choice703.4.1step2=R73,1,0))</f>
        <v>#REF!</v>
      </c>
      <c r="S80" s="106" t="e">
        <f>IF(choice703.4.1step2=S72,11,IF(choice703.4.1step2=S73,15,IF(choice703.4.1step2=S74,17,0)))</f>
        <v>#REF!</v>
      </c>
      <c r="T80" s="106" t="e">
        <f>IF(choice703.4.5=T71,12,IF(choice703.4.5=T72,14,IF(choice703.4.5=T73,17,IF(choice703.4.5=T74,20,IF(choice703.4.5=T75,23,0)))))</f>
        <v>#REF!</v>
      </c>
      <c r="U80" s="106" t="e">
        <f>IF(choice703.5.1=U71,3,IF(choice703.5.1=U72,4,0))</f>
        <v>#REF!</v>
      </c>
      <c r="AW80" s="1195" t="e">
        <f>IF('Verification Rpt'!#REF!="Installed",1,0)</f>
        <v>#REF!</v>
      </c>
    </row>
    <row r="81" spans="1:49" ht="15" customHeight="1">
      <c r="A81" s="106" t="e">
        <f>IF(choice703.1.1=A71,5,IF(choice703.1.1=A72,12,IF(choice703.1.1=A73,14,IF(choice703.1.1=A74,17,0))))</f>
        <v>#REF!</v>
      </c>
      <c r="C81" s="691" t="e">
        <f>IF(choice703.1.5=C71,7,IF(choice703.1.5=C72,12,IF(choice703.1.5=C73,15,IF(choice703.1.5=C74,18,IF(choice703.1.5=C75,19,0)))))</f>
        <v>#REF!</v>
      </c>
      <c r="E81" s="106" t="e">
        <f>IF(AND(startClimateZone=5,choice703.2.2step1=F71),score703.2.2_1Zone5, IF(AND(startClimateZone=5,choice703.2.2step1=G71),score703.2.2_2Zone5,IF(AND(startClimateZone=5,choice703.2.2step1=H71),score703.2.2_3Zone5,IF(AND(startClimateZone=5,choice703.2.2step1=I71),score703.2.2_4Zone5,0))))</f>
        <v>#REF!</v>
      </c>
      <c r="F81" s="691" t="e">
        <f>IF(choice703.2.2step2=F72,9,IF(choice703.2.2step2=F73,11,IF(choice703.2.2step2=F74,13,IF(choice703.2.2step2=F75,14,IF(choice703.2.2step2=F76,15,0)))))</f>
        <v>#REF!</v>
      </c>
      <c r="G81" s="691" t="e">
        <f>IF(choice703.2.2step2=G72,7,IF(choice703.2.2step2=G73,11,0))</f>
        <v>#REF!</v>
      </c>
      <c r="H81" s="769" t="e">
        <f>IF(choice703.2.2step2=H72,17,IF(choice703.2.2step2=H73,18,IF(choice703.2.2step2=H74,19,IF(choice703.2.2step2=H75,19,0))))</f>
        <v>#REF!</v>
      </c>
      <c r="I81" s="769" t="e">
        <f>IF(choice703.2.2step2=I72,17,IF(choice703.2.2step2=I73,18,0))</f>
        <v>#REF!</v>
      </c>
      <c r="J81" s="769" t="e">
        <f>IF(choice703.2.3=J71,5,IF(choice703.2.3=J72,12,IF(choice703.2.3=J73,16,IF(choice703.2.3=J74,19,0))))</f>
        <v>#REF!</v>
      </c>
      <c r="K81" s="769" t="e">
        <f>IF(choice703.2.4=K71,0,IF(choice703.2.4=K72,1,IF(choice703.2.4=K73,1,IF(choice703.2.4=K74,2,IF(choice703.2.4=K75,2,0)))))</f>
        <v>#REF!</v>
      </c>
      <c r="L81" s="769" t="e">
        <f>IF(choice703.2.6=L71,27,IF(choice703.2.6=L72,31,IF(choice703.2.6=L73,33,IF(choice703.2.6=L74,42,IF(choice703.2.6=L75,47,0)))))</f>
        <v>#REF!</v>
      </c>
      <c r="M81" s="106" t="e">
        <f>IF(choice703.3.4=M71,3,IF(choice703.3.4=M72,1,IF(choice703.3.4=M73,2,0)))</f>
        <v>#REF!</v>
      </c>
      <c r="N81" s="106" t="e">
        <f>IF(AND(startClimateZone=5,choice703.4.1step1=O71),score703.4.1_1aZone5, IF(AND(startClimateZone=5,choice703.4.1step1=P71),score703.4.1_1bZone5,IF(AND(startClimateZone=5,choice703.4.1step1=Q71),score703.4.1_2Zone5,IF(AND(startClimateZone=5,choice703.4.1step1=R71),score703.4.1_3Zone5,IF(AND(startClimateZone=5,choice703.4.1step1=S71),score703.4.1_4Zone5,0)))))</f>
        <v>#REF!</v>
      </c>
      <c r="O81" s="788" t="e">
        <f>IF(choice703.4.1step2=O72,3,IF(choice703.4.1step2=O73,5,0))</f>
        <v>#REF!</v>
      </c>
      <c r="P81" s="788" t="e">
        <f>IF(choice703.4.1step2=P72,5,0)</f>
        <v>#REF!</v>
      </c>
      <c r="Q81" s="106" t="e">
        <f>IF(choice703.4.1step2=Electric,1,0)</f>
        <v>#REF!</v>
      </c>
      <c r="R81" s="106" t="e">
        <f>IF(choice703.4.1step2=R72,1,IF(choice703.4.1step2=R73,1,0))</f>
        <v>#REF!</v>
      </c>
      <c r="S81" s="106" t="e">
        <f>IF(choice703.4.1step2=S72,11,IF(choice703.4.1step2=S73,15,IF(choice703.4.1step2=S74,16,0)))</f>
        <v>#REF!</v>
      </c>
      <c r="T81" s="106" t="e">
        <f>IF(choice703.4.5=T71,12,IF(choice703.4.5=T72,15,IF(choice703.4.5=T73,18,IF(choice703.4.5=T74,22,IF(choice703.4.5=T75,25,0)))))</f>
        <v>#REF!</v>
      </c>
      <c r="U81" s="106" t="e">
        <f>IF(choice703.5.1=U71,3,IF(choice703.5.1=U72,4,0))</f>
        <v>#REF!</v>
      </c>
      <c r="AL81" s="1195" t="s">
        <v>2048</v>
      </c>
      <c r="AM81" s="1195" t="str">
        <f>VCZ</f>
        <v>Verifier Enter on Start Here! tab</v>
      </c>
      <c r="AN81" s="1195"/>
      <c r="AO81" s="1195"/>
      <c r="AP81" s="1195"/>
      <c r="AQ81" s="1195"/>
      <c r="AR81" s="1195"/>
      <c r="AS81" s="1195"/>
      <c r="AT81" s="1195"/>
      <c r="AU81" s="1195"/>
      <c r="AW81" s="1195" t="e">
        <f>IF('Verification Rpt'!#REF!="Installed",1,0)</f>
        <v>#REF!</v>
      </c>
    </row>
    <row r="82" spans="1:49" ht="15" customHeight="1">
      <c r="A82" s="106" t="e">
        <f>IF(choice703.1.1=A71,3,IF(choice703.1.1=A72,9,IF(choice703.1.1=A73,11,IF(choice703.1.1=A74,14,0))))</f>
        <v>#REF!</v>
      </c>
      <c r="C82" s="691" t="e">
        <f>IF(choice703.1.5=C71,8,IF(choice703.1.5=C72,13,IF(choice703.1.5=C73,17,IF(choice703.1.5=C74,20,IF(choice703.1.5=C75,22,0)))))</f>
        <v>#REF!</v>
      </c>
      <c r="E82" s="106" t="e">
        <f>IF(AND(startClimateZone=6,choice703.2.2step1=F71),score703.2.2_1Zone6, IF(AND(startClimateZone=6,choice703.2.2step1=G71),score703.2.2_2Zone6,IF(AND(startClimateZone=6,choice703.2.2step1=H71),score703.2.2_3Zone6,IF(AND(startClimateZone=6,choice703.2.2step1=I71),score703.2.2_4Zone6,0))))</f>
        <v>#REF!</v>
      </c>
      <c r="F82" s="769" t="e">
        <f>IF(choice703.2.2step2=F72,9,IF(choice703.2.2step2=F73,11,IF(choice703.2.2step2=F74,13,IF(choice703.2.2step2=F75,14,IF(choice703.2.2step2=F76,15,0)))))</f>
        <v>#REF!</v>
      </c>
      <c r="G82" s="769" t="e">
        <f>IF(choice703.2.2step2=G72,7,IF(choice703.2.2step2=G73,14,0))</f>
        <v>#REF!</v>
      </c>
      <c r="H82" s="769" t="e">
        <f>IF(choice703.2.2step2=H72,16,IF(choice703.2.2step2=H73,17,IF(choice703.2.2step2=H74,17,IF(choice703.2.2step2=H75,18,0))))</f>
        <v>#REF!</v>
      </c>
      <c r="I82" s="769" t="e">
        <f>IF(choice703.2.2step2=I72,16,IF(choice703.2.2step2=I73,17,0))</f>
        <v>#REF!</v>
      </c>
      <c r="J82" s="769" t="e">
        <f>IF(choice703.2.3=J71,5,IF(choice703.2.3=J72,12,IF(choice703.2.3=J73,16,IF(choice703.2.3=J74,19,0))))</f>
        <v>#REF!</v>
      </c>
      <c r="K82" s="769" t="e">
        <f>IF(choice703.2.4=K71,0,IF(choice703.2.4=K72,0,IF(choice703.2.4=K73,1,IF(choice703.2.4=K74,1,IF(choice703.2.4=K75,1,0)))))</f>
        <v>#REF!</v>
      </c>
      <c r="L82" s="769" t="e">
        <f>IF(choice703.2.6=L71,27,IF(choice703.2.6=L72,31,IF(choice703.2.6=L73,33,IF(choice703.2.6=L74,42,IF(choice703.2.6=L75,47,0)))))</f>
        <v>#REF!</v>
      </c>
      <c r="M82" s="106" t="e">
        <f>IF(choice703.3.4=M71,2,IF(choice703.3.4=M72,1,IF(choice703.3.4=M73,2,0)))</f>
        <v>#REF!</v>
      </c>
      <c r="N82" s="106" t="e">
        <f>IF(AND(startClimateZone=6,choice703.4.1step1=O71),score703.4.1_1aZone6, IF(AND(startClimateZone=6,choice703.4.1step1=P71),score703.4.1_1bZone6,IF(AND(startClimateZone=6,choice703.4.1step1=Q71),score703.4.1_2Zone6,IF(AND(startClimateZone=6,choice703.4.1step1=R71),score703.4.1_3Zone6,IF(AND(startClimateZone=6,choice703.4.1step1=S71),score703.4.1_4Zone6,0)))))</f>
        <v>#REF!</v>
      </c>
      <c r="O82" s="788" t="e">
        <f>IF(choice703.4.1step2=O72,2,IF(choice703.4.1step2=O73,4,0))</f>
        <v>#REF!</v>
      </c>
      <c r="P82" s="788" t="e">
        <f>IF(choice703.4.1step2=P72,4,0)</f>
        <v>#REF!</v>
      </c>
      <c r="Q82" s="106" t="e">
        <f>IF(choice703.4.1step2=Electric,1,0)</f>
        <v>#REF!</v>
      </c>
      <c r="R82" s="106" t="e">
        <f>IF(choice703.4.1step2=R72,1,IF(choice703.4.1step2=R73,1,0))</f>
        <v>#REF!</v>
      </c>
      <c r="S82" s="106" t="e">
        <f>IF(choice703.4.1step2=S72,4,IF(choice703.4.1step2=S73,6,IF(choice703.4.1step2=S74,6,0)))</f>
        <v>#REF!</v>
      </c>
      <c r="T82" s="106" t="e">
        <f>IF(choice703.4.5=T71,10,IF(choice703.4.5=T72,12,IF(choice703.4.5=T73,14,IF(choice703.4.5=T74,16,IF(choice703.4.5=T75,18,0)))))</f>
        <v>#REF!</v>
      </c>
      <c r="U82" s="106" t="e">
        <f>IF(choice703.5.1=U71,2,IF(choice703.5.1=U72,3,0))</f>
        <v>#REF!</v>
      </c>
      <c r="AL82" s="1195" t="s">
        <v>310</v>
      </c>
      <c r="AM82" s="1195">
        <v>1</v>
      </c>
      <c r="AN82" s="1195">
        <v>2</v>
      </c>
      <c r="AO82" s="1195">
        <v>3</v>
      </c>
      <c r="AP82" s="1195">
        <v>4</v>
      </c>
      <c r="AQ82" s="1195">
        <v>5</v>
      </c>
      <c r="AR82" s="1195">
        <v>6</v>
      </c>
      <c r="AS82" s="1195">
        <v>7</v>
      </c>
      <c r="AT82" s="1195">
        <v>8</v>
      </c>
      <c r="AU82" s="1195" t="s">
        <v>256</v>
      </c>
      <c r="AW82" s="1195" t="e">
        <f>IF('Verification Rpt'!#REF!="Installed",1,0)</f>
        <v>#REF!</v>
      </c>
    </row>
    <row r="83" spans="1:49" ht="15" customHeight="1">
      <c r="A83" s="106" t="e">
        <f>IF(choice703.1.1=A71,4,IF(choice703.1.1=A72,10,IF(choice703.1.1=A73,12,IF(choice703.1.1=A74,16,0))))</f>
        <v>#REF!</v>
      </c>
      <c r="C83" s="691" t="e">
        <f>IF(choice703.1.5=C71,9,IF(choice703.1.5=C72,14,IF(choice703.1.5=C73,19,IF(choice703.1.5=C74,23,IF(choice703.1.5=C75,24,0)))))</f>
        <v>#REF!</v>
      </c>
      <c r="E83" s="106" t="e">
        <f>IF(AND(startClimateZone=7,choice703.2.2step1=F71),score703.2.2_1Zone7, IF(AND(startClimateZone=7,choice703.2.2step1=G71),score703.2.2_2Zone7,IF(AND(startClimateZone=7,choice703.2.2step1=H71),score703.2.2_3Zone7,IF(AND(startClimateZone=7,choice703.2.2step1=I71),score703.2.2_4Zone7,0))))</f>
        <v>#REF!</v>
      </c>
      <c r="F83" s="769" t="e">
        <f>IF(choice703.2.2step2=F72,10,IF(choice703.2.2step2=F73,12,IF(choice703.2.2step2=F74,13,IF(choice703.2.2step2=F75,15,IF(choice703.2.2step2=F76,16,0)))))</f>
        <v>#REF!</v>
      </c>
      <c r="G83" s="691" t="e">
        <f>IF(choice703.2.2step2=G72,7,IF(choice703.2.2step2=G73,14,0))</f>
        <v>#REF!</v>
      </c>
      <c r="H83" s="769" t="e">
        <f>IF(choice703.2.2step2=H72,16,IF(choice703.2.2step2=H73,17,IF(choice703.2.2step2=H74,17,IF(choice703.2.2step2=H75,18,0))))</f>
        <v>#REF!</v>
      </c>
      <c r="I83" s="769" t="e">
        <f>IF(choice703.2.2step2=I72,16,IF(choice703.2.2step2=I73,17,0))</f>
        <v>#REF!</v>
      </c>
      <c r="J83" s="769" t="e">
        <f>IF(choice703.2.3=J71,5,IF(choice703.2.3=J72,12,IF(choice703.2.3=J73,16,IF(choice703.2.3=J74,19,0))))</f>
        <v>#REF!</v>
      </c>
      <c r="K83" s="769" t="e">
        <f>IF(choice703.2.4=K71,0,IF(choice703.2.4=K72,0,IF(choice703.2.4=K73,0,IF(choice703.2.4=K74,0,IF(choice703.2.4=K75,0,0)))))</f>
        <v>#REF!</v>
      </c>
      <c r="L83" s="769" t="e">
        <f>IF(choice703.2.6=L71,27,IF(choice703.2.6=L72,31,IF(choice703.2.6=L73,33,IF(choice703.2.6=L74,42,IF(choice703.2.6=L75,47,0)))))</f>
        <v>#REF!</v>
      </c>
      <c r="M83" s="106" t="e">
        <f>IF(choice703.3.4=M71,2,IF(choice703.3.4=M72,1,IF(choice703.3.4=M73,2,0)))</f>
        <v>#REF!</v>
      </c>
      <c r="N83" s="106" t="e">
        <f>IF(AND(startClimateZone=7,choice703.4.1step1=O71),score703.4.1_1aZone7, IF(AND(startClimateZone=7,choice703.4.1step1=P71),score703.4.1_1bZone7,IF(AND(startClimateZone=7,choice703.4.1step1=Q71),score703.4.1_2Zone7,IF(AND(startClimateZone=7,choice703.4.1step1=R71),score703.4.1_3Zone7,IF(AND(startClimateZone=7,choice703.4.1step1=S71),score703.4.1_4Zone7,0)))))</f>
        <v>#REF!</v>
      </c>
      <c r="O83" s="788" t="e">
        <f>IF(choice703.4.1step2=O72,1,IF(choice703.4.1step2=O73,2,0))</f>
        <v>#REF!</v>
      </c>
      <c r="P83" s="788" t="e">
        <f>IF(choice703.4.1step2=P72,2,0)</f>
        <v>#REF!</v>
      </c>
      <c r="Q83" s="106" t="e">
        <f>IF(choice703.4.1step2=Electric,1,0)</f>
        <v>#REF!</v>
      </c>
      <c r="R83" s="106" t="e">
        <f>IF(choice703.4.1step2=R72,1,IF(choice703.4.1step2=R73,1,0))</f>
        <v>#REF!</v>
      </c>
      <c r="S83" s="106" t="e">
        <f>IF(choice703.4.1step2=S72,4,IF(choice703.4.1step2=S73,6,IF(choice703.4.1step2=S74,6,0)))</f>
        <v>#REF!</v>
      </c>
      <c r="T83" s="106" t="e">
        <f>IF(choice703.4.5=T71,7,IF(choice703.4.5=T72,8,IF(choice703.4.5=T73,10,IF(choice703.4.5=T74,12,IF(choice703.4.5=T75,13,0)))))</f>
        <v>#REF!</v>
      </c>
      <c r="U83" s="106" t="e">
        <f>IF(choice703.5.1=U71,2,IF(choice703.5.1=U72,2,0))</f>
        <v>#REF!</v>
      </c>
      <c r="AL83" s="1195"/>
      <c r="AM83" s="1195">
        <v>0</v>
      </c>
      <c r="AN83" s="1195">
        <v>4</v>
      </c>
      <c r="AO83" s="1195">
        <v>7</v>
      </c>
      <c r="AP83" s="1195">
        <v>7</v>
      </c>
      <c r="AQ83" s="1195">
        <v>6</v>
      </c>
      <c r="AR83" s="1195">
        <v>2</v>
      </c>
      <c r="AS83" s="1195">
        <v>2</v>
      </c>
      <c r="AT83" s="1195">
        <v>2</v>
      </c>
      <c r="AU83" s="1329" t="e">
        <f>HLOOKUP(VCZ,Formulas!AM82:AT83,2,0)</f>
        <v>#N/A</v>
      </c>
      <c r="AW83" s="1195" t="e">
        <f>SUM(AW75:AW82)</f>
        <v>#REF!</v>
      </c>
    </row>
    <row r="84" spans="1:49" ht="15" customHeight="1">
      <c r="C84" s="691"/>
      <c r="E84" s="106" t="e">
        <f>IF(AND(startClimateZone=8,choice703.2.2step1=F71),score703.2.2_1Zone8, IF(AND(startClimateZone=8,choice703.2.2step1=G71),score703.2.2_2Zone8,IF(AND(startClimateZone=8,choice703.2.2step1=H71),score703.2.2_3Zone8,IF(AND(startClimateZone=8,choice703.2.2step1=I71),score703.2.2_4Zone8,0))))</f>
        <v>#REF!</v>
      </c>
      <c r="F84" s="691" t="e">
        <f>IF(choice703.2.2step2=F72,10,IF(choice703.2.2step2=F73,12,IF(choice703.2.2step2=F74,14,IF(choice703.2.2step2=F75,16,IF(choice703.2.2step2=F76,17,0)))))</f>
        <v>#REF!</v>
      </c>
      <c r="G84" s="691" t="e">
        <f>IF(choice703.2.2step2=G72,7,IF(choice703.2.2step2=G73,14,0))</f>
        <v>#REF!</v>
      </c>
      <c r="H84" s="769" t="e">
        <f>IF(choice703.2.2step2=H72,16,IF(choice703.2.2step2=H73,17,IF(choice703.2.2step2=H74,17,IF(choice703.2.2step2=H75,18,0))))</f>
        <v>#REF!</v>
      </c>
      <c r="I84" s="769" t="e">
        <f>IF(choice703.2.2step2=I72,16,IF(choice703.2.2step2=I73,17,0))</f>
        <v>#REF!</v>
      </c>
      <c r="J84" s="769" t="e">
        <f>IF(choice703.2.3=J71,5,IF(choice703.2.3=J72,12,IF(choice703.2.3=J73,16,IF(choice703.2.3=J74,19,0))))</f>
        <v>#REF!</v>
      </c>
      <c r="K84" s="769" t="e">
        <f>IF(choice703.2.4=K71,0,IF(choice703.2.4=K72,0,IF(choice703.2.4=K73,0,IF(choice703.2.4=K74,0,IF(choice703.2.4=K75,0,0)))))</f>
        <v>#REF!</v>
      </c>
      <c r="L84" s="769" t="e">
        <f>IF(choice703.2.6=L71,27,IF(choice703.2.6=L72,31,IF(choice703.2.6=L73,33,IF(choice703.2.6=L74,42,IF(choice703.2.6=L75,47,0)))))</f>
        <v>#REF!</v>
      </c>
      <c r="M84" s="106" t="e">
        <f>IF(choice703.3.4=M71,2,IF(choice703.3.4=M72,1,IF(choice703.3.4=M73,2,0)))</f>
        <v>#REF!</v>
      </c>
      <c r="N84" s="106" t="e">
        <f>IF(AND(startClimateZone=8,choice703.4.1step1=O71),score703.4.1_1aZone8, IF(AND(startClimateZone=8,choice703.4.1step1=P71),score703.4.1_1bZone8,IF(AND(startClimateZone=8,choice703.4.1step1=Q71),score703.4.1_2Zone8,IF(AND(startClimateZone=8,choice703.4.1step1=R71),score703.4.1_3Zone8,IF(AND(startClimateZone=8,choice703.4.1step1=S71),score703.4.1_4Zone8,0)))))</f>
        <v>#REF!</v>
      </c>
      <c r="O84" s="788" t="e">
        <f>IF(choice703.4.1step2=O72,1,IF(choice703.4.1step2=O73,2,0))</f>
        <v>#REF!</v>
      </c>
      <c r="P84" s="788" t="e">
        <f>IF(choice703.4.1step2=P72,2,0)</f>
        <v>#REF!</v>
      </c>
      <c r="Q84" s="106" t="e">
        <f>IF(choice703.4.1step2=Electric,1,0)</f>
        <v>#REF!</v>
      </c>
      <c r="R84" s="106" t="e">
        <f>IF(choice703.4.1step2=R72,1,IF(choice703.4.1step2=R73,1,0))</f>
        <v>#REF!</v>
      </c>
      <c r="S84" s="106" t="e">
        <f>IF(choice703.4.1step2=S72,4,IF(choice703.4.1step2=S73,6,IF(choice703.4.1step2=S74,6,0)))</f>
        <v>#REF!</v>
      </c>
      <c r="T84" s="106" t="e">
        <f>IF(choice703.4.5=T71,4,IF(choice703.4.5=T72,5,IF(choice703.4.5=T73,6,IF(choice703.4.5=T74,7,IF(choice703.4.5=T75,8,0)))))</f>
        <v>#REF!</v>
      </c>
      <c r="U84" s="106" t="e">
        <f>IF(choice703.5.1=U71,1,IF(choice703.5.1=U72,1,0))</f>
        <v>#REF!</v>
      </c>
      <c r="AW84" s="1195"/>
    </row>
    <row r="85" spans="1:49" ht="15" customHeight="1">
      <c r="A85" s="547" t="s">
        <v>904</v>
      </c>
      <c r="C85" s="530"/>
      <c r="E85" s="530"/>
      <c r="F85" s="530"/>
      <c r="G85" s="530"/>
      <c r="AL85" s="1195" t="s">
        <v>2048</v>
      </c>
      <c r="AM85" s="1195" t="str">
        <f>VCZ</f>
        <v>Verifier Enter on Start Here! tab</v>
      </c>
      <c r="AN85" s="1195"/>
      <c r="AO85" s="1195"/>
      <c r="AP85" s="1195"/>
      <c r="AQ85" s="1195"/>
      <c r="AR85" s="1195"/>
      <c r="AS85" s="1195"/>
      <c r="AT85" s="1195"/>
      <c r="AU85" s="1195"/>
      <c r="AW85" s="1195"/>
    </row>
    <row r="86" spans="1:49" s="549" customFormat="1" ht="15" customHeight="1">
      <c r="A86" s="549" t="s">
        <v>325</v>
      </c>
      <c r="B86" s="546" t="s">
        <v>910</v>
      </c>
      <c r="C86" s="548" t="s">
        <v>917</v>
      </c>
      <c r="D86" s="549" t="s">
        <v>918</v>
      </c>
      <c r="E86" s="347" t="s">
        <v>919</v>
      </c>
      <c r="F86" s="548" t="s">
        <v>923</v>
      </c>
      <c r="G86" s="548" t="s">
        <v>329</v>
      </c>
      <c r="H86" s="549" t="s">
        <v>928</v>
      </c>
      <c r="I86" s="549" t="s">
        <v>931</v>
      </c>
      <c r="J86" s="549" t="s">
        <v>932</v>
      </c>
      <c r="K86" s="549" t="s">
        <v>940</v>
      </c>
      <c r="L86" s="549" t="s">
        <v>946</v>
      </c>
      <c r="M86" s="549">
        <v>802.1</v>
      </c>
      <c r="N86" s="549">
        <v>802.2</v>
      </c>
      <c r="AL86" s="1195" t="s">
        <v>1422</v>
      </c>
      <c r="AM86" s="1195">
        <v>1</v>
      </c>
      <c r="AN86" s="1195">
        <v>2</v>
      </c>
      <c r="AO86" s="1195">
        <v>3</v>
      </c>
      <c r="AP86" s="1195">
        <v>4</v>
      </c>
      <c r="AQ86" s="1195">
        <v>5</v>
      </c>
      <c r="AR86" s="1195">
        <v>6</v>
      </c>
      <c r="AS86" s="1195">
        <v>7</v>
      </c>
      <c r="AT86" s="1195">
        <v>8</v>
      </c>
      <c r="AU86" s="1195" t="s">
        <v>256</v>
      </c>
      <c r="AW86" s="1195"/>
    </row>
    <row r="87" spans="1:49" s="551" customFormat="1" ht="15" customHeight="1">
      <c r="A87" s="551" t="s">
        <v>905</v>
      </c>
      <c r="B87" s="551" t="s">
        <v>911</v>
      </c>
      <c r="C87" s="533" t="s">
        <v>913</v>
      </c>
      <c r="D87" s="551" t="s">
        <v>327</v>
      </c>
      <c r="E87" s="533" t="s">
        <v>920</v>
      </c>
      <c r="F87" s="533" t="s">
        <v>924</v>
      </c>
      <c r="G87" s="533" t="s">
        <v>913</v>
      </c>
      <c r="H87" s="551" t="s">
        <v>929</v>
      </c>
      <c r="I87" s="551" t="s">
        <v>913</v>
      </c>
      <c r="J87" s="551" t="s">
        <v>913</v>
      </c>
      <c r="K87" s="551" t="s">
        <v>941</v>
      </c>
      <c r="L87" s="551" t="s">
        <v>947</v>
      </c>
      <c r="M87" s="551" t="s">
        <v>934</v>
      </c>
      <c r="N87" s="551" t="s">
        <v>939</v>
      </c>
      <c r="AL87" s="1195"/>
      <c r="AM87" s="1195">
        <v>10</v>
      </c>
      <c r="AN87" s="1195">
        <v>7</v>
      </c>
      <c r="AO87" s="1195">
        <v>3</v>
      </c>
      <c r="AP87" s="1195">
        <v>1</v>
      </c>
      <c r="AQ87" s="1195">
        <v>0</v>
      </c>
      <c r="AR87" s="1195">
        <v>0</v>
      </c>
      <c r="AS87" s="1195">
        <v>0</v>
      </c>
      <c r="AT87" s="1195">
        <v>0</v>
      </c>
      <c r="AU87" s="1329" t="e">
        <f>HLOOKUP(VCZ,Formulas!AM86:AT87,2,0)</f>
        <v>#N/A</v>
      </c>
      <c r="AW87" s="1195"/>
    </row>
    <row r="88" spans="1:49" s="551" customFormat="1" ht="15" customHeight="1">
      <c r="A88" s="551" t="s">
        <v>906</v>
      </c>
      <c r="B88" s="551" t="s">
        <v>912</v>
      </c>
      <c r="C88" s="533" t="s">
        <v>914</v>
      </c>
      <c r="D88" s="551" t="s">
        <v>328</v>
      </c>
      <c r="E88" s="530" t="s">
        <v>921</v>
      </c>
      <c r="F88" s="533" t="s">
        <v>925</v>
      </c>
      <c r="G88" s="533" t="s">
        <v>914</v>
      </c>
      <c r="H88" s="551" t="s">
        <v>930</v>
      </c>
      <c r="I88" s="551" t="s">
        <v>914</v>
      </c>
      <c r="J88" s="551" t="s">
        <v>914</v>
      </c>
      <c r="K88" s="551" t="s">
        <v>942</v>
      </c>
      <c r="L88" s="551" t="s">
        <v>948</v>
      </c>
      <c r="M88" s="551" t="s">
        <v>935</v>
      </c>
      <c r="N88" s="551" t="s">
        <v>1937</v>
      </c>
      <c r="AW88" s="1195"/>
    </row>
    <row r="89" spans="1:49" s="551" customFormat="1" ht="15" customHeight="1">
      <c r="A89" s="551" t="s">
        <v>907</v>
      </c>
      <c r="C89" s="533" t="s">
        <v>915</v>
      </c>
      <c r="E89" s="106" t="s">
        <v>922</v>
      </c>
      <c r="F89" s="533" t="s">
        <v>926</v>
      </c>
      <c r="G89" s="533" t="s">
        <v>927</v>
      </c>
      <c r="I89" s="551" t="s">
        <v>927</v>
      </c>
      <c r="J89" s="551" t="s">
        <v>927</v>
      </c>
      <c r="K89" s="551" t="s">
        <v>943</v>
      </c>
      <c r="L89" s="551" t="s">
        <v>949</v>
      </c>
      <c r="M89" s="551" t="s">
        <v>936</v>
      </c>
      <c r="AL89" s="1195" t="s">
        <v>2048</v>
      </c>
      <c r="AM89" s="1195" t="str">
        <f>VCZ</f>
        <v>Verifier Enter on Start Here! tab</v>
      </c>
      <c r="AN89" s="1195"/>
      <c r="AO89" s="1195"/>
      <c r="AP89" s="1195"/>
      <c r="AQ89" s="1195"/>
      <c r="AR89" s="1195"/>
      <c r="AS89" s="1195"/>
      <c r="AT89" s="1195"/>
      <c r="AU89" s="1195"/>
      <c r="AW89" s="1195"/>
    </row>
    <row r="90" spans="1:49" s="551" customFormat="1" ht="15" customHeight="1">
      <c r="A90" s="551" t="s">
        <v>908</v>
      </c>
      <c r="C90" s="533" t="s">
        <v>916</v>
      </c>
      <c r="E90" s="533"/>
      <c r="F90" s="533"/>
      <c r="G90" s="533"/>
      <c r="K90" s="551" t="s">
        <v>944</v>
      </c>
      <c r="L90" s="551" t="s">
        <v>950</v>
      </c>
      <c r="M90" s="551" t="s">
        <v>937</v>
      </c>
      <c r="AL90" s="1195" t="s">
        <v>1423</v>
      </c>
      <c r="AM90" s="1195">
        <v>1</v>
      </c>
      <c r="AN90" s="1195">
        <v>2</v>
      </c>
      <c r="AO90" s="1195">
        <v>3</v>
      </c>
      <c r="AP90" s="1195">
        <v>4</v>
      </c>
      <c r="AQ90" s="1195">
        <v>5</v>
      </c>
      <c r="AR90" s="1195">
        <v>6</v>
      </c>
      <c r="AS90" s="1195">
        <v>7</v>
      </c>
      <c r="AT90" s="1195">
        <v>8</v>
      </c>
      <c r="AU90" s="1195" t="s">
        <v>256</v>
      </c>
    </row>
    <row r="91" spans="1:49" s="551" customFormat="1" ht="15" customHeight="1">
      <c r="A91" s="551" t="s">
        <v>1728</v>
      </c>
      <c r="C91" s="533"/>
      <c r="E91" s="533"/>
      <c r="F91" s="533"/>
      <c r="G91" s="533"/>
      <c r="K91" s="551" t="s">
        <v>945</v>
      </c>
      <c r="M91" s="551" t="s">
        <v>938</v>
      </c>
      <c r="AL91" s="1195"/>
      <c r="AM91" s="1195">
        <v>11</v>
      </c>
      <c r="AN91" s="1195">
        <v>11</v>
      </c>
      <c r="AO91" s="1195">
        <v>11</v>
      </c>
      <c r="AP91" s="1195">
        <v>8</v>
      </c>
      <c r="AQ91" s="1195">
        <v>4</v>
      </c>
      <c r="AR91" s="1195">
        <v>3</v>
      </c>
      <c r="AS91" s="1195">
        <v>3</v>
      </c>
      <c r="AT91" s="1195">
        <v>3</v>
      </c>
      <c r="AU91" s="1329" t="e">
        <f>HLOOKUP(VCZ,Formulas!AM90:AT91,2,0)</f>
        <v>#N/A</v>
      </c>
    </row>
    <row r="92" spans="1:49" s="551" customFormat="1" ht="15" customHeight="1">
      <c r="C92" s="533"/>
      <c r="E92" s="533"/>
      <c r="F92" s="533"/>
      <c r="G92" s="533"/>
    </row>
    <row r="93" spans="1:49" s="550" customFormat="1" ht="15" customHeight="1">
      <c r="A93" s="550" t="s">
        <v>909</v>
      </c>
      <c r="C93" s="534"/>
      <c r="E93" s="534"/>
      <c r="F93" s="534"/>
      <c r="G93" s="534"/>
      <c r="AL93" s="1195" t="s">
        <v>2053</v>
      </c>
      <c r="AM93" s="1195"/>
      <c r="AN93" s="1195"/>
      <c r="AO93" s="642" t="s">
        <v>2042</v>
      </c>
      <c r="AP93" s="1195" t="e">
        <f>IF('Verification Rpt'!#REF!="Entirely Inside",3,IF('Verification Rpt'!#REF!="Entirely outside",2,IF('Verification Rpt'!#REF!="Both inside &amp; outside",4,5)))</f>
        <v>#REF!</v>
      </c>
      <c r="AQ93" s="1195"/>
      <c r="AR93" s="1195"/>
      <c r="AS93" s="1195"/>
      <c r="AT93" s="1195"/>
      <c r="AU93" s="1195" t="s">
        <v>256</v>
      </c>
    </row>
    <row r="94" spans="1:49" s="546" customFormat="1" ht="15" customHeight="1">
      <c r="A94" s="549" t="s">
        <v>325</v>
      </c>
      <c r="B94" s="546" t="s">
        <v>910</v>
      </c>
      <c r="C94" s="347" t="s">
        <v>917</v>
      </c>
      <c r="D94" s="347" t="s">
        <v>918</v>
      </c>
      <c r="E94" s="546" t="s">
        <v>919</v>
      </c>
      <c r="F94" s="347" t="s">
        <v>923</v>
      </c>
      <c r="G94" s="347" t="s">
        <v>329</v>
      </c>
      <c r="I94" s="546" t="s">
        <v>931</v>
      </c>
      <c r="J94" s="546" t="s">
        <v>932</v>
      </c>
      <c r="K94" s="546" t="s">
        <v>940</v>
      </c>
      <c r="L94" s="546" t="s">
        <v>946</v>
      </c>
      <c r="M94" s="546">
        <v>802.1</v>
      </c>
      <c r="N94" s="546">
        <v>802.2</v>
      </c>
      <c r="AL94" s="1195" t="s">
        <v>1424</v>
      </c>
      <c r="AM94" s="1195">
        <v>1</v>
      </c>
      <c r="AN94" s="1195">
        <v>2</v>
      </c>
      <c r="AO94" s="1195">
        <v>3</v>
      </c>
      <c r="AP94" s="1195">
        <v>4</v>
      </c>
      <c r="AQ94" s="1195">
        <v>5</v>
      </c>
      <c r="AR94" s="1195">
        <v>6</v>
      </c>
      <c r="AS94" s="1195">
        <v>7</v>
      </c>
      <c r="AT94" s="1195">
        <v>8</v>
      </c>
      <c r="AU94" s="1329" t="e">
        <f>IF('Verification Rpt'!#REF!&lt;&gt;"",HLOOKUP(VCZ,Formulas!AM94:AT98,Formulas!AP93,0),0)</f>
        <v>#REF!</v>
      </c>
    </row>
    <row r="95" spans="1:49" s="551" customFormat="1" ht="15" customHeight="1">
      <c r="A95" s="551" t="e">
        <f>IF(choice801.1.1_1thru4a=A87,11,IF(choice801.1.1_1thru4a=A88,17,IF(choice801.1.1_1thru4a=A89,29,IF(choice801.1.1_1thru4a=A90,35,IF(choice801.1.1_1thru4a=A91,39,0)))))</f>
        <v>#REF!</v>
      </c>
      <c r="B95" s="551" t="e">
        <f>IF(choice801.2_2=B87,13,IF(choice801.2_2=B88,24,0))</f>
        <v>#REF!</v>
      </c>
      <c r="C95" s="533" t="e">
        <f>IF(choice801.3_1=C87,4,IF(choice801.3_1=C88,5,IF(choice801.3_1=C89,6,IF(choice801.3_1=C90,7,0))))</f>
        <v>#REF!</v>
      </c>
      <c r="D95" s="551" t="e">
        <f>IF(choice801.3_2=D87,11,IF(choice801.3_2=D88,14,0))</f>
        <v>#REF!</v>
      </c>
      <c r="E95" s="551" t="e">
        <f>IF(choice801.3_3=E87,1,IF(choice801.3_3=E88,2,IF(choice801.3_3=E89,3,0)))</f>
        <v>#REF!</v>
      </c>
      <c r="F95" s="533" t="e">
        <f>IF(choice801.4.1_1=F87,1,IF(choice801.4.1_1=F88,2,IF(choice801.4.1_1=F89,3,0)))</f>
        <v>#REF!</v>
      </c>
      <c r="G95" s="533" t="e">
        <f>IF(choice801.4.2=G87,1,IF(choice801.4.2=G88,2,IF(choice801.4.2=G89,3,0)))</f>
        <v>#REF!</v>
      </c>
      <c r="I95" s="551" t="e">
        <f>IF(choice801.5_2=I87, 2, IF(choice801.5_2=I88, 4, IF(choice801.5_2=I89,6,0)))</f>
        <v>#REF!</v>
      </c>
      <c r="J95" s="551" t="e">
        <f>IF(choice801.5_3a=J87, 1, IF(choice801.5_3a=J88, 2, IF(choice801.5_3a=J89,3,0)))</f>
        <v>#REF!</v>
      </c>
      <c r="K95" s="551" t="e">
        <f>IF(choice801.7.1=K87,5,IF(choice801.7.1=K88,5,IF(choice801.7.1=K89,10,IF(choice801.7.1=K90,15,IF(choice801.7.1=K91,25,0)))))</f>
        <v>#REF!</v>
      </c>
      <c r="L95" s="551" t="e">
        <f>IF(choice801.7.2=L87,5,IF(choice801.7.2=L88,10,IF(choice801.7.2=L89,15,IF(choice801.7.2=L90,25,0))))</f>
        <v>#REF!</v>
      </c>
      <c r="M95" s="551" t="e">
        <f>IF(choice802.1=M87,5,IF(choice802.1=M88,10,IF(choice802.1=M89,15,IF(choice802.1=M90,20,IF(choice802.1=M91,10,0)))))</f>
        <v>#REF!</v>
      </c>
      <c r="N95" s="551" t="e">
        <f>IF(choice802.2=N87,2,IF(choice802.2=N88,2,0))</f>
        <v>#REF!</v>
      </c>
      <c r="AL95" s="1387" t="s">
        <v>2050</v>
      </c>
      <c r="AM95" s="1195">
        <v>8</v>
      </c>
      <c r="AN95" s="1195">
        <v>9</v>
      </c>
      <c r="AO95" s="1195">
        <v>8</v>
      </c>
      <c r="AP95" s="1195">
        <v>6</v>
      </c>
      <c r="AQ95" s="1195">
        <v>3</v>
      </c>
      <c r="AR95" s="1195">
        <v>2</v>
      </c>
      <c r="AS95" s="1195">
        <v>2</v>
      </c>
      <c r="AT95" s="1195">
        <v>2</v>
      </c>
      <c r="AU95" s="1195"/>
    </row>
    <row r="96" spans="1:49" ht="15" customHeight="1">
      <c r="C96" s="530"/>
      <c r="D96" s="530"/>
      <c r="F96" s="530"/>
      <c r="G96" s="530"/>
      <c r="AL96" s="1387" t="s">
        <v>2051</v>
      </c>
      <c r="AM96" s="1195">
        <v>3</v>
      </c>
      <c r="AN96" s="1195">
        <v>3</v>
      </c>
      <c r="AO96" s="1195">
        <v>3</v>
      </c>
      <c r="AP96" s="1195">
        <v>2</v>
      </c>
      <c r="AQ96" s="1195">
        <v>1</v>
      </c>
      <c r="AR96" s="1195">
        <v>1</v>
      </c>
      <c r="AS96" s="1195">
        <v>1</v>
      </c>
      <c r="AT96" s="1195">
        <v>1</v>
      </c>
      <c r="AU96" s="1195"/>
    </row>
    <row r="97" spans="1:47" ht="15" customHeight="1">
      <c r="A97" s="106" t="s">
        <v>988</v>
      </c>
      <c r="B97" s="106" t="s">
        <v>989</v>
      </c>
      <c r="C97" s="106" t="s">
        <v>990</v>
      </c>
      <c r="D97" s="541" t="s">
        <v>991</v>
      </c>
      <c r="F97" s="541"/>
      <c r="G97" s="541"/>
      <c r="AL97" s="1388" t="s">
        <v>2052</v>
      </c>
      <c r="AM97" s="546">
        <v>5</v>
      </c>
      <c r="AN97" s="546">
        <v>6</v>
      </c>
      <c r="AO97" s="546">
        <v>5</v>
      </c>
      <c r="AP97" s="546">
        <v>4</v>
      </c>
      <c r="AQ97" s="546">
        <v>1</v>
      </c>
      <c r="AR97" s="546">
        <v>1</v>
      </c>
      <c r="AS97" s="546">
        <v>1</v>
      </c>
      <c r="AT97" s="546">
        <v>1</v>
      </c>
      <c r="AU97" s="546"/>
    </row>
    <row r="98" spans="1:47" ht="15" customHeight="1">
      <c r="A98" s="106" t="s">
        <v>737</v>
      </c>
      <c r="B98" s="106" t="s">
        <v>737</v>
      </c>
      <c r="C98" s="106" t="s">
        <v>737</v>
      </c>
      <c r="D98" s="541" t="s">
        <v>737</v>
      </c>
      <c r="F98" s="541"/>
      <c r="G98" s="541"/>
      <c r="AL98" s="1387"/>
      <c r="AM98" s="1195">
        <v>0</v>
      </c>
      <c r="AN98" s="1195">
        <v>0</v>
      </c>
      <c r="AO98" s="1195">
        <v>0</v>
      </c>
      <c r="AP98" s="1195">
        <v>0</v>
      </c>
      <c r="AQ98" s="1195">
        <v>0</v>
      </c>
      <c r="AR98" s="1195">
        <v>0</v>
      </c>
      <c r="AS98" s="1195">
        <v>0</v>
      </c>
      <c r="AT98" s="1195">
        <v>0</v>
      </c>
      <c r="AU98" s="1195"/>
    </row>
    <row r="99" spans="1:47" ht="15" customHeight="1">
      <c r="A99" s="106" t="s">
        <v>738</v>
      </c>
      <c r="B99" s="106" t="s">
        <v>738</v>
      </c>
      <c r="C99" s="106" t="s">
        <v>738</v>
      </c>
      <c r="D99" s="541" t="s">
        <v>738</v>
      </c>
      <c r="F99" s="541"/>
      <c r="G99" s="541"/>
      <c r="AL99" s="1387"/>
      <c r="AM99" s="1195"/>
      <c r="AN99" s="1195"/>
      <c r="AO99" s="1195"/>
      <c r="AP99" s="1195"/>
      <c r="AQ99" s="1195"/>
      <c r="AR99" s="1195"/>
      <c r="AS99" s="1195"/>
      <c r="AT99" s="1195"/>
      <c r="AU99" s="1195"/>
    </row>
    <row r="100" spans="1:47" ht="15" customHeight="1">
      <c r="C100" s="541"/>
      <c r="D100" s="541"/>
      <c r="F100" s="541"/>
      <c r="G100" s="541"/>
      <c r="AL100" s="546"/>
      <c r="AM100" s="1195"/>
      <c r="AN100" s="1195"/>
      <c r="AO100" s="1195"/>
      <c r="AP100" s="1195"/>
      <c r="AQ100" s="1195"/>
      <c r="AR100" s="1195"/>
      <c r="AS100" s="1195"/>
      <c r="AT100" s="1195"/>
      <c r="AU100" s="546"/>
    </row>
    <row r="101" spans="1:47" s="690" customFormat="1" ht="15" customHeight="1">
      <c r="A101" s="690" t="s">
        <v>1089</v>
      </c>
      <c r="C101" s="640"/>
      <c r="D101" s="640"/>
      <c r="F101" s="640"/>
      <c r="G101" s="640"/>
    </row>
    <row r="102" spans="1:47" s="546" customFormat="1" ht="15" customHeight="1">
      <c r="A102" s="546" t="s">
        <v>1090</v>
      </c>
      <c r="B102" s="546" t="s">
        <v>1096</v>
      </c>
      <c r="C102" s="546" t="s">
        <v>1100</v>
      </c>
      <c r="D102" s="347" t="s">
        <v>336</v>
      </c>
      <c r="E102" s="546" t="s">
        <v>1102</v>
      </c>
      <c r="F102" s="546" t="s">
        <v>1108</v>
      </c>
      <c r="G102" s="546" t="s">
        <v>1109</v>
      </c>
      <c r="H102" s="546" t="s">
        <v>1110</v>
      </c>
      <c r="I102" s="546" t="s">
        <v>1111</v>
      </c>
      <c r="J102" s="546" t="s">
        <v>1112</v>
      </c>
      <c r="K102" s="546" t="s">
        <v>1120</v>
      </c>
      <c r="L102" s="546" t="s">
        <v>1121</v>
      </c>
      <c r="N102" s="546" t="s">
        <v>1123</v>
      </c>
      <c r="O102" s="546" t="s">
        <v>1124</v>
      </c>
      <c r="P102" s="546" t="s">
        <v>1129</v>
      </c>
      <c r="Q102" s="546" t="s">
        <v>1130</v>
      </c>
      <c r="R102" s="546" t="s">
        <v>1133</v>
      </c>
      <c r="S102" s="546" t="s">
        <v>1135</v>
      </c>
      <c r="T102" s="546">
        <v>901.5</v>
      </c>
      <c r="U102" s="546" t="s">
        <v>1139</v>
      </c>
      <c r="V102" s="713" t="s">
        <v>1154</v>
      </c>
      <c r="W102" s="546">
        <v>901.13</v>
      </c>
      <c r="X102" s="546" t="s">
        <v>1163</v>
      </c>
      <c r="Y102" s="546" t="s">
        <v>1164</v>
      </c>
      <c r="Z102" s="546" t="s">
        <v>364</v>
      </c>
      <c r="AB102" s="546" t="s">
        <v>1178</v>
      </c>
      <c r="AC102" s="546" t="s">
        <v>1179</v>
      </c>
      <c r="AD102" s="546" t="s">
        <v>1187</v>
      </c>
      <c r="AE102" s="546" t="s">
        <v>1212</v>
      </c>
      <c r="AF102" s="546">
        <v>902.3</v>
      </c>
      <c r="AG102" s="546">
        <v>902.4</v>
      </c>
      <c r="AH102" s="546">
        <v>902.6</v>
      </c>
      <c r="AI102" s="546">
        <v>903.1</v>
      </c>
      <c r="AJ102" s="546">
        <v>903.2</v>
      </c>
      <c r="AK102" s="546">
        <v>903.3</v>
      </c>
    </row>
    <row r="103" spans="1:47" ht="15" customHeight="1">
      <c r="A103" s="106" t="s">
        <v>737</v>
      </c>
      <c r="B103" s="106" t="s">
        <v>1097</v>
      </c>
      <c r="C103" s="106" t="s">
        <v>1097</v>
      </c>
      <c r="D103" s="658" t="s">
        <v>737</v>
      </c>
      <c r="E103" s="106" t="s">
        <v>1103</v>
      </c>
      <c r="F103" s="658" t="s">
        <v>737</v>
      </c>
      <c r="G103" s="658" t="s">
        <v>737</v>
      </c>
      <c r="H103" s="658" t="s">
        <v>737</v>
      </c>
      <c r="I103" s="658" t="s">
        <v>737</v>
      </c>
      <c r="J103" s="658" t="s">
        <v>737</v>
      </c>
      <c r="K103" s="106" t="s">
        <v>737</v>
      </c>
      <c r="L103" s="106" t="s">
        <v>737</v>
      </c>
      <c r="N103" s="106" t="s">
        <v>737</v>
      </c>
      <c r="O103" s="106" t="s">
        <v>1125</v>
      </c>
      <c r="P103" s="106" t="s">
        <v>1125</v>
      </c>
      <c r="Q103" s="106" t="s">
        <v>1125</v>
      </c>
      <c r="R103" s="106" t="s">
        <v>1125</v>
      </c>
      <c r="S103" s="106" t="s">
        <v>1125</v>
      </c>
      <c r="T103" s="106" t="s">
        <v>1576</v>
      </c>
      <c r="U103" s="106" t="s">
        <v>737</v>
      </c>
      <c r="V103" s="106" t="s">
        <v>1578</v>
      </c>
      <c r="W103" s="106" t="s">
        <v>1159</v>
      </c>
      <c r="X103" s="106" t="s">
        <v>737</v>
      </c>
      <c r="Y103" s="106" t="s">
        <v>737</v>
      </c>
      <c r="Z103" s="106" t="s">
        <v>1170</v>
      </c>
      <c r="AB103" s="106" t="s">
        <v>1180</v>
      </c>
      <c r="AC103" s="106" t="s">
        <v>1180</v>
      </c>
      <c r="AD103" s="106" t="s">
        <v>1189</v>
      </c>
      <c r="AE103" s="106" t="s">
        <v>1213</v>
      </c>
      <c r="AF103" s="1195" t="s">
        <v>1918</v>
      </c>
      <c r="AG103" s="106" t="s">
        <v>1210</v>
      </c>
      <c r="AH103" s="106" t="s">
        <v>737</v>
      </c>
      <c r="AI103" s="106" t="s">
        <v>1206</v>
      </c>
      <c r="AJ103" s="106" t="s">
        <v>1204</v>
      </c>
      <c r="AK103" s="106" t="s">
        <v>1200</v>
      </c>
    </row>
    <row r="104" spans="1:47" ht="15" customHeight="1">
      <c r="A104" s="106" t="s">
        <v>1091</v>
      </c>
      <c r="B104" s="106" t="s">
        <v>1098</v>
      </c>
      <c r="C104" s="106" t="s">
        <v>1098</v>
      </c>
      <c r="D104" s="658"/>
      <c r="E104" s="106" t="s">
        <v>1104</v>
      </c>
      <c r="F104" s="658"/>
      <c r="G104" s="658"/>
      <c r="H104" s="658"/>
      <c r="I104" s="658"/>
      <c r="J104" s="658"/>
      <c r="O104" s="106" t="s">
        <v>1126</v>
      </c>
      <c r="P104" s="106" t="s">
        <v>1126</v>
      </c>
      <c r="Q104" s="106" t="s">
        <v>1126</v>
      </c>
      <c r="R104" s="106" t="s">
        <v>1126</v>
      </c>
      <c r="S104" s="106" t="s">
        <v>1126</v>
      </c>
      <c r="T104" s="106" t="s">
        <v>1577</v>
      </c>
      <c r="V104" s="106" t="s">
        <v>1155</v>
      </c>
      <c r="W104" s="106" t="s">
        <v>1160</v>
      </c>
      <c r="X104" s="106" t="s">
        <v>1579</v>
      </c>
      <c r="Z104" s="106" t="s">
        <v>1171</v>
      </c>
      <c r="AB104" s="106" t="s">
        <v>1181</v>
      </c>
      <c r="AC104" s="106" t="s">
        <v>1181</v>
      </c>
      <c r="AD104" s="106" t="s">
        <v>1190</v>
      </c>
      <c r="AE104" s="106" t="s">
        <v>1214</v>
      </c>
      <c r="AF104" s="1195" t="s">
        <v>1919</v>
      </c>
      <c r="AG104" s="106" t="s">
        <v>1217</v>
      </c>
      <c r="AI104" s="106" t="s">
        <v>1207</v>
      </c>
      <c r="AJ104" s="106" t="s">
        <v>1205</v>
      </c>
      <c r="AK104" s="106" t="s">
        <v>1199</v>
      </c>
    </row>
    <row r="105" spans="1:47" ht="15" customHeight="1">
      <c r="D105" s="658" t="s">
        <v>2286</v>
      </c>
      <c r="F105" s="1187" t="s">
        <v>2291</v>
      </c>
      <c r="G105" s="658" t="s">
        <v>2287</v>
      </c>
      <c r="H105" s="1196" t="s">
        <v>2288</v>
      </c>
      <c r="I105" s="1196" t="s">
        <v>2289</v>
      </c>
      <c r="J105" s="658" t="s">
        <v>2290</v>
      </c>
      <c r="K105" s="106" t="s">
        <v>1122</v>
      </c>
      <c r="L105" s="106" t="s">
        <v>1122</v>
      </c>
      <c r="N105" s="106" t="s">
        <v>9</v>
      </c>
      <c r="O105" s="106" t="s">
        <v>1127</v>
      </c>
      <c r="P105" s="106" t="s">
        <v>1127</v>
      </c>
      <c r="Q105" s="106" t="s">
        <v>1127</v>
      </c>
      <c r="R105" s="106" t="s">
        <v>1134</v>
      </c>
      <c r="S105" s="106" t="s">
        <v>1134</v>
      </c>
      <c r="T105" s="106" t="s">
        <v>1138</v>
      </c>
      <c r="V105" s="106" t="s">
        <v>1156</v>
      </c>
      <c r="Y105" s="106" t="s">
        <v>1165</v>
      </c>
      <c r="Z105" s="106" t="s">
        <v>1172</v>
      </c>
      <c r="AB105" s="106" t="s">
        <v>1182</v>
      </c>
      <c r="AC105" s="106" t="s">
        <v>1182</v>
      </c>
      <c r="AD105" s="106" t="s">
        <v>1191</v>
      </c>
      <c r="AF105" s="106" t="s">
        <v>1211</v>
      </c>
      <c r="AH105" s="106" t="s">
        <v>2295</v>
      </c>
    </row>
    <row r="106" spans="1:47" ht="15" customHeight="1">
      <c r="D106" s="658"/>
      <c r="F106" s="658"/>
      <c r="G106" s="658"/>
      <c r="N106" s="106" t="s">
        <v>2292</v>
      </c>
      <c r="O106" s="106" t="s">
        <v>1128</v>
      </c>
      <c r="P106" s="106" t="s">
        <v>1128</v>
      </c>
      <c r="Q106" s="106" t="s">
        <v>1131</v>
      </c>
      <c r="Z106" s="106" t="s">
        <v>1173</v>
      </c>
      <c r="AB106" s="106" t="s">
        <v>1183</v>
      </c>
      <c r="AC106" s="106" t="s">
        <v>1186</v>
      </c>
      <c r="AD106" s="106" t="s">
        <v>1192</v>
      </c>
      <c r="AF106" s="106" t="s">
        <v>2248</v>
      </c>
    </row>
    <row r="107" spans="1:47" ht="15" customHeight="1">
      <c r="D107" s="658"/>
      <c r="F107" s="658"/>
      <c r="G107" s="658"/>
      <c r="O107" s="106" t="s">
        <v>1132</v>
      </c>
      <c r="P107" s="106" t="s">
        <v>1132</v>
      </c>
      <c r="AB107" s="106" t="s">
        <v>1184</v>
      </c>
      <c r="AD107" s="106" t="s">
        <v>1193</v>
      </c>
    </row>
    <row r="108" spans="1:47" ht="15" customHeight="1">
      <c r="D108" s="658"/>
      <c r="F108" s="658"/>
      <c r="G108" s="658"/>
      <c r="AB108" s="106" t="s">
        <v>1185</v>
      </c>
    </row>
    <row r="109" spans="1:47" s="690" customFormat="1" ht="15" customHeight="1">
      <c r="A109" s="690" t="s">
        <v>1092</v>
      </c>
      <c r="D109" s="640"/>
      <c r="F109" s="640"/>
      <c r="G109" s="640"/>
    </row>
    <row r="110" spans="1:47" s="546" customFormat="1" ht="15" customHeight="1">
      <c r="A110" s="546" t="s">
        <v>1090</v>
      </c>
      <c r="B110" s="546" t="s">
        <v>1096</v>
      </c>
      <c r="C110" s="546" t="s">
        <v>1100</v>
      </c>
      <c r="D110" s="347"/>
      <c r="E110" s="546" t="s">
        <v>1102</v>
      </c>
      <c r="F110" s="546" t="s">
        <v>1108</v>
      </c>
      <c r="G110" s="546" t="s">
        <v>1109</v>
      </c>
      <c r="H110" s="546" t="s">
        <v>1110</v>
      </c>
      <c r="I110" s="546" t="s">
        <v>1111</v>
      </c>
      <c r="J110" s="546" t="s">
        <v>1112</v>
      </c>
      <c r="K110" s="546" t="s">
        <v>1120</v>
      </c>
      <c r="L110" s="546" t="s">
        <v>1121</v>
      </c>
      <c r="M110" s="546">
        <v>901.4</v>
      </c>
      <c r="N110" s="546" t="s">
        <v>1123</v>
      </c>
      <c r="O110" s="546" t="s">
        <v>1124</v>
      </c>
      <c r="P110" s="546" t="s">
        <v>1129</v>
      </c>
      <c r="Q110" s="546" t="s">
        <v>1130</v>
      </c>
      <c r="R110" s="546" t="s">
        <v>1133</v>
      </c>
      <c r="S110" s="546" t="s">
        <v>1135</v>
      </c>
      <c r="T110" s="546">
        <v>901.5</v>
      </c>
      <c r="V110" s="713" t="s">
        <v>1154</v>
      </c>
      <c r="W110" s="546">
        <v>901.13</v>
      </c>
      <c r="X110" s="546" t="s">
        <v>1163</v>
      </c>
      <c r="Z110" s="546" t="s">
        <v>364</v>
      </c>
      <c r="AA110" s="546" t="s">
        <v>366</v>
      </c>
      <c r="AB110" s="546" t="s">
        <v>1178</v>
      </c>
      <c r="AC110" s="546" t="s">
        <v>1179</v>
      </c>
      <c r="AD110" s="546" t="s">
        <v>1187</v>
      </c>
      <c r="AE110" s="546" t="s">
        <v>1212</v>
      </c>
      <c r="AG110" s="546">
        <v>902.4</v>
      </c>
      <c r="AI110" s="546">
        <v>903.1</v>
      </c>
      <c r="AJ110" s="546">
        <v>903.2</v>
      </c>
      <c r="AK110" s="546">
        <v>903.3</v>
      </c>
    </row>
    <row r="111" spans="1:47" ht="15" customHeight="1">
      <c r="A111" s="106">
        <f>IF(choice901.1.1="Met", 5, 0)</f>
        <v>0</v>
      </c>
      <c r="B111" s="546">
        <f>IF(choice901.1.3_1=B103,3,IF(choice901.1.3_1=B104,5,0))</f>
        <v>0</v>
      </c>
      <c r="C111" s="546">
        <f>IF(choice901.1.3_2=C103,3,IF(choice901.1.3_2=C104,5,0))</f>
        <v>0</v>
      </c>
      <c r="D111" s="658"/>
      <c r="E111" s="106">
        <f>IF(choice901.1.6=E103,2,IF(choice901.1.6=E104,5,0))</f>
        <v>0</v>
      </c>
      <c r="F111" s="658">
        <f>IF(choice901.2.1_1="Met",4,0)</f>
        <v>0</v>
      </c>
      <c r="G111" s="658">
        <f>IF(choice901.2.1_2="Met",6,0)</f>
        <v>0</v>
      </c>
      <c r="H111" s="106">
        <f>IF(choice901.2.1_3="Met",6,0)</f>
        <v>0</v>
      </c>
      <c r="I111" s="106">
        <f>IF(choice901.2.1_4="Met",6,0)</f>
        <v>0</v>
      </c>
      <c r="J111" s="106">
        <f>IF(choice901.2.1_5="Met",6,0)</f>
        <v>0</v>
      </c>
      <c r="K111" s="106">
        <f>IF(choice901.3_1_a=K103,2,0)</f>
        <v>0</v>
      </c>
      <c r="L111" s="106">
        <f>IF(choice901.3_1_b=L103,2,0)</f>
        <v>0</v>
      </c>
      <c r="O111" s="106" t="e">
        <f>IF(choice901.4_2=O103,2,IF(choice901.4_2=O104,4,IF(choice901.4_2=O105,6,IF(choice901.4_2=O106,8,IF(choice901.4_2=O107,10,0)))))</f>
        <v>#NAME?</v>
      </c>
      <c r="P111" s="106" t="e">
        <f>IF(choice901.4_3=P103,2,IF(choice901.4_3=P104,4,IF(choice901.4_3=P105,6,IF(choice901.4_3=P106,8,IF(choice901.4_3=P107,10,0)))))</f>
        <v>#NAME?</v>
      </c>
      <c r="Q111" s="106" t="e">
        <f>IF(choice901.4_4=Q103,3,IF(choice901.4_4=Q104,6,IF(choice901.4_4=Q105,9,IF(choice901.4_4=Q106,10,0))))</f>
        <v>#NAME?</v>
      </c>
      <c r="R111" s="106" t="e">
        <f>IF(choice901.4_5=R103,4,IF(choice901.4_5=R104,8,IF(choice901.4_5=R105,10,0)))</f>
        <v>#NAME?</v>
      </c>
      <c r="S111" s="106" t="e">
        <f>IF(choice901.4_6=S103,4,IF(choice901.4_6=S104,8,IF(choice901.4_6=S105,10,0)))</f>
        <v>#NAME?</v>
      </c>
      <c r="T111" s="106">
        <f>IF(OR(choice901.5=T103,choice901.5=T104),3,IF(choice901.5=T105,5,0))</f>
        <v>0</v>
      </c>
      <c r="V111" s="106">
        <f>IF(choice901.10=V103,8,IF(choice901.10=V104,5,IF(choice901.10=V105,5,0)))</f>
        <v>0</v>
      </c>
      <c r="W111" s="106">
        <f>IF(OR(choice901.13=W103,choice901.13=W104),1,0)</f>
        <v>0</v>
      </c>
      <c r="X111" s="106">
        <f>IF(choice902.1.1_1=X104,1,0)</f>
        <v>0</v>
      </c>
      <c r="Z111" s="106">
        <f>IF(choice902.1.2=Z103,5,IF(choice902.1.2=Z104,7,IF(choice902.1.2=Z105,9,IF(choice902.1.2=Z106,11,0))))</f>
        <v>0</v>
      </c>
      <c r="AA111" s="106">
        <f>IF(SUM(score902.1.4_1,score902.1.4_2)&gt;12,12,SUM(score902.1.4_1,score902.1.4_2))</f>
        <v>0</v>
      </c>
      <c r="AB111" s="106">
        <f>IF(choice902.1.4_1=AB103,2,IF(choice902.1.4_1=AB104,4,IF(choice902.1.4_1=AB105,6,IF(choice902.1.4_1=AB106,8,IF(choice902.1.4_1=AB107,10,IF(choice902.1.4_1=AB108,12,0))))))</f>
        <v>0</v>
      </c>
      <c r="AC111" s="106">
        <f>IF(choice902.1.4_2=AC103,3,IF(choice902.1.4_2=AC104,6,IF(choice902.1.4_2=AC105,9,IF(choice902.1.4_2=AC106,12,0))))</f>
        <v>0</v>
      </c>
      <c r="AD111" s="106">
        <f>IF(choice902.2.1=AD103,3,IF(choice902.2.1=AD104,6,IF(choice902.2.1=AD105,7,IF(choice902.2.1=AD106,8,IF(choice902.2.1=AD107,"N/A",0)))))</f>
        <v>0</v>
      </c>
      <c r="AE111" s="106" t="str">
        <f>IF(claim902.3="Met - Zone 1 passive system",7,IF(OR(claim902.3="Not Zone 1",claim902.3="Tested &amp; passed"),"",IF(claim902.3="","",10)))</f>
        <v/>
      </c>
      <c r="AG111" s="106">
        <f>IF(choice902.4&lt;&gt;"",3,0)</f>
        <v>0</v>
      </c>
      <c r="AI111" s="106">
        <f>IF(choice903.1=AI103,2,IF(choice903.1=AI104,5,0))</f>
        <v>0</v>
      </c>
      <c r="AJ111" s="106">
        <f>IF(choice903.2=AJ103,1,IF(choice903.2=AJ104,3,0))</f>
        <v>0</v>
      </c>
      <c r="AK111" s="106">
        <f>IF(choice903.3&lt;&gt;"",'11.9'!N162,0)</f>
        <v>0</v>
      </c>
    </row>
    <row r="112" spans="1:47" ht="15" customHeight="1">
      <c r="C112" s="658"/>
      <c r="D112" s="658"/>
      <c r="F112" s="658"/>
      <c r="G112" s="658"/>
    </row>
    <row r="113" spans="1:7" s="552" customFormat="1" ht="15" customHeight="1">
      <c r="A113" s="552" t="s">
        <v>1001</v>
      </c>
      <c r="C113" s="640"/>
      <c r="D113" s="640"/>
      <c r="F113" s="640"/>
      <c r="G113" s="640"/>
    </row>
    <row r="114" spans="1:7" s="553" customFormat="1" ht="15" customHeight="1">
      <c r="A114" s="553" t="s">
        <v>204</v>
      </c>
      <c r="B114" s="553" t="s">
        <v>208</v>
      </c>
      <c r="C114" s="641"/>
      <c r="D114" s="641" t="s">
        <v>206</v>
      </c>
      <c r="E114" s="553" t="s">
        <v>1218</v>
      </c>
      <c r="F114" s="641"/>
      <c r="G114" s="641"/>
    </row>
    <row r="115" spans="1:7" s="804" customFormat="1" ht="15" customHeight="1">
      <c r="A115" s="804">
        <f>IF(OR(AND(claim602.1.1.1&lt;&gt;"Not Met",claim602.1.1.1&lt;&gt;""),'11.6'!B50&lt;&gt;"x"), 1, 0)</f>
        <v>1</v>
      </c>
      <c r="C115" s="790"/>
      <c r="D115" s="790"/>
      <c r="E115" s="804">
        <f>IF('11.6'!P3="Met",1,0)</f>
        <v>0</v>
      </c>
      <c r="F115" s="790"/>
      <c r="G115" s="790"/>
    </row>
    <row r="116" spans="1:7" ht="15" customHeight="1">
      <c r="A116" s="106">
        <f>IF(OR(AND(claim602.1.3.1&lt;&gt;"Not Met",claim602.1.3.1&lt;&gt;""),'11.6'!B55="x"), 1, 0)</f>
        <v>0</v>
      </c>
      <c r="B116" s="106">
        <f>IF(AND(claim701.4.1.1&lt;&gt;" Not Met",claim701.4.1.1&lt;&gt;""), 1, 0)</f>
        <v>0</v>
      </c>
      <c r="C116" s="541"/>
      <c r="D116" s="541">
        <f>IF(OR(claim901.1.4=D103,claim901.1.4=D105), 1, 0)</f>
        <v>0</v>
      </c>
      <c r="E116" s="106">
        <f>IF('11.7'!P3="Met", 1, 0)</f>
        <v>0</v>
      </c>
      <c r="F116" s="541"/>
      <c r="G116" s="541">
        <f>claim602.1.4.1_2</f>
        <v>0</v>
      </c>
    </row>
    <row r="117" spans="1:7" ht="15" customHeight="1">
      <c r="A117" s="106">
        <f>IF(OR(AND(claim602.1.4.1_2&lt;&gt;"Not Met",claim602.1.4.1_2&lt;&gt;""),'11.6'!B60="x"), 1, 0)</f>
        <v>0</v>
      </c>
      <c r="B117" s="106">
        <f>IF(OR(AND(claim701.4.1.2&lt;&gt;"Not Met",claim701.4.1.2&lt;&gt;""),'11.7'!B12="x",claim701.4.1.2=D62), 1, 0)</f>
        <v>0</v>
      </c>
      <c r="C117" s="541"/>
      <c r="D117" s="541">
        <f>IF(OR(choice901.2.1_1=F103,choice901.2.1_1=F105), 1, 0)</f>
        <v>0</v>
      </c>
      <c r="E117" s="106">
        <f>IF('11.9'!O3="Met",1,0)</f>
        <v>0</v>
      </c>
      <c r="F117" s="541"/>
      <c r="G117" s="1196" t="b">
        <f>AND(claim602.1.4.1_2&lt;&gt;"Not Met",claim602.1.4.1_2&lt;&gt;"")</f>
        <v>0</v>
      </c>
    </row>
    <row r="118" spans="1:7" ht="15" customHeight="1">
      <c r="A118" s="106">
        <f>IF(OR(AND(claim602.1.4.2_2&lt;&gt;"Not Met",claim602.1.4.2_2&lt;&gt;""),'11.6'!B64="x"), 1, 0)</f>
        <v>0</v>
      </c>
      <c r="B118" s="106">
        <f>IF(AND(claim701.4.2.1&lt;&gt;"Not Met",claim701.4.2.1&lt;&gt;""), 1, 0)</f>
        <v>0</v>
      </c>
      <c r="C118" s="541"/>
      <c r="D118" s="541">
        <f>IF(OR(choice901.2.1_1=F103,choice901.2.1_1=F105), 1, 0)</f>
        <v>0</v>
      </c>
      <c r="E118" s="106">
        <f>IF('11.10'!O3="Met",1,0)</f>
        <v>0</v>
      </c>
      <c r="F118" s="541"/>
      <c r="G118" s="541"/>
    </row>
    <row r="119" spans="1:7" ht="15" customHeight="1">
      <c r="A119" s="106">
        <f>IF(OR(choice602.1.7.1_2="Met",choice602.1.7.1_2="No new insulation"), 1, 0)</f>
        <v>0</v>
      </c>
      <c r="B119" s="106">
        <f>IF(OR(AND(claim701.4.2.2&lt;&gt;"Not Met",claim701.4.2.2&lt;&gt;""),startDuctless="Yes"), 1, 0)</f>
        <v>0</v>
      </c>
      <c r="C119" s="541"/>
      <c r="D119" s="541">
        <f>IF(OR(choice901.2.1_2=G103,choice901.2.1_2=G105), 1, 0)</f>
        <v>0</v>
      </c>
      <c r="F119" s="541"/>
      <c r="G119" s="541"/>
    </row>
    <row r="120" spans="1:7" ht="15" customHeight="1">
      <c r="A120" s="106">
        <f>IF(AND(claim602.1.8&lt;&gt;"Not Met",claim602.1.8&lt;&gt;""), 1, 0)</f>
        <v>0</v>
      </c>
      <c r="B120" s="106">
        <f>IF(OR(AND(claim701.4.2.3&lt;&gt;"Not Met",claim701.4.2.3&lt;&gt;""),startDuctless="Yes"), 1, 0)</f>
        <v>0</v>
      </c>
      <c r="C120" s="541"/>
      <c r="D120" s="541">
        <f>IF(OR(choice901.2.1_3=H103,choice901.2.1_3=H105), 1, 0)</f>
        <v>0</v>
      </c>
      <c r="F120" s="541"/>
      <c r="G120" s="541"/>
    </row>
    <row r="121" spans="1:7" ht="15" customHeight="1">
      <c r="A121" s="106">
        <f>IF(OR(claim602.1.9_1="Met",claim602.1.9_1="N/A"), 1, 0)</f>
        <v>0</v>
      </c>
      <c r="B121" s="106">
        <f>IF(AND(claim701.4.3.1&lt;&gt;"Not Met",claim701.4.3.1&lt;&gt;""), 1, 0)</f>
        <v>0</v>
      </c>
      <c r="C121" s="541"/>
      <c r="D121" s="541">
        <f>IF(OR(choice901.2.1_4=I103,choice901.2.1_4=I105), 1, 0)</f>
        <v>0</v>
      </c>
      <c r="F121" s="541"/>
      <c r="G121" s="541"/>
    </row>
    <row r="122" spans="1:7" ht="15" customHeight="1">
      <c r="A122" s="106">
        <f>IF(AND(claim602.1.11&lt;&gt;"Not Met",claim602.1.11&lt;&gt;""), 1, 0)</f>
        <v>0</v>
      </c>
      <c r="B122" s="106">
        <f>IF(AND(claim701.4.3.1&lt;&gt;"Not Met",claim701.4.3.1&lt;&gt;""), 1, 0)</f>
        <v>0</v>
      </c>
      <c r="C122" s="541"/>
      <c r="D122" s="541">
        <f>IF(OR(choice901.2.1_5=J103,choice901.2.1_5=J105), 1, 0)</f>
        <v>0</v>
      </c>
      <c r="F122" s="541"/>
      <c r="G122" s="541"/>
    </row>
    <row r="123" spans="1:7" ht="15" customHeight="1">
      <c r="A123" s="106">
        <f>IF(OR(claim602.1.13="Met",claim602.1.13="No regional history of ice dams"), 1, 0)</f>
        <v>0</v>
      </c>
      <c r="B123" s="106">
        <f>IF(claim701.4.3.2="Met", 1, 0)</f>
        <v>0</v>
      </c>
      <c r="C123" s="541"/>
      <c r="D123" s="541">
        <f>IF(OR(choice901.3_1_a=K103,choice901.3_1_a=K105,startAttachedGarage="No"), 1, 0)</f>
        <v>0</v>
      </c>
      <c r="F123" s="541"/>
      <c r="G123" s="541"/>
    </row>
    <row r="124" spans="1:7" ht="15" customHeight="1">
      <c r="A124" s="106">
        <f>IF(OR(choice602.1.14_3=P40,choice602.1.14_3=P42), 1, 0)</f>
        <v>0</v>
      </c>
      <c r="B124" s="106">
        <f>IF(AND(claim701.4.3.3&lt;&gt;"Not Met",claim701.4.3.3&lt;&gt;""), 1, 0)</f>
        <v>0</v>
      </c>
      <c r="C124" s="541"/>
      <c r="D124" s="541">
        <f>IF(OR(choice901.3_1_b=L103,choice901.3_1_b=L105,startAttachedGarage="No"), 1, 0)</f>
        <v>0</v>
      </c>
      <c r="F124" s="541"/>
      <c r="G124" s="541"/>
    </row>
    <row r="125" spans="1:7" ht="15" customHeight="1">
      <c r="A125" s="106">
        <f>IF(claim602.4.1="Met", 1, 0)</f>
        <v>0</v>
      </c>
      <c r="B125" s="106">
        <f>IF(AND(claim701.4.3.4&lt;&gt;"Not Met",claim701.4.3.4&lt;&gt;""), 1, 0)</f>
        <v>0</v>
      </c>
      <c r="C125" s="541"/>
      <c r="D125" s="541">
        <f>IF(OR(claim901.4_1=N103,claim901.4_1=N105,claim901.4_1=N106), 1, 0)</f>
        <v>0</v>
      </c>
      <c r="F125" s="541"/>
      <c r="G125" s="541"/>
    </row>
    <row r="126" spans="1:7" ht="15" customHeight="1">
      <c r="A126" s="1195">
        <f>IF(AND(claim605.1&lt;&gt;"",claim605.1&lt;&gt;"Not Met"),1,0)</f>
        <v>0</v>
      </c>
      <c r="B126" s="106">
        <f>IF(AND(claim701.4.4&lt;&gt;"Not Met", claim701.4.4&lt;&gt;""), 1, 0)</f>
        <v>0</v>
      </c>
      <c r="C126" s="541"/>
      <c r="D126" s="541">
        <f>IF(claim901.6_1=U103, 1, 0)</f>
        <v>0</v>
      </c>
      <c r="F126" s="541"/>
      <c r="G126" s="1196"/>
    </row>
    <row r="127" spans="1:7" ht="15" customHeight="1">
      <c r="A127" s="1195"/>
      <c r="B127" s="106">
        <f>IF(OR(AND(claim701.4.5&lt;&gt;"Not Met",claim701.4.5&lt;&gt;""),'11.7'!B55="x"), 1, 0)</f>
        <v>0</v>
      </c>
      <c r="C127" s="691"/>
      <c r="D127" s="1196">
        <f>IF(AND(claim901.15&lt;&gt;"",claim901.15&lt;&gt;"Not Met"),1,0)</f>
        <v>0</v>
      </c>
      <c r="F127" s="691"/>
      <c r="G127" s="1196"/>
    </row>
    <row r="128" spans="1:7" ht="15" customHeight="1">
      <c r="A128" s="642" t="str">
        <f>CONCATENATE("Sum of ch6 Mandatory: ", SUM(ch6Mandatory))</f>
        <v>Sum of ch6 Mandatory: 1</v>
      </c>
      <c r="C128" s="691"/>
      <c r="D128" s="1196">
        <f>IF(AND(claim901.9.4&lt;&gt;"",claim901.9.4&lt;&gt;"Not Met"),1,0)</f>
        <v>0</v>
      </c>
      <c r="E128" s="642" t="s">
        <v>1931</v>
      </c>
      <c r="F128" s="691"/>
      <c r="G128" s="691"/>
    </row>
    <row r="129" spans="1:7" ht="15" customHeight="1">
      <c r="A129" s="642"/>
      <c r="C129" s="691"/>
      <c r="D129" s="691">
        <f>IF(OR(choice902.1.1_1=X103,choice902.1.1_1=X104), 1, 0)</f>
        <v>0</v>
      </c>
      <c r="E129" s="106">
        <f>IF(OR(AND(ch7ACH50&lt;5,claim902.2.1&gt;0), ch7ACH50&gt;=5,ch7ACH50=""),1,0)</f>
        <v>1</v>
      </c>
      <c r="F129" s="691"/>
      <c r="G129" s="691"/>
    </row>
    <row r="130" spans="1:7" ht="15" customHeight="1">
      <c r="A130" s="642"/>
      <c r="B130" s="106" t="str">
        <f>CONCATENATE("ch7 man sum:",SUM(ch7Mandatory))</f>
        <v>ch7 man sum:0</v>
      </c>
      <c r="C130" s="691"/>
      <c r="D130" s="691">
        <f>IF(OR(claim902.1.1_2=Y103,claim902.1.1_2=Y105), 1, 0)</f>
        <v>0</v>
      </c>
      <c r="E130" s="642" t="s">
        <v>2620</v>
      </c>
      <c r="F130" s="691"/>
      <c r="G130" s="691"/>
    </row>
    <row r="131" spans="1:7" ht="15" customHeight="1">
      <c r="A131" s="642"/>
      <c r="C131" s="691"/>
      <c r="D131" s="691">
        <f>VentNeeded</f>
        <v>1</v>
      </c>
      <c r="F131" s="691"/>
      <c r="G131" s="691"/>
    </row>
    <row r="132" spans="1:7" ht="15" customHeight="1">
      <c r="A132" s="642"/>
      <c r="C132" s="691"/>
      <c r="D132" s="691">
        <f>IF(claim902.3&lt;&gt;"", 1, 0)</f>
        <v>0</v>
      </c>
      <c r="F132" s="691"/>
      <c r="G132" s="691"/>
    </row>
    <row r="133" spans="1:7" ht="15" customHeight="1">
      <c r="A133" s="642"/>
      <c r="C133" s="541"/>
      <c r="D133" s="691">
        <f>IF(OR(claim902.6=AH103,claim902.6=AH105), 1, 0)</f>
        <v>0</v>
      </c>
      <c r="F133" s="541"/>
      <c r="G133" s="541"/>
    </row>
    <row r="134" spans="1:7">
      <c r="A134" s="642"/>
      <c r="D134" s="642" t="str">
        <f>CONCATENATE("Sum of ch9 Mandatory: ", SUM(ch9MandatoryCount))</f>
        <v>Sum of ch9 Mandatory: 1</v>
      </c>
    </row>
    <row r="135" spans="1:7" s="546" customFormat="1">
      <c r="A135" s="106"/>
      <c r="B135" s="546" t="s">
        <v>195</v>
      </c>
      <c r="C135" s="546" t="s">
        <v>197</v>
      </c>
      <c r="D135" s="541"/>
      <c r="E135" s="546" t="s">
        <v>198</v>
      </c>
    </row>
    <row r="136" spans="1:7">
      <c r="A136" s="547" t="s">
        <v>193</v>
      </c>
      <c r="B136" s="106">
        <v>88</v>
      </c>
      <c r="C136" s="106">
        <v>125</v>
      </c>
      <c r="E136" s="106">
        <v>225</v>
      </c>
    </row>
    <row r="137" spans="1:7">
      <c r="A137" s="546" t="s">
        <v>194</v>
      </c>
      <c r="D137" s="546" t="s">
        <v>196</v>
      </c>
    </row>
    <row r="138" spans="1:7">
      <c r="A138" s="106"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D138" s="106">
        <v>181</v>
      </c>
    </row>
    <row r="140" spans="1:7">
      <c r="A140" s="106" t="s">
        <v>199</v>
      </c>
    </row>
    <row r="141" spans="1:7">
      <c r="A141" s="106" t="str">
        <f>IF(AND(OR(subLevelReached="Emerald", subLevelReached="Gold"), HEToilets="Not Met"), "Silver", subLevelReached)</f>
        <v>Nothing</v>
      </c>
    </row>
    <row r="143" spans="1:7">
      <c r="A143" s="106" t="s">
        <v>200</v>
      </c>
    </row>
    <row r="144" spans="1:7">
      <c r="A144" s="106" t="str">
        <f>IF(AND(projectValue=4,projectTotal&gt;=emeraldMinimum,mandatoryStatus="Met"),"Emerald",IF(AND(projectValue&gt;=3,projectTotal&gt;=goldMinimum,mandatoryStatus="Met"),"Gold",IF(AND(projectValue&gt;=2,projectTotal&gt;=silverMinimum,mandatoryStatus="Met"),"Silver",IF(AND(projectValue&gt;=1,projectTotal&gt;=bronzeMinimum,mandatoryStatus="Met"),"Bronze","Nothing"))))</f>
        <v>Nothing</v>
      </c>
    </row>
    <row r="145" spans="1:10">
      <c r="B145" s="106" t="s">
        <v>203</v>
      </c>
    </row>
    <row r="146" spans="1:10">
      <c r="A146" s="106" t="s">
        <v>201</v>
      </c>
      <c r="B146" s="106" t="s">
        <v>204</v>
      </c>
    </row>
    <row r="147" spans="1:10">
      <c r="A147" s="555">
        <f>ch5Total</f>
        <v>0</v>
      </c>
      <c r="B147" s="106" t="s">
        <v>208</v>
      </c>
      <c r="E147" s="804" t="s">
        <v>1487</v>
      </c>
      <c r="F147" s="804" t="str">
        <f>IF(SUM(projectMandatoryCount)=4, "Met", "Not Met")</f>
        <v>Not Met</v>
      </c>
    </row>
    <row r="148" spans="1:10">
      <c r="A148" s="106">
        <f>ch6Total</f>
        <v>0</v>
      </c>
      <c r="B148" s="106" t="s">
        <v>205</v>
      </c>
      <c r="E148" s="804" t="s">
        <v>1488</v>
      </c>
      <c r="F148" s="804" t="s">
        <v>737</v>
      </c>
    </row>
    <row r="149" spans="1:10">
      <c r="A149" s="106" t="str">
        <f>ch7TotalScore</f>
        <v>none</v>
      </c>
      <c r="B149" s="106" t="s">
        <v>206</v>
      </c>
    </row>
    <row r="150" spans="1:10">
      <c r="A150" s="106" t="str">
        <f>ch8TotalScore</f>
        <v>none</v>
      </c>
      <c r="B150" s="106" t="s">
        <v>207</v>
      </c>
    </row>
    <row r="151" spans="1:10">
      <c r="A151" s="106">
        <f>ch9TotalScore</f>
        <v>0</v>
      </c>
      <c r="B151" s="106" t="s">
        <v>202</v>
      </c>
    </row>
    <row r="152" spans="1:10">
      <c r="A152" s="106">
        <f>ch10TotalScore</f>
        <v>0</v>
      </c>
      <c r="F152" s="804"/>
      <c r="G152" s="642"/>
      <c r="H152" s="804"/>
    </row>
    <row r="153" spans="1:10">
      <c r="A153" s="106">
        <f>SUM(A147:A152)</f>
        <v>0</v>
      </c>
      <c r="F153" s="804"/>
      <c r="G153" s="642"/>
      <c r="H153" s="804"/>
      <c r="I153" s="642"/>
      <c r="J153" s="804"/>
    </row>
    <row r="154" spans="1:10">
      <c r="H154" s="804"/>
      <c r="I154" s="642"/>
      <c r="J154" s="804"/>
    </row>
    <row r="155" spans="1:10">
      <c r="A155" s="106" t="s">
        <v>291</v>
      </c>
    </row>
    <row r="156" spans="1:10">
      <c r="A156" s="106">
        <f>IF(startSquareFootage&gt;4000,(startSquareFootage-4000),0)</f>
        <v>0</v>
      </c>
    </row>
    <row r="157" spans="1:10">
      <c r="A157" s="106">
        <f>IF(A156&gt;0,A156/100,0)</f>
        <v>0</v>
      </c>
    </row>
    <row r="158" spans="1:10" s="804" customFormat="1">
      <c r="A158" s="106">
        <f>ROUNDUP(A157,0)</f>
        <v>0</v>
      </c>
      <c r="D158" s="106"/>
    </row>
    <row r="159" spans="1:10" s="804" customFormat="1">
      <c r="A159" s="106"/>
      <c r="C159" s="802"/>
      <c r="D159" s="106"/>
    </row>
    <row r="160" spans="1:10" s="804" customFormat="1">
      <c r="A160" s="848"/>
      <c r="C160" s="642"/>
    </row>
    <row r="161" spans="1:5">
      <c r="A161" s="850" t="s">
        <v>1495</v>
      </c>
      <c r="D161" s="804"/>
    </row>
    <row r="162" spans="1:5">
      <c r="A162" s="642" t="e">
        <f>choice701.1</f>
        <v>#REF!</v>
      </c>
      <c r="D162" s="804"/>
    </row>
    <row r="163" spans="1:5">
      <c r="C163" s="106" t="s">
        <v>1492</v>
      </c>
      <c r="E163" s="106" t="s">
        <v>1493</v>
      </c>
    </row>
    <row r="164" spans="1:5">
      <c r="A164" s="106" t="s">
        <v>1490</v>
      </c>
      <c r="C164" s="106" t="e">
        <f>IF(claim704.2.1&gt;0, 1, 0)</f>
        <v>#REF!</v>
      </c>
      <c r="E164" s="106" t="e">
        <f>IF(claim702.2.2&gt;0, 1, 0)</f>
        <v>#REF!</v>
      </c>
    </row>
    <row r="165" spans="1:5">
      <c r="A165" s="106" t="s">
        <v>1491</v>
      </c>
      <c r="C165" s="106" t="e">
        <f>IF(claim704.2.2&gt;0, 1, 0)</f>
        <v>#REF!</v>
      </c>
      <c r="E165" s="106" t="e">
        <f>IF(E164=1, "meets", "does not meet")</f>
        <v>#REF!</v>
      </c>
    </row>
    <row r="166" spans="1:5">
      <c r="A166" s="106" t="e">
        <f>claim703.1.1</f>
        <v>#REF!</v>
      </c>
      <c r="C166" s="106" t="e">
        <f>IF(claim704.2.3&gt;0, 1, 0)</f>
        <v>#REF!</v>
      </c>
    </row>
    <row r="167" spans="1:5">
      <c r="A167" s="106" t="e">
        <f>IF(AND(claim703.1.2=7,claim703.1.1=0),claim703.1.2,0)</f>
        <v>#REF!</v>
      </c>
      <c r="C167" s="106" t="e">
        <f>IF(claim704.3&gt;0, 1, 0)</f>
        <v>#REF!</v>
      </c>
    </row>
    <row r="168" spans="1:5">
      <c r="A168" s="106" t="e">
        <f>claim703.1.3</f>
        <v>#REF!</v>
      </c>
      <c r="C168" s="106" t="e">
        <f>IF(claim704.4.1&gt;0, 1, 0)</f>
        <v>#REF!</v>
      </c>
    </row>
    <row r="169" spans="1:5">
      <c r="A169" s="106" t="e">
        <f>claim703.1.4</f>
        <v>#REF!</v>
      </c>
      <c r="C169" s="106" t="e">
        <f>IF(claim704.4.2&gt;0, 1, 0)</f>
        <v>#REF!</v>
      </c>
    </row>
    <row r="170" spans="1:5">
      <c r="A170" s="106" t="e">
        <f>claim703.1.5</f>
        <v>#REF!</v>
      </c>
      <c r="C170" s="106" t="e">
        <f>IF(claim704.4.3&gt;0, 1, 0)</f>
        <v>#REF!</v>
      </c>
    </row>
    <row r="171" spans="1:5">
      <c r="A171" s="106" t="e">
        <f>claim703.1.6.2</f>
        <v>#REF!</v>
      </c>
      <c r="C171" s="106" t="e">
        <f>IF(claim704.5.1&gt;0, 1, 0)</f>
        <v>#REF!</v>
      </c>
    </row>
    <row r="172" spans="1:5">
      <c r="A172" s="106" t="e">
        <f>claim703.2.1</f>
        <v>#REF!</v>
      </c>
      <c r="C172" s="106" t="e">
        <f>IF(claim704.5.2.1_1&gt;0, 1, 0)</f>
        <v>#REF!</v>
      </c>
    </row>
    <row r="173" spans="1:5">
      <c r="A173" s="106" t="e">
        <f>claim703.2.2</f>
        <v>#REF!</v>
      </c>
      <c r="C173" s="106" t="e">
        <f>IF(AND(claim704.5.2.1_2&gt;0,claim704.5.2.1_1&gt;0), 1, 0)</f>
        <v>#REF!</v>
      </c>
    </row>
    <row r="174" spans="1:5">
      <c r="A174" s="106" t="e">
        <f>claim703.2.3</f>
        <v>#REF!</v>
      </c>
      <c r="C174" s="106" t="e">
        <f>IF(claim704.5.2.2&gt;0, 1, 0)</f>
        <v>#REF!</v>
      </c>
    </row>
    <row r="175" spans="1:5">
      <c r="A175" s="106" t="e">
        <f>claim703.2.4</f>
        <v>#REF!</v>
      </c>
      <c r="C175" s="106" t="e">
        <f>IF(claim704.5.3&gt;0, 1, 0)</f>
        <v>#REF!</v>
      </c>
    </row>
    <row r="176" spans="1:5">
      <c r="A176" s="555" t="e">
        <f>claim703.2.5</f>
        <v>#REF!</v>
      </c>
      <c r="C176" s="106" t="e">
        <f>SUM(C164:C175)</f>
        <v>#REF!</v>
      </c>
    </row>
    <row r="177" spans="1:4">
      <c r="A177" s="106" t="e">
        <f>claim703.2.6</f>
        <v>#REF!</v>
      </c>
      <c r="C177" s="106" t="e">
        <f>IF(C176&lt;2, "does not meet", "meets")</f>
        <v>#REF!</v>
      </c>
    </row>
    <row r="178" spans="1:4">
      <c r="A178" s="106" t="e">
        <f>claim703.2.7</f>
        <v>#REF!</v>
      </c>
      <c r="D178" s="849" t="s">
        <v>1494</v>
      </c>
    </row>
    <row r="179" spans="1:4">
      <c r="A179" s="106" t="e">
        <f>claim703.2.8</f>
        <v>#REF!</v>
      </c>
      <c r="C179" s="642" t="s">
        <v>1955</v>
      </c>
    </row>
    <row r="180" spans="1:4">
      <c r="A180" s="106" t="e">
        <f>IF(AND(claim703.2.9&gt;0,startSingleorMulti="Multi-Unit",startMultiUnits&gt;1),1,0)</f>
        <v>#REF!</v>
      </c>
      <c r="C180" s="555" t="e">
        <f>IF('Verification Rpt'!#REF!&gt;0,1,)</f>
        <v>#REF!</v>
      </c>
    </row>
    <row r="181" spans="1:4">
      <c r="A181" s="106" t="e">
        <f>claim703.3.1</f>
        <v>#REF!</v>
      </c>
      <c r="C181" s="555" t="e">
        <f>IF('Verification Rpt'!#REF!&gt;0,1,)</f>
        <v>#REF!</v>
      </c>
    </row>
    <row r="182" spans="1:4">
      <c r="A182" s="106" t="e">
        <f>claim703.3.2</f>
        <v>#REF!</v>
      </c>
      <c r="C182" s="555" t="e">
        <f>IF('Verification Rpt'!#REF!&gt;0,1,)</f>
        <v>#REF!</v>
      </c>
    </row>
    <row r="183" spans="1:4">
      <c r="A183" s="106" t="e">
        <f>claim703.3.3</f>
        <v>#REF!</v>
      </c>
      <c r="C183" s="555" t="e">
        <f>IF('Verification Rpt'!#REF!&gt;0,1,)</f>
        <v>#REF!</v>
      </c>
    </row>
    <row r="184" spans="1:4">
      <c r="A184" s="106" t="e">
        <f>claim703.3.4</f>
        <v>#REF!</v>
      </c>
      <c r="C184" s="555" t="e">
        <f>IF('Verification Rpt'!#REF!&gt;0,1,)</f>
        <v>#REF!</v>
      </c>
    </row>
    <row r="185" spans="1:4">
      <c r="A185" s="106" t="e">
        <f>claim703.4.1</f>
        <v>#REF!</v>
      </c>
      <c r="C185" s="555" t="e">
        <f>IF('Verification Rpt'!#REF!&gt;0,1,)</f>
        <v>#REF!</v>
      </c>
    </row>
    <row r="186" spans="1:4">
      <c r="A186" s="106" t="e">
        <f>claim703.4.2</f>
        <v>#REF!</v>
      </c>
      <c r="C186" s="555" t="e">
        <f>IF('Verification Rpt'!#REF!&gt;0,1,)</f>
        <v>#REF!</v>
      </c>
    </row>
    <row r="187" spans="1:4">
      <c r="A187" s="106" t="e">
        <f>IF(AND(claim703.4.3&gt;0,startSingleorMulti="Multi-Unit",startMultiUnits&gt;1),2,0)</f>
        <v>#REF!</v>
      </c>
      <c r="C187" s="555" t="e">
        <f>IF('Verification Rpt'!#REF!&gt;0,1,)</f>
        <v>#REF!</v>
      </c>
    </row>
    <row r="188" spans="1:4">
      <c r="A188" s="106" t="e">
        <f>IF(AND(claim703.4.4&gt;0,OR(startHVAC1="Boiler",startHVAC2="Boiler",startHVAC3="Boiler")),1,0)</f>
        <v>#REF!</v>
      </c>
      <c r="C188" s="555" t="e">
        <f>IF('Verification Rpt'!#REF!&gt;0,1,)</f>
        <v>#REF!</v>
      </c>
    </row>
    <row r="189" spans="1:4">
      <c r="A189" s="106" t="e">
        <f>claim703.4.5</f>
        <v>#REF!</v>
      </c>
      <c r="C189" s="555" t="e">
        <f>IF('Verification Rpt'!#REF!&gt;0,1,)</f>
        <v>#REF!</v>
      </c>
    </row>
    <row r="190" spans="1:4">
      <c r="A190" s="106" t="e">
        <f>claim703.5.1</f>
        <v>#REF!</v>
      </c>
      <c r="C190" s="555" t="e">
        <f>IF('Verification Rpt'!#REF!&gt;0,1,)</f>
        <v>#REF!</v>
      </c>
    </row>
    <row r="191" spans="1:4">
      <c r="A191" s="555" t="e">
        <f>'11.7'!#REF!</f>
        <v>#REF!</v>
      </c>
      <c r="C191" s="555"/>
    </row>
    <row r="192" spans="1:4">
      <c r="A192" s="106" t="e">
        <f>claim703.5.2</f>
        <v>#REF!</v>
      </c>
      <c r="C192" s="1195" t="e">
        <f>SUM(C180:C191)</f>
        <v>#REF!</v>
      </c>
    </row>
    <row r="193" spans="1:4">
      <c r="A193" s="106" t="e">
        <f>claim703.5.3_1</f>
        <v>#REF!</v>
      </c>
    </row>
    <row r="194" spans="1:4">
      <c r="A194" s="106" t="e">
        <f>claim703.5.3_2</f>
        <v>#REF!</v>
      </c>
      <c r="D194" s="849" t="s">
        <v>1494</v>
      </c>
    </row>
    <row r="195" spans="1:4" s="804" customFormat="1">
      <c r="A195" s="106" t="e">
        <f>claim703.5.3_3</f>
        <v>#REF!</v>
      </c>
      <c r="D195" s="106"/>
    </row>
    <row r="196" spans="1:4" s="804" customFormat="1">
      <c r="A196" s="106" t="e">
        <f>claim703.5.4</f>
        <v>#REF!</v>
      </c>
      <c r="D196" s="106"/>
    </row>
    <row r="197" spans="1:4" s="804" customFormat="1">
      <c r="A197" s="804" t="e">
        <f>claim703.6.1</f>
        <v>#REF!</v>
      </c>
    </row>
    <row r="198" spans="1:4" s="804" customFormat="1">
      <c r="A198" s="804" t="e">
        <f>claim703.6.2</f>
        <v>#REF!</v>
      </c>
    </row>
    <row r="199" spans="1:4" s="804" customFormat="1">
      <c r="A199" s="804" t="e">
        <f>claim703.6.3_1</f>
        <v>#REF!</v>
      </c>
    </row>
    <row r="200" spans="1:4" s="804" customFormat="1">
      <c r="A200" s="804" t="e">
        <f>IF(AND(claim703.6.3_2&gt;0,claim703.6.1=0),1,0)</f>
        <v>#REF!</v>
      </c>
    </row>
    <row r="201" spans="1:4" s="804" customFormat="1">
      <c r="A201" s="804" t="e">
        <f>claim703.6.3_3</f>
        <v>#REF!</v>
      </c>
    </row>
    <row r="202" spans="1:4" s="804" customFormat="1">
      <c r="A202" s="804" t="e">
        <f>claim703.6.3_4</f>
        <v>#REF!</v>
      </c>
    </row>
    <row r="203" spans="1:4" s="804" customFormat="1">
      <c r="A203" s="804" t="e">
        <f>claim703.6.3_5</f>
        <v>#REF!</v>
      </c>
    </row>
    <row r="204" spans="1:4" s="804" customFormat="1">
      <c r="A204" s="804" t="e">
        <f>claim703.6.3_6</f>
        <v>#REF!</v>
      </c>
      <c r="B204" s="849" t="s">
        <v>1494</v>
      </c>
    </row>
    <row r="205" spans="1:4" s="804" customFormat="1">
      <c r="A205" s="804" t="e">
        <f>IF(AND(claim703.6.4&gt;0,claim703.6.1&gt;0),4,0)</f>
        <v>#REF!</v>
      </c>
    </row>
    <row r="206" spans="1:4">
      <c r="A206" s="106" t="e">
        <f>SUM(A166:A205)</f>
        <v>#REF!</v>
      </c>
      <c r="D206" s="804"/>
    </row>
    <row r="207" spans="1:4" s="802" customFormat="1">
      <c r="A207" s="106" t="e">
        <f>IF(A206&lt;30, "does not meet", "meets")</f>
        <v>#REF!</v>
      </c>
      <c r="D207" s="804"/>
    </row>
    <row r="209" spans="1:9">
      <c r="A209" s="802" t="s">
        <v>1496</v>
      </c>
      <c r="D209" s="802"/>
    </row>
    <row r="210" spans="1:9">
      <c r="E210" s="106">
        <f>IF(ch8Level="Emerald", 4, IF(ch8Level="Gold", 3, IF(ch8Level="Silver", 2, IF(ch8Level="Bronze", 1, 0))))</f>
        <v>0</v>
      </c>
    </row>
    <row r="211" spans="1:9">
      <c r="E211" s="106">
        <f>IF(ch7Level="Emerald", 4, IF(ch7Level="Gold", 3, IF(ch7Level="Silver", 2, IF(ch7Level="Bronze", 1, 0))))</f>
        <v>0</v>
      </c>
    </row>
    <row r="212" spans="1:9">
      <c r="C212" s="106" t="s">
        <v>205</v>
      </c>
      <c r="D212" s="106" t="str">
        <f>ch8TotalScore</f>
        <v>none</v>
      </c>
    </row>
    <row r="213" spans="1:9">
      <c r="C213" s="106" t="s">
        <v>208</v>
      </c>
      <c r="D213" s="106" t="str">
        <f>ch7TotalScore</f>
        <v>none</v>
      </c>
    </row>
    <row r="214" spans="1:9">
      <c r="C214" s="106" t="s">
        <v>1503</v>
      </c>
      <c r="D214" s="106" t="str">
        <f>IF(projectTotal&gt;224,"Emerald",IF(projectTotal&gt;180,"Gold",IF(projectTotal&gt;124,"Silver",IF(projectTotal&gt;88,"Bronze","nothing"))))</f>
        <v>nothing</v>
      </c>
      <c r="E214" s="106">
        <f>MIN(E208:E213)</f>
        <v>0</v>
      </c>
      <c r="F214" s="851" t="s">
        <v>1509</v>
      </c>
    </row>
    <row r="215" spans="1:9">
      <c r="C215" s="1195"/>
    </row>
    <row r="216" spans="1:9">
      <c r="C216" s="1195"/>
    </row>
    <row r="218" spans="1:9">
      <c r="C218" s="106" t="s">
        <v>1504</v>
      </c>
      <c r="D218" s="106">
        <f>projectTotal</f>
        <v>0</v>
      </c>
    </row>
    <row r="219" spans="1:9">
      <c r="C219" s="106" t="s">
        <v>1505</v>
      </c>
      <c r="D219" s="106">
        <f>bronzeMinimum</f>
        <v>88</v>
      </c>
    </row>
    <row r="220" spans="1:9">
      <c r="C220" s="106" t="s">
        <v>1506</v>
      </c>
      <c r="D220" s="106">
        <f>silverMinimum</f>
        <v>125</v>
      </c>
    </row>
    <row r="221" spans="1:9">
      <c r="C221" s="106" t="s">
        <v>1507</v>
      </c>
      <c r="D221" s="106">
        <f>goldMinimum</f>
        <v>181</v>
      </c>
    </row>
    <row r="222" spans="1:9">
      <c r="C222" s="106" t="s">
        <v>1508</v>
      </c>
      <c r="D222" s="106">
        <f>emeraldMinimum</f>
        <v>225</v>
      </c>
    </row>
    <row r="223" spans="1:9">
      <c r="B223" s="1195"/>
      <c r="E223" s="1195"/>
      <c r="F223" s="1195"/>
      <c r="G223" s="1195"/>
      <c r="H223" s="1195"/>
      <c r="I223" s="1195"/>
    </row>
    <row r="224" spans="1:9">
      <c r="B224" s="1195"/>
      <c r="E224" s="1195"/>
      <c r="F224" s="1195"/>
      <c r="G224" s="1195"/>
      <c r="H224" s="1195"/>
      <c r="I224" s="1195"/>
    </row>
    <row r="226" spans="1:9">
      <c r="A226" s="1324" t="s">
        <v>1960</v>
      </c>
      <c r="B226" s="1325"/>
      <c r="C226" s="1325"/>
      <c r="D226" s="1325"/>
      <c r="E226" s="1329"/>
      <c r="F226" s="1326" t="s">
        <v>1962</v>
      </c>
      <c r="G226" s="1325"/>
      <c r="I226" s="1195" t="s">
        <v>2079</v>
      </c>
    </row>
    <row r="227" spans="1:9">
      <c r="A227" s="1321" t="s">
        <v>1001</v>
      </c>
      <c r="B227" s="1321"/>
      <c r="C227" s="640"/>
      <c r="D227" s="640"/>
      <c r="E227" s="1321"/>
      <c r="F227" s="640"/>
      <c r="G227" s="640"/>
      <c r="I227" s="106">
        <f>IF('Verification Rpt'!I612="",0,1)</f>
        <v>0</v>
      </c>
    </row>
    <row r="228" spans="1:9" ht="15">
      <c r="A228" s="553" t="s">
        <v>204</v>
      </c>
      <c r="B228" s="553" t="s">
        <v>208</v>
      </c>
      <c r="C228" s="641"/>
      <c r="D228" s="641" t="s">
        <v>206</v>
      </c>
      <c r="E228" s="553" t="s">
        <v>1218</v>
      </c>
      <c r="F228" s="1327" t="s">
        <v>1963</v>
      </c>
      <c r="G228" s="641"/>
      <c r="I228" s="1195">
        <f>IF('Verification Rpt'!I613="",0,1)</f>
        <v>0</v>
      </c>
    </row>
    <row r="229" spans="1:9" ht="15">
      <c r="A229" s="1195">
        <f>IF(OR(claim602.1.1.1="Met",claim602.1.1.1="No Slabs",'11.6'!B162="x"), 1, 0)</f>
        <v>0</v>
      </c>
      <c r="B229" s="1195" t="e">
        <f>IF(claim701.3="Met", 1, 0)</f>
        <v>#REF!</v>
      </c>
      <c r="C229" s="1196"/>
      <c r="D229" s="1196">
        <f>IF(choice901.1.1="",0,1)</f>
        <v>0</v>
      </c>
      <c r="E229" s="1195">
        <f>IF('11.6'!P114="Met",1,0)</f>
        <v>0</v>
      </c>
      <c r="F229" s="1328" t="s">
        <v>1964</v>
      </c>
      <c r="G229" s="1196"/>
      <c r="I229" s="1195">
        <f>IF('Verification Rpt'!I614="",0,1)</f>
        <v>0</v>
      </c>
    </row>
    <row r="230" spans="1:9" ht="15">
      <c r="A230" s="1195">
        <f>IF(OR(claim602.1.3.1="Met",claim602.1.3.1="No habitable or usable space below grade",'11.6'!B167="x"), 1, 0)</f>
        <v>0</v>
      </c>
      <c r="B230" s="1195">
        <f>IF(claim701.4.1.1="Met", 1, 0)</f>
        <v>0</v>
      </c>
      <c r="C230" s="1196"/>
      <c r="D230" s="1196">
        <f>IF(OR(claim901.1.4=D217,claim901.1.4=D219), 1, 0)</f>
        <v>1</v>
      </c>
      <c r="E230" s="1195" t="e">
        <f>IF('11.7'!#REF!="Met", 1, 0)</f>
        <v>#REF!</v>
      </c>
      <c r="F230" s="1328" t="s">
        <v>1966</v>
      </c>
      <c r="G230" s="1196"/>
      <c r="I230" s="1195">
        <f>IF('Verification Rpt'!I615="",0,1)</f>
        <v>0</v>
      </c>
    </row>
    <row r="231" spans="1:9" ht="15">
      <c r="A231" s="1195">
        <f>IF(OR(claim602.1.4.1_2="Met",claim602.1.4.1_2="No crawlspace",claim602.1.4.1_2="No below grade crawlspace walls",'11.6'!B172="x"), 1, 0)</f>
        <v>0</v>
      </c>
      <c r="B231" s="1195" t="e">
        <f>IF(OR(claim701.4.1.2="Met",claim701.4.1.2="N/A",'11.7'!#REF!="x",claim701.4.1.2=D176), 1, 0)</f>
        <v>#REF!</v>
      </c>
      <c r="C231" s="1196"/>
      <c r="D231" s="1196">
        <f>IF(OR(choice901.2.1_1=F215,choice901.2.1_1=F217), 1, 0)</f>
        <v>1</v>
      </c>
      <c r="E231" s="1195">
        <f>IF('11.9'!O119="Met",1,0)</f>
        <v>0</v>
      </c>
      <c r="F231" s="1328" t="s">
        <v>1965</v>
      </c>
      <c r="G231" s="1196"/>
      <c r="I231" s="1195">
        <f>IF('Verification Rpt'!I616="",0,1)</f>
        <v>0</v>
      </c>
    </row>
    <row r="232" spans="1:9">
      <c r="A232" s="1195">
        <f>IF(OR(claim602.1.4.2_2="Met",claim602.1.4.2_2="No crawlspace",'11.6'!B177="x"), 1, 0)</f>
        <v>0</v>
      </c>
      <c r="B232" s="1195">
        <f>IF(OR(claim701.4.2.1="Met",claim701.4.2.1="No duct system installed"), 1, 0)</f>
        <v>0</v>
      </c>
      <c r="C232" s="1196"/>
      <c r="D232" s="1196">
        <f>IF(OR(choice901.2.1_1=F215,choice901.2.1_1=F217), 1, 0)</f>
        <v>1</v>
      </c>
      <c r="E232" s="1195">
        <f>IF('11.10'!O116="Met",1,0)</f>
        <v>0</v>
      </c>
      <c r="F232" s="1196"/>
      <c r="G232" s="1196"/>
      <c r="I232" s="1195">
        <f>IF('Verification Rpt'!I617="",0,1)</f>
        <v>0</v>
      </c>
    </row>
    <row r="233" spans="1:9">
      <c r="A233" s="1195">
        <f>IF(OR(choice602.1.7.1_2="Met",choice602.1.7.1_2="N/A"), 1, 0)</f>
        <v>0</v>
      </c>
      <c r="B233" s="1195">
        <f>IF(OR(claim701.4.2.2="Met",claim701.4.2.2="No Duct System",startDuctless="Yes"), 1, 0)</f>
        <v>0</v>
      </c>
      <c r="C233" s="1196"/>
      <c r="D233" s="1196">
        <f>IF(OR(choice901.2.1_2=G215,choice901.2.1_2=G217), 1, 0)</f>
        <v>1</v>
      </c>
      <c r="E233" s="1195"/>
      <c r="F233" s="1196"/>
      <c r="G233" s="1196"/>
      <c r="I233" s="1195">
        <f>IF('Verification Rpt'!I618="",0,1)</f>
        <v>0</v>
      </c>
    </row>
    <row r="234" spans="1:9">
      <c r="A234" s="1195">
        <f>IF(OR(claim602.1.8="Met",claim602.1.8="N/A"), 1, 0)</f>
        <v>0</v>
      </c>
      <c r="B234" s="1195">
        <f>IF(OR(claim701.4.2.3="Met",claim701.4.2.3="No Duct System",startDuctless="Yes"), 1, 0)</f>
        <v>0</v>
      </c>
      <c r="C234" s="1196"/>
      <c r="D234" s="1196">
        <f>IF(OR(choice901.2.1_3=H215,choice901.2.1_3=H217), 1, 0)</f>
        <v>1</v>
      </c>
      <c r="E234" s="1195"/>
      <c r="F234" s="1196"/>
      <c r="G234" s="1196"/>
      <c r="I234" s="1195">
        <f>IF('Verification Rpt'!I619="",0,1)</f>
        <v>0</v>
      </c>
    </row>
    <row r="235" spans="1:9">
      <c r="A235" s="1195">
        <f>IF(OR(claim602.1.9_1="Met",claim602.1.9_1="N/A"), 1, 0)</f>
        <v>0</v>
      </c>
      <c r="B235" s="1195">
        <f>IF(OR(claim701.4.3.1="Met",claim701.4.3.1="N/A"), 1, 0)</f>
        <v>0</v>
      </c>
      <c r="C235" s="1196"/>
      <c r="D235" s="1196">
        <f>IF(OR(choice901.2.1_4=I215,choice901.2.1_4=I217), 1, 0)</f>
        <v>1</v>
      </c>
      <c r="E235" s="1195"/>
      <c r="F235" s="1196"/>
      <c r="G235" s="1196"/>
      <c r="I235" s="1195">
        <f>IF('Verification Rpt'!I620="",0,1)</f>
        <v>0</v>
      </c>
    </row>
    <row r="236" spans="1:9">
      <c r="A236" s="1195">
        <f>IF(OR(claim602.1.11="Met",claim602.1.11="No tile in wet areas"), 1, 0)</f>
        <v>0</v>
      </c>
      <c r="B236" s="1195">
        <f>IF(OR(claim701.4.3.1="Met",claim701.4.3.1="N/A"), 1, 0)</f>
        <v>0</v>
      </c>
      <c r="C236" s="1196"/>
      <c r="D236" s="1196">
        <f>IF(OR(choice901.2.1_5=J215,choice901.2.1_5=J217), 1, 0)</f>
        <v>1</v>
      </c>
      <c r="E236" s="1195"/>
      <c r="F236" s="1196"/>
      <c r="G236" s="1196"/>
      <c r="I236" s="1195">
        <f>IF('Verification Rpt'!I621="",0,1)</f>
        <v>0</v>
      </c>
    </row>
    <row r="237" spans="1:9">
      <c r="A237" s="1195">
        <f>IF(OR(claim602.1.13="Met",claim602.1.13="No regional history of ice dams"), 1, 0)</f>
        <v>0</v>
      </c>
      <c r="B237" s="1195">
        <f>IF(claim701.4.3.2="Met", 1, 0)</f>
        <v>0</v>
      </c>
      <c r="C237" s="1196"/>
      <c r="D237" s="1196">
        <f>IF(OR(choice901.3_1_a=K215,choice901.3_1_a=K217,startAttachedGarage="No"), 1, 0)</f>
        <v>1</v>
      </c>
      <c r="E237" s="1195"/>
      <c r="F237" s="1196"/>
      <c r="G237" s="1196"/>
      <c r="I237" s="1195">
        <f>IF('Verification Rpt'!I622="",0,1)</f>
        <v>0</v>
      </c>
    </row>
    <row r="238" spans="1:9">
      <c r="A238" s="1195">
        <f>IF(OR(choice602.1.14_3=P152,choice602.1.14_3=P154), 1, 0)</f>
        <v>1</v>
      </c>
      <c r="B238" s="1195">
        <f>IF(claim701.4.3.3="Met", 1, 0)</f>
        <v>0</v>
      </c>
      <c r="C238" s="1196"/>
      <c r="D238" s="1196">
        <f>IF(OR(choice901.3_1_b=L215,choice901.3_1_b=L217,startAttachedGarage="No"), 1, 0)</f>
        <v>1</v>
      </c>
      <c r="E238" s="1195"/>
      <c r="F238" s="1196"/>
      <c r="G238" s="1196"/>
      <c r="I238" s="1195">
        <f>IF('Verification Rpt'!I623="",0,1)</f>
        <v>0</v>
      </c>
    </row>
    <row r="239" spans="1:9">
      <c r="A239" s="1195">
        <f>IF(claim602.4.1="Met", 1, 0)</f>
        <v>0</v>
      </c>
      <c r="B239" s="1195">
        <f>IF(OR(claim701.4.3.4="Met",claim701.4.3.4="No Recessed Fixtures"), 1, 0)</f>
        <v>0</v>
      </c>
      <c r="C239" s="1196"/>
      <c r="D239" s="1196">
        <f>IF(OR(claim901.4_1=N215,claim901.4_1=N217), 1, 0)</f>
        <v>1</v>
      </c>
      <c r="E239" s="1195"/>
      <c r="F239" s="1196"/>
      <c r="G239" s="1196"/>
      <c r="I239" s="1195">
        <f>IF('Verification Rpt'!I624="",0,1)</f>
        <v>0</v>
      </c>
    </row>
    <row r="240" spans="1:9">
      <c r="A240" s="642" t="str">
        <f>CONCATENATE("Sum of ch6 Mandatory: ", SUM(ch6Mandatory))</f>
        <v>Sum of ch6 Mandatory: 1</v>
      </c>
      <c r="B240" s="1195">
        <f>IF(claim701.4.4="Met", 1, 0)</f>
        <v>0</v>
      </c>
      <c r="C240" s="1196"/>
      <c r="D240" s="1196">
        <f>IF(claim901.6_1=U215, 1, 0)</f>
        <v>1</v>
      </c>
      <c r="E240" s="1195"/>
      <c r="F240" s="1196"/>
      <c r="G240" s="1196"/>
      <c r="I240" s="1195">
        <f>IF('Verification Rpt'!I625="",0,1)</f>
        <v>0</v>
      </c>
    </row>
    <row r="241" spans="1:9">
      <c r="A241" s="642"/>
      <c r="B241" s="1195" t="e">
        <f>IF(OR(claim701.4.5="Met",'11.7'!#REF!="x"), 1, 0)</f>
        <v>#REF!</v>
      </c>
      <c r="C241" s="1196"/>
      <c r="D241" s="1196">
        <f>IF('Verification Rpt'!I546="",0,1)</f>
        <v>0</v>
      </c>
      <c r="E241" s="1195"/>
      <c r="F241" s="1196"/>
      <c r="G241" s="1196"/>
      <c r="I241" s="1195">
        <f>IF('Verification Rpt'!I626="",0,1)</f>
        <v>0</v>
      </c>
    </row>
    <row r="242" spans="1:9">
      <c r="A242" s="642"/>
      <c r="B242" s="1195" t="e">
        <f>IF(OR(AND(choice701.1="Performance Path",claim702.2.1="Met"),choice701.1="Alternative Bronze", choice701.1="Prescriptive Path"),1,0)</f>
        <v>#REF!</v>
      </c>
      <c r="C242" s="1196"/>
      <c r="D242" s="1196">
        <f>IF(OR(choice902.1.1_1=X215,choice902.1.1_1=X216), 1, 0)</f>
        <v>1</v>
      </c>
      <c r="E242" s="642" t="s">
        <v>1931</v>
      </c>
      <c r="F242" s="1196"/>
      <c r="G242" s="1196"/>
      <c r="I242" s="1195">
        <f>IF('Verification Rpt'!I627="",0,1)</f>
        <v>0</v>
      </c>
    </row>
    <row r="243" spans="1:9">
      <c r="A243" s="642"/>
      <c r="B243" s="1195" t="e">
        <f>IF(OR(AND(choice701.1="Prescriptive Path",claim703.1.6.1="Met"),choice701.1="Alternative Bronze", choice701.1="Performance Path"),1,0)</f>
        <v>#REF!</v>
      </c>
      <c r="C243" s="1196"/>
      <c r="D243" s="1196">
        <f>IF(OR(claim902.1.1_2=Y215,claim902.1.1_2=Y217), 1, 0)</f>
        <v>1</v>
      </c>
      <c r="E243" s="1195">
        <f>IF(ch7ACH50&lt;&gt;"",IF(ch7ACH50&lt;5,1,0),0)</f>
        <v>0</v>
      </c>
      <c r="F243" s="1196"/>
      <c r="G243" s="1196"/>
      <c r="I243" s="1195">
        <f>IF('Verification Rpt'!I628="",0,1)</f>
        <v>0</v>
      </c>
    </row>
    <row r="244" spans="1:9">
      <c r="A244" s="642"/>
      <c r="B244" s="1195" t="str">
        <f>CONCATENATE("ch7 man sum:",SUM(ch7Mandatory))</f>
        <v>ch7 man sum:0</v>
      </c>
      <c r="C244" s="1196"/>
      <c r="D244" s="1196">
        <f>IF(AND(E243=1,OR(choice902.2.1="",choice902.2.1="Not Met")), 0, 1)</f>
        <v>1</v>
      </c>
      <c r="E244" s="1195"/>
      <c r="F244" s="1196"/>
      <c r="G244" s="1196"/>
      <c r="I244" s="1195">
        <f>IF('Verification Rpt'!I629="",0,1)</f>
        <v>0</v>
      </c>
    </row>
    <row r="245" spans="1:9">
      <c r="A245" s="642"/>
      <c r="B245" s="1195"/>
      <c r="C245" s="1196"/>
      <c r="D245" s="1196">
        <f>IF(claim902.3&lt;&gt;"", 1, 0)</f>
        <v>0</v>
      </c>
      <c r="E245" s="1195"/>
      <c r="F245" s="1196"/>
      <c r="G245" s="1196"/>
      <c r="I245" s="1195">
        <f>IF('Verification Rpt'!I630="",0,1)</f>
        <v>0</v>
      </c>
    </row>
    <row r="246" spans="1:9">
      <c r="A246" s="642"/>
      <c r="B246" s="1195"/>
      <c r="C246" s="1196"/>
      <c r="D246" s="1196">
        <f>IF(claim902.6=AH215, 1, 0)</f>
        <v>1</v>
      </c>
      <c r="E246" s="1195"/>
      <c r="F246" s="1196"/>
      <c r="G246" s="1196"/>
      <c r="I246" s="1195">
        <f>IF('Verification Rpt'!I631="",0,1)</f>
        <v>0</v>
      </c>
    </row>
    <row r="247" spans="1:9">
      <c r="A247" s="642"/>
      <c r="B247" s="1195"/>
      <c r="C247" s="1196"/>
      <c r="D247" s="642"/>
      <c r="E247" s="1195"/>
      <c r="F247" s="1196"/>
      <c r="G247" s="1196"/>
      <c r="I247" s="1195">
        <f>IF('Verification Rpt'!I632="",0,1)</f>
        <v>0</v>
      </c>
    </row>
    <row r="248" spans="1:9">
      <c r="A248" s="642"/>
      <c r="B248" s="1195"/>
      <c r="C248" s="1196"/>
      <c r="D248" s="1196">
        <f>SUM(D229:D246)</f>
        <v>15</v>
      </c>
      <c r="E248" s="1195"/>
      <c r="F248" s="1195"/>
      <c r="G248" s="1195"/>
      <c r="I248" s="642" t="s">
        <v>2080</v>
      </c>
    </row>
    <row r="249" spans="1:9">
      <c r="A249" s="642"/>
      <c r="B249" s="1195"/>
      <c r="C249" s="1196"/>
      <c r="D249" s="1196"/>
      <c r="E249" s="1195"/>
      <c r="F249" s="546"/>
      <c r="G249" s="546"/>
      <c r="I249" s="106">
        <f>SUM(I227:I247)</f>
        <v>0</v>
      </c>
    </row>
    <row r="250" spans="1:9" ht="15">
      <c r="A250" s="1195"/>
      <c r="B250" s="1195"/>
      <c r="C250" s="1196" t="s">
        <v>2577</v>
      </c>
      <c r="D250" s="1196"/>
      <c r="E250" s="1195"/>
      <c r="F250" s="1195"/>
      <c r="G250" s="1195"/>
      <c r="I250" s="1195" t="s">
        <v>2084</v>
      </c>
    </row>
    <row r="251" spans="1:9">
      <c r="A251" s="1321" t="s">
        <v>193</v>
      </c>
      <c r="B251" s="1195"/>
      <c r="C251" s="1195"/>
      <c r="D251" s="1195"/>
      <c r="E251" s="1195"/>
      <c r="F251" s="1195"/>
      <c r="G251" s="1195"/>
      <c r="I251" s="1195">
        <f>IF('Verification Rpt'!I638="",0,1)</f>
        <v>0</v>
      </c>
    </row>
    <row r="252" spans="1:9">
      <c r="A252" s="546" t="s">
        <v>194</v>
      </c>
      <c r="B252" s="546" t="s">
        <v>195</v>
      </c>
      <c r="C252" s="546" t="s">
        <v>197</v>
      </c>
      <c r="D252" s="546" t="s">
        <v>196</v>
      </c>
      <c r="E252" s="546" t="s">
        <v>198</v>
      </c>
      <c r="F252" s="1195"/>
      <c r="G252" s="1195"/>
      <c r="I252" s="1195">
        <f>IF('Verification Rpt'!I639="",0,1)</f>
        <v>0</v>
      </c>
    </row>
    <row r="253" spans="1:9">
      <c r="A253" s="1195"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B253" s="1195">
        <f>SUM(88+Vadditionalpoints)</f>
        <v>88</v>
      </c>
      <c r="C253" s="1195">
        <f>SUM(125+Vadditionalpoints)</f>
        <v>125</v>
      </c>
      <c r="D253" s="1195">
        <f>SUM(181+Vadditionalpoints)</f>
        <v>181</v>
      </c>
      <c r="E253" s="1195">
        <f>SUM(225+Vadditionalpoints)</f>
        <v>225</v>
      </c>
      <c r="F253" s="1195"/>
      <c r="G253" s="1195"/>
      <c r="I253" s="1195">
        <f>IF('Verification Rpt'!I640="",0,1)</f>
        <v>0</v>
      </c>
    </row>
    <row r="254" spans="1:9">
      <c r="A254" s="1195"/>
      <c r="B254" s="1195"/>
      <c r="C254" s="1195"/>
      <c r="D254" s="1195"/>
      <c r="E254" s="1195"/>
      <c r="F254" s="1195"/>
      <c r="G254" s="1195"/>
      <c r="I254" s="1195">
        <f>IF('Verification Rpt'!I641="",0,1)</f>
        <v>0</v>
      </c>
    </row>
    <row r="255" spans="1:9">
      <c r="A255" s="1195" t="s">
        <v>199</v>
      </c>
      <c r="B255" s="1195"/>
      <c r="C255" s="1195"/>
      <c r="D255" s="1195"/>
      <c r="E255" s="1195"/>
      <c r="F255" s="1195"/>
      <c r="G255" s="1195"/>
      <c r="I255" s="1195">
        <f>IF('Verification Rpt'!I642="",0,1)</f>
        <v>0</v>
      </c>
    </row>
    <row r="256" spans="1:9">
      <c r="A256" s="1195" t="str">
        <f>IF(AND(OR(subLevelReached="Emerald", subLevelReached="Gold"), HEToilets="Not Met"), "Silver", subLevelReached)</f>
        <v>Nothing</v>
      </c>
      <c r="B256" s="1195"/>
      <c r="C256" s="1195"/>
      <c r="D256" s="1195"/>
      <c r="E256" s="1195"/>
      <c r="F256" s="1195"/>
      <c r="G256" s="1195"/>
      <c r="I256" s="1195">
        <f>IF('Verification Rpt'!I643="",0,1)</f>
        <v>0</v>
      </c>
    </row>
    <row r="257" spans="1:9">
      <c r="A257" s="1195"/>
      <c r="B257" s="1195"/>
      <c r="C257" s="1195"/>
      <c r="D257" s="1195"/>
      <c r="E257" s="1195"/>
      <c r="F257" s="1195"/>
      <c r="G257" s="1195"/>
      <c r="I257" s="1195">
        <f>IF('Verification Rpt'!I644="",0,1)</f>
        <v>0</v>
      </c>
    </row>
    <row r="258" spans="1:9">
      <c r="A258" s="1195" t="s">
        <v>200</v>
      </c>
      <c r="B258" s="1195"/>
      <c r="C258" s="1195"/>
      <c r="D258" s="1195"/>
      <c r="E258" s="1195"/>
      <c r="F258" s="1195"/>
      <c r="G258" s="1195"/>
      <c r="I258" s="1195">
        <f>IF('Verification Rpt'!I645="",0,1)</f>
        <v>0</v>
      </c>
    </row>
    <row r="259" spans="1:9">
      <c r="A259" s="1195" t="e">
        <f>IF(AND(projectValue=4,projectTotal&gt;=emeraldMinimum,mandatoryStatus="Met",section702req="meets",section704req="meets"),"Emerald",IF(AND(projectValue&gt;=3,projectTotal&gt;=goldMinimum,mandatoryStatus="Met",section704req="meets",OR(section702req="meets",section703req="meets")),"Gold",IF(AND(projectValue&gt;=2,projectTotal&gt;=silverMinimum,mandatoryStatus="Met",section704req="meets",OR(section702req="meets",section703req="meets")),"Silver",IF(AND(projectValue&gt;=1,projectTotal&gt;=bronzeMinimum,mandatoryStatus="Met",OR(AND(section702req="meets",section704req="meets"),AND(section703req="meets",section704req="meets"),energypath="Alternative Bronze")),"Bronze","Nothing"))))</f>
        <v>#REF!</v>
      </c>
      <c r="B259" s="1195"/>
      <c r="C259" s="1195"/>
      <c r="D259" s="1195"/>
      <c r="E259" s="1195"/>
      <c r="F259" s="1195"/>
      <c r="G259" s="1195"/>
      <c r="I259" s="642" t="s">
        <v>2080</v>
      </c>
    </row>
    <row r="260" spans="1:9">
      <c r="A260" s="1195"/>
      <c r="B260" s="1195"/>
      <c r="C260" s="1195"/>
      <c r="D260" s="1195"/>
      <c r="E260" s="1195"/>
      <c r="F260" s="1195"/>
      <c r="G260" s="1195"/>
      <c r="I260" s="106">
        <f>SUM(I251:I258)</f>
        <v>0</v>
      </c>
    </row>
    <row r="261" spans="1:9">
      <c r="A261" s="1195" t="s">
        <v>201</v>
      </c>
      <c r="B261" s="1195"/>
      <c r="C261" s="1195"/>
      <c r="D261" s="1195"/>
      <c r="E261" s="1195"/>
      <c r="F261" s="1195" t="str">
        <f>IF(SUM(projectMandatoryCount)=4, "Met", "Not Met")</f>
        <v>Not Met</v>
      </c>
      <c r="G261" s="1195"/>
    </row>
    <row r="262" spans="1:9">
      <c r="A262" s="555">
        <f>ch5Total</f>
        <v>0</v>
      </c>
      <c r="B262" s="1195" t="s">
        <v>203</v>
      </c>
      <c r="C262" s="1195"/>
      <c r="D262" s="1195"/>
      <c r="E262" s="1195"/>
      <c r="F262" s="1195" t="e">
        <f>IF(claim801.5_1="Met - Project eligible for Gold or Emerald","Met", "Not Met")</f>
        <v>#REF!</v>
      </c>
      <c r="G262" s="1195"/>
      <c r="I262" s="1195" t="s">
        <v>2089</v>
      </c>
    </row>
    <row r="263" spans="1:9">
      <c r="A263" s="1195">
        <f>ch6Total</f>
        <v>0</v>
      </c>
      <c r="B263" s="1195" t="s">
        <v>204</v>
      </c>
      <c r="C263" s="1195"/>
      <c r="D263" s="1195"/>
      <c r="E263" s="1195"/>
      <c r="F263" s="1195"/>
      <c r="G263" s="1195"/>
      <c r="I263" s="1195">
        <f>IF('Verification Rpt'!I647="",0,1)</f>
        <v>0</v>
      </c>
    </row>
    <row r="264" spans="1:9">
      <c r="A264" s="1195" t="str">
        <f>ch7TotalScore</f>
        <v>none</v>
      </c>
      <c r="B264" s="1195" t="s">
        <v>208</v>
      </c>
      <c r="C264" s="1195"/>
      <c r="D264" s="1195"/>
      <c r="E264" s="1195" t="s">
        <v>1487</v>
      </c>
      <c r="F264" s="1195"/>
      <c r="G264" s="1195"/>
      <c r="I264" s="1195">
        <f>IF('Verification Rpt'!I648="",0,1)</f>
        <v>0</v>
      </c>
    </row>
    <row r="265" spans="1:9">
      <c r="A265" s="1195" t="str">
        <f>ch8TotalScore</f>
        <v>none</v>
      </c>
      <c r="B265" s="1195" t="s">
        <v>205</v>
      </c>
      <c r="C265" s="1195"/>
      <c r="D265" s="1195"/>
      <c r="E265" s="1195" t="s">
        <v>1488</v>
      </c>
      <c r="F265" s="1195"/>
      <c r="G265" s="1195"/>
      <c r="I265" s="1195">
        <f>IF('Verification Rpt'!I649="",0,1)</f>
        <v>0</v>
      </c>
    </row>
    <row r="266" spans="1:9">
      <c r="A266" s="1195">
        <f>ch9TotalScore</f>
        <v>0</v>
      </c>
      <c r="B266" s="1195" t="s">
        <v>206</v>
      </c>
      <c r="C266" s="1195"/>
      <c r="D266" s="1195"/>
      <c r="E266" s="1195"/>
      <c r="F266" s="1195"/>
      <c r="G266" s="642"/>
      <c r="I266" s="1195">
        <f>IF('Verification Rpt'!I650="",0,1)</f>
        <v>0</v>
      </c>
    </row>
    <row r="267" spans="1:9">
      <c r="A267" s="1195">
        <f>ch10TotalScore</f>
        <v>0</v>
      </c>
      <c r="B267" s="1195" t="s">
        <v>207</v>
      </c>
      <c r="C267" s="1195"/>
      <c r="D267" s="1195"/>
      <c r="E267" s="1195"/>
      <c r="F267" s="1195"/>
      <c r="G267" s="642"/>
      <c r="I267" s="1195">
        <f>IF('Verification Rpt'!I651="",0,1)</f>
        <v>0</v>
      </c>
    </row>
    <row r="268" spans="1:9">
      <c r="A268" s="1195">
        <f>SUM(A262:A267)</f>
        <v>0</v>
      </c>
      <c r="B268" s="1195" t="s">
        <v>202</v>
      </c>
      <c r="C268" s="1195"/>
      <c r="D268" s="1195"/>
      <c r="E268" s="1195"/>
      <c r="F268" s="1195"/>
      <c r="G268" s="1195"/>
      <c r="I268" s="1195">
        <f>IF('Verification Rpt'!I652="",0,1)</f>
        <v>0</v>
      </c>
    </row>
    <row r="269" spans="1:9">
      <c r="A269" s="1195"/>
      <c r="B269" s="1195"/>
      <c r="C269" s="1195"/>
      <c r="D269" s="1195"/>
      <c r="E269" s="1195"/>
      <c r="F269" s="1195"/>
      <c r="G269" s="1195"/>
      <c r="I269" s="1195">
        <f>IF('Verification Rpt'!I653="",0,1)</f>
        <v>0</v>
      </c>
    </row>
    <row r="270" spans="1:9">
      <c r="A270" s="1195" t="s">
        <v>291</v>
      </c>
      <c r="B270" s="1195"/>
      <c r="C270" s="1195"/>
      <c r="D270" s="1195"/>
      <c r="E270" s="1195"/>
      <c r="F270" s="1195"/>
      <c r="G270" s="1195"/>
      <c r="I270" s="1195">
        <f>IF('Verification Rpt'!I654="",0,1)</f>
        <v>0</v>
      </c>
    </row>
    <row r="271" spans="1:9">
      <c r="A271" s="1195">
        <f>IF(VSqFt&gt;4000,(VSqFt-4000),0)</f>
        <v>0</v>
      </c>
      <c r="B271" s="1195"/>
      <c r="C271" s="1195"/>
      <c r="D271" s="1195"/>
      <c r="E271" s="1195"/>
      <c r="F271" s="1195"/>
      <c r="G271" s="1195"/>
      <c r="I271" s="1195">
        <f>IF('Verification Rpt'!I655="",0,1)</f>
        <v>0</v>
      </c>
    </row>
    <row r="272" spans="1:9">
      <c r="A272" s="1195">
        <f>IF(A271&gt;0,A271/100,0)</f>
        <v>0</v>
      </c>
      <c r="B272" s="1195"/>
      <c r="C272" s="1195"/>
      <c r="D272" s="1195"/>
      <c r="E272" s="1195"/>
      <c r="F272" s="1195"/>
      <c r="G272" s="1195"/>
      <c r="I272" s="1195">
        <f>IF('Verification Rpt'!I656="",0,1)</f>
        <v>0</v>
      </c>
    </row>
    <row r="273" spans="1:9">
      <c r="A273" s="1195">
        <f>ROUNDUP(A272,0)</f>
        <v>0</v>
      </c>
      <c r="B273" s="1195"/>
      <c r="C273" s="1195"/>
      <c r="D273" s="1195"/>
      <c r="E273" s="1195"/>
      <c r="F273" s="1195"/>
      <c r="G273" s="1195"/>
      <c r="I273" s="642" t="s">
        <v>2080</v>
      </c>
    </row>
    <row r="274" spans="1:9">
      <c r="A274" s="1195"/>
      <c r="B274" s="1195"/>
      <c r="C274" s="1195"/>
      <c r="D274" s="1195"/>
      <c r="E274" s="1195"/>
      <c r="F274" s="1195"/>
      <c r="G274" s="1195"/>
      <c r="I274" s="106">
        <f>SUM(I263:I272)</f>
        <v>0</v>
      </c>
    </row>
    <row r="275" spans="1:9">
      <c r="A275" s="848"/>
      <c r="B275" s="1195"/>
      <c r="C275" s="1195"/>
      <c r="D275" s="1195"/>
      <c r="E275" s="1195"/>
      <c r="F275" s="1195"/>
      <c r="G275" s="1195"/>
    </row>
    <row r="276" spans="1:9">
      <c r="A276" s="850" t="s">
        <v>1495</v>
      </c>
      <c r="B276" s="1195"/>
      <c r="C276" s="1321"/>
      <c r="D276" s="1195"/>
      <c r="E276" s="1195"/>
      <c r="F276" s="1195"/>
      <c r="G276" s="1195"/>
      <c r="I276" s="106" t="s">
        <v>2615</v>
      </c>
    </row>
    <row r="277" spans="1:9">
      <c r="A277" s="642" t="e">
        <f>choice701.1</f>
        <v>#REF!</v>
      </c>
      <c r="B277" s="1195"/>
      <c r="C277" s="642"/>
      <c r="D277" s="1195"/>
      <c r="E277" s="1195"/>
      <c r="F277" s="1195"/>
      <c r="G277" s="1195"/>
      <c r="I277" s="106">
        <f>IF(af1003.3_1="",0,1)</f>
        <v>0</v>
      </c>
    </row>
    <row r="278" spans="1:9">
      <c r="A278" s="1195"/>
      <c r="B278" s="1195"/>
      <c r="C278" s="1195"/>
      <c r="D278" s="1195"/>
      <c r="E278" s="1195"/>
      <c r="F278" s="1195"/>
      <c r="G278" s="1195"/>
      <c r="I278" s="1195">
        <f>IF(af1003.3_2="",0,1)</f>
        <v>0</v>
      </c>
    </row>
    <row r="279" spans="1:9">
      <c r="A279" s="1195" t="s">
        <v>1490</v>
      </c>
      <c r="B279" s="1195"/>
      <c r="C279" s="1195"/>
      <c r="D279" s="1195"/>
      <c r="E279" s="1195"/>
      <c r="F279" s="1195"/>
      <c r="G279" s="1195"/>
      <c r="I279" s="1195">
        <f>IF(af1003.3_3="",0,1)</f>
        <v>0</v>
      </c>
    </row>
    <row r="280" spans="1:9">
      <c r="A280" s="1195" t="s">
        <v>1491</v>
      </c>
      <c r="B280" s="1195"/>
      <c r="C280" s="1195" t="s">
        <v>1492</v>
      </c>
      <c r="D280" s="1195"/>
      <c r="E280" s="1195" t="s">
        <v>1493</v>
      </c>
      <c r="F280" s="1195" t="s">
        <v>2140</v>
      </c>
      <c r="G280" s="1195"/>
      <c r="I280" s="1195">
        <f>IF(af1003.3_4="",0,1)</f>
        <v>0</v>
      </c>
    </row>
    <row r="281" spans="1:9">
      <c r="A281" s="1195" t="e">
        <f>claim703.1.1</f>
        <v>#REF!</v>
      </c>
      <c r="B281" s="1195"/>
      <c r="C281" s="1195" t="e">
        <f>IF(claim704.2.1&gt;0, 1, 0)</f>
        <v>#REF!</v>
      </c>
      <c r="D281" s="1195"/>
      <c r="E281" s="1195" t="e">
        <f>IF(claim702.2.2&gt;0, 1, 0)</f>
        <v>#REF!</v>
      </c>
      <c r="F281" s="1195" t="str">
        <f>IF(VCZ=1, "5", IF(VCZ=2,"5",IF(VCZ=3, "5", IF(VCZ=4, "5", IF(VCZ=5, "4", IF(VCZ=6, "3", "0"))))))</f>
        <v>0</v>
      </c>
      <c r="G281" s="1195"/>
      <c r="I281" s="1195">
        <f>IF(af1003.3_5="",0,1)</f>
        <v>0</v>
      </c>
    </row>
    <row r="282" spans="1:9">
      <c r="A282" s="1195" t="e">
        <f>IF(AND(claim703.1.2=7,claim703.1.1=0),claim703.1.2,0)</f>
        <v>#REF!</v>
      </c>
      <c r="B282" s="1195"/>
      <c r="C282" s="1195" t="e">
        <f>IF(claim704.2.2&gt;0, 1, 0)</f>
        <v>#REF!</v>
      </c>
      <c r="D282" s="1195"/>
      <c r="E282" s="1195" t="e">
        <f>IF(E281=1, "meets", "does not meet")</f>
        <v>#REF!</v>
      </c>
      <c r="F282" s="1195" t="str">
        <f>IF(VCZ=1, "3", IF(VCZ=2,"3",IF(VCZ=3, "3", IF(VCZ=4, "3", IF(VCZ=5, "2", IF(VCZ=6, "2", "0 points"))))))</f>
        <v>0 points</v>
      </c>
      <c r="G282" s="1195"/>
      <c r="I282" s="1195">
        <f>IF(af1003.3_6="",0,1)</f>
        <v>0</v>
      </c>
    </row>
    <row r="283" spans="1:9">
      <c r="A283" s="1195" t="e">
        <f>claim703.1.3</f>
        <v>#REF!</v>
      </c>
      <c r="B283" s="1195"/>
      <c r="C283" s="1195" t="e">
        <f>IF(claim704.2.3&gt;0, 1, 0)</f>
        <v>#REF!</v>
      </c>
      <c r="D283" s="1195"/>
      <c r="E283" s="1195"/>
      <c r="F283" s="1195"/>
      <c r="G283" s="1195"/>
      <c r="I283" s="1195">
        <f>IF(af1003.3_7="",0,1)</f>
        <v>0</v>
      </c>
    </row>
    <row r="284" spans="1:9">
      <c r="A284" s="1195" t="e">
        <f>claim703.1.4</f>
        <v>#REF!</v>
      </c>
      <c r="B284" s="1195"/>
      <c r="C284" s="1195" t="e">
        <f>IF(claim704.3&gt;0, 1, 0)</f>
        <v>#REF!</v>
      </c>
      <c r="D284" s="1195"/>
      <c r="E284" s="1195"/>
      <c r="F284" s="1195"/>
      <c r="G284" s="1195"/>
      <c r="I284" s="1195">
        <f>IF(af1003.3_8="",0,1)</f>
        <v>0</v>
      </c>
    </row>
    <row r="285" spans="1:9">
      <c r="A285" s="1195" t="e">
        <f>claim703.1.5</f>
        <v>#REF!</v>
      </c>
      <c r="B285" s="1195"/>
      <c r="C285" s="1195" t="e">
        <f>IF(claim704.4.1&gt;0, 1, 0)</f>
        <v>#REF!</v>
      </c>
      <c r="D285" s="1195"/>
      <c r="E285" s="1195"/>
      <c r="F285" s="1195"/>
      <c r="G285" s="1195"/>
      <c r="I285" s="1195">
        <f>IF(af1003.3_9="",0,1)</f>
        <v>0</v>
      </c>
    </row>
    <row r="286" spans="1:9">
      <c r="A286" s="1195" t="e">
        <f>claim703.1.6.2</f>
        <v>#REF!</v>
      </c>
      <c r="B286" s="1195"/>
      <c r="C286" s="1195" t="e">
        <f>IF(claim704.4.2&gt;0, 1, 0)</f>
        <v>#REF!</v>
      </c>
      <c r="D286" s="1195"/>
      <c r="E286" s="1195"/>
      <c r="F286" s="1195"/>
      <c r="G286" s="1195"/>
      <c r="I286" s="642" t="s">
        <v>2080</v>
      </c>
    </row>
    <row r="287" spans="1:9">
      <c r="A287" s="1195" t="e">
        <f>claim703.2.1</f>
        <v>#REF!</v>
      </c>
      <c r="B287" s="1195"/>
      <c r="C287" s="1195" t="e">
        <f>IF(claim704.4.3&gt;0, 1, 0)</f>
        <v>#REF!</v>
      </c>
      <c r="D287" s="1195"/>
      <c r="E287" s="1195"/>
      <c r="F287" s="1195"/>
      <c r="G287" s="1195"/>
      <c r="I287" s="1195">
        <f>SUM(I277:I285)</f>
        <v>0</v>
      </c>
    </row>
    <row r="288" spans="1:9">
      <c r="A288" s="1195" t="e">
        <f>claim703.2.2</f>
        <v>#REF!</v>
      </c>
      <c r="B288" s="1195"/>
      <c r="C288" s="1195" t="e">
        <f>IF(claim704.5.1&gt;0, 1, 0)</f>
        <v>#REF!</v>
      </c>
      <c r="D288" s="1195"/>
      <c r="E288" s="1195"/>
      <c r="F288" s="1195"/>
      <c r="G288" s="1195"/>
    </row>
    <row r="289" spans="1:7">
      <c r="A289" s="1195" t="e">
        <f>claim703.2.3</f>
        <v>#REF!</v>
      </c>
      <c r="B289" s="1195"/>
      <c r="C289" s="1195" t="e">
        <f>IF(claim704.5.2.1_1&gt;0, 1, 0)</f>
        <v>#REF!</v>
      </c>
      <c r="D289" s="1195"/>
      <c r="E289" s="1195"/>
      <c r="F289" s="1195"/>
      <c r="G289" s="1195"/>
    </row>
    <row r="290" spans="1:7">
      <c r="A290" s="1195" t="e">
        <f>claim703.2.4</f>
        <v>#REF!</v>
      </c>
      <c r="B290" s="1195"/>
      <c r="C290" s="1195" t="e">
        <f>IF(AND(claim704.5.2.1_2&gt;0,claim704.5.2.1_1&gt;0), 1, 0)</f>
        <v>#REF!</v>
      </c>
      <c r="D290" s="1195"/>
      <c r="E290" s="1195"/>
      <c r="F290" s="1195"/>
      <c r="G290" s="1195"/>
    </row>
    <row r="291" spans="1:7">
      <c r="A291" s="555" t="e">
        <f>claim703.2.5</f>
        <v>#REF!</v>
      </c>
      <c r="B291" s="1195"/>
      <c r="C291" s="1195" t="e">
        <f>IF(claim704.5.2.2&gt;0, 1, 0)</f>
        <v>#REF!</v>
      </c>
      <c r="D291" s="1195"/>
      <c r="E291" s="1195"/>
      <c r="F291" s="1195"/>
      <c r="G291" s="1195"/>
    </row>
    <row r="292" spans="1:7">
      <c r="A292" s="1195" t="e">
        <f>claim703.2.6</f>
        <v>#REF!</v>
      </c>
      <c r="B292" s="1195"/>
      <c r="C292" s="1195" t="e">
        <f>IF(claim704.5.3&gt;0, 1, 0)</f>
        <v>#REF!</v>
      </c>
      <c r="D292" s="1195"/>
      <c r="E292" s="1195"/>
      <c r="F292" s="1195"/>
      <c r="G292" s="1195"/>
    </row>
    <row r="293" spans="1:7">
      <c r="A293" s="1195" t="e">
        <f>claim703.2.7</f>
        <v>#REF!</v>
      </c>
      <c r="B293" s="1195"/>
      <c r="C293" s="1195" t="e">
        <f>SUM(C281:C292)</f>
        <v>#REF!</v>
      </c>
      <c r="D293" s="849" t="s">
        <v>1494</v>
      </c>
      <c r="E293" s="1195"/>
      <c r="F293" s="1195"/>
      <c r="G293" s="1195"/>
    </row>
    <row r="294" spans="1:7">
      <c r="A294" s="1195" t="e">
        <f>claim703.2.8</f>
        <v>#REF!</v>
      </c>
      <c r="B294" s="1195"/>
      <c r="C294" s="1195" t="e">
        <f>IF(C293&lt;2, "does not meet", "meets")</f>
        <v>#REF!</v>
      </c>
      <c r="D294" s="1195"/>
      <c r="E294" s="1195"/>
      <c r="F294" s="1195"/>
      <c r="G294" s="1195"/>
    </row>
    <row r="295" spans="1:7">
      <c r="A295" s="1195" t="e">
        <f>IF(AND(claim703.2.9&gt;0,startSingleorMulti="Multi-Unit",startMultiUnits&gt;1),1,0)</f>
        <v>#REF!</v>
      </c>
      <c r="B295" s="1195"/>
      <c r="C295" s="1195"/>
      <c r="D295" s="1195"/>
      <c r="E295" s="1195"/>
      <c r="F295" s="1195"/>
      <c r="G295" s="1195"/>
    </row>
    <row r="296" spans="1:7">
      <c r="A296" s="1195" t="e">
        <f>claim703.3.1</f>
        <v>#REF!</v>
      </c>
      <c r="B296" s="1195"/>
      <c r="C296" s="642" t="s">
        <v>1955</v>
      </c>
      <c r="D296" s="1195"/>
      <c r="E296" s="1195"/>
      <c r="F296" s="1195"/>
      <c r="G296" s="1195"/>
    </row>
    <row r="297" spans="1:7">
      <c r="A297" s="1195" t="e">
        <f>claim703.3.2</f>
        <v>#REF!</v>
      </c>
      <c r="B297" s="1195"/>
      <c r="C297" s="1195" t="e">
        <f>IF(claim704.2.1&gt;0, 1, 0)</f>
        <v>#REF!</v>
      </c>
      <c r="D297" s="1195"/>
      <c r="E297" s="1195"/>
      <c r="F297" s="1195"/>
      <c r="G297" s="1195"/>
    </row>
    <row r="298" spans="1:7">
      <c r="A298" s="1195" t="e">
        <f>claim703.3.3</f>
        <v>#REF!</v>
      </c>
      <c r="B298" s="1195"/>
      <c r="C298" s="1195" t="e">
        <f>IF(claim704.2.2&gt;0, 1, 0)</f>
        <v>#REF!</v>
      </c>
      <c r="D298" s="1195"/>
      <c r="E298" s="1195"/>
      <c r="F298" s="1195"/>
      <c r="G298" s="1195"/>
    </row>
    <row r="299" spans="1:7">
      <c r="A299" s="1195" t="e">
        <f>claim703.3.4</f>
        <v>#REF!</v>
      </c>
      <c r="B299" s="1195"/>
      <c r="C299" s="1195" t="e">
        <f>IF(claim704.2.3&gt;0, 1, 0)</f>
        <v>#REF!</v>
      </c>
      <c r="D299" s="1195"/>
      <c r="E299" s="1195"/>
      <c r="F299" s="1195"/>
      <c r="G299" s="1195"/>
    </row>
    <row r="300" spans="1:7">
      <c r="A300" s="1195" t="e">
        <f>claim703.4.1</f>
        <v>#REF!</v>
      </c>
      <c r="B300" s="1195"/>
      <c r="C300" s="1195" t="e">
        <f>IF(claim704.3&gt;0, 1, 0)</f>
        <v>#REF!</v>
      </c>
      <c r="D300" s="1195"/>
      <c r="E300" s="1195"/>
      <c r="F300" s="1195"/>
      <c r="G300" s="1195"/>
    </row>
    <row r="301" spans="1:7">
      <c r="A301" s="1195" t="e">
        <f>claim703.4.2</f>
        <v>#REF!</v>
      </c>
      <c r="B301" s="1195"/>
      <c r="C301" s="1195" t="e">
        <f>IF(claim704.4.1&gt;0, 1, 0)</f>
        <v>#REF!</v>
      </c>
      <c r="D301" s="1195"/>
      <c r="E301" s="1195"/>
      <c r="F301" s="1195"/>
      <c r="G301" s="1195"/>
    </row>
    <row r="302" spans="1:7">
      <c r="A302" s="1195" t="e">
        <f>IF(AND(claim703.4.3&gt;0,startSingleorMulti="Multi-Unit",startMultiUnits&gt;1),2,0)</f>
        <v>#REF!</v>
      </c>
      <c r="B302" s="1195"/>
      <c r="C302" s="1195" t="e">
        <f>IF(claim704.4.2&gt;0, 1, 0)</f>
        <v>#REF!</v>
      </c>
      <c r="D302" s="1195"/>
      <c r="E302" s="1195"/>
      <c r="F302" s="1195"/>
      <c r="G302" s="1195"/>
    </row>
    <row r="303" spans="1:7">
      <c r="A303" s="1195" t="e">
        <f>IF(AND(claim703.4.4&gt;0,OR(startHVAC1="Boiler",startHVAC2="Boiler",startHVAC3="Boiler")),1,0)</f>
        <v>#REF!</v>
      </c>
      <c r="B303" s="1195"/>
      <c r="C303" s="1195" t="e">
        <f>IF(claim704.4.3&gt;0, 1, 0)</f>
        <v>#REF!</v>
      </c>
      <c r="D303" s="1195"/>
      <c r="E303" s="1195"/>
      <c r="F303" s="1195"/>
      <c r="G303" s="1195"/>
    </row>
    <row r="304" spans="1:7">
      <c r="A304" s="1195" t="e">
        <f>claim703.4.5</f>
        <v>#REF!</v>
      </c>
      <c r="B304" s="1195"/>
      <c r="C304" s="1195" t="e">
        <f>IF(claim704.5.1&gt;0, 1, 0)</f>
        <v>#REF!</v>
      </c>
      <c r="D304" s="1195"/>
      <c r="E304" s="1195"/>
      <c r="F304" s="1195"/>
      <c r="G304" s="1195"/>
    </row>
    <row r="305" spans="1:7">
      <c r="A305" s="1195" t="e">
        <f>claim703.5.1</f>
        <v>#REF!</v>
      </c>
      <c r="B305" s="1195"/>
      <c r="C305" s="1195" t="e">
        <f>IF(claim704.5.2.1_1&gt;0, 1, 0)</f>
        <v>#REF!</v>
      </c>
      <c r="D305" s="1195"/>
      <c r="E305" s="1195"/>
      <c r="F305" s="1195"/>
      <c r="G305" s="1195"/>
    </row>
    <row r="306" spans="1:7">
      <c r="A306" s="555">
        <f>'11.7'!P109</f>
        <v>0</v>
      </c>
      <c r="B306" s="1195"/>
      <c r="C306" s="1195" t="e">
        <f>IF(AND(claim704.5.2.1_2&gt;0,claim704.5.2.1_1&gt;0), 1, 0)</f>
        <v>#REF!</v>
      </c>
      <c r="D306" s="1195"/>
      <c r="E306" s="1195"/>
      <c r="F306" s="1195"/>
      <c r="G306" s="1195"/>
    </row>
    <row r="307" spans="1:7">
      <c r="A307" s="1195" t="e">
        <f>claim703.5.2</f>
        <v>#REF!</v>
      </c>
      <c r="B307" s="1195"/>
      <c r="C307" s="1195" t="e">
        <f>IF(claim704.5.2.2&gt;0, 1, 0)</f>
        <v>#REF!</v>
      </c>
      <c r="D307" s="1195"/>
      <c r="E307" s="1195"/>
      <c r="F307" s="1195"/>
      <c r="G307" s="1195"/>
    </row>
    <row r="308" spans="1:7">
      <c r="A308" s="1195" t="e">
        <f>claim703.5.3_1</f>
        <v>#REF!</v>
      </c>
      <c r="B308" s="1195"/>
      <c r="C308" s="1195" t="e">
        <f>IF(claim704.5.3&gt;0, 1, 0)</f>
        <v>#REF!</v>
      </c>
      <c r="D308" s="1195"/>
      <c r="E308" s="1195"/>
      <c r="F308" s="1195"/>
      <c r="G308" s="1195"/>
    </row>
    <row r="309" spans="1:7">
      <c r="A309" s="1195" t="e">
        <f>claim703.5.3_2</f>
        <v>#REF!</v>
      </c>
      <c r="B309" s="1195"/>
      <c r="C309" s="1195" t="e">
        <f>SUM(C297:C308)</f>
        <v>#REF!</v>
      </c>
      <c r="D309" s="849" t="s">
        <v>1494</v>
      </c>
      <c r="E309" s="1195"/>
      <c r="F309" s="1195"/>
      <c r="G309" s="1195"/>
    </row>
    <row r="310" spans="1:7">
      <c r="A310" s="1195" t="e">
        <f>claim703.5.3_3</f>
        <v>#REF!</v>
      </c>
      <c r="B310" s="1195"/>
      <c r="C310" s="1195"/>
      <c r="D310" s="1195"/>
      <c r="E310" s="1195"/>
      <c r="F310" s="1195"/>
      <c r="G310" s="1195"/>
    </row>
    <row r="311" spans="1:7">
      <c r="A311" s="1195" t="e">
        <f>claim703.5.4</f>
        <v>#REF!</v>
      </c>
      <c r="B311" s="1195"/>
      <c r="C311" s="1195"/>
      <c r="D311" s="1195"/>
      <c r="E311" s="1195"/>
      <c r="F311" s="1195"/>
      <c r="G311" s="1195"/>
    </row>
    <row r="312" spans="1:7">
      <c r="A312" s="1195" t="e">
        <f>claim703.6.1</f>
        <v>#REF!</v>
      </c>
      <c r="B312" s="1195"/>
      <c r="C312" s="1195"/>
      <c r="D312" s="1195"/>
      <c r="E312" s="1195"/>
      <c r="F312" s="1195"/>
      <c r="G312" s="1195"/>
    </row>
    <row r="313" spans="1:7">
      <c r="A313" s="1195" t="e">
        <f>claim703.6.2</f>
        <v>#REF!</v>
      </c>
      <c r="B313" s="1195"/>
      <c r="C313" s="1195"/>
      <c r="D313" s="1195"/>
      <c r="E313" s="1195"/>
      <c r="F313" s="1195"/>
      <c r="G313" s="1195"/>
    </row>
    <row r="314" spans="1:7">
      <c r="A314" s="1195" t="e">
        <f>claim703.6.3_1</f>
        <v>#REF!</v>
      </c>
      <c r="B314" s="1195"/>
      <c r="C314" s="1195"/>
      <c r="D314" s="1195"/>
      <c r="E314" s="1195"/>
      <c r="F314" s="1195"/>
      <c r="G314" s="1195"/>
    </row>
    <row r="315" spans="1:7">
      <c r="A315" s="1195" t="e">
        <f>IF(AND(claim703.6.3_2&gt;0,claim703.6.1=0),1,0)</f>
        <v>#REF!</v>
      </c>
      <c r="B315" s="1195"/>
      <c r="C315" s="1195"/>
      <c r="D315" s="1195"/>
      <c r="E315" s="1195"/>
      <c r="F315" s="1195"/>
      <c r="G315" s="1195"/>
    </row>
    <row r="316" spans="1:7">
      <c r="A316" s="1195" t="e">
        <f>claim703.6.3_3</f>
        <v>#REF!</v>
      </c>
      <c r="B316" s="1195"/>
      <c r="C316" s="1195"/>
      <c r="D316" s="1195"/>
      <c r="E316" s="1195"/>
      <c r="F316" s="1195"/>
      <c r="G316" s="1195"/>
    </row>
    <row r="317" spans="1:7">
      <c r="A317" s="1195" t="e">
        <f>claim703.6.3_4</f>
        <v>#REF!</v>
      </c>
      <c r="B317" s="1195"/>
      <c r="C317" s="1195"/>
      <c r="D317" s="1195"/>
      <c r="E317" s="1195"/>
      <c r="F317" s="1195"/>
      <c r="G317" s="1195"/>
    </row>
    <row r="318" spans="1:7">
      <c r="A318" s="1195" t="e">
        <f>claim703.6.3_5</f>
        <v>#REF!</v>
      </c>
      <c r="B318" s="1195"/>
      <c r="C318" s="1195"/>
      <c r="D318" s="1195"/>
      <c r="E318" s="1195"/>
      <c r="F318" s="1195"/>
      <c r="G318" s="1195"/>
    </row>
    <row r="319" spans="1:7">
      <c r="A319" s="1195" t="e">
        <f>claim703.6.3_6</f>
        <v>#REF!</v>
      </c>
      <c r="B319" s="1195"/>
      <c r="C319" s="1195"/>
      <c r="D319" s="1195"/>
      <c r="E319" s="1195"/>
      <c r="F319" s="1195"/>
      <c r="G319" s="1195"/>
    </row>
    <row r="320" spans="1:7">
      <c r="A320" s="1195" t="e">
        <f>IF(AND(claim703.6.4&gt;0,claim703.6.1&gt;0),4,0)</f>
        <v>#REF!</v>
      </c>
      <c r="B320" s="1195"/>
      <c r="C320" s="1195"/>
      <c r="D320" s="1195"/>
      <c r="E320" s="1195"/>
      <c r="F320" s="1195"/>
      <c r="G320" s="1195"/>
    </row>
    <row r="321" spans="1:7">
      <c r="A321" s="1195" t="e">
        <f>SUM(A281:A320)</f>
        <v>#REF!</v>
      </c>
      <c r="B321" s="849" t="s">
        <v>1494</v>
      </c>
      <c r="C321" s="1195"/>
      <c r="D321" s="1195"/>
      <c r="E321" s="1195"/>
      <c r="F321" s="1321"/>
      <c r="G321" s="1321"/>
    </row>
    <row r="322" spans="1:7">
      <c r="A322" s="1195" t="e">
        <f>IF(A321&lt;30, "does not meet", "meets")</f>
        <v>#REF!</v>
      </c>
      <c r="B322" s="1195"/>
      <c r="C322" s="1195"/>
      <c r="D322" s="1195"/>
      <c r="E322" s="1195"/>
      <c r="F322" s="1195"/>
      <c r="G322" s="555" t="e">
        <f>SUM('Verification Rpt'!#REF!)</f>
        <v>#REF!</v>
      </c>
    </row>
    <row r="323" spans="1:7">
      <c r="A323" s="1195"/>
      <c r="B323" s="1195"/>
      <c r="C323" s="1195"/>
      <c r="D323" s="1195"/>
      <c r="E323" s="1195"/>
      <c r="F323" s="1195"/>
      <c r="G323" s="555" t="e">
        <f>SUM('Verification Rpt'!#REF!)</f>
        <v>#REF!</v>
      </c>
    </row>
    <row r="324" spans="1:7">
      <c r="A324" s="1321" t="s">
        <v>1496</v>
      </c>
      <c r="B324" s="1321"/>
      <c r="C324" s="1321"/>
      <c r="D324" s="1321"/>
      <c r="E324" s="1321"/>
      <c r="F324" s="1195"/>
      <c r="G324" s="555">
        <f>SUM('Verification Rpt'!H468:I468)</f>
        <v>0</v>
      </c>
    </row>
    <row r="325" spans="1:7">
      <c r="A325" s="1195"/>
      <c r="B325" s="1195"/>
      <c r="C325" s="1195" t="s">
        <v>1497</v>
      </c>
      <c r="D325" s="1195"/>
      <c r="E325" s="1195"/>
      <c r="F325" s="1195"/>
      <c r="G325" s="555">
        <f>SUM('Verification Rpt'!H373:I373)</f>
        <v>0</v>
      </c>
    </row>
    <row r="326" spans="1:7">
      <c r="A326" s="1195"/>
      <c r="B326" s="1195"/>
      <c r="C326" s="1195" t="s">
        <v>1498</v>
      </c>
      <c r="D326" s="1195"/>
      <c r="E326" s="1195"/>
      <c r="F326" s="1195"/>
      <c r="G326" s="555" t="e">
        <f>SUM('Verification Rpt'!#REF!)</f>
        <v>#REF!</v>
      </c>
    </row>
    <row r="327" spans="1:7">
      <c r="A327" s="1195"/>
      <c r="B327" s="1195"/>
      <c r="C327" s="1195" t="s">
        <v>1499</v>
      </c>
      <c r="D327" s="1195"/>
      <c r="E327" s="1195"/>
      <c r="F327" s="1195"/>
      <c r="G327" s="555" t="e">
        <f>SUM('Verification Rpt'!#REF!)</f>
        <v>#REF!</v>
      </c>
    </row>
    <row r="328" spans="1:7">
      <c r="A328" s="1195"/>
      <c r="B328" s="1195"/>
      <c r="C328" s="1195" t="s">
        <v>1500</v>
      </c>
      <c r="D328" s="1195"/>
      <c r="E328" s="1195">
        <f>IF('Verification Rpt'!J373="Emerald", 4, IF('Verification Rpt'!J373="Gold", 3, IF('Verification Rpt'!J373="Silver", 2, IF('Verification Rpt'!J373="Bronze", 1, 0))))</f>
        <v>0</v>
      </c>
      <c r="F328" s="851" t="s">
        <v>1509</v>
      </c>
      <c r="G328" s="555" t="e">
        <f>SUM(G322:G327)</f>
        <v>#REF!</v>
      </c>
    </row>
    <row r="329" spans="1:7">
      <c r="A329" s="1195" t="s">
        <v>2093</v>
      </c>
      <c r="B329" s="1195"/>
      <c r="C329" s="1195" t="s">
        <v>1501</v>
      </c>
      <c r="D329" s="1195"/>
      <c r="E329" s="1195">
        <f>IF('Verification Rpt'!J468="Emerald", 4, IF('Verification Rpt'!J468="Gold", 3, IF('Verification Rpt'!J468="Silver", 2, IF('Verification Rpt'!J468="Bronze", 1, 0))))</f>
        <v>0</v>
      </c>
      <c r="F329" s="1195"/>
      <c r="G329" s="1195"/>
    </row>
    <row r="330" spans="1:7">
      <c r="A330" s="1195"/>
      <c r="B330" s="1195"/>
      <c r="C330" s="1195" t="s">
        <v>1502</v>
      </c>
      <c r="D330" s="1195"/>
      <c r="E330" s="1195">
        <f>IF('Verification Rpt'!H668&gt;Formulas!D337,4,IF('Verification Rpt'!H668&gt;=Formulas!D336,3,IF('Verification Rpt'!H668&gt;=Formulas!D335,2,IF('Verification Rpt'!H668&gt;=Formulas!D334,1,0))))</f>
        <v>0</v>
      </c>
      <c r="F330" s="1195"/>
    </row>
    <row r="331" spans="1:7">
      <c r="A331" s="1195"/>
      <c r="B331" s="1195"/>
      <c r="C331" s="1195" t="s">
        <v>1503</v>
      </c>
      <c r="D331" s="1195" t="str">
        <f>IF(E331=4,"Emerald",IF(E331=3,"Gold",IF(E331=2,"Silver",IF(E331=1,"Bronze","Nothing"))))</f>
        <v>Nothing</v>
      </c>
      <c r="E331" s="1195">
        <f>MIN(E325:E330)</f>
        <v>0</v>
      </c>
      <c r="F331" s="1195"/>
    </row>
    <row r="332" spans="1:7">
      <c r="A332" s="1195"/>
      <c r="B332" s="1195"/>
      <c r="C332" s="1195"/>
      <c r="D332" s="1195"/>
      <c r="E332" s="1195"/>
      <c r="F332" s="1195"/>
    </row>
    <row r="333" spans="1:7">
      <c r="A333" s="1195"/>
      <c r="B333" s="1195"/>
      <c r="C333" s="1195"/>
      <c r="D333" s="1195"/>
      <c r="E333" s="1195"/>
      <c r="F333" s="1195"/>
    </row>
    <row r="334" spans="1:7">
      <c r="A334" s="1195"/>
      <c r="B334" s="1195"/>
      <c r="C334" s="1195" t="s">
        <v>1505</v>
      </c>
      <c r="D334" s="1195">
        <f>88+A342</f>
        <v>88</v>
      </c>
      <c r="E334" s="1195"/>
      <c r="F334" s="1195"/>
    </row>
    <row r="335" spans="1:7">
      <c r="A335" s="1195"/>
      <c r="B335" s="1195"/>
      <c r="C335" s="1195" t="s">
        <v>1506</v>
      </c>
      <c r="D335" s="1195">
        <f>125+A342</f>
        <v>125</v>
      </c>
      <c r="E335" s="1195"/>
    </row>
    <row r="336" spans="1:7">
      <c r="A336" s="1195"/>
      <c r="B336" s="1195"/>
      <c r="C336" s="1195" t="s">
        <v>1507</v>
      </c>
      <c r="D336" s="1195">
        <f>181+A342</f>
        <v>181</v>
      </c>
      <c r="E336" s="1195"/>
    </row>
    <row r="337" spans="1:5">
      <c r="A337" s="1195"/>
      <c r="B337" s="1195"/>
      <c r="C337" s="1195" t="s">
        <v>1508</v>
      </c>
      <c r="D337" s="1195">
        <f>225+A342</f>
        <v>225</v>
      </c>
      <c r="E337" s="1195"/>
    </row>
    <row r="339" spans="1:5">
      <c r="A339" s="1195" t="s">
        <v>291</v>
      </c>
    </row>
    <row r="340" spans="1:5">
      <c r="A340" s="1195">
        <f>IF(VSqFt&gt;4000,(VSqFt-4000),0)</f>
        <v>0</v>
      </c>
    </row>
    <row r="341" spans="1:5">
      <c r="A341" s="1195">
        <f>IF(A340&gt;0,A340/100,0)</f>
        <v>0</v>
      </c>
    </row>
    <row r="342" spans="1:5">
      <c r="A342" s="1195">
        <f>ROUNDUP(A341,0)</f>
        <v>0</v>
      </c>
    </row>
    <row r="344" spans="1:5">
      <c r="A344" s="1195" t="s">
        <v>2092</v>
      </c>
    </row>
    <row r="345" spans="1:5">
      <c r="A345" s="1195" t="str">
        <f>IF(E331=4,"Emerald",IF(E331=3,"Gold",IF(E331=2,"Silver",IF(E331=1,"Bronze","Nothing"))))</f>
        <v>Nothing</v>
      </c>
    </row>
  </sheetData>
  <sheetProtection selectLockedCells="1" selectUnlockedCells="1"/>
  <mergeCells count="1">
    <mergeCell ref="A3:C3"/>
  </mergeCells>
  <pageMargins left="0.7" right="0.7" top="0.75" bottom="0.75" header="0.3" footer="0.3"/>
  <pageSetup orientation="portrait" r:id="rId1"/>
  <ignoredErrors>
    <ignoredError sqref="V10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34"/>
  <sheetViews>
    <sheetView zoomScale="90" zoomScaleNormal="90" workbookViewId="0">
      <pane ySplit="3" topLeftCell="A4" activePane="bottomLeft" state="frozen"/>
      <selection pane="bottomLeft" activeCell="H9" sqref="H9:I9"/>
    </sheetView>
  </sheetViews>
  <sheetFormatPr baseColWidth="10" defaultColWidth="8.83203125" defaultRowHeight="15"/>
  <cols>
    <col min="1" max="1" width="54.1640625" customWidth="1"/>
    <col min="2" max="3" width="15.6640625" customWidth="1"/>
    <col min="7" max="7" width="20.83203125" customWidth="1"/>
    <col min="8" max="8" width="26" customWidth="1"/>
    <col min="9" max="9" width="11.6640625" customWidth="1"/>
    <col min="10" max="10" width="21.1640625" customWidth="1"/>
  </cols>
  <sheetData>
    <row r="1" spans="1:10" ht="45" customHeight="1">
      <c r="A1" s="1614"/>
      <c r="B1" s="4048">
        <v>2012</v>
      </c>
      <c r="C1" s="4048"/>
      <c r="D1" s="1616"/>
      <c r="E1" s="1616"/>
      <c r="F1" s="1616"/>
      <c r="G1" s="1616"/>
      <c r="H1" s="1616"/>
      <c r="I1" s="1616"/>
      <c r="J1" s="1617"/>
    </row>
    <row r="2" spans="1:10" ht="50" customHeight="1" thickBot="1">
      <c r="A2" s="1615" t="s">
        <v>2254</v>
      </c>
      <c r="B2" s="4046" t="str">
        <f>CONCATENATE("Revised ",TEXT(startRevisionDate,"mmmm dd, yyyy"))</f>
        <v>Revised January 26, 2018</v>
      </c>
      <c r="C2" s="4046"/>
      <c r="D2" s="4047"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4047"/>
      <c r="F2" s="4047"/>
      <c r="G2" s="4047"/>
      <c r="H2" s="4047"/>
      <c r="I2" s="4047"/>
      <c r="J2" s="4047"/>
    </row>
    <row r="3" spans="1:10" ht="19" thickBot="1">
      <c r="A3" s="4043" t="s">
        <v>1933</v>
      </c>
      <c r="B3" s="4044"/>
      <c r="C3" s="4044"/>
      <c r="D3" s="4044"/>
      <c r="E3" s="4044"/>
      <c r="F3" s="4044"/>
      <c r="G3" s="4044"/>
      <c r="H3" s="4044"/>
      <c r="I3" s="4044"/>
      <c r="J3" s="4045"/>
    </row>
    <row r="4" spans="1:10" ht="16" thickBot="1">
      <c r="A4" s="1299" t="s">
        <v>446</v>
      </c>
      <c r="B4" s="3439" t="str">
        <f>'Verification Rpt'!F3</f>
        <v>Verifier Enter on Start Here! tab</v>
      </c>
      <c r="C4" s="3439"/>
      <c r="D4" s="1274"/>
      <c r="E4" s="1274"/>
      <c r="F4" s="1268"/>
      <c r="G4" s="1272" t="s">
        <v>1938</v>
      </c>
      <c r="H4" s="2108" t="str">
        <f>BldgType</f>
        <v>Verifier Enter on Start Here! tab</v>
      </c>
      <c r="I4" s="1319"/>
      <c r="J4" s="1300"/>
    </row>
    <row r="5" spans="1:10" ht="20.25" customHeight="1" thickBot="1">
      <c r="A5" s="1301" t="s">
        <v>448</v>
      </c>
      <c r="B5" s="3439" t="str">
        <f>'Verification Rpt'!F4</f>
        <v>Verifier Enter on Start Here! tab</v>
      </c>
      <c r="C5" s="3439"/>
      <c r="D5" s="1273"/>
      <c r="E5" s="1273"/>
      <c r="F5" s="1268"/>
      <c r="G5" s="1271" t="s">
        <v>450</v>
      </c>
      <c r="H5" s="2108" t="str">
        <f>'Verification Rpt'!K4</f>
        <v/>
      </c>
      <c r="I5" s="1319"/>
      <c r="J5" s="1300"/>
    </row>
    <row r="6" spans="1:10" ht="16" thickBot="1">
      <c r="A6" s="1299" t="s">
        <v>155</v>
      </c>
      <c r="B6" s="3439" t="str">
        <f>'Verification Rpt'!F5</f>
        <v>Verifier Enter on Start Here! tab</v>
      </c>
      <c r="C6" s="3439"/>
      <c r="D6" s="1275"/>
      <c r="E6" s="1275"/>
      <c r="F6" s="1268"/>
      <c r="G6" s="1271" t="s">
        <v>159</v>
      </c>
      <c r="H6" s="2108" t="str">
        <f>'Verification Rpt'!K5</f>
        <v>Verifier Enter on Start Here! tab</v>
      </c>
      <c r="I6" s="1302"/>
      <c r="J6" s="1300"/>
    </row>
    <row r="7" spans="1:10" ht="16" thickBot="1">
      <c r="A7" s="1299" t="s">
        <v>451</v>
      </c>
      <c r="B7" s="3439" t="str">
        <f>'Verification Rpt'!F6</f>
        <v>Verifier Enter on Start Here! tab</v>
      </c>
      <c r="C7" s="3439"/>
      <c r="D7" s="1275"/>
      <c r="E7" s="1275"/>
      <c r="F7" s="1268"/>
      <c r="G7" s="1271" t="s">
        <v>453</v>
      </c>
      <c r="H7" s="2108" t="str">
        <f>'Verification Rpt'!K6</f>
        <v>Verifier Enter on Start Here! tab</v>
      </c>
      <c r="I7" s="1319"/>
      <c r="J7" s="1300"/>
    </row>
    <row r="8" spans="1:10" ht="15.75" customHeight="1" thickBot="1">
      <c r="A8" s="1303" t="s">
        <v>1565</v>
      </c>
      <c r="B8" s="3439" t="str">
        <f>'Verification Rpt'!F7</f>
        <v>Verifier Enter on Start Here! tab</v>
      </c>
      <c r="C8" s="3439"/>
      <c r="D8" s="1276"/>
      <c r="E8" s="1304"/>
      <c r="F8" s="1268"/>
      <c r="G8" s="1270" t="s">
        <v>1939</v>
      </c>
      <c r="H8" s="2108" t="str">
        <f>'Verification Rpt'!K7</f>
        <v>Not entered</v>
      </c>
      <c r="I8" s="1277"/>
      <c r="J8" s="1300"/>
    </row>
    <row r="9" spans="1:10" ht="15.5" customHeight="1">
      <c r="A9" s="1320" t="s">
        <v>1923</v>
      </c>
      <c r="B9" s="3439" t="str">
        <f>'Verification Rpt'!F8 &amp; ""</f>
        <v>PRJEPKDMnz</v>
      </c>
      <c r="C9" s="3439"/>
      <c r="D9" s="1305"/>
      <c r="E9" s="1306"/>
      <c r="F9" s="1268"/>
      <c r="G9" s="1307" t="s">
        <v>1926</v>
      </c>
      <c r="H9" s="4042" t="str">
        <f>ReportStatus</f>
        <v>This Report is NOT Ready To Submit</v>
      </c>
      <c r="I9" s="4042"/>
      <c r="J9" s="1300"/>
    </row>
    <row r="10" spans="1:10">
      <c r="A10" s="1308"/>
      <c r="B10" s="1269"/>
      <c r="C10" s="1269"/>
      <c r="D10" s="1269"/>
      <c r="E10" s="1269"/>
      <c r="F10" s="1269"/>
      <c r="G10" s="1269"/>
      <c r="H10" s="1269"/>
      <c r="I10" s="1269"/>
      <c r="J10" s="1300"/>
    </row>
    <row r="11" spans="1:10" ht="20">
      <c r="A11" s="4039" t="s">
        <v>1940</v>
      </c>
      <c r="B11" s="4040"/>
      <c r="C11" s="4040"/>
      <c r="D11" s="4040"/>
      <c r="E11" s="4040"/>
      <c r="F11" s="4040"/>
      <c r="G11" s="4040"/>
      <c r="H11" s="4040"/>
      <c r="I11" s="4040"/>
      <c r="J11" s="4041"/>
    </row>
    <row r="12" spans="1:10" ht="21" thickBot="1">
      <c r="A12" s="3998"/>
      <c r="B12" s="4000" t="s">
        <v>1941</v>
      </c>
      <c r="C12" s="4002" t="s">
        <v>1942</v>
      </c>
      <c r="D12" s="4004" t="s">
        <v>1943</v>
      </c>
      <c r="E12" s="4005"/>
      <c r="F12" s="4005"/>
      <c r="G12" s="4006"/>
      <c r="H12" s="1293"/>
      <c r="I12" s="1269"/>
      <c r="J12" s="1318"/>
    </row>
    <row r="13" spans="1:10" ht="16" thickBot="1">
      <c r="A13" s="3999"/>
      <c r="B13" s="4001"/>
      <c r="C13" s="4003"/>
      <c r="D13" s="1296" t="s">
        <v>1944</v>
      </c>
      <c r="E13" s="1296" t="s">
        <v>1945</v>
      </c>
      <c r="F13" s="1297" t="s">
        <v>1946</v>
      </c>
      <c r="G13" s="1298" t="s">
        <v>1947</v>
      </c>
      <c r="H13" s="1279"/>
      <c r="I13" s="1269"/>
      <c r="J13" s="1300"/>
    </row>
    <row r="14" spans="1:10">
      <c r="A14" s="4033" t="s">
        <v>2583</v>
      </c>
      <c r="B14" s="4035">
        <f>projectTotal</f>
        <v>0</v>
      </c>
      <c r="C14" s="4037">
        <f>VerifiedPts</f>
        <v>0</v>
      </c>
      <c r="D14" s="1280">
        <f>Vbronzemin</f>
        <v>88</v>
      </c>
      <c r="E14" s="1280">
        <f>vsilvermin</f>
        <v>125</v>
      </c>
      <c r="F14" s="1280">
        <f>vgoldmin</f>
        <v>181</v>
      </c>
      <c r="G14" s="1281">
        <f>vemeraldmin</f>
        <v>225</v>
      </c>
      <c r="H14" s="1269"/>
      <c r="I14" s="1269"/>
      <c r="J14" s="1300"/>
    </row>
    <row r="15" spans="1:10" ht="16" thickBot="1">
      <c r="A15" s="4034"/>
      <c r="B15" s="4036"/>
      <c r="C15" s="4038"/>
      <c r="D15" s="1282"/>
      <c r="E15" s="1282"/>
      <c r="F15" s="1282"/>
      <c r="G15" s="1282"/>
      <c r="H15" s="1269"/>
      <c r="I15" s="1269"/>
      <c r="J15" s="1300"/>
    </row>
    <row r="16" spans="1:10">
      <c r="A16" s="1309"/>
      <c r="B16" s="1285"/>
      <c r="C16" s="1269"/>
      <c r="D16" s="1269"/>
      <c r="E16" s="1269"/>
      <c r="F16" s="1269"/>
      <c r="G16" s="1269"/>
      <c r="H16" s="1269"/>
      <c r="I16" s="1269"/>
      <c r="J16" s="1300"/>
    </row>
    <row r="17" spans="1:10">
      <c r="A17" s="1283"/>
      <c r="B17" s="1284"/>
      <c r="C17" s="1285"/>
      <c r="D17" s="1284"/>
      <c r="E17" s="1285"/>
      <c r="F17" s="1294"/>
      <c r="G17" s="1295"/>
      <c r="H17" s="1295"/>
      <c r="I17" s="1295"/>
      <c r="J17" s="1310"/>
    </row>
    <row r="18" spans="1:10" ht="16" thickBot="1">
      <c r="A18" s="1311" t="s">
        <v>2585</v>
      </c>
      <c r="B18" s="1269"/>
      <c r="C18" s="1269"/>
      <c r="D18" s="1269"/>
      <c r="E18" s="1269"/>
      <c r="F18" s="1269"/>
      <c r="G18" s="1269"/>
      <c r="H18" s="1269"/>
      <c r="I18" s="1278"/>
      <c r="J18" s="1312"/>
    </row>
    <row r="19" spans="1:10">
      <c r="A19" s="4007"/>
      <c r="B19" s="4008"/>
      <c r="C19" s="4008"/>
      <c r="D19" s="4008"/>
      <c r="E19" s="4008"/>
      <c r="F19" s="4008"/>
      <c r="G19" s="4008"/>
      <c r="H19" s="4008"/>
      <c r="I19" s="4008"/>
      <c r="J19" s="4009"/>
    </row>
    <row r="20" spans="1:10">
      <c r="A20" s="4010"/>
      <c r="B20" s="4011"/>
      <c r="C20" s="4011"/>
      <c r="D20" s="4011"/>
      <c r="E20" s="4011"/>
      <c r="F20" s="4011"/>
      <c r="G20" s="4011"/>
      <c r="H20" s="4011"/>
      <c r="I20" s="4011"/>
      <c r="J20" s="4012"/>
    </row>
    <row r="21" spans="1:10">
      <c r="A21" s="4010"/>
      <c r="B21" s="4011"/>
      <c r="C21" s="4011"/>
      <c r="D21" s="4011"/>
      <c r="E21" s="4011"/>
      <c r="F21" s="4011"/>
      <c r="G21" s="4011"/>
      <c r="H21" s="4011"/>
      <c r="I21" s="4011"/>
      <c r="J21" s="4012"/>
    </row>
    <row r="22" spans="1:10">
      <c r="A22" s="4022"/>
      <c r="B22" s="4023"/>
      <c r="C22" s="4023"/>
      <c r="D22" s="4023"/>
      <c r="E22" s="4023"/>
      <c r="F22" s="4023"/>
      <c r="G22" s="4023"/>
      <c r="H22" s="4023"/>
      <c r="I22" s="4023"/>
      <c r="J22" s="4024"/>
    </row>
    <row r="23" spans="1:10">
      <c r="A23" s="4025"/>
      <c r="B23" s="4018"/>
      <c r="C23" s="4018"/>
      <c r="D23" s="4018"/>
      <c r="E23" s="4018"/>
      <c r="F23" s="4018"/>
      <c r="G23" s="1286" t="s">
        <v>1948</v>
      </c>
      <c r="H23" s="4026"/>
      <c r="I23" s="4027"/>
      <c r="J23" s="1433"/>
    </row>
    <row r="24" spans="1:10">
      <c r="A24" s="4028" t="s">
        <v>1949</v>
      </c>
      <c r="B24" s="4029"/>
      <c r="C24" s="4029"/>
      <c r="D24" s="4030" t="s">
        <v>1950</v>
      </c>
      <c r="E24" s="4029"/>
      <c r="F24" s="4029"/>
      <c r="G24" s="1287" t="s">
        <v>1951</v>
      </c>
      <c r="H24" s="4031"/>
      <c r="I24" s="4032"/>
      <c r="J24" s="1313" t="s">
        <v>709</v>
      </c>
    </row>
    <row r="25" spans="1:10">
      <c r="A25" s="1314"/>
      <c r="B25" s="1277"/>
      <c r="C25" s="1277"/>
      <c r="D25" s="1277"/>
      <c r="E25" s="1277"/>
      <c r="F25" s="1277"/>
      <c r="G25" s="1277"/>
      <c r="H25" s="1277"/>
      <c r="I25" s="1277"/>
      <c r="J25" s="1315"/>
    </row>
    <row r="26" spans="1:10" ht="16" thickBot="1">
      <c r="A26" s="1316" t="s">
        <v>1952</v>
      </c>
      <c r="B26" s="1277"/>
      <c r="C26" s="1277"/>
      <c r="D26" s="1277"/>
      <c r="E26" s="1277"/>
      <c r="F26" s="1277"/>
      <c r="G26" s="1277"/>
      <c r="H26" s="1277"/>
      <c r="I26" s="1277"/>
      <c r="J26" s="1317"/>
    </row>
    <row r="27" spans="1:10">
      <c r="A27" s="4007"/>
      <c r="B27" s="4008"/>
      <c r="C27" s="4008"/>
      <c r="D27" s="4008"/>
      <c r="E27" s="4008"/>
      <c r="F27" s="4008"/>
      <c r="G27" s="4008"/>
      <c r="H27" s="4008"/>
      <c r="I27" s="4008"/>
      <c r="J27" s="4009"/>
    </row>
    <row r="28" spans="1:10">
      <c r="A28" s="4010"/>
      <c r="B28" s="4011"/>
      <c r="C28" s="4011"/>
      <c r="D28" s="4011"/>
      <c r="E28" s="4011"/>
      <c r="F28" s="4011"/>
      <c r="G28" s="4011"/>
      <c r="H28" s="4011"/>
      <c r="I28" s="4011"/>
      <c r="J28" s="4012"/>
    </row>
    <row r="29" spans="1:10">
      <c r="A29" s="4010"/>
      <c r="B29" s="4011"/>
      <c r="C29" s="4011"/>
      <c r="D29" s="4011"/>
      <c r="E29" s="4011"/>
      <c r="F29" s="4011"/>
      <c r="G29" s="4011"/>
      <c r="H29" s="4011"/>
      <c r="I29" s="4011"/>
      <c r="J29" s="4012"/>
    </row>
    <row r="30" spans="1:10">
      <c r="A30" s="4010"/>
      <c r="B30" s="4011"/>
      <c r="C30" s="4011"/>
      <c r="D30" s="4011"/>
      <c r="E30" s="4011"/>
      <c r="F30" s="4011"/>
      <c r="G30" s="4011"/>
      <c r="H30" s="4011"/>
      <c r="I30" s="4011"/>
      <c r="J30" s="4012"/>
    </row>
    <row r="31" spans="1:10" ht="36" customHeight="1">
      <c r="A31" s="4013" t="s">
        <v>2586</v>
      </c>
      <c r="B31" s="4014"/>
      <c r="C31" s="4014"/>
      <c r="D31" s="4014"/>
      <c r="E31" s="4014"/>
      <c r="F31" s="4014"/>
      <c r="G31" s="4014"/>
      <c r="H31" s="4014"/>
      <c r="I31" s="4014"/>
      <c r="J31" s="4015"/>
    </row>
    <row r="32" spans="1:10" ht="39.75" customHeight="1">
      <c r="A32" s="4016"/>
      <c r="B32" s="4017"/>
      <c r="C32" s="4017"/>
      <c r="D32" s="4018"/>
      <c r="E32" s="4018"/>
      <c r="F32" s="4018"/>
      <c r="G32" s="1288" t="s">
        <v>1953</v>
      </c>
      <c r="H32" s="1289"/>
      <c r="I32" s="2052" t="s">
        <v>2608</v>
      </c>
      <c r="J32" s="1434"/>
    </row>
    <row r="33" spans="1:10" ht="38" thickBot="1">
      <c r="A33" s="4019" t="s">
        <v>1954</v>
      </c>
      <c r="B33" s="4020"/>
      <c r="C33" s="4020"/>
      <c r="D33" s="4021" t="s">
        <v>1950</v>
      </c>
      <c r="E33" s="4020"/>
      <c r="F33" s="4020"/>
      <c r="G33" s="1290" t="s">
        <v>1951</v>
      </c>
      <c r="H33" s="1291"/>
      <c r="I33" s="2053" t="s">
        <v>2609</v>
      </c>
      <c r="J33" s="1434"/>
    </row>
    <row r="34" spans="1:10" ht="39" customHeight="1" thickBot="1">
      <c r="A34" s="3996" t="s">
        <v>2146</v>
      </c>
      <c r="B34" s="3997"/>
      <c r="C34" s="3997"/>
      <c r="D34" s="3997"/>
      <c r="E34" s="3997"/>
      <c r="F34" s="3997"/>
      <c r="G34" s="3997"/>
      <c r="H34" s="3997"/>
      <c r="I34" s="1292" t="s">
        <v>2106</v>
      </c>
      <c r="J34" s="1435"/>
    </row>
  </sheetData>
  <sheetProtection algorithmName="SHA-512" hashValue="16AkQZzkj+jd46i026EeZw6htESqrAiqzkurkRQJC5Ry7p/4S69NW8vO6ESqP8/3AC8C1qLAXCcUiXh7p+NeMg==" saltValue="fQjbJhJxyvU4IyUNaxrSKw==" spinCount="100000" sheet="1" objects="1" scenarios="1"/>
  <mergeCells count="33">
    <mergeCell ref="B4:C4"/>
    <mergeCell ref="A3:J3"/>
    <mergeCell ref="B2:C2"/>
    <mergeCell ref="D2:J2"/>
    <mergeCell ref="B1:C1"/>
    <mergeCell ref="A11:J11"/>
    <mergeCell ref="B5:C5"/>
    <mergeCell ref="B6:C6"/>
    <mergeCell ref="B7:C7"/>
    <mergeCell ref="B8:C8"/>
    <mergeCell ref="B9:C9"/>
    <mergeCell ref="H9:I9"/>
    <mergeCell ref="D24:F24"/>
    <mergeCell ref="H24:I24"/>
    <mergeCell ref="A14:A15"/>
    <mergeCell ref="B14:B15"/>
    <mergeCell ref="C14:C15"/>
    <mergeCell ref="A34:H34"/>
    <mergeCell ref="A12:A13"/>
    <mergeCell ref="B12:B13"/>
    <mergeCell ref="C12:C13"/>
    <mergeCell ref="D12:G12"/>
    <mergeCell ref="A27:J30"/>
    <mergeCell ref="A31:J31"/>
    <mergeCell ref="A32:C32"/>
    <mergeCell ref="D32:F32"/>
    <mergeCell ref="A33:C33"/>
    <mergeCell ref="D33:F33"/>
    <mergeCell ref="A19:J22"/>
    <mergeCell ref="A23:C23"/>
    <mergeCell ref="D23:F23"/>
    <mergeCell ref="H23:I23"/>
    <mergeCell ref="A24:C24"/>
  </mergeCells>
  <conditionalFormatting sqref="D32:F32">
    <cfRule type="expression" dxfId="27" priority="6">
      <formula>$D$32=""</formula>
    </cfRule>
  </conditionalFormatting>
  <conditionalFormatting sqref="J32">
    <cfRule type="expression" dxfId="26" priority="5">
      <formula>J32=""</formula>
    </cfRule>
  </conditionalFormatting>
  <conditionalFormatting sqref="J33">
    <cfRule type="expression" dxfId="25" priority="4">
      <formula>J33=""</formula>
    </cfRule>
  </conditionalFormatting>
  <conditionalFormatting sqref="J34">
    <cfRule type="expression" dxfId="24" priority="3">
      <formula>J34=""</formula>
    </cfRule>
  </conditionalFormatting>
  <conditionalFormatting sqref="B9:C9">
    <cfRule type="expression" dxfId="23" priority="2">
      <formula>B9 = ""</formula>
    </cfRule>
  </conditionalFormatting>
  <conditionalFormatting sqref="H9:I9">
    <cfRule type="expression" dxfId="22" priority="1">
      <formula>ReportStatus="This Report is NOT Ready To Submit"</formula>
    </cfRule>
  </conditionalFormatting>
  <pageMargins left="0.7" right="0.7" top="0.75" bottom="0.75" header="0.3" footer="0.3"/>
  <pageSetup scale="47"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43"/>
  <sheetViews>
    <sheetView zoomScaleNormal="100" workbookViewId="0">
      <pane ySplit="3" topLeftCell="A4" activePane="bottomLeft" state="frozen"/>
      <selection pane="bottomLeft" activeCell="H9" sqref="H9:I9"/>
    </sheetView>
  </sheetViews>
  <sheetFormatPr baseColWidth="10" defaultColWidth="9.1640625" defaultRowHeight="15"/>
  <cols>
    <col min="1" max="1" width="54.1640625" style="1423" customWidth="1"/>
    <col min="2" max="2" width="11.6640625" style="1423" customWidth="1"/>
    <col min="3" max="3" width="12.83203125" style="1423" customWidth="1"/>
    <col min="4" max="6" width="9.1640625" style="1423"/>
    <col min="7" max="7" width="20.83203125" style="1423" customWidth="1"/>
    <col min="8" max="8" width="26" style="1423" customWidth="1"/>
    <col min="9" max="9" width="10.5" style="1423" customWidth="1"/>
    <col min="10" max="10" width="23.1640625" style="1423" customWidth="1"/>
    <col min="11" max="16384" width="9.1640625" style="1423"/>
  </cols>
  <sheetData>
    <row r="1" spans="1:10" ht="45" customHeight="1">
      <c r="A1" s="1614"/>
      <c r="B1" s="4048">
        <v>2012</v>
      </c>
      <c r="C1" s="4048"/>
      <c r="D1" s="1616"/>
      <c r="E1" s="1616"/>
      <c r="F1" s="1616"/>
      <c r="G1" s="1616"/>
      <c r="H1" s="1616"/>
      <c r="I1" s="1616"/>
      <c r="J1" s="1617"/>
    </row>
    <row r="2" spans="1:10" ht="50" customHeight="1" thickBot="1">
      <c r="A2" s="1615" t="s">
        <v>2255</v>
      </c>
      <c r="B2" s="4046" t="str">
        <f>CONCATENATE("Revised ",TEXT(startRevisionDate,"mmmm dd, yyyy"))</f>
        <v>Revised January 26, 2018</v>
      </c>
      <c r="C2" s="4046"/>
      <c r="D2" s="2272"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2272"/>
      <c r="F2" s="2272"/>
      <c r="G2" s="2272"/>
      <c r="H2" s="2272"/>
      <c r="I2" s="2272"/>
      <c r="J2" s="2272"/>
    </row>
    <row r="3" spans="1:10" ht="19" thickBot="1">
      <c r="A3" s="4043" t="s">
        <v>1933</v>
      </c>
      <c r="B3" s="4044"/>
      <c r="C3" s="4044"/>
      <c r="D3" s="4044"/>
      <c r="E3" s="4044"/>
      <c r="F3" s="4044"/>
      <c r="G3" s="4044"/>
      <c r="H3" s="4044"/>
      <c r="I3" s="4044"/>
      <c r="J3" s="4045"/>
    </row>
    <row r="4" spans="1:10">
      <c r="A4" s="1299" t="s">
        <v>446</v>
      </c>
      <c r="B4" s="4050" t="str">
        <f>'Rough Signature'!B4:C4</f>
        <v>Verifier Enter on Start Here! tab</v>
      </c>
      <c r="C4" s="4050"/>
      <c r="D4" s="4050"/>
      <c r="E4" s="1274"/>
      <c r="G4" s="1272" t="s">
        <v>1938</v>
      </c>
      <c r="H4" s="2108" t="str">
        <f>'Rough Signature'!H4</f>
        <v>Verifier Enter on Start Here! tab</v>
      </c>
      <c r="I4" s="2108"/>
      <c r="J4" s="2113"/>
    </row>
    <row r="5" spans="1:10" ht="35.25" customHeight="1">
      <c r="A5" s="1301" t="s">
        <v>448</v>
      </c>
      <c r="B5" s="4051" t="str">
        <f>'Rough Signature'!B5:C5</f>
        <v>Verifier Enter on Start Here! tab</v>
      </c>
      <c r="C5" s="4051"/>
      <c r="D5" s="4051"/>
      <c r="E5" s="1422"/>
      <c r="G5" s="1271" t="s">
        <v>450</v>
      </c>
      <c r="H5" s="2108" t="str">
        <f>'Rough Signature'!H5</f>
        <v/>
      </c>
      <c r="I5" s="2108"/>
      <c r="J5" s="2113"/>
    </row>
    <row r="6" spans="1:10">
      <c r="A6" s="1299" t="s">
        <v>155</v>
      </c>
      <c r="B6" s="4052" t="str">
        <f>'Rough Signature'!B6:C6</f>
        <v>Verifier Enter on Start Here! tab</v>
      </c>
      <c r="C6" s="4052"/>
      <c r="D6" s="4052"/>
      <c r="E6" s="1275"/>
      <c r="G6" s="1271" t="s">
        <v>159</v>
      </c>
      <c r="H6" s="2107" t="str">
        <f>'Rough Signature'!H6</f>
        <v>Verifier Enter on Start Here! tab</v>
      </c>
      <c r="I6" s="2114"/>
      <c r="J6" s="2113"/>
    </row>
    <row r="7" spans="1:10">
      <c r="A7" s="1299" t="s">
        <v>451</v>
      </c>
      <c r="B7" s="3443" t="str">
        <f>'Rough Signature'!B7:C7</f>
        <v>Verifier Enter on Start Here! tab</v>
      </c>
      <c r="C7" s="3443"/>
      <c r="D7" s="1275"/>
      <c r="E7" s="1275"/>
      <c r="G7" s="1271" t="s">
        <v>453</v>
      </c>
      <c r="H7" s="2969" t="str">
        <f>'Rough Signature'!H7</f>
        <v>Verifier Enter on Start Here! tab</v>
      </c>
      <c r="I7" s="2969"/>
      <c r="J7" s="4053"/>
    </row>
    <row r="8" spans="1:10">
      <c r="A8" s="1303" t="s">
        <v>1565</v>
      </c>
      <c r="B8" s="4049" t="str">
        <f>'Rough Signature'!B8:C8</f>
        <v>Verifier Enter on Start Here! tab</v>
      </c>
      <c r="C8" s="4049"/>
      <c r="D8" s="962"/>
      <c r="E8" s="1304"/>
      <c r="G8" s="1270" t="s">
        <v>1939</v>
      </c>
      <c r="H8" s="2115" t="str">
        <f>finalLevelReached</f>
        <v>Nothing</v>
      </c>
      <c r="I8" s="2116"/>
      <c r="J8" s="2113"/>
    </row>
    <row r="9" spans="1:10" ht="16">
      <c r="A9" s="1320" t="s">
        <v>1923</v>
      </c>
      <c r="B9" s="2110" t="str">
        <f>'Rough Signature'!B9:C9 &amp; ""</f>
        <v>PRJEPKDMnz</v>
      </c>
      <c r="C9" s="2111"/>
      <c r="D9" s="2112"/>
      <c r="E9" s="1306"/>
      <c r="G9" s="1307" t="s">
        <v>1926</v>
      </c>
      <c r="H9" s="4054" t="str">
        <f>ReportStatus</f>
        <v>This Report is NOT Ready To Submit</v>
      </c>
      <c r="I9" s="4054"/>
      <c r="J9" s="1300"/>
    </row>
    <row r="10" spans="1:10" ht="20">
      <c r="A10" s="4039" t="s">
        <v>2107</v>
      </c>
      <c r="B10" s="4040"/>
      <c r="C10" s="4040"/>
      <c r="D10" s="4040"/>
      <c r="E10" s="4040"/>
      <c r="F10" s="4040"/>
      <c r="G10" s="4040"/>
      <c r="H10" s="4040"/>
      <c r="I10" s="4040"/>
      <c r="J10" s="4041"/>
    </row>
    <row r="11" spans="1:10" ht="21" thickBot="1">
      <c r="A11" s="3998"/>
      <c r="B11" s="4000" t="s">
        <v>1941</v>
      </c>
      <c r="C11" s="4002" t="s">
        <v>2108</v>
      </c>
      <c r="D11" s="4004" t="s">
        <v>1943</v>
      </c>
      <c r="E11" s="4005"/>
      <c r="F11" s="4005"/>
      <c r="G11" s="4006"/>
      <c r="H11" s="1293"/>
      <c r="I11" s="1421"/>
      <c r="J11" s="1318"/>
    </row>
    <row r="12" spans="1:10" ht="24.75" customHeight="1" thickBot="1">
      <c r="A12" s="3999"/>
      <c r="B12" s="4001"/>
      <c r="C12" s="4003"/>
      <c r="D12" s="1296" t="s">
        <v>1944</v>
      </c>
      <c r="E12" s="1296" t="s">
        <v>1945</v>
      </c>
      <c r="F12" s="1297" t="s">
        <v>1946</v>
      </c>
      <c r="G12" s="1298" t="s">
        <v>1947</v>
      </c>
      <c r="H12" s="1279"/>
      <c r="I12" s="1421"/>
      <c r="J12" s="1300"/>
    </row>
    <row r="13" spans="1:10">
      <c r="A13" s="4033" t="s">
        <v>2587</v>
      </c>
      <c r="B13" s="4035"/>
      <c r="C13" s="4037">
        <f>VerifiedPts</f>
        <v>0</v>
      </c>
      <c r="D13" s="1280">
        <f>Vbronzemin</f>
        <v>88</v>
      </c>
      <c r="E13" s="1280">
        <f>vsilvermin</f>
        <v>125</v>
      </c>
      <c r="F13" s="1280">
        <f>vgoldmin</f>
        <v>181</v>
      </c>
      <c r="G13" s="1281">
        <f>vemeraldmin</f>
        <v>225</v>
      </c>
      <c r="H13" s="1421"/>
      <c r="I13" s="1421"/>
      <c r="J13" s="1300"/>
    </row>
    <row r="14" spans="1:10" ht="16" thickBot="1">
      <c r="A14" s="4034"/>
      <c r="B14" s="4036"/>
      <c r="C14" s="4038"/>
      <c r="D14" s="1282"/>
      <c r="E14" s="1282"/>
      <c r="F14" s="1282"/>
      <c r="G14" s="1282"/>
      <c r="H14" s="1421"/>
      <c r="I14" s="1421"/>
      <c r="J14" s="1300"/>
    </row>
    <row r="15" spans="1:10">
      <c r="A15" s="1309"/>
      <c r="B15" s="1285"/>
      <c r="C15" s="1421"/>
      <c r="D15" s="1421"/>
      <c r="E15" s="1421"/>
      <c r="F15" s="1421"/>
      <c r="G15" s="1421"/>
      <c r="H15" s="1421"/>
      <c r="I15" s="1421"/>
      <c r="J15" s="1300"/>
    </row>
    <row r="16" spans="1:10" s="1863" customFormat="1" ht="16" thickBot="1">
      <c r="A16" s="2025" t="s">
        <v>2588</v>
      </c>
      <c r="B16" s="1285"/>
      <c r="C16" s="1484"/>
      <c r="D16" s="1484"/>
      <c r="E16" s="1484"/>
      <c r="F16" s="1484"/>
      <c r="G16" s="1484"/>
      <c r="H16" s="1484"/>
      <c r="I16" s="1484"/>
      <c r="J16" s="1300"/>
    </row>
    <row r="17" spans="1:10" s="1863" customFormat="1">
      <c r="A17" s="4055"/>
      <c r="B17" s="4056"/>
      <c r="C17" s="4056"/>
      <c r="D17" s="4056"/>
      <c r="E17" s="4056"/>
      <c r="F17" s="4056"/>
      <c r="G17" s="4056"/>
      <c r="H17" s="4056"/>
      <c r="I17" s="4056"/>
      <c r="J17" s="4057"/>
    </row>
    <row r="18" spans="1:10" s="1863" customFormat="1">
      <c r="A18" s="4058"/>
      <c r="B18" s="4059"/>
      <c r="C18" s="4059"/>
      <c r="D18" s="4059"/>
      <c r="E18" s="4059"/>
      <c r="F18" s="4059"/>
      <c r="G18" s="4059"/>
      <c r="H18" s="4059"/>
      <c r="I18" s="4059"/>
      <c r="J18" s="4060"/>
    </row>
    <row r="19" spans="1:10" s="1863" customFormat="1">
      <c r="A19" s="4058"/>
      <c r="B19" s="4059"/>
      <c r="C19" s="4059"/>
      <c r="D19" s="4059"/>
      <c r="E19" s="4059"/>
      <c r="F19" s="4059"/>
      <c r="G19" s="4059"/>
      <c r="H19" s="4059"/>
      <c r="I19" s="4059"/>
      <c r="J19" s="4060"/>
    </row>
    <row r="20" spans="1:10" s="1863" customFormat="1">
      <c r="A20" s="4058"/>
      <c r="B20" s="4059"/>
      <c r="C20" s="4059"/>
      <c r="D20" s="4059"/>
      <c r="E20" s="4059"/>
      <c r="F20" s="4059"/>
      <c r="G20" s="4059"/>
      <c r="H20" s="4059"/>
      <c r="I20" s="4059"/>
      <c r="J20" s="4060"/>
    </row>
    <row r="21" spans="1:10" ht="16" thickBot="1">
      <c r="A21" s="4061"/>
      <c r="B21" s="4062"/>
      <c r="C21" s="4062"/>
      <c r="D21" s="4062"/>
      <c r="E21" s="4062"/>
      <c r="F21" s="4062"/>
      <c r="G21" s="4062"/>
      <c r="H21" s="4062"/>
      <c r="I21" s="4062"/>
      <c r="J21" s="4063"/>
    </row>
    <row r="22" spans="1:10" s="1863" customFormat="1">
      <c r="A22" s="2026"/>
      <c r="B22" s="2027"/>
      <c r="C22" s="2027"/>
      <c r="D22" s="2027"/>
      <c r="E22" s="2027"/>
      <c r="F22" s="2027"/>
      <c r="G22" s="2027"/>
      <c r="H22" s="2027"/>
      <c r="I22" s="2027"/>
      <c r="J22" s="2028"/>
    </row>
    <row r="23" spans="1:10" ht="16" thickBot="1">
      <c r="A23" s="1311" t="s">
        <v>2589</v>
      </c>
      <c r="B23" s="1421"/>
      <c r="C23" s="1421"/>
      <c r="D23" s="1421"/>
      <c r="E23" s="1421"/>
      <c r="F23" s="1421"/>
      <c r="G23" s="1421"/>
      <c r="H23" s="1421"/>
      <c r="I23" s="1278"/>
      <c r="J23" s="1312"/>
    </row>
    <row r="24" spans="1:10">
      <c r="A24" s="4007"/>
      <c r="B24" s="4008"/>
      <c r="C24" s="4008"/>
      <c r="D24" s="4008"/>
      <c r="E24" s="4008"/>
      <c r="F24" s="4008"/>
      <c r="G24" s="4008"/>
      <c r="H24" s="4008"/>
      <c r="I24" s="4008"/>
      <c r="J24" s="4009"/>
    </row>
    <row r="25" spans="1:10">
      <c r="A25" s="4010"/>
      <c r="B25" s="4011"/>
      <c r="C25" s="4011"/>
      <c r="D25" s="4011"/>
      <c r="E25" s="4011"/>
      <c r="F25" s="4011"/>
      <c r="G25" s="4011"/>
      <c r="H25" s="4011"/>
      <c r="I25" s="4011"/>
      <c r="J25" s="4012"/>
    </row>
    <row r="26" spans="1:10">
      <c r="A26" s="4010"/>
      <c r="B26" s="4011"/>
      <c r="C26" s="4011"/>
      <c r="D26" s="4011"/>
      <c r="E26" s="4011"/>
      <c r="F26" s="4011"/>
      <c r="G26" s="4011"/>
      <c r="H26" s="4011"/>
      <c r="I26" s="4011"/>
      <c r="J26" s="4012"/>
    </row>
    <row r="27" spans="1:10">
      <c r="A27" s="4022"/>
      <c r="B27" s="4023"/>
      <c r="C27" s="4023"/>
      <c r="D27" s="4023"/>
      <c r="E27" s="4023"/>
      <c r="F27" s="4023"/>
      <c r="G27" s="4023"/>
      <c r="H27" s="4023"/>
      <c r="I27" s="4023"/>
      <c r="J27" s="4024"/>
    </row>
    <row r="28" spans="1:10" ht="48.75" customHeight="1">
      <c r="A28" s="4013" t="s">
        <v>2151</v>
      </c>
      <c r="B28" s="4065"/>
      <c r="C28" s="4065"/>
      <c r="D28" s="4065"/>
      <c r="E28" s="4065"/>
      <c r="F28" s="4065"/>
      <c r="G28" s="4065"/>
      <c r="H28" s="4065"/>
      <c r="I28" s="4065"/>
      <c r="J28" s="4066"/>
    </row>
    <row r="29" spans="1:10" ht="29.25" customHeight="1">
      <c r="A29" s="1440" t="s">
        <v>2111</v>
      </c>
      <c r="B29" s="1438"/>
      <c r="C29" s="1441"/>
      <c r="D29" s="4071" t="s">
        <v>2623</v>
      </c>
      <c r="E29" s="4071"/>
      <c r="F29" s="4071"/>
      <c r="G29" s="4071"/>
      <c r="H29" s="1439"/>
      <c r="I29" s="1441"/>
      <c r="J29" s="1442"/>
    </row>
    <row r="30" spans="1:10">
      <c r="A30" s="4064"/>
      <c r="B30" s="4017"/>
      <c r="C30" s="4017"/>
      <c r="D30" s="4018"/>
      <c r="E30" s="4018"/>
      <c r="F30" s="4018"/>
      <c r="G30" s="1286" t="s">
        <v>1948</v>
      </c>
      <c r="H30" s="1436"/>
      <c r="I30" s="4067"/>
      <c r="J30" s="4068"/>
    </row>
    <row r="31" spans="1:10">
      <c r="A31" s="4028" t="s">
        <v>2109</v>
      </c>
      <c r="B31" s="4029"/>
      <c r="C31" s="4029"/>
      <c r="D31" s="4030" t="s">
        <v>1950</v>
      </c>
      <c r="E31" s="4029"/>
      <c r="F31" s="4029"/>
      <c r="G31" s="1287" t="s">
        <v>1951</v>
      </c>
      <c r="H31" s="1437"/>
      <c r="I31" s="4069" t="s">
        <v>2110</v>
      </c>
      <c r="J31" s="4070"/>
    </row>
    <row r="32" spans="1:10" s="2032" customFormat="1">
      <c r="A32" s="2029"/>
      <c r="B32" s="2030"/>
      <c r="C32" s="2030"/>
      <c r="D32" s="2030"/>
      <c r="E32" s="2030"/>
      <c r="F32" s="2030"/>
      <c r="G32" s="2030"/>
      <c r="H32" s="2030"/>
      <c r="I32" s="2030"/>
      <c r="J32" s="2031"/>
    </row>
    <row r="33" spans="1:10" ht="16" thickBot="1">
      <c r="A33" s="1316" t="s">
        <v>1952</v>
      </c>
      <c r="B33" s="1420"/>
      <c r="C33" s="1420"/>
      <c r="D33" s="1420"/>
      <c r="E33" s="1420"/>
      <c r="F33" s="1420"/>
      <c r="G33" s="1420"/>
      <c r="H33" s="1420"/>
      <c r="I33" s="1420"/>
      <c r="J33" s="1317"/>
    </row>
    <row r="34" spans="1:10">
      <c r="A34" s="4007"/>
      <c r="B34" s="4008"/>
      <c r="C34" s="4008"/>
      <c r="D34" s="4008"/>
      <c r="E34" s="4008"/>
      <c r="F34" s="4008"/>
      <c r="G34" s="4008"/>
      <c r="H34" s="4008"/>
      <c r="I34" s="4008"/>
      <c r="J34" s="4009"/>
    </row>
    <row r="35" spans="1:10">
      <c r="A35" s="4010"/>
      <c r="B35" s="4011"/>
      <c r="C35" s="4011"/>
      <c r="D35" s="4011"/>
      <c r="E35" s="4011"/>
      <c r="F35" s="4011"/>
      <c r="G35" s="4011"/>
      <c r="H35" s="4011"/>
      <c r="I35" s="4011"/>
      <c r="J35" s="4012"/>
    </row>
    <row r="36" spans="1:10">
      <c r="A36" s="4010"/>
      <c r="B36" s="4011"/>
      <c r="C36" s="4011"/>
      <c r="D36" s="4011"/>
      <c r="E36" s="4011"/>
      <c r="F36" s="4011"/>
      <c r="G36" s="4011"/>
      <c r="H36" s="4011"/>
      <c r="I36" s="4011"/>
      <c r="J36" s="4012"/>
    </row>
    <row r="37" spans="1:10" ht="16" thickBot="1">
      <c r="A37" s="4010"/>
      <c r="B37" s="4011"/>
      <c r="C37" s="4011"/>
      <c r="D37" s="4011"/>
      <c r="E37" s="4011"/>
      <c r="F37" s="4011"/>
      <c r="G37" s="4011"/>
      <c r="H37" s="4011"/>
      <c r="I37" s="4011"/>
      <c r="J37" s="4012"/>
    </row>
    <row r="38" spans="1:10" ht="30.75" customHeight="1">
      <c r="A38" s="4072" t="s">
        <v>2113</v>
      </c>
      <c r="B38" s="4073"/>
      <c r="C38" s="4073"/>
      <c r="D38" s="4073"/>
      <c r="E38" s="4073"/>
      <c r="F38" s="4073"/>
      <c r="G38" s="4073"/>
      <c r="H38" s="4073"/>
      <c r="I38" s="4074"/>
      <c r="J38" s="1443" t="s">
        <v>2112</v>
      </c>
    </row>
    <row r="39" spans="1:10" ht="22.5" customHeight="1">
      <c r="A39" s="4075"/>
      <c r="B39" s="4076"/>
      <c r="C39" s="4076"/>
      <c r="D39" s="4076"/>
      <c r="E39" s="4076"/>
      <c r="F39" s="4076"/>
      <c r="G39" s="4076"/>
      <c r="H39" s="4076"/>
      <c r="I39" s="4077"/>
      <c r="J39" s="2051"/>
    </row>
    <row r="40" spans="1:10" ht="34.5" customHeight="1">
      <c r="A40" s="1444" t="s">
        <v>2114</v>
      </c>
      <c r="B40" s="4078" t="s">
        <v>2115</v>
      </c>
      <c r="C40" s="4078"/>
      <c r="D40" s="4079"/>
      <c r="E40" s="4079"/>
      <c r="F40" s="4079"/>
      <c r="G40" s="4079"/>
      <c r="H40" s="4079"/>
      <c r="I40" s="4079"/>
      <c r="J40" s="4080"/>
    </row>
    <row r="41" spans="1:10" ht="37">
      <c r="A41" s="4016"/>
      <c r="B41" s="4017"/>
      <c r="C41" s="4017"/>
      <c r="D41" s="4018"/>
      <c r="E41" s="4018"/>
      <c r="F41" s="4018"/>
      <c r="G41" s="1288" t="s">
        <v>1953</v>
      </c>
      <c r="H41" s="1289"/>
      <c r="I41" s="2052" t="s">
        <v>2608</v>
      </c>
      <c r="J41" s="1434"/>
    </row>
    <row r="42" spans="1:10" ht="38" thickBot="1">
      <c r="A42" s="4019" t="s">
        <v>1954</v>
      </c>
      <c r="B42" s="4020"/>
      <c r="C42" s="4020"/>
      <c r="D42" s="4021" t="s">
        <v>1950</v>
      </c>
      <c r="E42" s="4020"/>
      <c r="F42" s="4020"/>
      <c r="G42" s="1290" t="s">
        <v>1951</v>
      </c>
      <c r="H42" s="1291"/>
      <c r="I42" s="2053" t="s">
        <v>2609</v>
      </c>
      <c r="J42" s="1434"/>
    </row>
    <row r="43" spans="1:10" ht="37" thickBot="1">
      <c r="A43" s="3996" t="s">
        <v>2590</v>
      </c>
      <c r="B43" s="3997"/>
      <c r="C43" s="3997"/>
      <c r="D43" s="3997"/>
      <c r="E43" s="3997"/>
      <c r="F43" s="3997"/>
      <c r="G43" s="3997"/>
      <c r="H43" s="3997"/>
      <c r="I43" s="1292" t="s">
        <v>2106</v>
      </c>
      <c r="J43" s="1445"/>
    </row>
  </sheetData>
  <sheetProtection algorithmName="SHA-512" hashValue="IE1AJH/DDIFq0GhY1EdB4TQujTuCxjC6QC672T0JJN93Bv06b/5x5VD0I0AVP4Z6//BC2C3/B09xoHIeHizHfA==" saltValue="5EhA5y97LjVw3JJuKvTYeg==" spinCount="100000" sheet="1" objects="1" scenarios="1"/>
  <mergeCells count="38">
    <mergeCell ref="A43:H43"/>
    <mergeCell ref="A28:J28"/>
    <mergeCell ref="I30:J30"/>
    <mergeCell ref="I31:J31"/>
    <mergeCell ref="D29:G29"/>
    <mergeCell ref="A38:I39"/>
    <mergeCell ref="A31:C31"/>
    <mergeCell ref="D31:F31"/>
    <mergeCell ref="A34:J37"/>
    <mergeCell ref="A41:C41"/>
    <mergeCell ref="D41:F41"/>
    <mergeCell ref="B40:C40"/>
    <mergeCell ref="D40:J40"/>
    <mergeCell ref="A24:J27"/>
    <mergeCell ref="A30:C30"/>
    <mergeCell ref="D30:F30"/>
    <mergeCell ref="A42:C42"/>
    <mergeCell ref="D42:F42"/>
    <mergeCell ref="A11:A12"/>
    <mergeCell ref="B11:B12"/>
    <mergeCell ref="C11:C12"/>
    <mergeCell ref="D11:G11"/>
    <mergeCell ref="A17:J21"/>
    <mergeCell ref="A13:A14"/>
    <mergeCell ref="B13:B14"/>
    <mergeCell ref="C13:C14"/>
    <mergeCell ref="B2:C2"/>
    <mergeCell ref="B1:C1"/>
    <mergeCell ref="D2:J2"/>
    <mergeCell ref="B8:C8"/>
    <mergeCell ref="A10:J10"/>
    <mergeCell ref="B4:D4"/>
    <mergeCell ref="B5:D5"/>
    <mergeCell ref="B6:D6"/>
    <mergeCell ref="H7:J7"/>
    <mergeCell ref="A3:J3"/>
    <mergeCell ref="B7:C7"/>
    <mergeCell ref="H9:I9"/>
  </mergeCells>
  <conditionalFormatting sqref="D41:F41">
    <cfRule type="expression" dxfId="21" priority="49">
      <formula>$D$41=""</formula>
    </cfRule>
  </conditionalFormatting>
  <conditionalFormatting sqref="J41">
    <cfRule type="expression" dxfId="20" priority="48">
      <formula>J41=""</formula>
    </cfRule>
  </conditionalFormatting>
  <conditionalFormatting sqref="J42">
    <cfRule type="expression" dxfId="19" priority="47">
      <formula>J42=""</formula>
    </cfRule>
  </conditionalFormatting>
  <conditionalFormatting sqref="J43">
    <cfRule type="expression" dxfId="18" priority="46">
      <formula>J43=""</formula>
    </cfRule>
  </conditionalFormatting>
  <conditionalFormatting sqref="D14">
    <cfRule type="expression" dxfId="17" priority="29">
      <formula>$C13&gt;=D13</formula>
    </cfRule>
  </conditionalFormatting>
  <conditionalFormatting sqref="E14">
    <cfRule type="expression" dxfId="16" priority="22">
      <formula>$C13&gt;=E13</formula>
    </cfRule>
  </conditionalFormatting>
  <conditionalFormatting sqref="G14">
    <cfRule type="expression" dxfId="15" priority="21">
      <formula>$C13&gt;=G13</formula>
    </cfRule>
  </conditionalFormatting>
  <conditionalFormatting sqref="F14">
    <cfRule type="expression" dxfId="14" priority="20">
      <formula>$C13&gt;=F13</formula>
    </cfRule>
  </conditionalFormatting>
  <conditionalFormatting sqref="D30:F30">
    <cfRule type="expression" dxfId="13" priority="15">
      <formula>$D$30=""</formula>
    </cfRule>
  </conditionalFormatting>
  <conditionalFormatting sqref="I30:J30">
    <cfRule type="expression" dxfId="12" priority="13">
      <formula>$I$30=""</formula>
    </cfRule>
  </conditionalFormatting>
  <conditionalFormatting sqref="B29">
    <cfRule type="expression" dxfId="11" priority="12">
      <formula>$B$29=""</formula>
    </cfRule>
  </conditionalFormatting>
  <conditionalFormatting sqref="H29">
    <cfRule type="expression" dxfId="10" priority="11">
      <formula>$H$29=""</formula>
    </cfRule>
  </conditionalFormatting>
  <conditionalFormatting sqref="J39">
    <cfRule type="expression" dxfId="9" priority="10">
      <formula>$J$39=""</formula>
    </cfRule>
  </conditionalFormatting>
  <conditionalFormatting sqref="B40:C40">
    <cfRule type="expression" dxfId="8" priority="9">
      <formula>$B$40=""</formula>
    </cfRule>
  </conditionalFormatting>
  <conditionalFormatting sqref="D40">
    <cfRule type="expression" dxfId="7" priority="8">
      <formula>$B$40="Other sevices as disclosed to the right"</formula>
    </cfRule>
  </conditionalFormatting>
  <conditionalFormatting sqref="B4:D4">
    <cfRule type="expression" dxfId="6" priority="7">
      <formula>$B$4=""</formula>
    </cfRule>
  </conditionalFormatting>
  <conditionalFormatting sqref="B5:D5">
    <cfRule type="expression" dxfId="5" priority="6">
      <formula>$B$5=""</formula>
    </cfRule>
  </conditionalFormatting>
  <conditionalFormatting sqref="B7:C7">
    <cfRule type="expression" dxfId="4" priority="5">
      <formula>OR($B$7="",$B$7=0)</formula>
    </cfRule>
  </conditionalFormatting>
  <conditionalFormatting sqref="B9">
    <cfRule type="expression" dxfId="3" priority="4">
      <formula>OR($B$9="",$B$9=0)</formula>
    </cfRule>
  </conditionalFormatting>
  <conditionalFormatting sqref="H4">
    <cfRule type="expression" dxfId="2" priority="3">
      <formula>OR($H$4=0,$H$4="")</formula>
    </cfRule>
  </conditionalFormatting>
  <conditionalFormatting sqref="A17:J21">
    <cfRule type="expression" dxfId="1" priority="2">
      <formula>$A$17=""</formula>
    </cfRule>
  </conditionalFormatting>
  <conditionalFormatting sqref="H9:I9">
    <cfRule type="expression" dxfId="0" priority="1">
      <formula>ReportStatus="This Report is NOT Ready To Submit"</formula>
    </cfRule>
  </conditionalFormatting>
  <dataValidations disablePrompts="1" count="4">
    <dataValidation type="list" allowBlank="1" showInputMessage="1" showErrorMessage="1" sqref="B29" xr:uid="{00000000-0002-0000-0B00-000000000000}">
      <formula1>"US Mail,Overnight $30"</formula1>
    </dataValidation>
    <dataValidation type="list" allowBlank="1" showInputMessage="1" showErrorMessage="1" sqref="H29" xr:uid="{00000000-0002-0000-0B00-000001000000}">
      <formula1>"Address on file, Address as noted in Builder Comments"</formula1>
    </dataValidation>
    <dataValidation type="list" allowBlank="1" showInputMessage="1" showErrorMessage="1" sqref="J39" xr:uid="{00000000-0002-0000-0B00-000002000000}">
      <formula1>"Bronze,Silver,God,Emerald"</formula1>
    </dataValidation>
    <dataValidation type="list" allowBlank="1" showInputMessage="1" showErrorMessage="1" sqref="B40:C40" xr:uid="{00000000-0002-0000-0B00-000003000000}">
      <formula1>"Verification only,Other sevices as disclosed to the right"</formula1>
    </dataValidation>
  </dataValidations>
  <pageMargins left="0.7" right="0.7" top="0.75" bottom="1" header="0.3" footer="0.55000000000000004"/>
  <pageSetup scale="48"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192"/>
  <sheetViews>
    <sheetView showGridLines="0" zoomScaleNormal="100" workbookViewId="0">
      <pane ySplit="2" topLeftCell="A3" activePane="bottomLeft" state="frozen"/>
      <selection activeCell="N10" sqref="N10:N12"/>
      <selection pane="bottomLeft" activeCell="A3" sqref="A3:F3"/>
    </sheetView>
  </sheetViews>
  <sheetFormatPr baseColWidth="10" defaultColWidth="9.1640625" defaultRowHeight="15"/>
  <cols>
    <col min="1" max="1" width="25.6640625" style="296" customWidth="1"/>
    <col min="2" max="2" width="25.6640625" customWidth="1"/>
    <col min="3" max="5" width="25.6640625" style="28" customWidth="1"/>
    <col min="6" max="6" width="25.6640625" style="106" customWidth="1"/>
    <col min="7" max="7" width="11.5" style="282" customWidth="1"/>
    <col min="8" max="8" width="9.5" style="28" customWidth="1"/>
    <col min="9" max="9" width="15" style="28" customWidth="1"/>
    <col min="10" max="16384" width="9.1640625" style="28"/>
  </cols>
  <sheetData>
    <row r="1" spans="1:10" s="281" customFormat="1" ht="45" customHeight="1">
      <c r="A1" s="1618"/>
      <c r="B1" s="1620"/>
      <c r="C1" s="1629">
        <v>2012</v>
      </c>
      <c r="D1" s="1620"/>
      <c r="E1" s="1618"/>
      <c r="F1" s="1618"/>
      <c r="G1" s="280"/>
    </row>
    <row r="2" spans="1:10" s="281" customFormat="1" ht="77.25" customHeight="1" thickBot="1">
      <c r="A2" s="4159" t="s">
        <v>2256</v>
      </c>
      <c r="B2" s="4160"/>
      <c r="C2" s="1619" t="str">
        <f>CONCATENATE("Revised ",TEXT(startRevisionDate,"mmmm dd, yyyy"))</f>
        <v>Revised January 26, 2018</v>
      </c>
      <c r="D2" s="4165"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4165"/>
      <c r="F2" s="4165"/>
      <c r="G2" s="280"/>
    </row>
    <row r="3" spans="1:10" s="107" customFormat="1" ht="18.75" customHeight="1" thickBot="1">
      <c r="A3" s="4081" t="s">
        <v>549</v>
      </c>
      <c r="B3" s="4082"/>
      <c r="C3" s="4082"/>
      <c r="D3" s="4082"/>
      <c r="E3" s="4082"/>
      <c r="F3" s="4083"/>
      <c r="G3" s="282"/>
      <c r="H3" s="28"/>
      <c r="I3" s="28"/>
      <c r="J3" s="28"/>
    </row>
    <row r="4" spans="1:10" s="107" customFormat="1">
      <c r="A4" s="4161"/>
      <c r="B4" s="4162"/>
      <c r="C4" s="4162"/>
      <c r="D4" s="4162"/>
      <c r="E4" s="4162"/>
      <c r="F4" s="785" t="s">
        <v>550</v>
      </c>
      <c r="G4" s="282"/>
      <c r="H4" s="28"/>
      <c r="I4" s="28"/>
      <c r="J4" s="28"/>
    </row>
    <row r="5" spans="1:10">
      <c r="A5" s="4163" t="s">
        <v>1356</v>
      </c>
      <c r="B5" s="4164"/>
      <c r="C5" s="4164"/>
      <c r="D5" s="4164"/>
      <c r="E5" s="4164"/>
      <c r="F5" s="283"/>
    </row>
    <row r="6" spans="1:10">
      <c r="A6" s="4152"/>
      <c r="B6" s="4153"/>
      <c r="C6" s="4153"/>
      <c r="D6" s="4153"/>
      <c r="E6" s="4153"/>
      <c r="F6" s="283"/>
    </row>
    <row r="7" spans="1:10">
      <c r="A7" s="4154" t="s">
        <v>1357</v>
      </c>
      <c r="B7" s="4155"/>
      <c r="C7" s="4155"/>
      <c r="D7" s="4155"/>
      <c r="E7" s="4155"/>
      <c r="F7" s="283"/>
    </row>
    <row r="8" spans="1:10">
      <c r="A8" s="4150" t="s">
        <v>1358</v>
      </c>
      <c r="B8" s="4151"/>
      <c r="C8" s="4151"/>
      <c r="D8" s="4151"/>
      <c r="E8" s="4151"/>
      <c r="F8" s="283"/>
    </row>
    <row r="9" spans="1:10">
      <c r="A9" s="4150" t="s">
        <v>1359</v>
      </c>
      <c r="B9" s="4151"/>
      <c r="C9" s="4151"/>
      <c r="D9" s="4151"/>
      <c r="E9" s="4151"/>
      <c r="F9" s="283"/>
    </row>
    <row r="10" spans="1:10">
      <c r="A10" s="4150" t="s">
        <v>1360</v>
      </c>
      <c r="B10" s="4151"/>
      <c r="C10" s="4151"/>
      <c r="D10" s="4151"/>
      <c r="E10" s="4151"/>
      <c r="F10" s="283"/>
    </row>
    <row r="11" spans="1:10" ht="45" customHeight="1">
      <c r="A11" s="4150" t="s">
        <v>1361</v>
      </c>
      <c r="B11" s="4151"/>
      <c r="C11" s="4151"/>
      <c r="D11" s="4151"/>
      <c r="E11" s="4151"/>
      <c r="F11" s="283"/>
    </row>
    <row r="12" spans="1:10" ht="15" customHeight="1">
      <c r="A12" s="4152"/>
      <c r="B12" s="4153"/>
      <c r="C12" s="4153"/>
      <c r="D12" s="4153"/>
      <c r="E12" s="4153"/>
      <c r="F12" s="283"/>
    </row>
    <row r="13" spans="1:10" ht="15" customHeight="1">
      <c r="A13" s="4154" t="s">
        <v>1362</v>
      </c>
      <c r="B13" s="4155"/>
      <c r="C13" s="4155"/>
      <c r="D13" s="4155"/>
      <c r="E13" s="4155"/>
      <c r="F13" s="283"/>
    </row>
    <row r="14" spans="1:10" ht="30" customHeight="1">
      <c r="A14" s="4150" t="s">
        <v>1363</v>
      </c>
      <c r="B14" s="4151"/>
      <c r="C14" s="4151"/>
      <c r="D14" s="4151"/>
      <c r="E14" s="4151"/>
      <c r="F14" s="283"/>
    </row>
    <row r="15" spans="1:10" ht="25.5" customHeight="1">
      <c r="A15" s="4150" t="s">
        <v>1364</v>
      </c>
      <c r="B15" s="4151"/>
      <c r="C15" s="4151"/>
      <c r="D15" s="4151"/>
      <c r="E15" s="4151"/>
      <c r="F15" s="283"/>
    </row>
    <row r="16" spans="1:10">
      <c r="A16" s="4150" t="s">
        <v>1365</v>
      </c>
      <c r="B16" s="4151"/>
      <c r="C16" s="4151"/>
      <c r="D16" s="4151"/>
      <c r="E16" s="4151"/>
      <c r="F16" s="283"/>
    </row>
    <row r="17" spans="1:6">
      <c r="A17" s="4150" t="s">
        <v>1366</v>
      </c>
      <c r="B17" s="4151"/>
      <c r="C17" s="4151"/>
      <c r="D17" s="4151"/>
      <c r="E17" s="4151"/>
      <c r="F17" s="283"/>
    </row>
    <row r="18" spans="1:6">
      <c r="A18" s="4150" t="s">
        <v>1367</v>
      </c>
      <c r="B18" s="4151"/>
      <c r="C18" s="4151"/>
      <c r="D18" s="4151"/>
      <c r="E18" s="4151"/>
      <c r="F18" s="283"/>
    </row>
    <row r="19" spans="1:6" ht="25.5" customHeight="1">
      <c r="A19" s="4150" t="s">
        <v>1368</v>
      </c>
      <c r="B19" s="4151"/>
      <c r="C19" s="4151"/>
      <c r="D19" s="4151"/>
      <c r="E19" s="4151"/>
      <c r="F19" s="283"/>
    </row>
    <row r="20" spans="1:6" ht="25.5" customHeight="1">
      <c r="A20" s="4150" t="s">
        <v>1369</v>
      </c>
      <c r="B20" s="4151"/>
      <c r="C20" s="4151"/>
      <c r="D20" s="4151"/>
      <c r="E20" s="4151"/>
      <c r="F20" s="283"/>
    </row>
    <row r="21" spans="1:6">
      <c r="A21" s="4150" t="s">
        <v>1370</v>
      </c>
      <c r="B21" s="4151"/>
      <c r="C21" s="4151"/>
      <c r="D21" s="4151"/>
      <c r="E21" s="4151"/>
      <c r="F21" s="283"/>
    </row>
    <row r="22" spans="1:6">
      <c r="A22" s="4152"/>
      <c r="B22" s="4153"/>
      <c r="C22" s="4153"/>
      <c r="D22" s="4153"/>
      <c r="E22" s="4153"/>
      <c r="F22" s="283"/>
    </row>
    <row r="23" spans="1:6">
      <c r="A23" s="4154" t="s">
        <v>1371</v>
      </c>
      <c r="B23" s="4155"/>
      <c r="C23" s="4155"/>
      <c r="D23" s="4155"/>
      <c r="E23" s="4155"/>
      <c r="F23" s="283"/>
    </row>
    <row r="24" spans="1:6" ht="25.5" customHeight="1">
      <c r="A24" s="4150" t="s">
        <v>1372</v>
      </c>
      <c r="B24" s="4151"/>
      <c r="C24" s="4151"/>
      <c r="D24" s="4151"/>
      <c r="E24" s="4151"/>
      <c r="F24" s="283"/>
    </row>
    <row r="25" spans="1:6">
      <c r="A25" s="4150" t="s">
        <v>1373</v>
      </c>
      <c r="B25" s="4151"/>
      <c r="C25" s="4151"/>
      <c r="D25" s="4151"/>
      <c r="E25" s="4151"/>
      <c r="F25" s="283"/>
    </row>
    <row r="26" spans="1:6">
      <c r="A26" s="4166" t="s">
        <v>1374</v>
      </c>
      <c r="B26" s="4167"/>
      <c r="C26" s="4167"/>
      <c r="D26" s="4167"/>
      <c r="E26" s="4167"/>
      <c r="F26" s="283"/>
    </row>
    <row r="27" spans="1:6">
      <c r="A27" s="4166" t="s">
        <v>1375</v>
      </c>
      <c r="B27" s="4167"/>
      <c r="C27" s="4167"/>
      <c r="D27" s="4167"/>
      <c r="E27" s="4167"/>
      <c r="F27" s="283"/>
    </row>
    <row r="28" spans="1:6">
      <c r="A28" s="4150" t="s">
        <v>1376</v>
      </c>
      <c r="B28" s="4151"/>
      <c r="C28" s="4151"/>
      <c r="D28" s="4151"/>
      <c r="E28" s="4151"/>
      <c r="F28" s="283"/>
    </row>
    <row r="29" spans="1:6">
      <c r="A29" s="4150" t="s">
        <v>1377</v>
      </c>
      <c r="B29" s="4151"/>
      <c r="C29" s="4151"/>
      <c r="D29" s="4151"/>
      <c r="E29" s="4151"/>
      <c r="F29" s="283"/>
    </row>
    <row r="30" spans="1:6">
      <c r="A30" s="4150" t="s">
        <v>1378</v>
      </c>
      <c r="B30" s="4151"/>
      <c r="C30" s="4151"/>
      <c r="D30" s="4151"/>
      <c r="E30" s="4151"/>
      <c r="F30" s="283"/>
    </row>
    <row r="31" spans="1:6" ht="16" thickBot="1">
      <c r="A31" s="4146"/>
      <c r="B31" s="4147"/>
      <c r="C31" s="4147"/>
      <c r="D31" s="4147"/>
      <c r="E31" s="4147"/>
      <c r="F31" s="76"/>
    </row>
    <row r="32" spans="1:6" ht="16" thickBot="1">
      <c r="A32" s="4124"/>
      <c r="B32" s="4124"/>
      <c r="C32" s="4124"/>
      <c r="D32" s="4124"/>
      <c r="E32" s="4124"/>
      <c r="F32" s="4124"/>
    </row>
    <row r="33" spans="1:6" ht="18.75" customHeight="1" thickBot="1">
      <c r="A33" s="4081" t="s">
        <v>1450</v>
      </c>
      <c r="B33" s="4082"/>
      <c r="C33" s="4082"/>
      <c r="D33" s="4082"/>
      <c r="E33" s="4082"/>
      <c r="F33" s="4083"/>
    </row>
    <row r="34" spans="1:6">
      <c r="A34" s="4148"/>
      <c r="B34" s="4149"/>
      <c r="C34" s="4149"/>
      <c r="D34" s="4149"/>
      <c r="E34" s="4149"/>
      <c r="F34" s="785" t="s">
        <v>1463</v>
      </c>
    </row>
    <row r="35" spans="1:6">
      <c r="A35" s="4125" t="s">
        <v>551</v>
      </c>
      <c r="B35" s="4126"/>
      <c r="C35" s="4126"/>
      <c r="D35" s="4126"/>
      <c r="E35" s="4126"/>
      <c r="F35" s="284"/>
    </row>
    <row r="36" spans="1:6">
      <c r="A36" s="4137" t="s">
        <v>1451</v>
      </c>
      <c r="B36" s="4138"/>
      <c r="C36" s="4138"/>
      <c r="D36" s="4138"/>
      <c r="E36" s="4138"/>
      <c r="F36" s="283"/>
    </row>
    <row r="37" spans="1:6">
      <c r="A37" s="4137" t="s">
        <v>1452</v>
      </c>
      <c r="B37" s="4138"/>
      <c r="C37" s="4138"/>
      <c r="D37" s="4138"/>
      <c r="E37" s="4138"/>
      <c r="F37" s="283"/>
    </row>
    <row r="38" spans="1:6" ht="25" customHeight="1">
      <c r="A38" s="4137" t="s">
        <v>1453</v>
      </c>
      <c r="B38" s="4138"/>
      <c r="C38" s="4138"/>
      <c r="D38" s="4138"/>
      <c r="E38" s="4138"/>
      <c r="F38" s="283"/>
    </row>
    <row r="39" spans="1:6" ht="25" customHeight="1">
      <c r="A39" s="4137" t="s">
        <v>1454</v>
      </c>
      <c r="B39" s="4138"/>
      <c r="C39" s="4138"/>
      <c r="D39" s="4138"/>
      <c r="E39" s="4138"/>
      <c r="F39" s="283"/>
    </row>
    <row r="40" spans="1:6" ht="25" customHeight="1">
      <c r="A40" s="4137" t="s">
        <v>1455</v>
      </c>
      <c r="B40" s="4138"/>
      <c r="C40" s="4138"/>
      <c r="D40" s="4138"/>
      <c r="E40" s="4138"/>
      <c r="F40" s="283"/>
    </row>
    <row r="41" spans="1:6">
      <c r="A41" s="4137" t="s">
        <v>552</v>
      </c>
      <c r="B41" s="4138"/>
      <c r="C41" s="4138"/>
      <c r="D41" s="4138"/>
      <c r="E41" s="4138"/>
      <c r="F41" s="283"/>
    </row>
    <row r="42" spans="1:6">
      <c r="A42" s="4120" t="s">
        <v>553</v>
      </c>
      <c r="B42" s="4121"/>
      <c r="C42" s="4121"/>
      <c r="D42" s="4121"/>
      <c r="E42" s="4121"/>
      <c r="F42" s="283"/>
    </row>
    <row r="43" spans="1:6">
      <c r="A43" s="4120" t="s">
        <v>1456</v>
      </c>
      <c r="B43" s="4121"/>
      <c r="C43" s="4121"/>
      <c r="D43" s="4121"/>
      <c r="E43" s="4121"/>
      <c r="F43" s="283"/>
    </row>
    <row r="44" spans="1:6">
      <c r="A44" s="4120" t="s">
        <v>1457</v>
      </c>
      <c r="B44" s="4121"/>
      <c r="C44" s="4121"/>
      <c r="D44" s="4121"/>
      <c r="E44" s="4121"/>
      <c r="F44" s="283"/>
    </row>
    <row r="45" spans="1:6" ht="25.5" customHeight="1">
      <c r="A45" s="4137" t="s">
        <v>1458</v>
      </c>
      <c r="B45" s="4138"/>
      <c r="C45" s="4138"/>
      <c r="D45" s="4138"/>
      <c r="E45" s="4138"/>
      <c r="F45" s="283"/>
    </row>
    <row r="46" spans="1:6">
      <c r="A46" s="4139" t="s">
        <v>554</v>
      </c>
      <c r="B46" s="4140"/>
      <c r="C46" s="4140"/>
      <c r="D46" s="4140"/>
      <c r="E46" s="4140"/>
      <c r="F46" s="283"/>
    </row>
    <row r="47" spans="1:6">
      <c r="A47" s="4141" t="s">
        <v>1459</v>
      </c>
      <c r="B47" s="4142"/>
      <c r="C47" s="4142"/>
      <c r="D47" s="4142"/>
      <c r="E47" s="4142"/>
      <c r="F47" s="283"/>
    </row>
    <row r="48" spans="1:6">
      <c r="A48" s="4141" t="s">
        <v>1460</v>
      </c>
      <c r="B48" s="4142"/>
      <c r="C48" s="4142"/>
      <c r="D48" s="4142"/>
      <c r="E48" s="4142"/>
      <c r="F48" s="283"/>
    </row>
    <row r="49" spans="1:8">
      <c r="A49" s="4143" t="s">
        <v>1461</v>
      </c>
      <c r="B49" s="4144"/>
      <c r="C49" s="4144"/>
      <c r="D49" s="4144"/>
      <c r="E49" s="4144"/>
      <c r="F49" s="4145"/>
    </row>
    <row r="50" spans="1:8">
      <c r="A50" s="4143" t="s">
        <v>1462</v>
      </c>
      <c r="B50" s="4144"/>
      <c r="C50" s="4144"/>
      <c r="D50" s="4144"/>
      <c r="E50" s="4144"/>
      <c r="F50" s="4145"/>
    </row>
    <row r="51" spans="1:8" ht="15" customHeight="1">
      <c r="A51" s="4129" t="s">
        <v>192</v>
      </c>
      <c r="B51" s="4131" t="s">
        <v>555</v>
      </c>
      <c r="C51" s="4131"/>
      <c r="D51" s="4131"/>
      <c r="E51" s="4131"/>
      <c r="F51" s="4132"/>
      <c r="G51" s="285"/>
      <c r="H51" s="286"/>
    </row>
    <row r="52" spans="1:8" ht="15" customHeight="1">
      <c r="A52" s="4130"/>
      <c r="B52" s="287" t="s">
        <v>556</v>
      </c>
      <c r="C52" s="287" t="s">
        <v>557</v>
      </c>
      <c r="D52" s="287" t="s">
        <v>558</v>
      </c>
      <c r="E52" s="287" t="s">
        <v>559</v>
      </c>
      <c r="F52" s="288" t="s">
        <v>560</v>
      </c>
    </row>
    <row r="53" spans="1:8" ht="15" customHeight="1">
      <c r="A53" s="289" t="s">
        <v>561</v>
      </c>
      <c r="B53" s="290" t="s">
        <v>562</v>
      </c>
      <c r="C53" s="290" t="s">
        <v>562</v>
      </c>
      <c r="D53" s="290" t="s">
        <v>563</v>
      </c>
      <c r="E53" s="290" t="s">
        <v>564</v>
      </c>
      <c r="F53" s="291" t="s">
        <v>564</v>
      </c>
    </row>
    <row r="54" spans="1:8" ht="15" customHeight="1">
      <c r="A54" s="289" t="s">
        <v>565</v>
      </c>
      <c r="B54" s="290" t="s">
        <v>563</v>
      </c>
      <c r="C54" s="290" t="s">
        <v>563</v>
      </c>
      <c r="D54" s="290" t="s">
        <v>564</v>
      </c>
      <c r="E54" s="290" t="s">
        <v>564</v>
      </c>
      <c r="F54" s="291" t="s">
        <v>566</v>
      </c>
    </row>
    <row r="55" spans="1:8" ht="15" customHeight="1">
      <c r="A55" s="292" t="s">
        <v>567</v>
      </c>
      <c r="B55" s="290" t="s">
        <v>564</v>
      </c>
      <c r="C55" s="290" t="s">
        <v>566</v>
      </c>
      <c r="D55" s="290" t="s">
        <v>566</v>
      </c>
      <c r="E55" s="290" t="s">
        <v>568</v>
      </c>
      <c r="F55" s="291" t="s">
        <v>569</v>
      </c>
    </row>
    <row r="56" spans="1:8">
      <c r="A56" s="4133" t="s">
        <v>570</v>
      </c>
      <c r="B56" s="4134"/>
      <c r="C56" s="4134"/>
      <c r="D56" s="4134"/>
      <c r="E56" s="4134"/>
      <c r="F56" s="4135"/>
    </row>
    <row r="57" spans="1:8" ht="16" thickBot="1">
      <c r="A57" s="293"/>
      <c r="B57" s="294"/>
      <c r="C57" s="294"/>
      <c r="D57" s="294"/>
      <c r="E57" s="294"/>
      <c r="F57" s="295"/>
    </row>
    <row r="58" spans="1:8" ht="16" thickBot="1">
      <c r="A58" s="4124"/>
      <c r="B58" s="4124"/>
      <c r="C58" s="4124"/>
      <c r="D58" s="4124"/>
      <c r="E58" s="4124"/>
      <c r="F58" s="4124"/>
    </row>
    <row r="59" spans="1:8" ht="18.75" customHeight="1" thickBot="1">
      <c r="A59" s="4081" t="s">
        <v>1465</v>
      </c>
      <c r="B59" s="4082"/>
      <c r="C59" s="4082"/>
      <c r="D59" s="4082"/>
      <c r="E59" s="4082"/>
      <c r="F59" s="4083"/>
    </row>
    <row r="60" spans="1:8">
      <c r="A60" s="4136"/>
      <c r="B60" s="4100"/>
      <c r="C60" s="4100"/>
      <c r="D60" s="4100"/>
      <c r="E60" s="4100"/>
      <c r="F60" s="785" t="s">
        <v>1464</v>
      </c>
    </row>
    <row r="61" spans="1:8" ht="15" customHeight="1">
      <c r="A61" s="4125" t="s">
        <v>1466</v>
      </c>
      <c r="B61" s="4126"/>
      <c r="C61" s="4126"/>
      <c r="D61" s="4126"/>
      <c r="E61" s="4126"/>
      <c r="F61" s="283"/>
    </row>
    <row r="62" spans="1:8" ht="30" customHeight="1">
      <c r="A62" s="4127" t="s">
        <v>1467</v>
      </c>
      <c r="B62" s="4128"/>
      <c r="C62" s="4128"/>
      <c r="D62" s="4128"/>
      <c r="E62" s="4128"/>
      <c r="F62" s="283"/>
    </row>
    <row r="63" spans="1:8" ht="27" customHeight="1">
      <c r="A63" s="4127" t="s">
        <v>1468</v>
      </c>
      <c r="B63" s="4128"/>
      <c r="C63" s="4128"/>
      <c r="D63" s="4128"/>
      <c r="E63" s="4128"/>
      <c r="F63" s="283"/>
    </row>
    <row r="64" spans="1:8" ht="30" customHeight="1">
      <c r="A64" s="4120" t="s">
        <v>1469</v>
      </c>
      <c r="B64" s="4121"/>
      <c r="C64" s="4121"/>
      <c r="D64" s="4121"/>
      <c r="E64" s="4121"/>
      <c r="F64" s="283"/>
    </row>
    <row r="65" spans="1:10" ht="15" customHeight="1">
      <c r="A65" s="4120" t="s">
        <v>571</v>
      </c>
      <c r="B65" s="4121"/>
      <c r="C65" s="4121"/>
      <c r="D65" s="4121"/>
      <c r="E65" s="4121"/>
      <c r="F65" s="283"/>
    </row>
    <row r="66" spans="1:10" ht="15" customHeight="1">
      <c r="A66" s="4118" t="s">
        <v>1470</v>
      </c>
      <c r="B66" s="4119"/>
      <c r="C66" s="4119"/>
      <c r="D66" s="4119"/>
      <c r="E66" s="4119"/>
      <c r="F66" s="283"/>
    </row>
    <row r="67" spans="1:10" ht="15" customHeight="1">
      <c r="A67" s="4118" t="s">
        <v>1471</v>
      </c>
      <c r="B67" s="4119"/>
      <c r="C67" s="4119"/>
      <c r="D67" s="4119"/>
      <c r="E67" s="4119"/>
      <c r="F67" s="283"/>
    </row>
    <row r="68" spans="1:10" ht="15" customHeight="1">
      <c r="A68" s="4118" t="s">
        <v>1472</v>
      </c>
      <c r="B68" s="4119"/>
      <c r="C68" s="4119"/>
      <c r="D68" s="4119"/>
      <c r="E68" s="4119"/>
      <c r="F68" s="283"/>
    </row>
    <row r="69" spans="1:10" ht="30" customHeight="1">
      <c r="A69" s="4120" t="s">
        <v>1473</v>
      </c>
      <c r="B69" s="4121"/>
      <c r="C69" s="4121"/>
      <c r="D69" s="4121"/>
      <c r="E69" s="4121"/>
      <c r="F69" s="283"/>
    </row>
    <row r="70" spans="1:10" ht="30" customHeight="1" thickBot="1">
      <c r="A70" s="4122" t="s">
        <v>1474</v>
      </c>
      <c r="B70" s="4123"/>
      <c r="C70" s="4123"/>
      <c r="D70" s="4123"/>
      <c r="E70" s="4123"/>
      <c r="F70" s="76"/>
    </row>
    <row r="71" spans="1:10" ht="16" thickBot="1">
      <c r="A71" s="4124"/>
      <c r="B71" s="4124"/>
      <c r="C71" s="4124"/>
      <c r="D71" s="4124"/>
      <c r="E71" s="4124"/>
      <c r="F71" s="4124"/>
    </row>
    <row r="72" spans="1:10" ht="18.75" customHeight="1" thickBot="1">
      <c r="A72" s="4115" t="s">
        <v>1859</v>
      </c>
      <c r="B72" s="4115"/>
      <c r="C72" s="4115"/>
      <c r="D72" s="4115"/>
      <c r="E72" s="4115"/>
      <c r="F72" s="4115"/>
      <c r="G72" s="4115"/>
      <c r="H72" s="4115"/>
      <c r="I72" s="4115"/>
      <c r="J72" s="4115"/>
    </row>
    <row r="73" spans="1:10" ht="26.25" customHeight="1" thickBot="1">
      <c r="A73" s="4099"/>
      <c r="B73" s="4100"/>
      <c r="C73" s="4100"/>
      <c r="D73" s="4100"/>
      <c r="E73" s="4100"/>
      <c r="G73" s="571"/>
      <c r="H73" s="538"/>
      <c r="I73" s="4116" t="s">
        <v>1860</v>
      </c>
      <c r="J73" s="4117"/>
    </row>
    <row r="74" spans="1:10" s="106" customFormat="1" ht="14">
      <c r="A74" s="4101" t="s">
        <v>951</v>
      </c>
      <c r="B74" s="4102"/>
      <c r="C74" s="4102"/>
      <c r="D74" s="4102"/>
      <c r="E74" s="4102"/>
      <c r="F74" s="4103"/>
      <c r="G74" s="573"/>
      <c r="H74" s="531"/>
      <c r="I74" s="531"/>
      <c r="J74" s="574"/>
    </row>
    <row r="75" spans="1:10" s="106" customFormat="1" ht="30">
      <c r="A75" s="575"/>
      <c r="B75" s="545"/>
      <c r="C75" s="4104" t="s">
        <v>952</v>
      </c>
      <c r="D75" s="4104"/>
      <c r="E75" s="4104"/>
      <c r="F75" s="599" t="s">
        <v>953</v>
      </c>
      <c r="G75" s="573"/>
      <c r="H75" s="531"/>
      <c r="I75" s="531"/>
      <c r="J75" s="574"/>
    </row>
    <row r="76" spans="1:10" s="106" customFormat="1">
      <c r="A76" s="576" t="s">
        <v>954</v>
      </c>
      <c r="B76" s="561" t="s">
        <v>955</v>
      </c>
      <c r="C76" s="561" t="s">
        <v>958</v>
      </c>
      <c r="D76" s="561" t="s">
        <v>957</v>
      </c>
      <c r="E76" s="561" t="s">
        <v>956</v>
      </c>
      <c r="F76" s="600" t="s">
        <v>959</v>
      </c>
      <c r="G76" s="573"/>
      <c r="H76" s="531"/>
      <c r="I76" s="531"/>
      <c r="J76" s="574"/>
    </row>
    <row r="77" spans="1:10" s="106" customFormat="1" ht="17">
      <c r="A77" s="577" t="s">
        <v>960</v>
      </c>
      <c r="B77" s="316">
        <v>0.33</v>
      </c>
      <c r="C77" s="316">
        <v>50</v>
      </c>
      <c r="D77" s="316">
        <v>50</v>
      </c>
      <c r="E77" s="316">
        <v>50</v>
      </c>
      <c r="F77" s="601">
        <v>50</v>
      </c>
      <c r="G77" s="573"/>
      <c r="H77" s="531"/>
      <c r="I77" s="531"/>
      <c r="J77" s="574"/>
    </row>
    <row r="78" spans="1:10" s="106" customFormat="1" ht="17">
      <c r="A78" s="577" t="s">
        <v>961</v>
      </c>
      <c r="B78" s="316">
        <v>0.5</v>
      </c>
      <c r="C78" s="316">
        <v>50</v>
      </c>
      <c r="D78" s="316">
        <v>50</v>
      </c>
      <c r="E78" s="316">
        <v>50</v>
      </c>
      <c r="F78" s="601">
        <v>48</v>
      </c>
      <c r="G78" s="573"/>
      <c r="H78" s="531"/>
      <c r="I78" s="531"/>
      <c r="J78" s="574"/>
    </row>
    <row r="79" spans="1:10" s="106" customFormat="1" ht="17">
      <c r="A79" s="577" t="s">
        <v>962</v>
      </c>
      <c r="B79" s="316">
        <v>0.75</v>
      </c>
      <c r="C79" s="316">
        <v>50</v>
      </c>
      <c r="D79" s="316">
        <v>50</v>
      </c>
      <c r="E79" s="316">
        <v>43</v>
      </c>
      <c r="F79" s="601">
        <v>32</v>
      </c>
      <c r="G79" s="573"/>
      <c r="H79" s="531"/>
      <c r="I79" s="531"/>
      <c r="J79" s="574"/>
    </row>
    <row r="80" spans="1:10" s="559" customFormat="1">
      <c r="A80" s="578" t="s">
        <v>963</v>
      </c>
      <c r="B80" s="562">
        <v>1.5</v>
      </c>
      <c r="C80" s="562">
        <v>50</v>
      </c>
      <c r="D80" s="562">
        <v>43</v>
      </c>
      <c r="E80" s="562">
        <v>21</v>
      </c>
      <c r="F80" s="602">
        <v>16</v>
      </c>
      <c r="G80" s="579"/>
      <c r="H80" s="580"/>
      <c r="I80" s="580"/>
      <c r="J80" s="581"/>
    </row>
    <row r="81" spans="1:10" s="559" customFormat="1">
      <c r="A81" s="578" t="s">
        <v>964</v>
      </c>
      <c r="B81" s="562">
        <v>2</v>
      </c>
      <c r="C81" s="562">
        <v>50</v>
      </c>
      <c r="D81" s="562">
        <v>32</v>
      </c>
      <c r="E81" s="562">
        <v>16</v>
      </c>
      <c r="F81" s="602">
        <v>12</v>
      </c>
      <c r="G81" s="579"/>
      <c r="H81" s="580"/>
      <c r="I81" s="580"/>
      <c r="J81" s="581"/>
    </row>
    <row r="82" spans="1:10" s="559" customFormat="1">
      <c r="A82" s="578" t="s">
        <v>965</v>
      </c>
      <c r="B82" s="562">
        <v>3</v>
      </c>
      <c r="C82" s="562">
        <v>43</v>
      </c>
      <c r="D82" s="562">
        <v>21</v>
      </c>
      <c r="E82" s="562">
        <v>11</v>
      </c>
      <c r="F82" s="602">
        <v>8</v>
      </c>
      <c r="G82" s="579"/>
      <c r="H82" s="580"/>
      <c r="I82" s="580"/>
      <c r="J82" s="581"/>
    </row>
    <row r="83" spans="1:10" s="560" customFormat="1" ht="16">
      <c r="A83" s="582" t="s">
        <v>966</v>
      </c>
      <c r="B83" s="563">
        <v>4</v>
      </c>
      <c r="C83" s="564">
        <v>32</v>
      </c>
      <c r="D83" s="564">
        <v>16</v>
      </c>
      <c r="E83" s="564">
        <v>8</v>
      </c>
      <c r="F83" s="602">
        <v>6</v>
      </c>
      <c r="G83" s="583"/>
      <c r="H83" s="584"/>
      <c r="I83" s="584"/>
      <c r="J83" s="585"/>
    </row>
    <row r="84" spans="1:10" s="560" customFormat="1">
      <c r="A84" s="586">
        <v>1</v>
      </c>
      <c r="B84" s="563">
        <v>5</v>
      </c>
      <c r="C84" s="564">
        <v>26</v>
      </c>
      <c r="D84" s="564">
        <v>13</v>
      </c>
      <c r="E84" s="564">
        <v>6</v>
      </c>
      <c r="F84" s="602">
        <v>5</v>
      </c>
      <c r="G84" s="583"/>
      <c r="H84" s="584"/>
      <c r="I84" s="584"/>
      <c r="J84" s="585"/>
    </row>
    <row r="85" spans="1:10" s="560" customFormat="1">
      <c r="A85" s="587">
        <v>1.25</v>
      </c>
      <c r="B85" s="563">
        <v>8</v>
      </c>
      <c r="C85" s="564">
        <v>16</v>
      </c>
      <c r="D85" s="564">
        <v>8</v>
      </c>
      <c r="E85" s="564">
        <v>4</v>
      </c>
      <c r="F85" s="602">
        <v>3</v>
      </c>
      <c r="G85" s="583"/>
      <c r="H85" s="584"/>
      <c r="I85" s="584"/>
      <c r="J85" s="585"/>
    </row>
    <row r="86" spans="1:10" s="560" customFormat="1">
      <c r="A86" s="587">
        <v>1.5</v>
      </c>
      <c r="B86" s="563">
        <v>11</v>
      </c>
      <c r="C86" s="564">
        <v>12</v>
      </c>
      <c r="D86" s="564">
        <v>6</v>
      </c>
      <c r="E86" s="564">
        <v>3</v>
      </c>
      <c r="F86" s="602">
        <v>2</v>
      </c>
      <c r="G86" s="583"/>
      <c r="H86" s="584"/>
      <c r="I86" s="584"/>
      <c r="J86" s="585"/>
    </row>
    <row r="87" spans="1:10" s="560" customFormat="1" ht="16" thickBot="1">
      <c r="A87" s="606">
        <v>2</v>
      </c>
      <c r="B87" s="603">
        <v>18</v>
      </c>
      <c r="C87" s="604">
        <v>7</v>
      </c>
      <c r="D87" s="604">
        <v>4</v>
      </c>
      <c r="E87" s="604">
        <v>2</v>
      </c>
      <c r="F87" s="605">
        <v>1</v>
      </c>
      <c r="G87" s="583"/>
      <c r="H87" s="584"/>
      <c r="I87" s="584"/>
      <c r="J87" s="585"/>
    </row>
    <row r="88" spans="1:10" s="560" customFormat="1" ht="35" customHeight="1">
      <c r="A88" s="4105" t="s">
        <v>967</v>
      </c>
      <c r="B88" s="4106"/>
      <c r="C88" s="4106"/>
      <c r="D88" s="4106"/>
      <c r="E88" s="4106"/>
      <c r="F88" s="4106"/>
      <c r="G88" s="583"/>
      <c r="H88" s="584"/>
      <c r="I88" s="584"/>
      <c r="J88" s="585"/>
    </row>
    <row r="89" spans="1:10">
      <c r="A89" s="588"/>
      <c r="B89" s="532"/>
      <c r="C89" s="538"/>
      <c r="D89" s="538"/>
      <c r="E89" s="538"/>
      <c r="F89" s="531"/>
      <c r="G89" s="571"/>
      <c r="H89" s="538"/>
      <c r="I89" s="538"/>
      <c r="J89" s="572"/>
    </row>
    <row r="90" spans="1:10" ht="35" customHeight="1">
      <c r="A90" s="4107" t="s">
        <v>968</v>
      </c>
      <c r="B90" s="4108"/>
      <c r="C90" s="4108"/>
      <c r="D90" s="4108"/>
      <c r="E90" s="4108"/>
      <c r="F90" s="4108"/>
      <c r="G90" s="571"/>
      <c r="H90" s="538"/>
      <c r="I90" s="538"/>
      <c r="J90" s="572"/>
    </row>
    <row r="91" spans="1:10" ht="24.75" customHeight="1" thickBot="1">
      <c r="A91" s="588"/>
      <c r="B91" s="532"/>
      <c r="C91" s="538"/>
      <c r="D91" s="538"/>
      <c r="E91" s="538"/>
      <c r="F91" s="531"/>
      <c r="G91" s="571"/>
      <c r="H91" s="538"/>
      <c r="I91" s="538"/>
      <c r="J91" s="572"/>
    </row>
    <row r="92" spans="1:10">
      <c r="A92" s="4109" t="s">
        <v>969</v>
      </c>
      <c r="B92" s="4110"/>
      <c r="C92" s="4110"/>
      <c r="D92" s="4110"/>
      <c r="E92" s="4110"/>
      <c r="F92" s="4110"/>
      <c r="G92" s="4110"/>
      <c r="H92" s="4110"/>
      <c r="I92" s="4110"/>
      <c r="J92" s="4111"/>
    </row>
    <row r="93" spans="1:10">
      <c r="A93" s="4112" t="s">
        <v>970</v>
      </c>
      <c r="B93" s="4113"/>
      <c r="C93" s="4113"/>
      <c r="D93" s="4113"/>
      <c r="E93" s="4113"/>
      <c r="F93" s="4113"/>
      <c r="G93" s="4113"/>
      <c r="H93" s="4113"/>
      <c r="I93" s="4113"/>
      <c r="J93" s="4114"/>
    </row>
    <row r="94" spans="1:10" s="565" customFormat="1" ht="30" customHeight="1">
      <c r="A94" s="589" t="s">
        <v>971</v>
      </c>
      <c r="B94" s="566" t="s">
        <v>972</v>
      </c>
      <c r="C94" s="566" t="s">
        <v>973</v>
      </c>
      <c r="D94" s="566" t="s">
        <v>974</v>
      </c>
      <c r="E94" s="566" t="s">
        <v>975</v>
      </c>
      <c r="F94" s="561" t="s">
        <v>976</v>
      </c>
      <c r="G94" s="567" t="s">
        <v>977</v>
      </c>
      <c r="H94" s="566" t="s">
        <v>978</v>
      </c>
      <c r="I94" s="566" t="s">
        <v>979</v>
      </c>
      <c r="J94" s="590" t="s">
        <v>980</v>
      </c>
    </row>
    <row r="95" spans="1:10" ht="16">
      <c r="A95" s="591" t="s">
        <v>981</v>
      </c>
      <c r="B95" s="568">
        <v>1.06</v>
      </c>
      <c r="C95" s="569">
        <v>0.97</v>
      </c>
      <c r="D95" s="569">
        <v>0.84</v>
      </c>
      <c r="E95" s="569" t="s">
        <v>9</v>
      </c>
      <c r="F95" s="545">
        <v>1.17</v>
      </c>
      <c r="G95" s="570" t="s">
        <v>9</v>
      </c>
      <c r="H95" s="569">
        <v>0.64</v>
      </c>
      <c r="I95" s="569">
        <v>0.63</v>
      </c>
      <c r="J95" s="592">
        <v>0.64</v>
      </c>
    </row>
    <row r="96" spans="1:10" ht="16">
      <c r="A96" s="591" t="s">
        <v>982</v>
      </c>
      <c r="B96" s="568">
        <v>1.69</v>
      </c>
      <c r="C96" s="569">
        <v>1.55</v>
      </c>
      <c r="D96" s="569">
        <v>1.45</v>
      </c>
      <c r="E96" s="569">
        <v>1.25</v>
      </c>
      <c r="F96" s="545">
        <v>1.89</v>
      </c>
      <c r="G96" s="570">
        <v>1.46</v>
      </c>
      <c r="H96" s="569">
        <v>1.18</v>
      </c>
      <c r="I96" s="569">
        <v>1.31</v>
      </c>
      <c r="J96" s="592">
        <v>1.18</v>
      </c>
    </row>
    <row r="97" spans="1:10" ht="16">
      <c r="A97" s="591" t="s">
        <v>983</v>
      </c>
      <c r="B97" s="568">
        <v>3.43</v>
      </c>
      <c r="C97" s="569">
        <v>3.22</v>
      </c>
      <c r="D97" s="569">
        <v>2.9</v>
      </c>
      <c r="E97" s="569">
        <v>2.67</v>
      </c>
      <c r="F97" s="545">
        <v>3.38</v>
      </c>
      <c r="G97" s="570">
        <v>2.74</v>
      </c>
      <c r="H97" s="569">
        <v>2.35</v>
      </c>
      <c r="I97" s="569">
        <v>3.39</v>
      </c>
      <c r="J97" s="592">
        <v>2.35</v>
      </c>
    </row>
    <row r="98" spans="1:10" ht="16">
      <c r="A98" s="591" t="s">
        <v>984</v>
      </c>
      <c r="B98" s="568">
        <v>5.81</v>
      </c>
      <c r="C98" s="569">
        <v>5.49</v>
      </c>
      <c r="D98" s="569">
        <v>5.17</v>
      </c>
      <c r="E98" s="569">
        <v>4.43</v>
      </c>
      <c r="F98" s="545">
        <v>5.53</v>
      </c>
      <c r="G98" s="570">
        <v>4.57</v>
      </c>
      <c r="H98" s="569">
        <v>3.91</v>
      </c>
      <c r="I98" s="569">
        <v>5.56</v>
      </c>
      <c r="J98" s="592">
        <v>3.91</v>
      </c>
    </row>
    <row r="99" spans="1:10" ht="16">
      <c r="A99" s="591" t="s">
        <v>985</v>
      </c>
      <c r="B99" s="568">
        <v>8.6999999999999993</v>
      </c>
      <c r="C99" s="569">
        <v>8.36</v>
      </c>
      <c r="D99" s="569">
        <v>8.09</v>
      </c>
      <c r="E99" s="569">
        <v>6.61</v>
      </c>
      <c r="F99" s="545">
        <v>9.66</v>
      </c>
      <c r="G99" s="570">
        <v>8.24</v>
      </c>
      <c r="H99" s="569">
        <v>5.81</v>
      </c>
      <c r="I99" s="569">
        <v>8.49</v>
      </c>
      <c r="J99" s="592">
        <v>5.81</v>
      </c>
    </row>
    <row r="100" spans="1:10" ht="16">
      <c r="A100" s="591" t="s">
        <v>986</v>
      </c>
      <c r="B100" s="568">
        <v>12.18</v>
      </c>
      <c r="C100" s="569">
        <v>11.83</v>
      </c>
      <c r="D100" s="569">
        <v>11.45</v>
      </c>
      <c r="E100" s="569">
        <v>9.2200000000000006</v>
      </c>
      <c r="F100" s="545">
        <v>13.2</v>
      </c>
      <c r="G100" s="570">
        <v>11.38</v>
      </c>
      <c r="H100" s="569">
        <v>8.09</v>
      </c>
      <c r="I100" s="569">
        <v>13.88</v>
      </c>
      <c r="J100" s="592">
        <v>8.09</v>
      </c>
    </row>
    <row r="101" spans="1:10" ht="17" thickBot="1">
      <c r="A101" s="593" t="s">
        <v>987</v>
      </c>
      <c r="B101" s="594">
        <v>21.08</v>
      </c>
      <c r="C101" s="595">
        <v>20.58</v>
      </c>
      <c r="D101" s="595">
        <v>20.04</v>
      </c>
      <c r="E101" s="595">
        <v>15.79</v>
      </c>
      <c r="F101" s="596">
        <v>21.88</v>
      </c>
      <c r="G101" s="597">
        <v>19.11</v>
      </c>
      <c r="H101" s="595">
        <v>13.86</v>
      </c>
      <c r="I101" s="595">
        <v>21.48</v>
      </c>
      <c r="J101" s="598">
        <v>13.86</v>
      </c>
    </row>
    <row r="102" spans="1:10" ht="16" thickBot="1"/>
    <row r="103" spans="1:10" ht="18.75" customHeight="1" thickBot="1">
      <c r="A103" s="4081" t="s">
        <v>1281</v>
      </c>
      <c r="B103" s="4082"/>
      <c r="C103" s="4082"/>
      <c r="D103" s="4082"/>
      <c r="E103" s="4082"/>
      <c r="F103" s="4083"/>
    </row>
    <row r="104" spans="1:10">
      <c r="A104" s="4084"/>
      <c r="B104" s="4085"/>
      <c r="C104" s="4085"/>
      <c r="D104" s="4085"/>
      <c r="E104" s="4085"/>
      <c r="F104" s="785" t="s">
        <v>1282</v>
      </c>
    </row>
    <row r="105" spans="1:10">
      <c r="A105" s="1864"/>
      <c r="B105" s="4093" t="s">
        <v>2152</v>
      </c>
      <c r="C105" s="4093"/>
      <c r="D105" s="1865"/>
      <c r="E105" s="1865"/>
      <c r="F105" s="1867"/>
    </row>
    <row r="106" spans="1:10" ht="16" thickBot="1">
      <c r="A106" s="1864"/>
      <c r="B106" s="4094" t="s">
        <v>2153</v>
      </c>
      <c r="C106" s="4094"/>
      <c r="D106" s="1865"/>
      <c r="E106" s="1865"/>
      <c r="F106" s="1867"/>
    </row>
    <row r="107" spans="1:10">
      <c r="A107" s="1864"/>
      <c r="B107" s="4095" t="s">
        <v>2154</v>
      </c>
      <c r="C107" s="1869" t="s">
        <v>2155</v>
      </c>
      <c r="D107" s="1865"/>
      <c r="E107" s="1865"/>
      <c r="F107" s="1867"/>
    </row>
    <row r="108" spans="1:10" ht="16" thickBot="1">
      <c r="A108" s="1864"/>
      <c r="B108" s="4096"/>
      <c r="C108" s="1870" t="s">
        <v>2156</v>
      </c>
      <c r="D108" s="1865"/>
      <c r="E108" s="1865"/>
      <c r="F108" s="1867"/>
    </row>
    <row r="109" spans="1:10" ht="16" thickBot="1">
      <c r="A109" s="1864"/>
      <c r="B109" s="1871" t="s">
        <v>2157</v>
      </c>
      <c r="C109" s="1872">
        <v>50</v>
      </c>
      <c r="D109" s="1865"/>
      <c r="E109" s="1865"/>
      <c r="F109" s="1867"/>
    </row>
    <row r="110" spans="1:10" ht="16" thickBot="1">
      <c r="A110" s="1864"/>
      <c r="B110" s="1873" t="s">
        <v>2158</v>
      </c>
      <c r="C110" s="1874">
        <v>100</v>
      </c>
      <c r="D110" s="1865"/>
      <c r="E110" s="1865"/>
      <c r="F110" s="1867"/>
    </row>
    <row r="111" spans="1:10" ht="16" thickBot="1">
      <c r="A111" s="1864"/>
      <c r="B111" s="1873" t="s">
        <v>2159</v>
      </c>
      <c r="C111" s="1874">
        <v>150</v>
      </c>
      <c r="D111" s="1865"/>
      <c r="E111" s="1865"/>
      <c r="F111" s="1867"/>
    </row>
    <row r="112" spans="1:10" ht="16" thickBot="1">
      <c r="A112" s="1864"/>
      <c r="B112" s="1875" t="s">
        <v>2160</v>
      </c>
      <c r="C112" s="1876"/>
      <c r="D112" s="1865"/>
      <c r="E112" s="1865"/>
      <c r="F112" s="1867"/>
    </row>
    <row r="113" spans="1:6" ht="16" thickBot="1">
      <c r="A113" s="1864"/>
      <c r="B113" s="1873" t="s">
        <v>2161</v>
      </c>
      <c r="C113" s="1874">
        <v>400</v>
      </c>
      <c r="D113" s="1865"/>
      <c r="E113" s="1865"/>
      <c r="F113" s="1867"/>
    </row>
    <row r="114" spans="1:6" ht="16" thickBot="1">
      <c r="A114" s="1864"/>
      <c r="B114" s="1873" t="s">
        <v>2162</v>
      </c>
      <c r="C114" s="1874">
        <v>400</v>
      </c>
      <c r="D114" s="1865"/>
      <c r="E114" s="1865"/>
      <c r="F114" s="1867"/>
    </row>
    <row r="115" spans="1:6" ht="16" thickBot="1">
      <c r="A115" s="1864"/>
      <c r="B115" s="1873" t="s">
        <v>2163</v>
      </c>
      <c r="C115" s="1874">
        <v>50</v>
      </c>
      <c r="D115" s="1865"/>
      <c r="E115" s="1865"/>
      <c r="F115" s="1867"/>
    </row>
    <row r="116" spans="1:6" ht="16" thickBot="1">
      <c r="A116" s="1864"/>
      <c r="B116" s="1873" t="s">
        <v>2164</v>
      </c>
      <c r="C116" s="1874">
        <v>350</v>
      </c>
      <c r="D116" s="1865"/>
      <c r="E116" s="1865"/>
      <c r="F116" s="1867"/>
    </row>
    <row r="117" spans="1:6" ht="16" thickBot="1">
      <c r="A117" s="1864"/>
      <c r="B117" s="1873" t="s">
        <v>2165</v>
      </c>
      <c r="C117" s="1874">
        <v>350</v>
      </c>
      <c r="D117" s="1865"/>
      <c r="E117" s="1865"/>
      <c r="F117" s="1867"/>
    </row>
    <row r="118" spans="1:6" ht="16" thickBot="1">
      <c r="A118" s="1864"/>
      <c r="B118" s="1873" t="s">
        <v>2166</v>
      </c>
      <c r="C118" s="1874">
        <v>350</v>
      </c>
      <c r="D118" s="1865"/>
      <c r="E118" s="1865"/>
      <c r="F118" s="1867"/>
    </row>
    <row r="119" spans="1:6" ht="16" thickBot="1">
      <c r="A119" s="1864"/>
      <c r="B119" s="1873" t="s">
        <v>2167</v>
      </c>
      <c r="C119" s="1874">
        <v>100</v>
      </c>
      <c r="D119" s="1865"/>
      <c r="E119" s="1865"/>
      <c r="F119" s="1867"/>
    </row>
    <row r="120" spans="1:6" ht="16" thickBot="1">
      <c r="A120" s="1864"/>
      <c r="B120" s="1873" t="s">
        <v>2168</v>
      </c>
      <c r="C120" s="1874">
        <v>50</v>
      </c>
      <c r="D120" s="1865"/>
      <c r="E120" s="1865"/>
      <c r="F120" s="1867"/>
    </row>
    <row r="121" spans="1:6" ht="16" thickBot="1">
      <c r="A121" s="1864"/>
      <c r="B121" s="1873" t="s">
        <v>2169</v>
      </c>
      <c r="C121" s="1874">
        <v>150</v>
      </c>
      <c r="D121" s="1865"/>
      <c r="E121" s="1865"/>
      <c r="F121" s="1867"/>
    </row>
    <row r="122" spans="1:6" ht="16" thickBot="1">
      <c r="A122" s="1864"/>
      <c r="B122" s="1873" t="s">
        <v>2170</v>
      </c>
      <c r="C122" s="1874">
        <v>350</v>
      </c>
      <c r="D122" s="1865"/>
      <c r="E122" s="1865"/>
      <c r="F122" s="1867"/>
    </row>
    <row r="123" spans="1:6" ht="16" thickBot="1">
      <c r="A123" s="1864"/>
      <c r="B123" s="1873" t="s">
        <v>2171</v>
      </c>
      <c r="C123" s="1874">
        <v>350</v>
      </c>
      <c r="D123" s="1865"/>
      <c r="E123" s="1865"/>
      <c r="F123" s="1867"/>
    </row>
    <row r="124" spans="1:6" ht="16" thickBot="1">
      <c r="A124" s="1864"/>
      <c r="B124" s="1873" t="s">
        <v>2172</v>
      </c>
      <c r="C124" s="1874">
        <v>100</v>
      </c>
      <c r="D124" s="1865"/>
      <c r="E124" s="1865"/>
      <c r="F124" s="1867"/>
    </row>
    <row r="125" spans="1:6" ht="16" thickBot="1">
      <c r="A125" s="1864"/>
      <c r="B125" s="1873" t="s">
        <v>2173</v>
      </c>
      <c r="C125" s="1874">
        <v>250</v>
      </c>
      <c r="D125" s="1865"/>
      <c r="E125" s="1865"/>
      <c r="F125" s="1867"/>
    </row>
    <row r="126" spans="1:6" ht="27" thickBot="1">
      <c r="A126" s="1864"/>
      <c r="B126" s="1873" t="s">
        <v>2174</v>
      </c>
      <c r="C126" s="1874">
        <v>500</v>
      </c>
      <c r="D126" s="1865"/>
      <c r="E126" s="1865"/>
      <c r="F126" s="1867"/>
    </row>
    <row r="127" spans="1:6" ht="16" thickBot="1">
      <c r="A127" s="1864"/>
      <c r="B127" s="1873" t="s">
        <v>2175</v>
      </c>
      <c r="C127" s="1874">
        <v>420</v>
      </c>
      <c r="D127" s="1865"/>
      <c r="E127" s="1865"/>
      <c r="F127" s="1867"/>
    </row>
    <row r="128" spans="1:6" ht="16" thickBot="1">
      <c r="A128" s="1864"/>
      <c r="B128" s="1873" t="s">
        <v>2176</v>
      </c>
      <c r="C128" s="1874">
        <v>250</v>
      </c>
      <c r="D128" s="1865"/>
      <c r="E128" s="1865"/>
      <c r="F128" s="1867"/>
    </row>
    <row r="129" spans="1:6" ht="16" thickBot="1">
      <c r="A129" s="1864"/>
      <c r="B129" s="1873" t="s">
        <v>2177</v>
      </c>
      <c r="C129" s="1874" t="s">
        <v>2178</v>
      </c>
      <c r="D129" s="1865"/>
      <c r="E129" s="1865"/>
      <c r="F129" s="1867"/>
    </row>
    <row r="130" spans="1:6" ht="16" thickBot="1">
      <c r="A130" s="1864"/>
      <c r="B130" s="1873" t="s">
        <v>2179</v>
      </c>
      <c r="C130" s="1874">
        <v>450</v>
      </c>
      <c r="D130" s="1865"/>
      <c r="E130" s="1865"/>
      <c r="F130" s="1867"/>
    </row>
    <row r="131" spans="1:6" ht="16" thickBot="1">
      <c r="A131" s="1864"/>
      <c r="B131" s="1873" t="s">
        <v>2180</v>
      </c>
      <c r="C131" s="1874">
        <v>100</v>
      </c>
      <c r="D131" s="1865"/>
      <c r="E131" s="1865"/>
      <c r="F131" s="1867"/>
    </row>
    <row r="132" spans="1:6" ht="16" thickBot="1">
      <c r="A132" s="1864"/>
      <c r="B132" s="1873" t="s">
        <v>2181</v>
      </c>
      <c r="C132" s="1874">
        <v>500</v>
      </c>
      <c r="D132" s="1865"/>
      <c r="E132" s="1865"/>
      <c r="F132" s="1867"/>
    </row>
    <row r="133" spans="1:6" ht="16" thickBot="1">
      <c r="A133" s="1864"/>
      <c r="B133" s="1873" t="s">
        <v>2182</v>
      </c>
      <c r="C133" s="1874">
        <v>250</v>
      </c>
      <c r="D133" s="1865"/>
      <c r="E133" s="1865"/>
      <c r="F133" s="1867"/>
    </row>
    <row r="134" spans="1:6" ht="16" thickBot="1">
      <c r="A134" s="1864"/>
      <c r="B134" s="1868" t="s">
        <v>2183</v>
      </c>
      <c r="C134" s="1877">
        <v>420</v>
      </c>
      <c r="D134" s="1865"/>
      <c r="E134" s="1865"/>
      <c r="F134" s="1867"/>
    </row>
    <row r="135" spans="1:6" ht="27" thickBot="1">
      <c r="A135" s="1864"/>
      <c r="B135" s="1871" t="s">
        <v>2184</v>
      </c>
      <c r="C135" s="1872">
        <v>100</v>
      </c>
      <c r="D135" s="1865"/>
      <c r="E135" s="1865"/>
      <c r="F135" s="1867"/>
    </row>
    <row r="136" spans="1:6" ht="16" thickBot="1">
      <c r="A136" s="1864"/>
      <c r="B136" s="1873" t="s">
        <v>2185</v>
      </c>
      <c r="C136" s="1874">
        <v>350</v>
      </c>
      <c r="D136" s="1865"/>
      <c r="E136" s="1865"/>
      <c r="F136" s="1867"/>
    </row>
    <row r="137" spans="1:6" ht="16" thickBot="1">
      <c r="A137" s="1864"/>
      <c r="B137" s="1873" t="s">
        <v>2186</v>
      </c>
      <c r="C137" s="1874">
        <v>250</v>
      </c>
      <c r="D137" s="1865"/>
      <c r="E137" s="1865"/>
      <c r="F137" s="1867"/>
    </row>
    <row r="138" spans="1:6" ht="16" thickBot="1">
      <c r="A138" s="1864"/>
      <c r="B138" s="1873" t="s">
        <v>2187</v>
      </c>
      <c r="C138" s="1874">
        <v>50</v>
      </c>
      <c r="D138" s="1865"/>
      <c r="E138" s="1865"/>
      <c r="F138" s="1867"/>
    </row>
    <row r="139" spans="1:6" ht="16" thickBot="1">
      <c r="A139" s="1864"/>
      <c r="B139" s="1873" t="s">
        <v>2188</v>
      </c>
      <c r="C139" s="1874">
        <v>250</v>
      </c>
      <c r="D139" s="1865"/>
      <c r="E139" s="1865"/>
      <c r="F139" s="1867"/>
    </row>
    <row r="140" spans="1:6">
      <c r="A140" s="1864"/>
      <c r="B140" s="4095" t="s">
        <v>2189</v>
      </c>
      <c r="C140" s="4095">
        <v>730</v>
      </c>
      <c r="D140" s="1865"/>
      <c r="E140" s="1865"/>
      <c r="F140" s="1867"/>
    </row>
    <row r="141" spans="1:6" ht="16" thickBot="1">
      <c r="A141" s="1864"/>
      <c r="B141" s="4096"/>
      <c r="C141" s="4096"/>
      <c r="D141" s="1865"/>
      <c r="E141" s="1865"/>
      <c r="F141" s="1867"/>
    </row>
    <row r="142" spans="1:6" ht="16" thickBot="1">
      <c r="A142" s="1864"/>
      <c r="B142" s="1873" t="s">
        <v>2190</v>
      </c>
      <c r="C142" s="1874">
        <v>550</v>
      </c>
      <c r="D142" s="1865"/>
      <c r="E142" s="1865"/>
      <c r="F142" s="1867"/>
    </row>
    <row r="143" spans="1:6" ht="27" thickBot="1">
      <c r="A143" s="1864"/>
      <c r="B143" s="1873" t="s">
        <v>2191</v>
      </c>
      <c r="C143" s="1874">
        <v>100</v>
      </c>
      <c r="D143" s="1865"/>
      <c r="E143" s="1865"/>
      <c r="F143" s="1867"/>
    </row>
    <row r="144" spans="1:6" ht="16" thickBot="1">
      <c r="A144" s="1864"/>
      <c r="B144" s="1873" t="s">
        <v>2192</v>
      </c>
      <c r="C144" s="1874">
        <v>250</v>
      </c>
      <c r="D144" s="1865"/>
      <c r="E144" s="1865"/>
      <c r="F144" s="1867"/>
    </row>
    <row r="145" spans="1:6" ht="16" thickBot="1">
      <c r="A145" s="1864"/>
      <c r="B145" s="1873" t="s">
        <v>2193</v>
      </c>
      <c r="C145" s="1874">
        <v>450</v>
      </c>
      <c r="D145" s="1865"/>
      <c r="E145" s="1865"/>
      <c r="F145" s="1867"/>
    </row>
    <row r="146" spans="1:6" ht="16" thickBot="1">
      <c r="A146" s="1864"/>
      <c r="B146" s="1873" t="s">
        <v>2194</v>
      </c>
      <c r="C146" s="1874">
        <v>340</v>
      </c>
      <c r="D146" s="1865"/>
      <c r="E146" s="1865"/>
      <c r="F146" s="1867"/>
    </row>
    <row r="147" spans="1:6" ht="16" thickBot="1">
      <c r="A147" s="1864"/>
      <c r="B147" s="1873" t="s">
        <v>2195</v>
      </c>
      <c r="C147" s="1874">
        <v>100</v>
      </c>
      <c r="D147" s="1865"/>
      <c r="E147" s="1865"/>
      <c r="F147" s="1867"/>
    </row>
    <row r="148" spans="1:6" ht="16" thickBot="1">
      <c r="A148" s="1864"/>
      <c r="B148" s="1873" t="s">
        <v>2196</v>
      </c>
      <c r="C148" s="1874">
        <v>420</v>
      </c>
      <c r="D148" s="1865"/>
      <c r="E148" s="1865"/>
      <c r="F148" s="1867"/>
    </row>
    <row r="149" spans="1:6" ht="16" thickBot="1">
      <c r="A149" s="1864"/>
      <c r="B149" s="1873" t="s">
        <v>2197</v>
      </c>
      <c r="C149" s="1874">
        <v>250</v>
      </c>
      <c r="D149" s="1865"/>
      <c r="E149" s="1865"/>
      <c r="F149" s="1867"/>
    </row>
    <row r="150" spans="1:6" ht="16" thickBot="1">
      <c r="A150" s="1864"/>
      <c r="B150" s="1873" t="s">
        <v>2198</v>
      </c>
      <c r="C150" s="1874">
        <v>275</v>
      </c>
      <c r="D150" s="1865"/>
      <c r="E150" s="1865"/>
      <c r="F150" s="1867"/>
    </row>
    <row r="151" spans="1:6" ht="16" thickBot="1">
      <c r="A151" s="1864"/>
      <c r="B151" s="1873" t="s">
        <v>2199</v>
      </c>
      <c r="C151" s="1874">
        <v>350</v>
      </c>
      <c r="D151" s="1865"/>
      <c r="E151" s="1865"/>
      <c r="F151" s="1867"/>
    </row>
    <row r="152" spans="1:6" ht="16" thickBot="1">
      <c r="A152" s="1864"/>
      <c r="B152" s="1873" t="s">
        <v>2200</v>
      </c>
      <c r="C152" s="1874">
        <v>340</v>
      </c>
      <c r="D152" s="1865"/>
      <c r="E152" s="1865"/>
      <c r="F152" s="1867"/>
    </row>
    <row r="153" spans="1:6">
      <c r="A153" s="1864"/>
      <c r="B153" s="1865"/>
      <c r="C153" s="1865"/>
      <c r="D153" s="1865"/>
      <c r="E153" s="1865"/>
      <c r="F153" s="1867"/>
    </row>
    <row r="154" spans="1:6">
      <c r="A154" s="1878" t="s">
        <v>2201</v>
      </c>
      <c r="B154" s="28"/>
      <c r="C154" s="1865"/>
      <c r="D154" s="1865"/>
      <c r="E154" s="1865"/>
      <c r="F154" s="1867"/>
    </row>
    <row r="155" spans="1:6">
      <c r="A155" s="1879" t="s">
        <v>2203</v>
      </c>
      <c r="B155" s="28"/>
      <c r="C155" s="1865"/>
      <c r="D155" s="1865"/>
      <c r="E155" s="1865"/>
      <c r="F155" s="1867"/>
    </row>
    <row r="156" spans="1:6">
      <c r="A156" s="1879" t="s">
        <v>2204</v>
      </c>
      <c r="B156" s="28"/>
      <c r="C156" s="1865"/>
      <c r="D156" s="1865"/>
      <c r="E156" s="1865"/>
      <c r="F156" s="1867"/>
    </row>
    <row r="157" spans="1:6">
      <c r="A157" s="1878" t="s">
        <v>2202</v>
      </c>
      <c r="B157" s="28"/>
      <c r="C157" s="1865"/>
      <c r="D157" s="1865"/>
      <c r="E157" s="1865"/>
      <c r="F157" s="1867"/>
    </row>
    <row r="158" spans="1:6" ht="24.75" customHeight="1">
      <c r="A158" s="4156" t="s">
        <v>2205</v>
      </c>
      <c r="B158" s="4157"/>
      <c r="C158" s="4157"/>
      <c r="D158" s="4157"/>
      <c r="E158" s="4157"/>
      <c r="F158" s="4158"/>
    </row>
    <row r="159" spans="1:6">
      <c r="A159" s="1864"/>
      <c r="B159" s="1865"/>
      <c r="C159" s="1865"/>
      <c r="D159" s="1865"/>
      <c r="E159" s="1865"/>
      <c r="F159" s="1867"/>
    </row>
    <row r="160" spans="1:6">
      <c r="A160" s="1864"/>
      <c r="B160" s="1865"/>
      <c r="C160" s="1865"/>
      <c r="D160" s="1865"/>
      <c r="E160" s="1865"/>
      <c r="F160" s="1867"/>
    </row>
    <row r="161" spans="1:6">
      <c r="A161" s="783"/>
      <c r="B161" s="692"/>
      <c r="C161" s="695"/>
      <c r="D161" s="695"/>
      <c r="E161" s="695"/>
      <c r="F161" s="283"/>
    </row>
    <row r="162" spans="1:6" ht="17" thickBot="1">
      <c r="A162" s="1881"/>
      <c r="B162" s="4092" t="s">
        <v>1278</v>
      </c>
      <c r="C162" s="4092"/>
      <c r="D162" s="4092"/>
      <c r="E162" s="695"/>
      <c r="F162" s="1880" t="s">
        <v>1870</v>
      </c>
    </row>
    <row r="163" spans="1:6">
      <c r="A163" s="783"/>
      <c r="B163" s="4090" t="s">
        <v>1250</v>
      </c>
      <c r="C163" s="4091"/>
      <c r="D163" s="776" t="s">
        <v>1277</v>
      </c>
      <c r="E163" s="695"/>
      <c r="F163" s="283"/>
    </row>
    <row r="164" spans="1:6">
      <c r="A164" s="783"/>
      <c r="B164" s="4086" t="s">
        <v>1251</v>
      </c>
      <c r="C164" s="4087"/>
      <c r="D164" s="781">
        <v>50</v>
      </c>
      <c r="E164" s="695"/>
      <c r="F164" s="283"/>
    </row>
    <row r="165" spans="1:6">
      <c r="A165" s="783"/>
      <c r="B165" s="4086" t="s">
        <v>1252</v>
      </c>
      <c r="C165" s="4087"/>
      <c r="D165" s="781">
        <v>50</v>
      </c>
      <c r="E165" s="695"/>
      <c r="F165" s="283"/>
    </row>
    <row r="166" spans="1:6">
      <c r="A166" s="783"/>
      <c r="B166" s="4086" t="s">
        <v>1253</v>
      </c>
      <c r="C166" s="4087"/>
      <c r="D166" s="781">
        <v>150</v>
      </c>
      <c r="E166" s="695"/>
      <c r="F166" s="283"/>
    </row>
    <row r="167" spans="1:6">
      <c r="A167" s="783"/>
      <c r="B167" s="4086" t="s">
        <v>1254</v>
      </c>
      <c r="C167" s="4087"/>
      <c r="D167" s="781">
        <v>100</v>
      </c>
      <c r="E167" s="695"/>
      <c r="F167" s="283"/>
    </row>
    <row r="168" spans="1:6">
      <c r="A168" s="783"/>
      <c r="B168" s="4086" t="s">
        <v>1255</v>
      </c>
      <c r="C168" s="4087"/>
      <c r="D168" s="781">
        <v>60</v>
      </c>
      <c r="E168" s="695"/>
      <c r="F168" s="283"/>
    </row>
    <row r="169" spans="1:6">
      <c r="A169" s="783"/>
      <c r="B169" s="4086" t="s">
        <v>1256</v>
      </c>
      <c r="C169" s="4087"/>
      <c r="D169" s="781">
        <v>50</v>
      </c>
      <c r="E169" s="695"/>
      <c r="F169" s="283"/>
    </row>
    <row r="170" spans="1:6">
      <c r="A170" s="783"/>
      <c r="B170" s="4086" t="s">
        <v>1257</v>
      </c>
      <c r="C170" s="4087"/>
      <c r="D170" s="781">
        <v>65</v>
      </c>
      <c r="E170" s="695"/>
      <c r="F170" s="283"/>
    </row>
    <row r="171" spans="1:6">
      <c r="A171" s="783"/>
      <c r="B171" s="4086" t="s">
        <v>1258</v>
      </c>
      <c r="C171" s="4087"/>
      <c r="D171" s="781">
        <v>50</v>
      </c>
      <c r="E171" s="695"/>
      <c r="F171" s="283"/>
    </row>
    <row r="172" spans="1:6">
      <c r="A172" s="783"/>
      <c r="B172" s="4086" t="s">
        <v>1259</v>
      </c>
      <c r="C172" s="4087"/>
      <c r="D172" s="781">
        <v>50</v>
      </c>
      <c r="E172" s="695"/>
      <c r="F172" s="283"/>
    </row>
    <row r="173" spans="1:6">
      <c r="A173" s="783"/>
      <c r="B173" s="4086" t="s">
        <v>1260</v>
      </c>
      <c r="C173" s="4087"/>
      <c r="D173" s="781">
        <v>50</v>
      </c>
      <c r="E173" s="695"/>
      <c r="F173" s="283"/>
    </row>
    <row r="174" spans="1:6">
      <c r="A174" s="783"/>
      <c r="B174" s="4086" t="s">
        <v>1261</v>
      </c>
      <c r="C174" s="4087"/>
      <c r="D174" s="781">
        <v>70</v>
      </c>
      <c r="E174" s="695"/>
      <c r="F174" s="283"/>
    </row>
    <row r="175" spans="1:6">
      <c r="A175" s="783"/>
      <c r="B175" s="4086" t="s">
        <v>1262</v>
      </c>
      <c r="C175" s="4087"/>
      <c r="D175" s="781">
        <v>100</v>
      </c>
      <c r="E175" s="695"/>
      <c r="F175" s="283"/>
    </row>
    <row r="176" spans="1:6">
      <c r="A176" s="783"/>
      <c r="B176" s="4086" t="s">
        <v>1263</v>
      </c>
      <c r="C176" s="4087"/>
      <c r="D176" s="781">
        <v>250</v>
      </c>
      <c r="E176" s="695"/>
      <c r="F176" s="283"/>
    </row>
    <row r="177" spans="1:6">
      <c r="A177" s="783"/>
      <c r="B177" s="4086" t="s">
        <v>1264</v>
      </c>
      <c r="C177" s="4087"/>
      <c r="D177" s="781">
        <v>250</v>
      </c>
      <c r="E177" s="695"/>
      <c r="F177" s="283"/>
    </row>
    <row r="178" spans="1:6">
      <c r="A178" s="783"/>
      <c r="B178" s="4086" t="s">
        <v>1275</v>
      </c>
      <c r="C178" s="4087"/>
      <c r="D178" s="781">
        <v>250</v>
      </c>
      <c r="E178" s="695"/>
      <c r="F178" s="283"/>
    </row>
    <row r="179" spans="1:6">
      <c r="A179" s="783"/>
      <c r="B179" s="4086" t="s">
        <v>1276</v>
      </c>
      <c r="C179" s="4087"/>
      <c r="D179" s="781">
        <v>775</v>
      </c>
      <c r="E179" s="695"/>
      <c r="F179" s="283"/>
    </row>
    <row r="180" spans="1:6">
      <c r="A180" s="783"/>
      <c r="B180" s="4086" t="s">
        <v>1265</v>
      </c>
      <c r="C180" s="4087"/>
      <c r="D180" s="781">
        <v>500</v>
      </c>
      <c r="E180" s="695"/>
      <c r="F180" s="283"/>
    </row>
    <row r="181" spans="1:6">
      <c r="A181" s="783"/>
      <c r="B181" s="4086" t="s">
        <v>1266</v>
      </c>
      <c r="C181" s="4087"/>
      <c r="D181" s="781">
        <v>750</v>
      </c>
      <c r="E181" s="695"/>
      <c r="F181" s="283"/>
    </row>
    <row r="182" spans="1:6">
      <c r="A182" s="783"/>
      <c r="B182" s="4086" t="s">
        <v>1267</v>
      </c>
      <c r="C182" s="4087"/>
      <c r="D182" s="781">
        <v>490</v>
      </c>
      <c r="E182" s="695"/>
      <c r="F182" s="283"/>
    </row>
    <row r="183" spans="1:6">
      <c r="A183" s="783"/>
      <c r="B183" s="4086" t="s">
        <v>1268</v>
      </c>
      <c r="C183" s="4087"/>
      <c r="D183" s="781">
        <v>510</v>
      </c>
      <c r="E183" s="695"/>
      <c r="F183" s="283"/>
    </row>
    <row r="184" spans="1:6">
      <c r="A184" s="783"/>
      <c r="B184" s="4086" t="s">
        <v>1269</v>
      </c>
      <c r="C184" s="4087"/>
      <c r="D184" s="781">
        <v>325</v>
      </c>
      <c r="E184" s="695"/>
      <c r="F184" s="283"/>
    </row>
    <row r="185" spans="1:6">
      <c r="A185" s="783"/>
      <c r="B185" s="4086" t="s">
        <v>1270</v>
      </c>
      <c r="C185" s="4087"/>
      <c r="D185" s="781">
        <v>250</v>
      </c>
      <c r="E185" s="695"/>
      <c r="F185" s="283"/>
    </row>
    <row r="186" spans="1:6">
      <c r="A186" s="783"/>
      <c r="B186" s="4086" t="s">
        <v>1271</v>
      </c>
      <c r="C186" s="4087"/>
      <c r="D186" s="781">
        <v>550</v>
      </c>
      <c r="E186" s="695"/>
      <c r="F186" s="283"/>
    </row>
    <row r="187" spans="1:6">
      <c r="A187" s="783"/>
      <c r="B187" s="4086" t="s">
        <v>1272</v>
      </c>
      <c r="C187" s="4087"/>
      <c r="D187" s="781">
        <v>80</v>
      </c>
      <c r="E187" s="695"/>
      <c r="F187" s="283"/>
    </row>
    <row r="188" spans="1:6">
      <c r="A188" s="783"/>
      <c r="B188" s="4086" t="s">
        <v>1273</v>
      </c>
      <c r="C188" s="4087"/>
      <c r="D188" s="781">
        <v>250</v>
      </c>
      <c r="E188" s="695"/>
      <c r="F188" s="283"/>
    </row>
    <row r="189" spans="1:6" ht="16" thickBot="1">
      <c r="A189" s="783"/>
      <c r="B189" s="4088" t="s">
        <v>1274</v>
      </c>
      <c r="C189" s="4089"/>
      <c r="D189" s="782">
        <v>140</v>
      </c>
      <c r="E189" s="695"/>
      <c r="F189" s="283"/>
    </row>
    <row r="190" spans="1:6" ht="30" customHeight="1">
      <c r="A190" s="783"/>
      <c r="B190" s="4097" t="s">
        <v>1279</v>
      </c>
      <c r="C190" s="4097"/>
      <c r="D190" s="4097"/>
      <c r="E190" s="695"/>
      <c r="F190" s="283"/>
    </row>
    <row r="191" spans="1:6" ht="60" customHeight="1">
      <c r="A191" s="783"/>
      <c r="B191" s="4098" t="s">
        <v>1280</v>
      </c>
      <c r="C191" s="4098"/>
      <c r="D191" s="4098"/>
      <c r="E191" s="695"/>
      <c r="F191" s="283"/>
    </row>
    <row r="192" spans="1:6" ht="16" thickBot="1">
      <c r="A192" s="784"/>
      <c r="B192" s="693"/>
      <c r="C192" s="696"/>
      <c r="D192" s="696"/>
      <c r="E192" s="696"/>
      <c r="F192" s="76"/>
    </row>
  </sheetData>
  <sheetProtection password="CA4F" sheet="1" objects="1" scenarios="1" formatRows="0" selectLockedCells="1"/>
  <mergeCells count="114">
    <mergeCell ref="B140:B141"/>
    <mergeCell ref="C140:C141"/>
    <mergeCell ref="A158:F158"/>
    <mergeCell ref="A2:B2"/>
    <mergeCell ref="A3:F3"/>
    <mergeCell ref="A4:E4"/>
    <mergeCell ref="A5:E5"/>
    <mergeCell ref="A13:E13"/>
    <mergeCell ref="A14:E14"/>
    <mergeCell ref="A15:E15"/>
    <mergeCell ref="A11:E11"/>
    <mergeCell ref="D2:F2"/>
    <mergeCell ref="A16:E16"/>
    <mergeCell ref="A17:E17"/>
    <mergeCell ref="A18:E18"/>
    <mergeCell ref="A6:E6"/>
    <mergeCell ref="A7:E7"/>
    <mergeCell ref="A8:E8"/>
    <mergeCell ref="A9:E9"/>
    <mergeCell ref="A10:E10"/>
    <mergeCell ref="A12:E12"/>
    <mergeCell ref="A25:E25"/>
    <mergeCell ref="A26:E26"/>
    <mergeCell ref="A27:E27"/>
    <mergeCell ref="A28:E28"/>
    <mergeCell ref="A29:E29"/>
    <mergeCell ref="A30:E30"/>
    <mergeCell ref="A19:E19"/>
    <mergeCell ref="A20:E20"/>
    <mergeCell ref="A21:E21"/>
    <mergeCell ref="A22:E22"/>
    <mergeCell ref="A23:E23"/>
    <mergeCell ref="A24:E24"/>
    <mergeCell ref="A31:E31"/>
    <mergeCell ref="A32:F32"/>
    <mergeCell ref="A39:E39"/>
    <mergeCell ref="A40:E40"/>
    <mergeCell ref="A41:E41"/>
    <mergeCell ref="A42:E42"/>
    <mergeCell ref="A43:E43"/>
    <mergeCell ref="A44:E44"/>
    <mergeCell ref="A33:F33"/>
    <mergeCell ref="A34:E34"/>
    <mergeCell ref="A35:E35"/>
    <mergeCell ref="A36:E36"/>
    <mergeCell ref="A37:E37"/>
    <mergeCell ref="A38:E38"/>
    <mergeCell ref="A51:A52"/>
    <mergeCell ref="B51:F51"/>
    <mergeCell ref="A56:F56"/>
    <mergeCell ref="A58:F58"/>
    <mergeCell ref="A59:F59"/>
    <mergeCell ref="A60:E60"/>
    <mergeCell ref="A45:E45"/>
    <mergeCell ref="A46:E46"/>
    <mergeCell ref="A47:E47"/>
    <mergeCell ref="A48:E48"/>
    <mergeCell ref="A49:F49"/>
    <mergeCell ref="A50:F50"/>
    <mergeCell ref="A67:E67"/>
    <mergeCell ref="A68:E68"/>
    <mergeCell ref="A69:E69"/>
    <mergeCell ref="A70:E70"/>
    <mergeCell ref="A71:F71"/>
    <mergeCell ref="A61:E61"/>
    <mergeCell ref="A62:E62"/>
    <mergeCell ref="A63:E63"/>
    <mergeCell ref="A64:E64"/>
    <mergeCell ref="A65:E65"/>
    <mergeCell ref="A66:E66"/>
    <mergeCell ref="A73:E73"/>
    <mergeCell ref="A74:F74"/>
    <mergeCell ref="C75:E75"/>
    <mergeCell ref="A88:F88"/>
    <mergeCell ref="A90:F90"/>
    <mergeCell ref="A92:J92"/>
    <mergeCell ref="A93:J93"/>
    <mergeCell ref="A72:J72"/>
    <mergeCell ref="I73:J73"/>
    <mergeCell ref="B190:D190"/>
    <mergeCell ref="B191:D191"/>
    <mergeCell ref="B178:C178"/>
    <mergeCell ref="B179:C179"/>
    <mergeCell ref="B180:C180"/>
    <mergeCell ref="B181:C181"/>
    <mergeCell ref="B173:C173"/>
    <mergeCell ref="B174:C174"/>
    <mergeCell ref="B175:C175"/>
    <mergeCell ref="B176:C176"/>
    <mergeCell ref="B177:C177"/>
    <mergeCell ref="A103:F103"/>
    <mergeCell ref="A104:E104"/>
    <mergeCell ref="B186:C186"/>
    <mergeCell ref="B187:C187"/>
    <mergeCell ref="B188:C188"/>
    <mergeCell ref="B189:C189"/>
    <mergeCell ref="B163:C163"/>
    <mergeCell ref="B162:D162"/>
    <mergeCell ref="B182:C182"/>
    <mergeCell ref="B183:C183"/>
    <mergeCell ref="B184:C184"/>
    <mergeCell ref="B185:C185"/>
    <mergeCell ref="B169:C169"/>
    <mergeCell ref="B170:C170"/>
    <mergeCell ref="B171:C171"/>
    <mergeCell ref="B172:C172"/>
    <mergeCell ref="B164:C164"/>
    <mergeCell ref="B165:C165"/>
    <mergeCell ref="B166:C166"/>
    <mergeCell ref="B167:C167"/>
    <mergeCell ref="B168:C168"/>
    <mergeCell ref="B105:C105"/>
    <mergeCell ref="B106:C106"/>
    <mergeCell ref="B107:B108"/>
  </mergeCells>
  <hyperlinks>
    <hyperlink ref="F4" location="link703.1.2" display="See Practice 703.1.2" xr:uid="{00000000-0004-0000-0C00-000000000000}"/>
    <hyperlink ref="A46" r:id="rId1" display="http://www.nahbgreen.org/GreenStandard/Maps/climatezonesbystates.pdf" xr:uid="{00000000-0004-0000-0C00-000001000000}"/>
    <hyperlink ref="F34" location="link703.6.1" display="See Practice 703.6.1" xr:uid="{00000000-0004-0000-0C00-000002000000}"/>
    <hyperlink ref="I73" location="claim801.1.1_1thru4a" display="See Practice 704.3.1.4" xr:uid="{00000000-0004-0000-0C00-000003000000}"/>
    <hyperlink ref="I73:J73" location="choice801.1.1_1thru4a" display="See Practice 801.1.1" xr:uid="{00000000-0004-0000-0C00-000004000000}"/>
    <hyperlink ref="F104" location="link901.9.1" display="See Practice 901.9.1" xr:uid="{00000000-0004-0000-0C00-000005000000}"/>
    <hyperlink ref="F60" location="link703.6.4" display="See Practice 703.6.4" xr:uid="{00000000-0004-0000-0C00-000006000000}"/>
    <hyperlink ref="F162" location="link901.10" display="See Practice 901.10" xr:uid="{00000000-0004-0000-0C00-000007000000}"/>
  </hyperlinks>
  <pageMargins left="0.7" right="0.7" top="0.75" bottom="0.75" header="0.3" footer="0.3"/>
  <pageSetup scale="45" fitToHeight="0" orientation="portrait" r:id="rId2"/>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185"/>
  <sheetViews>
    <sheetView showGridLines="0" zoomScaleNormal="100" workbookViewId="0">
      <pane ySplit="2" topLeftCell="A3" activePane="bottomLeft" state="frozen"/>
      <selection activeCell="N10" sqref="N10:N12"/>
      <selection pane="bottomLeft" activeCell="A3" sqref="A3:I3"/>
    </sheetView>
  </sheetViews>
  <sheetFormatPr baseColWidth="10" defaultColWidth="9.1640625" defaultRowHeight="13"/>
  <cols>
    <col min="1" max="3" width="18.6640625" style="73" customWidth="1"/>
    <col min="4" max="4" width="27" style="73" customWidth="1"/>
    <col min="5" max="5" width="11.1640625" style="73" customWidth="1"/>
    <col min="6" max="9" width="18.6640625" style="73" customWidth="1"/>
    <col min="10" max="10" width="9.1640625" style="297"/>
    <col min="11" max="16384" width="9.1640625" style="73"/>
  </cols>
  <sheetData>
    <row r="1" spans="1:11" ht="45" customHeight="1">
      <c r="A1" s="4168"/>
      <c r="B1" s="4168"/>
      <c r="C1" s="4168"/>
      <c r="D1" s="1629">
        <v>2012</v>
      </c>
      <c r="E1" s="1621"/>
      <c r="F1" s="1621"/>
      <c r="G1" s="1621"/>
      <c r="H1" s="1621"/>
      <c r="I1" s="1621"/>
    </row>
    <row r="2" spans="1:11" s="281" customFormat="1" ht="76.5" customHeight="1" thickBot="1">
      <c r="A2" s="4169" t="s">
        <v>2257</v>
      </c>
      <c r="B2" s="4169"/>
      <c r="C2" s="4169"/>
      <c r="D2" s="1619" t="str">
        <f>CONCATENATE("Revised ",TEXT(startRevisionDate,"mmmm dd, yyyy"))</f>
        <v>Revised January 26, 2018</v>
      </c>
      <c r="E2" s="4165"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4165"/>
      <c r="G2" s="4165"/>
      <c r="H2" s="4165"/>
      <c r="I2" s="4165"/>
      <c r="J2" s="280"/>
    </row>
    <row r="3" spans="1:11" ht="19" thickBot="1">
      <c r="A3" s="4172" t="s">
        <v>572</v>
      </c>
      <c r="B3" s="4172"/>
      <c r="C3" s="4172"/>
      <c r="D3" s="4172"/>
      <c r="E3" s="4172"/>
      <c r="F3" s="4172"/>
      <c r="G3" s="4172"/>
      <c r="H3" s="4172"/>
      <c r="I3" s="4172"/>
      <c r="J3" s="298"/>
      <c r="K3"/>
    </row>
    <row r="4" spans="1:11" ht="17.25" customHeight="1">
      <c r="A4" s="299"/>
      <c r="B4" s="300"/>
      <c r="C4" s="300"/>
      <c r="D4" s="300"/>
      <c r="E4" s="300"/>
      <c r="F4" s="300"/>
      <c r="G4" s="300"/>
      <c r="H4" s="300"/>
      <c r="I4" s="301"/>
    </row>
    <row r="5" spans="1:11" ht="14">
      <c r="A5" s="299"/>
      <c r="B5" s="302" t="s">
        <v>573</v>
      </c>
      <c r="C5" s="302" t="s">
        <v>1865</v>
      </c>
      <c r="D5" s="300"/>
      <c r="E5" s="300"/>
      <c r="F5" s="300"/>
      <c r="I5" s="301"/>
      <c r="J5" s="73"/>
    </row>
    <row r="6" spans="1:11">
      <c r="A6" s="299"/>
      <c r="B6" s="300"/>
      <c r="C6" s="300"/>
      <c r="D6" s="300"/>
      <c r="E6" s="300"/>
      <c r="F6" s="300"/>
      <c r="G6" s="300"/>
      <c r="H6" s="300"/>
      <c r="I6" s="301"/>
    </row>
    <row r="7" spans="1:11">
      <c r="A7" s="299"/>
      <c r="B7" s="300"/>
      <c r="C7" s="300"/>
      <c r="D7" s="300"/>
      <c r="E7" s="300"/>
      <c r="F7" s="300"/>
      <c r="G7" s="300"/>
      <c r="H7" s="300"/>
      <c r="I7" s="301"/>
    </row>
    <row r="8" spans="1:11">
      <c r="A8" s="299"/>
      <c r="B8" s="300"/>
      <c r="C8" s="300"/>
      <c r="D8" s="300"/>
      <c r="E8" s="300"/>
      <c r="F8" s="300"/>
      <c r="G8" s="300"/>
      <c r="H8" s="300"/>
      <c r="I8" s="301"/>
    </row>
    <row r="9" spans="1:11">
      <c r="A9" s="299"/>
      <c r="B9" s="300"/>
      <c r="C9" s="300"/>
      <c r="D9" s="300"/>
      <c r="E9" s="300"/>
      <c r="F9" s="300"/>
      <c r="G9" s="300"/>
      <c r="H9" s="300"/>
      <c r="I9" s="301"/>
    </row>
    <row r="10" spans="1:11">
      <c r="A10" s="299"/>
      <c r="B10" s="300"/>
      <c r="C10" s="300"/>
      <c r="D10" s="300"/>
      <c r="E10" s="300"/>
      <c r="F10" s="300"/>
      <c r="G10" s="300"/>
      <c r="H10" s="300"/>
      <c r="I10" s="301"/>
    </row>
    <row r="11" spans="1:11">
      <c r="A11" s="299"/>
      <c r="B11" s="300"/>
      <c r="C11" s="300"/>
      <c r="D11" s="300"/>
      <c r="E11" s="300"/>
      <c r="F11" s="300"/>
      <c r="G11" s="300"/>
      <c r="H11" s="300"/>
      <c r="I11" s="301"/>
    </row>
    <row r="12" spans="1:11">
      <c r="A12" s="299"/>
      <c r="B12" s="300"/>
      <c r="C12" s="300"/>
      <c r="D12" s="300"/>
      <c r="E12" s="300"/>
      <c r="F12" s="300"/>
      <c r="G12" s="300"/>
      <c r="H12" s="300"/>
      <c r="I12" s="301"/>
    </row>
    <row r="13" spans="1:11">
      <c r="A13" s="299"/>
      <c r="B13" s="300"/>
      <c r="C13" s="300"/>
      <c r="D13" s="300"/>
      <c r="E13" s="300"/>
      <c r="F13" s="300"/>
      <c r="G13" s="300"/>
      <c r="H13" s="300"/>
      <c r="I13" s="301"/>
    </row>
    <row r="14" spans="1:11">
      <c r="A14" s="299"/>
      <c r="B14" s="300"/>
      <c r="C14" s="300"/>
      <c r="D14" s="300"/>
      <c r="E14" s="300"/>
      <c r="F14" s="300"/>
      <c r="G14" s="300"/>
      <c r="H14" s="300"/>
      <c r="I14" s="301"/>
    </row>
    <row r="15" spans="1:11">
      <c r="A15" s="299"/>
      <c r="B15" s="300"/>
      <c r="C15" s="300"/>
      <c r="D15" s="300"/>
      <c r="E15" s="300"/>
      <c r="F15" s="300"/>
      <c r="G15" s="300"/>
      <c r="H15" s="300"/>
      <c r="I15" s="301"/>
    </row>
    <row r="16" spans="1:11">
      <c r="A16" s="299"/>
      <c r="B16" s="300"/>
      <c r="C16" s="300"/>
      <c r="D16" s="300"/>
      <c r="E16" s="300"/>
      <c r="F16" s="300"/>
      <c r="G16" s="300"/>
      <c r="H16" s="300"/>
      <c r="I16" s="301"/>
    </row>
    <row r="17" spans="1:9">
      <c r="A17" s="299"/>
      <c r="B17" s="300"/>
      <c r="C17" s="300"/>
      <c r="D17" s="300"/>
      <c r="E17" s="300"/>
      <c r="F17" s="300"/>
      <c r="G17" s="300"/>
      <c r="H17" s="300"/>
      <c r="I17" s="301"/>
    </row>
    <row r="18" spans="1:9">
      <c r="A18" s="299"/>
      <c r="B18" s="300"/>
      <c r="C18" s="300"/>
      <c r="D18" s="300"/>
      <c r="E18" s="300"/>
      <c r="F18" s="300"/>
      <c r="G18" s="300"/>
      <c r="H18" s="300"/>
      <c r="I18" s="301"/>
    </row>
    <row r="19" spans="1:9">
      <c r="A19" s="299"/>
      <c r="B19" s="300"/>
      <c r="C19" s="300"/>
      <c r="D19" s="300"/>
      <c r="E19" s="300"/>
      <c r="F19" s="300"/>
      <c r="G19" s="300"/>
      <c r="H19" s="300"/>
      <c r="I19" s="301"/>
    </row>
    <row r="20" spans="1:9">
      <c r="A20" s="299"/>
      <c r="B20" s="300"/>
      <c r="C20" s="300"/>
      <c r="D20" s="300"/>
      <c r="E20" s="300"/>
      <c r="F20" s="300"/>
      <c r="G20" s="300"/>
      <c r="H20" s="300"/>
      <c r="I20" s="301"/>
    </row>
    <row r="21" spans="1:9">
      <c r="A21" s="299"/>
      <c r="B21" s="300"/>
      <c r="C21" s="300"/>
      <c r="D21" s="300"/>
      <c r="E21" s="300"/>
      <c r="F21" s="300"/>
      <c r="G21" s="300"/>
      <c r="H21" s="300"/>
      <c r="I21" s="301"/>
    </row>
    <row r="22" spans="1:9">
      <c r="A22" s="299"/>
      <c r="B22" s="300"/>
      <c r="C22" s="300"/>
      <c r="D22" s="300"/>
      <c r="E22" s="300"/>
      <c r="F22" s="300"/>
      <c r="G22" s="300"/>
      <c r="H22" s="300"/>
      <c r="I22" s="301"/>
    </row>
    <row r="23" spans="1:9">
      <c r="A23" s="299"/>
      <c r="B23" s="300"/>
      <c r="C23" s="300"/>
      <c r="D23" s="300"/>
      <c r="E23" s="300"/>
      <c r="F23" s="300"/>
      <c r="G23" s="300"/>
      <c r="H23" s="300"/>
      <c r="I23" s="301"/>
    </row>
    <row r="24" spans="1:9">
      <c r="A24" s="299"/>
      <c r="B24" s="300"/>
      <c r="C24" s="300"/>
      <c r="D24" s="300"/>
      <c r="E24" s="300"/>
      <c r="F24" s="300"/>
      <c r="G24" s="300"/>
      <c r="H24" s="300"/>
      <c r="I24" s="301"/>
    </row>
    <row r="25" spans="1:9">
      <c r="A25" s="299"/>
      <c r="B25" s="300"/>
      <c r="C25" s="300"/>
      <c r="D25" s="300"/>
      <c r="E25" s="300"/>
      <c r="F25" s="300"/>
      <c r="G25" s="300"/>
      <c r="H25" s="300"/>
      <c r="I25" s="301"/>
    </row>
    <row r="26" spans="1:9">
      <c r="A26" s="299"/>
      <c r="B26" s="300"/>
      <c r="C26" s="300"/>
      <c r="D26" s="300"/>
      <c r="E26" s="300"/>
      <c r="F26" s="300"/>
      <c r="G26" s="300"/>
      <c r="H26" s="300"/>
      <c r="I26" s="301"/>
    </row>
    <row r="27" spans="1:9">
      <c r="A27" s="299"/>
      <c r="B27" s="300"/>
      <c r="C27" s="300"/>
      <c r="D27" s="300"/>
      <c r="E27" s="300"/>
      <c r="F27" s="300"/>
      <c r="G27" s="300"/>
      <c r="H27" s="300"/>
      <c r="I27" s="301"/>
    </row>
    <row r="28" spans="1:9">
      <c r="A28" s="299"/>
      <c r="B28" s="300"/>
      <c r="C28" s="300"/>
      <c r="D28" s="300"/>
      <c r="E28" s="300"/>
      <c r="F28" s="300"/>
      <c r="G28" s="300"/>
      <c r="H28" s="300"/>
      <c r="I28" s="301"/>
    </row>
    <row r="29" spans="1:9">
      <c r="A29" s="299"/>
      <c r="B29" s="300"/>
      <c r="C29" s="300"/>
      <c r="D29" s="300"/>
      <c r="E29" s="300"/>
      <c r="F29" s="300"/>
      <c r="G29" s="300"/>
      <c r="H29" s="300"/>
      <c r="I29" s="301"/>
    </row>
    <row r="30" spans="1:9">
      <c r="A30" s="299"/>
      <c r="B30" s="300"/>
      <c r="C30" s="300"/>
      <c r="D30" s="300"/>
      <c r="E30" s="300"/>
      <c r="F30" s="300"/>
      <c r="G30" s="300"/>
      <c r="H30" s="300"/>
      <c r="I30" s="301"/>
    </row>
    <row r="31" spans="1:9">
      <c r="A31" s="299"/>
      <c r="B31" s="300"/>
      <c r="C31" s="300"/>
      <c r="D31" s="300"/>
      <c r="E31" s="300"/>
      <c r="F31" s="300"/>
      <c r="G31" s="300"/>
      <c r="H31" s="300"/>
      <c r="I31" s="301"/>
    </row>
    <row r="32" spans="1:9">
      <c r="A32" s="299"/>
      <c r="B32" s="300"/>
      <c r="C32" s="300"/>
      <c r="D32" s="300"/>
      <c r="E32" s="300"/>
      <c r="F32" s="300"/>
      <c r="G32" s="300"/>
      <c r="H32" s="300"/>
      <c r="I32" s="301"/>
    </row>
    <row r="33" spans="1:9">
      <c r="A33" s="299"/>
      <c r="B33" s="300"/>
      <c r="C33" s="300"/>
      <c r="D33" s="300"/>
      <c r="E33" s="300"/>
      <c r="F33" s="300"/>
      <c r="G33" s="300"/>
      <c r="H33" s="300"/>
      <c r="I33" s="301"/>
    </row>
    <row r="34" spans="1:9">
      <c r="A34" s="299"/>
      <c r="B34" s="300"/>
      <c r="C34" s="300"/>
      <c r="D34" s="300"/>
      <c r="E34" s="300"/>
      <c r="F34" s="300"/>
      <c r="G34" s="300"/>
      <c r="H34" s="300"/>
      <c r="I34" s="301"/>
    </row>
    <row r="35" spans="1:9">
      <c r="A35" s="299"/>
      <c r="B35" s="300"/>
      <c r="C35" s="300"/>
      <c r="D35" s="300"/>
      <c r="E35" s="300"/>
      <c r="F35" s="300"/>
      <c r="G35" s="300"/>
      <c r="H35" s="300"/>
      <c r="I35" s="301"/>
    </row>
    <row r="36" spans="1:9">
      <c r="A36" s="299"/>
      <c r="B36" s="300"/>
      <c r="C36" s="300"/>
      <c r="D36" s="300"/>
      <c r="E36" s="300"/>
      <c r="F36" s="300"/>
      <c r="G36" s="300"/>
      <c r="H36" s="300"/>
      <c r="I36" s="301"/>
    </row>
    <row r="37" spans="1:9">
      <c r="A37" s="299"/>
      <c r="B37" s="300"/>
      <c r="C37" s="300"/>
      <c r="D37" s="300"/>
      <c r="E37" s="300"/>
      <c r="F37" s="300"/>
      <c r="G37" s="300"/>
      <c r="H37" s="300"/>
      <c r="I37" s="301"/>
    </row>
    <row r="38" spans="1:9">
      <c r="A38" s="299"/>
      <c r="B38" s="300"/>
      <c r="C38" s="300"/>
      <c r="D38" s="300"/>
      <c r="E38" s="300"/>
      <c r="F38" s="300"/>
      <c r="G38" s="300"/>
      <c r="H38" s="300"/>
      <c r="I38" s="301"/>
    </row>
    <row r="39" spans="1:9">
      <c r="A39" s="299"/>
      <c r="B39" s="300"/>
      <c r="C39" s="300"/>
      <c r="D39" s="300"/>
      <c r="E39" s="300"/>
      <c r="F39" s="300"/>
      <c r="G39" s="300"/>
      <c r="H39" s="300"/>
      <c r="I39" s="301"/>
    </row>
    <row r="40" spans="1:9">
      <c r="A40" s="299"/>
      <c r="B40" s="300"/>
      <c r="C40" s="300"/>
      <c r="D40" s="300"/>
      <c r="E40" s="300"/>
      <c r="F40" s="300"/>
      <c r="G40" s="300"/>
      <c r="H40" s="300"/>
      <c r="I40" s="301"/>
    </row>
    <row r="41" spans="1:9">
      <c r="A41" s="299"/>
      <c r="B41" s="300"/>
      <c r="C41" s="300"/>
      <c r="D41" s="300"/>
      <c r="E41" s="300"/>
      <c r="F41" s="300"/>
      <c r="G41" s="300"/>
      <c r="H41" s="300"/>
      <c r="I41" s="301"/>
    </row>
    <row r="42" spans="1:9" ht="25.5" customHeight="1">
      <c r="A42" s="299"/>
      <c r="B42" s="300"/>
      <c r="C42" s="300"/>
      <c r="D42" s="300"/>
      <c r="E42" s="300"/>
      <c r="F42" s="300"/>
      <c r="G42" s="300"/>
      <c r="H42" s="300"/>
      <c r="I42" s="301"/>
    </row>
    <row r="43" spans="1:9" ht="14" thickBot="1">
      <c r="A43" s="4180" t="s">
        <v>574</v>
      </c>
      <c r="B43" s="4181"/>
      <c r="C43" s="4181"/>
      <c r="D43" s="4181"/>
      <c r="E43" s="4181"/>
      <c r="F43" s="4181"/>
      <c r="G43" s="4181"/>
      <c r="H43" s="4181"/>
      <c r="I43" s="4182"/>
    </row>
    <row r="44" spans="1:9">
      <c r="A44" s="4170"/>
      <c r="B44" s="4170"/>
      <c r="C44" s="4170"/>
      <c r="D44" s="4170"/>
      <c r="E44" s="4170"/>
      <c r="F44" s="4170"/>
      <c r="G44" s="4170"/>
      <c r="H44" s="4170"/>
      <c r="I44" s="4170"/>
    </row>
    <row r="45" spans="1:9" ht="14" thickBot="1">
      <c r="A45" s="4170"/>
      <c r="B45" s="4170"/>
      <c r="C45" s="4170"/>
      <c r="D45" s="4170"/>
      <c r="E45" s="4170"/>
      <c r="F45" s="4170"/>
      <c r="G45" s="4170"/>
      <c r="H45" s="4170"/>
      <c r="I45" s="4170"/>
    </row>
    <row r="46" spans="1:9" ht="19" thickBot="1">
      <c r="A46" s="4172" t="s">
        <v>575</v>
      </c>
      <c r="B46" s="4172"/>
      <c r="C46" s="4172"/>
      <c r="D46" s="4172"/>
      <c r="E46" s="4172"/>
      <c r="F46" s="4172"/>
      <c r="G46" s="4172"/>
      <c r="H46" s="4172"/>
      <c r="I46" s="4172"/>
    </row>
    <row r="47" spans="1:9">
      <c r="A47" s="303"/>
      <c r="B47" s="304"/>
      <c r="C47" s="304"/>
      <c r="D47" s="304"/>
      <c r="E47" s="304"/>
      <c r="F47" s="304"/>
      <c r="G47" s="304"/>
      <c r="H47" s="304"/>
      <c r="I47" s="305"/>
    </row>
    <row r="48" spans="1:9" ht="14">
      <c r="A48" s="303"/>
      <c r="B48" s="302" t="s">
        <v>1863</v>
      </c>
      <c r="C48" s="304"/>
      <c r="D48" s="304"/>
      <c r="E48" s="304"/>
      <c r="F48" s="304"/>
      <c r="G48" s="304"/>
      <c r="H48" s="304"/>
      <c r="I48" s="305"/>
    </row>
    <row r="49" spans="1:9">
      <c r="A49" s="303"/>
      <c r="B49" s="304"/>
      <c r="C49" s="304"/>
      <c r="D49" s="304"/>
      <c r="E49" s="304"/>
      <c r="F49" s="304"/>
      <c r="G49" s="304"/>
      <c r="H49" s="304"/>
      <c r="I49" s="305"/>
    </row>
    <row r="50" spans="1:9">
      <c r="A50" s="4183" t="s">
        <v>576</v>
      </c>
      <c r="B50" s="4184"/>
      <c r="C50" s="4184"/>
      <c r="D50" s="4184"/>
      <c r="E50" s="4184"/>
      <c r="F50" s="304"/>
      <c r="G50" s="304"/>
      <c r="H50" s="304"/>
      <c r="I50" s="305"/>
    </row>
    <row r="51" spans="1:9">
      <c r="A51" s="306">
        <v>1</v>
      </c>
      <c r="B51" s="307" t="s">
        <v>577</v>
      </c>
      <c r="C51" s="308"/>
      <c r="D51" s="304"/>
      <c r="E51" s="304"/>
      <c r="F51" s="304"/>
      <c r="G51" s="304"/>
      <c r="H51" s="304"/>
      <c r="I51" s="305"/>
    </row>
    <row r="52" spans="1:9">
      <c r="A52" s="306">
        <v>2</v>
      </c>
      <c r="B52" s="307" t="s">
        <v>578</v>
      </c>
      <c r="C52" s="308"/>
      <c r="D52" s="304"/>
      <c r="E52" s="304"/>
      <c r="F52" s="304"/>
      <c r="G52" s="304"/>
      <c r="H52" s="304"/>
      <c r="I52" s="305"/>
    </row>
    <row r="53" spans="1:9">
      <c r="A53" s="306">
        <v>3</v>
      </c>
      <c r="B53" s="307" t="s">
        <v>579</v>
      </c>
      <c r="C53" s="308"/>
      <c r="D53" s="304"/>
      <c r="E53" s="304"/>
      <c r="F53" s="304"/>
      <c r="G53" s="304"/>
      <c r="H53" s="304"/>
      <c r="I53" s="305"/>
    </row>
    <row r="54" spans="1:9">
      <c r="A54" s="306">
        <v>4</v>
      </c>
      <c r="B54" s="307" t="s">
        <v>580</v>
      </c>
      <c r="C54" s="308"/>
      <c r="D54" s="304"/>
      <c r="E54" s="304"/>
      <c r="F54" s="304"/>
      <c r="G54" s="304"/>
      <c r="H54" s="304"/>
      <c r="I54" s="305"/>
    </row>
    <row r="55" spans="1:9">
      <c r="A55" s="306">
        <v>5</v>
      </c>
      <c r="B55" s="307" t="s">
        <v>581</v>
      </c>
      <c r="C55" s="308"/>
      <c r="D55" s="304"/>
      <c r="E55" s="304"/>
      <c r="F55" s="304"/>
      <c r="G55" s="304"/>
      <c r="H55" s="304"/>
      <c r="I55" s="305"/>
    </row>
    <row r="56" spans="1:9">
      <c r="A56" s="303"/>
      <c r="B56" s="304"/>
      <c r="C56" s="304"/>
      <c r="D56" s="304"/>
      <c r="E56" s="304"/>
      <c r="F56" s="304"/>
      <c r="G56" s="304"/>
      <c r="H56" s="304"/>
      <c r="I56" s="305"/>
    </row>
    <row r="57" spans="1:9">
      <c r="A57" s="303"/>
      <c r="B57" s="304"/>
      <c r="C57" s="304"/>
      <c r="D57" s="304"/>
      <c r="E57" s="304"/>
      <c r="F57" s="304"/>
      <c r="G57" s="304"/>
      <c r="H57" s="304"/>
      <c r="I57" s="305"/>
    </row>
    <row r="58" spans="1:9">
      <c r="A58" s="303"/>
      <c r="B58" s="304"/>
      <c r="C58" s="304"/>
      <c r="D58" s="304"/>
      <c r="E58" s="304"/>
      <c r="F58" s="304"/>
      <c r="G58" s="304"/>
      <c r="H58" s="304"/>
      <c r="I58" s="305"/>
    </row>
    <row r="59" spans="1:9">
      <c r="A59" s="303"/>
      <c r="B59" s="304"/>
      <c r="C59" s="304"/>
      <c r="D59" s="304"/>
      <c r="E59" s="304"/>
      <c r="F59" s="304"/>
      <c r="G59" s="304"/>
      <c r="H59" s="304"/>
      <c r="I59" s="305"/>
    </row>
    <row r="60" spans="1:9">
      <c r="A60" s="303"/>
      <c r="B60" s="304"/>
      <c r="C60" s="304"/>
      <c r="D60" s="304"/>
      <c r="E60" s="304"/>
      <c r="F60" s="304"/>
      <c r="G60" s="304"/>
      <c r="H60" s="304"/>
      <c r="I60" s="305"/>
    </row>
    <row r="61" spans="1:9">
      <c r="A61" s="303"/>
      <c r="B61" s="304"/>
      <c r="C61" s="304"/>
      <c r="D61" s="304"/>
      <c r="E61" s="304"/>
      <c r="F61" s="304"/>
      <c r="G61" s="304"/>
      <c r="H61" s="304"/>
      <c r="I61" s="305"/>
    </row>
    <row r="62" spans="1:9">
      <c r="A62" s="303"/>
      <c r="B62" s="304"/>
      <c r="C62" s="304"/>
      <c r="D62" s="304"/>
      <c r="E62" s="304"/>
      <c r="F62" s="304"/>
      <c r="G62" s="304"/>
      <c r="H62" s="304"/>
      <c r="I62" s="305"/>
    </row>
    <row r="63" spans="1:9">
      <c r="A63" s="303"/>
      <c r="B63" s="304"/>
      <c r="C63" s="304"/>
      <c r="D63" s="304"/>
      <c r="E63" s="304"/>
      <c r="F63" s="304"/>
      <c r="G63" s="304"/>
      <c r="H63" s="304"/>
      <c r="I63" s="305"/>
    </row>
    <row r="64" spans="1:9">
      <c r="A64" s="303"/>
      <c r="B64" s="304"/>
      <c r="C64" s="304"/>
      <c r="D64" s="304"/>
      <c r="E64" s="304"/>
      <c r="F64" s="304"/>
      <c r="G64" s="304"/>
      <c r="H64" s="304"/>
      <c r="I64" s="305"/>
    </row>
    <row r="65" spans="1:9">
      <c r="A65" s="303"/>
      <c r="B65" s="304"/>
      <c r="C65" s="304"/>
      <c r="D65" s="304"/>
      <c r="E65" s="304"/>
      <c r="F65" s="304"/>
      <c r="G65" s="304"/>
      <c r="H65" s="304"/>
      <c r="I65" s="305"/>
    </row>
    <row r="66" spans="1:9">
      <c r="A66" s="303"/>
      <c r="B66" s="304"/>
      <c r="C66" s="304"/>
      <c r="D66" s="304"/>
      <c r="E66" s="304"/>
      <c r="F66" s="304"/>
      <c r="G66" s="304"/>
      <c r="H66" s="304"/>
      <c r="I66" s="305"/>
    </row>
    <row r="67" spans="1:9">
      <c r="A67" s="303"/>
      <c r="B67" s="304"/>
      <c r="C67" s="304"/>
      <c r="D67" s="304"/>
      <c r="E67" s="304"/>
      <c r="F67" s="304"/>
      <c r="G67" s="304"/>
      <c r="H67" s="304"/>
      <c r="I67" s="305"/>
    </row>
    <row r="68" spans="1:9">
      <c r="A68" s="303"/>
      <c r="B68" s="304"/>
      <c r="C68" s="304"/>
      <c r="D68" s="304"/>
      <c r="E68" s="304"/>
      <c r="F68" s="304"/>
      <c r="G68" s="304"/>
      <c r="H68" s="304"/>
      <c r="I68" s="305"/>
    </row>
    <row r="69" spans="1:9">
      <c r="A69" s="303"/>
      <c r="B69" s="304"/>
      <c r="C69" s="304"/>
      <c r="D69" s="304"/>
      <c r="E69" s="304"/>
      <c r="F69" s="304"/>
      <c r="G69" s="304"/>
      <c r="H69" s="304"/>
      <c r="I69" s="305"/>
    </row>
    <row r="70" spans="1:9">
      <c r="A70" s="303"/>
      <c r="B70" s="304"/>
      <c r="C70" s="304"/>
      <c r="D70" s="304"/>
      <c r="E70" s="304"/>
      <c r="F70" s="304"/>
      <c r="G70" s="304"/>
      <c r="H70" s="304"/>
      <c r="I70" s="305"/>
    </row>
    <row r="71" spans="1:9">
      <c r="A71" s="303"/>
      <c r="B71" s="304"/>
      <c r="C71" s="304"/>
      <c r="D71" s="304"/>
      <c r="E71" s="304"/>
      <c r="F71" s="304"/>
      <c r="G71" s="304"/>
      <c r="H71" s="304"/>
      <c r="I71" s="305"/>
    </row>
    <row r="72" spans="1:9">
      <c r="A72" s="303"/>
      <c r="B72" s="304"/>
      <c r="C72" s="304"/>
      <c r="D72" s="304"/>
      <c r="E72" s="304"/>
      <c r="F72" s="304"/>
      <c r="G72" s="304"/>
      <c r="H72" s="304"/>
      <c r="I72" s="305"/>
    </row>
    <row r="73" spans="1:9">
      <c r="A73" s="303"/>
      <c r="B73" s="304"/>
      <c r="C73" s="304"/>
      <c r="D73" s="304"/>
      <c r="E73" s="304"/>
      <c r="F73" s="304"/>
      <c r="G73" s="304"/>
      <c r="H73" s="304"/>
      <c r="I73" s="305"/>
    </row>
    <row r="74" spans="1:9">
      <c r="A74" s="303"/>
      <c r="B74" s="304"/>
      <c r="C74" s="304"/>
      <c r="D74" s="304"/>
      <c r="E74" s="304"/>
      <c r="F74" s="304"/>
      <c r="G74" s="304"/>
      <c r="H74" s="304"/>
      <c r="I74" s="305"/>
    </row>
    <row r="75" spans="1:9">
      <c r="A75" s="303"/>
      <c r="B75" s="304"/>
      <c r="C75" s="304"/>
      <c r="D75" s="304"/>
      <c r="E75" s="304"/>
      <c r="F75" s="304"/>
      <c r="G75" s="304"/>
      <c r="H75" s="304"/>
      <c r="I75" s="305"/>
    </row>
    <row r="76" spans="1:9">
      <c r="A76" s="303"/>
      <c r="B76" s="304"/>
      <c r="C76" s="304"/>
      <c r="D76" s="304"/>
      <c r="E76" s="304"/>
      <c r="F76" s="304"/>
      <c r="G76" s="304"/>
      <c r="H76" s="304"/>
      <c r="I76" s="305"/>
    </row>
    <row r="77" spans="1:9">
      <c r="A77" s="303"/>
      <c r="B77" s="304"/>
      <c r="C77" s="304"/>
      <c r="D77" s="304"/>
      <c r="E77" s="304"/>
      <c r="F77" s="304"/>
      <c r="G77" s="304"/>
      <c r="H77" s="304"/>
      <c r="I77" s="305"/>
    </row>
    <row r="78" spans="1:9">
      <c r="A78" s="303"/>
      <c r="B78" s="304"/>
      <c r="C78" s="304"/>
      <c r="D78" s="304"/>
      <c r="E78" s="304"/>
      <c r="F78" s="304"/>
      <c r="G78" s="304"/>
      <c r="H78" s="304"/>
      <c r="I78" s="305"/>
    </row>
    <row r="79" spans="1:9">
      <c r="A79" s="303"/>
      <c r="B79" s="304"/>
      <c r="C79" s="304"/>
      <c r="D79" s="304"/>
      <c r="E79" s="304"/>
      <c r="F79" s="304"/>
      <c r="G79" s="304"/>
      <c r="H79" s="304"/>
      <c r="I79" s="305"/>
    </row>
    <row r="80" spans="1:9">
      <c r="A80" s="303"/>
      <c r="B80" s="304"/>
      <c r="C80" s="304"/>
      <c r="D80" s="304"/>
      <c r="E80" s="304"/>
      <c r="F80" s="304"/>
      <c r="G80" s="304"/>
      <c r="H80" s="304"/>
      <c r="I80" s="305"/>
    </row>
    <row r="81" spans="1:9">
      <c r="A81" s="303"/>
      <c r="B81" s="304"/>
      <c r="C81" s="304"/>
      <c r="D81" s="304"/>
      <c r="E81" s="304"/>
      <c r="F81" s="304"/>
      <c r="G81" s="304"/>
      <c r="H81" s="304"/>
      <c r="I81" s="305"/>
    </row>
    <row r="82" spans="1:9">
      <c r="A82" s="303"/>
      <c r="B82" s="304"/>
      <c r="C82" s="304"/>
      <c r="D82" s="304"/>
      <c r="E82" s="304"/>
      <c r="F82" s="304"/>
      <c r="G82" s="304"/>
      <c r="H82" s="304"/>
      <c r="I82" s="305"/>
    </row>
    <row r="83" spans="1:9">
      <c r="A83" s="303"/>
      <c r="B83" s="304"/>
      <c r="C83" s="304"/>
      <c r="D83" s="304"/>
      <c r="E83" s="304"/>
      <c r="F83" s="304"/>
      <c r="G83" s="304"/>
      <c r="H83" s="304"/>
      <c r="I83" s="305"/>
    </row>
    <row r="84" spans="1:9">
      <c r="A84" s="303"/>
      <c r="B84" s="304"/>
      <c r="C84" s="304"/>
      <c r="D84" s="304"/>
      <c r="E84" s="304"/>
      <c r="F84" s="304"/>
      <c r="G84" s="304"/>
      <c r="H84" s="304"/>
      <c r="I84" s="305"/>
    </row>
    <row r="85" spans="1:9">
      <c r="A85" s="303"/>
      <c r="B85" s="304"/>
      <c r="C85" s="304"/>
      <c r="D85" s="304"/>
      <c r="E85" s="304"/>
      <c r="F85" s="304"/>
      <c r="G85" s="304"/>
      <c r="H85" s="304"/>
      <c r="I85" s="305"/>
    </row>
    <row r="86" spans="1:9">
      <c r="A86" s="303"/>
      <c r="B86" s="304"/>
      <c r="C86" s="304"/>
      <c r="D86" s="304"/>
      <c r="E86" s="304"/>
      <c r="F86" s="304"/>
      <c r="G86" s="304"/>
      <c r="H86" s="304"/>
      <c r="I86" s="305"/>
    </row>
    <row r="87" spans="1:9">
      <c r="A87" s="303"/>
      <c r="B87" s="304"/>
      <c r="C87" s="304"/>
      <c r="D87" s="304"/>
      <c r="E87" s="304"/>
      <c r="F87" s="304"/>
      <c r="G87" s="304"/>
      <c r="H87" s="304"/>
      <c r="I87" s="305"/>
    </row>
    <row r="88" spans="1:9">
      <c r="A88" s="303"/>
      <c r="B88" s="304"/>
      <c r="C88" s="304"/>
      <c r="D88" s="304"/>
      <c r="E88" s="304"/>
      <c r="F88" s="304"/>
      <c r="G88" s="304"/>
      <c r="H88" s="304"/>
      <c r="I88" s="305"/>
    </row>
    <row r="89" spans="1:9" ht="14" thickBot="1">
      <c r="A89" s="4185" t="s">
        <v>582</v>
      </c>
      <c r="B89" s="4186"/>
      <c r="C89" s="4186"/>
      <c r="D89" s="4186"/>
      <c r="E89" s="4186"/>
      <c r="F89" s="4186"/>
      <c r="G89" s="4186"/>
      <c r="H89" s="4186"/>
      <c r="I89" s="4187"/>
    </row>
    <row r="90" spans="1:9">
      <c r="A90" s="4170"/>
      <c r="B90" s="4170"/>
      <c r="C90" s="4170"/>
      <c r="D90" s="4170"/>
      <c r="E90" s="4170"/>
      <c r="F90" s="4170"/>
      <c r="G90" s="4170"/>
      <c r="H90" s="4170"/>
      <c r="I90" s="4170"/>
    </row>
    <row r="91" spans="1:9" ht="14" thickBot="1">
      <c r="A91" s="4170"/>
      <c r="B91" s="4170"/>
      <c r="C91" s="4170"/>
      <c r="D91" s="4170"/>
      <c r="E91" s="4170"/>
      <c r="F91" s="4170"/>
      <c r="G91" s="4170"/>
      <c r="H91" s="4170"/>
      <c r="I91" s="4170"/>
    </row>
    <row r="92" spans="1:9" ht="19" thickBot="1">
      <c r="A92" s="4172" t="s">
        <v>583</v>
      </c>
      <c r="B92" s="4172"/>
      <c r="C92" s="4172"/>
      <c r="D92" s="4172"/>
      <c r="E92" s="4172"/>
      <c r="F92" s="4172"/>
      <c r="G92" s="4172"/>
      <c r="H92" s="4172"/>
      <c r="I92" s="4172"/>
    </row>
    <row r="93" spans="1:9">
      <c r="A93" s="299"/>
      <c r="B93" s="300"/>
      <c r="C93" s="300"/>
      <c r="D93" s="300"/>
      <c r="E93" s="300"/>
      <c r="F93" s="300"/>
      <c r="G93" s="300"/>
      <c r="H93" s="300"/>
      <c r="I93" s="301"/>
    </row>
    <row r="94" spans="1:9" ht="15">
      <c r="A94" s="309"/>
      <c r="B94" s="1130" t="s">
        <v>1861</v>
      </c>
      <c r="C94" s="1131" t="s">
        <v>1862</v>
      </c>
      <c r="D94" s="300"/>
      <c r="E94" s="300"/>
      <c r="F94" s="300"/>
      <c r="G94" s="300"/>
      <c r="H94" s="300"/>
      <c r="I94" s="301"/>
    </row>
    <row r="95" spans="1:9">
      <c r="A95" s="299"/>
      <c r="B95" s="300"/>
      <c r="C95" s="300"/>
      <c r="D95" s="300"/>
      <c r="E95" s="300"/>
      <c r="F95" s="300"/>
      <c r="G95" s="300"/>
      <c r="H95" s="300"/>
      <c r="I95" s="301"/>
    </row>
    <row r="96" spans="1:9">
      <c r="A96" s="299"/>
      <c r="B96" s="300"/>
      <c r="C96" s="300"/>
      <c r="D96" s="300"/>
      <c r="E96" s="300"/>
      <c r="F96" s="300"/>
      <c r="G96" s="300"/>
      <c r="H96" s="300"/>
      <c r="I96" s="301"/>
    </row>
    <row r="97" spans="1:9">
      <c r="A97" s="299"/>
      <c r="B97" s="300"/>
      <c r="C97" s="300"/>
      <c r="D97" s="300"/>
      <c r="E97" s="300"/>
      <c r="F97" s="300"/>
      <c r="G97" s="300"/>
      <c r="H97" s="300"/>
      <c r="I97" s="301"/>
    </row>
    <row r="98" spans="1:9">
      <c r="A98" s="299"/>
      <c r="B98" s="300"/>
      <c r="C98" s="300"/>
      <c r="D98" s="300"/>
      <c r="E98" s="300"/>
      <c r="F98" s="300"/>
      <c r="G98" s="300"/>
      <c r="H98" s="300"/>
      <c r="I98" s="301"/>
    </row>
    <row r="99" spans="1:9">
      <c r="A99" s="299"/>
      <c r="B99" s="300"/>
      <c r="C99" s="300"/>
      <c r="D99" s="300"/>
      <c r="E99" s="300"/>
      <c r="F99" s="300"/>
      <c r="G99" s="300"/>
      <c r="H99" s="300"/>
      <c r="I99" s="301"/>
    </row>
    <row r="100" spans="1:9">
      <c r="A100" s="299"/>
      <c r="B100" s="300"/>
      <c r="C100" s="300"/>
      <c r="D100" s="300"/>
      <c r="E100" s="300"/>
      <c r="F100" s="300"/>
      <c r="G100" s="300"/>
      <c r="H100" s="300"/>
      <c r="I100" s="301"/>
    </row>
    <row r="101" spans="1:9">
      <c r="A101" s="299"/>
      <c r="B101" s="300"/>
      <c r="C101" s="300"/>
      <c r="D101" s="300"/>
      <c r="E101" s="300"/>
      <c r="F101" s="300"/>
      <c r="G101" s="300"/>
      <c r="H101" s="300"/>
      <c r="I101" s="301"/>
    </row>
    <row r="102" spans="1:9">
      <c r="A102" s="299"/>
      <c r="B102" s="300"/>
      <c r="C102" s="300"/>
      <c r="D102" s="300"/>
      <c r="E102" s="300"/>
      <c r="F102" s="300"/>
      <c r="G102" s="300"/>
      <c r="H102" s="300"/>
      <c r="I102" s="301"/>
    </row>
    <row r="103" spans="1:9">
      <c r="A103" s="299"/>
      <c r="B103" s="310"/>
      <c r="C103" s="300"/>
      <c r="D103" s="300"/>
      <c r="E103" s="300"/>
      <c r="F103" s="300"/>
      <c r="G103" s="300"/>
      <c r="H103" s="300"/>
      <c r="I103" s="301"/>
    </row>
    <row r="104" spans="1:9">
      <c r="A104" s="299"/>
      <c r="B104" s="300"/>
      <c r="C104" s="300"/>
      <c r="D104" s="300"/>
      <c r="E104" s="300"/>
      <c r="F104" s="300"/>
      <c r="G104" s="300"/>
      <c r="H104" s="300"/>
      <c r="I104" s="301"/>
    </row>
    <row r="105" spans="1:9">
      <c r="A105" s="299"/>
      <c r="B105" s="300"/>
      <c r="C105" s="300"/>
      <c r="D105" s="300"/>
      <c r="E105" s="300"/>
      <c r="F105" s="300"/>
      <c r="G105" s="300"/>
      <c r="H105" s="300"/>
      <c r="I105" s="301"/>
    </row>
    <row r="106" spans="1:9">
      <c r="A106" s="299"/>
      <c r="B106" s="300"/>
      <c r="C106" s="300"/>
      <c r="D106" s="300"/>
      <c r="E106" s="300"/>
      <c r="F106" s="300"/>
      <c r="G106" s="300"/>
      <c r="H106" s="300"/>
      <c r="I106" s="301"/>
    </row>
    <row r="107" spans="1:9">
      <c r="A107" s="299"/>
      <c r="B107" s="300"/>
      <c r="C107" s="300"/>
      <c r="D107" s="300"/>
      <c r="E107" s="300"/>
      <c r="F107" s="300"/>
      <c r="G107" s="300"/>
      <c r="H107" s="300"/>
      <c r="I107" s="301"/>
    </row>
    <row r="108" spans="1:9">
      <c r="A108" s="299"/>
      <c r="B108" s="300"/>
      <c r="C108" s="300"/>
      <c r="D108" s="300"/>
      <c r="E108" s="300"/>
      <c r="F108" s="300"/>
      <c r="G108" s="300"/>
      <c r="H108" s="300"/>
      <c r="I108" s="301"/>
    </row>
    <row r="109" spans="1:9">
      <c r="A109" s="299"/>
      <c r="B109" s="300"/>
      <c r="C109" s="300"/>
      <c r="D109" s="300"/>
      <c r="E109" s="300"/>
      <c r="F109" s="300"/>
      <c r="G109" s="300"/>
      <c r="H109" s="300"/>
      <c r="I109" s="301"/>
    </row>
    <row r="110" spans="1:9">
      <c r="A110" s="299"/>
      <c r="B110" s="300"/>
      <c r="C110" s="300"/>
      <c r="D110" s="300"/>
      <c r="E110" s="300"/>
      <c r="F110" s="300"/>
      <c r="G110" s="300"/>
      <c r="H110" s="300"/>
      <c r="I110" s="301"/>
    </row>
    <row r="111" spans="1:9">
      <c r="A111" s="299"/>
      <c r="B111" s="300"/>
      <c r="C111" s="300"/>
      <c r="D111" s="300"/>
      <c r="E111" s="300"/>
      <c r="F111" s="300"/>
      <c r="G111" s="300"/>
      <c r="H111" s="300"/>
      <c r="I111" s="301"/>
    </row>
    <row r="112" spans="1:9">
      <c r="A112" s="299"/>
      <c r="B112" s="300"/>
      <c r="C112" s="300"/>
      <c r="D112" s="300"/>
      <c r="E112" s="300"/>
      <c r="F112" s="300"/>
      <c r="G112" s="300"/>
      <c r="H112" s="300"/>
      <c r="I112" s="301"/>
    </row>
    <row r="113" spans="1:9">
      <c r="A113" s="299"/>
      <c r="B113" s="300"/>
      <c r="C113" s="300"/>
      <c r="D113" s="300"/>
      <c r="E113" s="300"/>
      <c r="F113" s="300"/>
      <c r="G113" s="300"/>
      <c r="H113" s="300"/>
      <c r="I113" s="301"/>
    </row>
    <row r="114" spans="1:9">
      <c r="A114" s="299"/>
      <c r="B114" s="300"/>
      <c r="C114" s="300"/>
      <c r="D114" s="300"/>
      <c r="E114" s="300"/>
      <c r="F114" s="300"/>
      <c r="G114" s="300"/>
      <c r="H114" s="300"/>
      <c r="I114" s="301"/>
    </row>
    <row r="115" spans="1:9">
      <c r="A115" s="299"/>
      <c r="B115" s="300"/>
      <c r="C115" s="300"/>
      <c r="D115" s="300"/>
      <c r="E115" s="300"/>
      <c r="F115" s="300"/>
      <c r="G115" s="300"/>
      <c r="H115" s="300"/>
      <c r="I115" s="301"/>
    </row>
    <row r="116" spans="1:9">
      <c r="A116" s="299"/>
      <c r="B116" s="300"/>
      <c r="C116" s="300"/>
      <c r="D116" s="300"/>
      <c r="E116" s="300"/>
      <c r="F116" s="300"/>
      <c r="G116" s="300"/>
      <c r="H116" s="300"/>
      <c r="I116" s="301"/>
    </row>
    <row r="117" spans="1:9">
      <c r="A117" s="299"/>
      <c r="B117" s="300"/>
      <c r="C117" s="300"/>
      <c r="D117" s="300"/>
      <c r="E117" s="300"/>
      <c r="F117" s="300"/>
      <c r="G117" s="300"/>
      <c r="H117" s="300"/>
      <c r="I117" s="301"/>
    </row>
    <row r="118" spans="1:9">
      <c r="A118" s="299"/>
      <c r="B118" s="300"/>
      <c r="C118" s="300"/>
      <c r="D118" s="300"/>
      <c r="E118" s="300"/>
      <c r="F118" s="300"/>
      <c r="G118" s="300"/>
      <c r="H118" s="300"/>
      <c r="I118" s="301"/>
    </row>
    <row r="119" spans="1:9">
      <c r="A119" s="299"/>
      <c r="B119" s="300"/>
      <c r="C119" s="300"/>
      <c r="D119" s="300"/>
      <c r="E119" s="300"/>
      <c r="F119" s="300"/>
      <c r="G119" s="300"/>
      <c r="H119" s="300"/>
      <c r="I119" s="301"/>
    </row>
    <row r="120" spans="1:9">
      <c r="A120" s="299"/>
      <c r="B120" s="300"/>
      <c r="C120" s="300"/>
      <c r="D120" s="300"/>
      <c r="E120" s="300"/>
      <c r="F120" s="300"/>
      <c r="G120" s="300"/>
      <c r="H120" s="300"/>
      <c r="I120" s="301"/>
    </row>
    <row r="121" spans="1:9">
      <c r="A121" s="299"/>
      <c r="B121" s="300"/>
      <c r="C121" s="300"/>
      <c r="D121" s="300"/>
      <c r="E121" s="300"/>
      <c r="F121" s="300"/>
      <c r="G121" s="300"/>
      <c r="H121" s="300"/>
      <c r="I121" s="301"/>
    </row>
    <row r="122" spans="1:9">
      <c r="A122" s="299"/>
      <c r="B122" s="300"/>
      <c r="C122" s="300"/>
      <c r="D122" s="300"/>
      <c r="E122" s="300"/>
      <c r="F122" s="300"/>
      <c r="G122" s="300"/>
      <c r="H122" s="300"/>
      <c r="I122" s="301"/>
    </row>
    <row r="123" spans="1:9">
      <c r="A123" s="299"/>
      <c r="B123" s="300"/>
      <c r="C123" s="300"/>
      <c r="D123" s="300"/>
      <c r="E123" s="300"/>
      <c r="F123" s="300"/>
      <c r="G123" s="300"/>
      <c r="H123" s="300"/>
      <c r="I123" s="301"/>
    </row>
    <row r="124" spans="1:9">
      <c r="A124" s="299"/>
      <c r="B124" s="300"/>
      <c r="C124" s="300"/>
      <c r="D124" s="300"/>
      <c r="E124" s="300"/>
      <c r="F124" s="300"/>
      <c r="G124" s="300"/>
      <c r="H124" s="300"/>
      <c r="I124" s="301"/>
    </row>
    <row r="125" spans="1:9">
      <c r="A125" s="299"/>
      <c r="B125" s="300"/>
      <c r="C125" s="300"/>
      <c r="D125" s="300"/>
      <c r="E125" s="300"/>
      <c r="F125" s="300"/>
      <c r="G125" s="300"/>
      <c r="H125" s="300"/>
      <c r="I125" s="301"/>
    </row>
    <row r="126" spans="1:9">
      <c r="A126" s="299"/>
      <c r="B126" s="300"/>
      <c r="C126" s="300"/>
      <c r="D126" s="300"/>
      <c r="E126" s="300"/>
      <c r="F126" s="300"/>
      <c r="G126" s="300"/>
      <c r="H126" s="300"/>
      <c r="I126" s="301"/>
    </row>
    <row r="127" spans="1:9" ht="14" thickBot="1">
      <c r="A127" s="4173" t="s">
        <v>584</v>
      </c>
      <c r="B127" s="4174"/>
      <c r="C127" s="4174"/>
      <c r="D127" s="4174"/>
      <c r="E127" s="4174"/>
      <c r="F127" s="4174"/>
      <c r="G127" s="4174"/>
      <c r="H127" s="4174"/>
      <c r="I127" s="4175"/>
    </row>
    <row r="128" spans="1:9">
      <c r="A128" s="4176"/>
      <c r="B128" s="4176"/>
      <c r="C128" s="4176"/>
      <c r="D128" s="4176"/>
      <c r="E128" s="4176"/>
      <c r="F128" s="4176"/>
      <c r="G128" s="4176"/>
      <c r="H128" s="4176"/>
      <c r="I128" s="4176"/>
    </row>
    <row r="129" spans="1:9" ht="14" thickBot="1">
      <c r="A129" s="4170"/>
      <c r="B129" s="4170"/>
      <c r="C129" s="4170"/>
      <c r="D129" s="4170"/>
      <c r="E129" s="4170"/>
      <c r="F129" s="4170"/>
      <c r="G129" s="4170"/>
      <c r="H129" s="4170"/>
      <c r="I129" s="4170"/>
    </row>
    <row r="130" spans="1:9" ht="19" thickBot="1">
      <c r="A130" s="4172" t="s">
        <v>1866</v>
      </c>
      <c r="B130" s="4172"/>
      <c r="C130" s="4172"/>
      <c r="D130" s="4172"/>
      <c r="E130" s="4172"/>
      <c r="F130" s="4172"/>
      <c r="G130" s="4172"/>
      <c r="H130" s="4172"/>
      <c r="I130" s="4172"/>
    </row>
    <row r="131" spans="1:9" ht="15.75" customHeight="1">
      <c r="A131" s="299"/>
      <c r="B131" s="300"/>
      <c r="C131" s="300"/>
      <c r="D131" s="300"/>
      <c r="E131" s="300"/>
      <c r="F131" s="300"/>
      <c r="G131" s="300"/>
      <c r="H131" s="300"/>
      <c r="I131" s="1135" t="s">
        <v>1867</v>
      </c>
    </row>
    <row r="132" spans="1:9" ht="15">
      <c r="A132" s="309"/>
      <c r="C132" s="103"/>
      <c r="D132" s="300"/>
      <c r="E132" s="300"/>
      <c r="F132" s="300"/>
      <c r="G132" s="300"/>
      <c r="H132" s="300"/>
      <c r="I132" s="1136"/>
    </row>
    <row r="133" spans="1:9">
      <c r="A133" s="299"/>
      <c r="B133" s="300"/>
      <c r="C133" s="300"/>
      <c r="D133" s="300"/>
      <c r="E133" s="300"/>
      <c r="F133" s="300"/>
      <c r="G133" s="300"/>
      <c r="H133" s="300"/>
      <c r="I133" s="301"/>
    </row>
    <row r="134" spans="1:9">
      <c r="A134" s="299"/>
      <c r="B134" s="300"/>
      <c r="C134" s="300"/>
      <c r="D134" s="300"/>
      <c r="E134" s="300"/>
      <c r="F134" s="300"/>
      <c r="G134" s="300"/>
      <c r="H134" s="300"/>
      <c r="I134" s="301"/>
    </row>
    <row r="135" spans="1:9">
      <c r="A135" s="299"/>
      <c r="B135" s="300"/>
      <c r="C135" s="300"/>
      <c r="D135" s="300"/>
      <c r="E135" s="300"/>
      <c r="F135" s="300"/>
      <c r="G135" s="300"/>
      <c r="H135" s="300"/>
      <c r="I135" s="301"/>
    </row>
    <row r="136" spans="1:9">
      <c r="A136" s="299"/>
      <c r="B136" s="300"/>
      <c r="C136" s="300"/>
      <c r="D136" s="300"/>
      <c r="E136" s="300"/>
      <c r="F136" s="300"/>
      <c r="G136" s="300"/>
      <c r="H136" s="300"/>
      <c r="I136" s="301"/>
    </row>
    <row r="137" spans="1:9" ht="15">
      <c r="A137" s="299"/>
      <c r="B137" s="103"/>
      <c r="C137" s="300"/>
      <c r="D137" s="300"/>
      <c r="E137" s="300"/>
      <c r="F137" s="300"/>
      <c r="G137" s="300"/>
      <c r="H137" s="300"/>
      <c r="I137" s="301"/>
    </row>
    <row r="138" spans="1:9">
      <c r="A138" s="299"/>
      <c r="B138" s="300"/>
      <c r="C138" s="300"/>
      <c r="D138" s="300"/>
      <c r="E138" s="300"/>
      <c r="F138" s="300"/>
      <c r="G138" s="300"/>
      <c r="H138" s="300"/>
      <c r="I138" s="301"/>
    </row>
    <row r="139" spans="1:9">
      <c r="A139" s="299"/>
      <c r="B139" s="300"/>
      <c r="C139" s="300"/>
      <c r="D139" s="300"/>
      <c r="E139" s="300"/>
      <c r="F139" s="300"/>
      <c r="G139" s="300"/>
      <c r="H139" s="300"/>
      <c r="I139" s="301"/>
    </row>
    <row r="140" spans="1:9">
      <c r="A140" s="299"/>
      <c r="B140" s="300"/>
      <c r="C140" s="300"/>
      <c r="D140" s="300"/>
      <c r="E140" s="300"/>
      <c r="F140" s="300"/>
      <c r="G140" s="300"/>
      <c r="H140" s="300"/>
      <c r="I140" s="301"/>
    </row>
    <row r="141" spans="1:9">
      <c r="A141" s="299"/>
      <c r="B141" s="310"/>
      <c r="C141" s="300"/>
      <c r="D141" s="300"/>
      <c r="E141" s="300"/>
      <c r="F141" s="300"/>
      <c r="G141" s="300"/>
      <c r="H141" s="300"/>
      <c r="I141" s="301"/>
    </row>
    <row r="142" spans="1:9">
      <c r="A142" s="299"/>
      <c r="B142" s="300"/>
      <c r="C142" s="300"/>
      <c r="D142" s="300"/>
      <c r="E142" s="300"/>
      <c r="F142" s="300"/>
      <c r="G142" s="300"/>
      <c r="H142" s="300"/>
      <c r="I142" s="301"/>
    </row>
    <row r="143" spans="1:9">
      <c r="A143" s="299"/>
      <c r="B143" s="300"/>
      <c r="C143" s="300"/>
      <c r="D143" s="300"/>
      <c r="E143" s="300"/>
      <c r="F143" s="300"/>
      <c r="G143" s="300"/>
      <c r="H143" s="300"/>
      <c r="I143" s="301"/>
    </row>
    <row r="144" spans="1:9">
      <c r="A144" s="299"/>
      <c r="B144" s="300"/>
      <c r="C144" s="300"/>
      <c r="D144" s="300"/>
      <c r="E144" s="300"/>
      <c r="F144" s="300"/>
      <c r="G144" s="300"/>
      <c r="H144" s="300"/>
      <c r="I144" s="301"/>
    </row>
    <row r="145" spans="1:9">
      <c r="A145" s="299"/>
      <c r="B145" s="300"/>
      <c r="C145" s="300"/>
      <c r="D145" s="300"/>
      <c r="E145" s="300"/>
      <c r="F145" s="300"/>
      <c r="G145" s="300"/>
      <c r="H145" s="300"/>
      <c r="I145" s="301"/>
    </row>
    <row r="146" spans="1:9">
      <c r="A146" s="299"/>
      <c r="B146" s="300"/>
      <c r="C146" s="300"/>
      <c r="D146" s="300"/>
      <c r="E146" s="300"/>
      <c r="F146" s="300"/>
      <c r="G146" s="300"/>
      <c r="H146" s="300"/>
      <c r="I146" s="301"/>
    </row>
    <row r="147" spans="1:9">
      <c r="A147" s="299"/>
      <c r="B147" s="300"/>
      <c r="C147" s="300"/>
      <c r="D147" s="300"/>
      <c r="E147" s="300"/>
      <c r="F147" s="300"/>
      <c r="G147" s="300"/>
      <c r="H147" s="300"/>
      <c r="I147" s="301"/>
    </row>
    <row r="148" spans="1:9">
      <c r="A148" s="299"/>
      <c r="B148" s="300"/>
      <c r="C148" s="300"/>
      <c r="D148" s="300"/>
      <c r="E148" s="300"/>
      <c r="F148" s="300"/>
      <c r="G148" s="300"/>
      <c r="H148" s="300"/>
      <c r="I148" s="301"/>
    </row>
    <row r="149" spans="1:9">
      <c r="A149" s="299"/>
      <c r="B149" s="300"/>
      <c r="C149" s="300"/>
      <c r="D149" s="300"/>
      <c r="E149" s="300"/>
      <c r="F149" s="300"/>
      <c r="G149" s="300"/>
      <c r="H149" s="300"/>
      <c r="I149" s="301"/>
    </row>
    <row r="150" spans="1:9">
      <c r="A150" s="299"/>
      <c r="B150" s="300"/>
      <c r="C150" s="300"/>
      <c r="D150" s="300"/>
      <c r="E150" s="300"/>
      <c r="F150" s="300"/>
      <c r="G150" s="300"/>
      <c r="H150" s="300"/>
      <c r="I150" s="301"/>
    </row>
    <row r="151" spans="1:9">
      <c r="A151" s="299"/>
      <c r="B151" s="300"/>
      <c r="C151" s="300"/>
      <c r="D151" s="300"/>
      <c r="E151" s="300"/>
      <c r="F151" s="300"/>
      <c r="G151" s="300"/>
      <c r="H151" s="300"/>
      <c r="I151" s="301"/>
    </row>
    <row r="152" spans="1:9">
      <c r="A152" s="299"/>
      <c r="B152" s="300"/>
      <c r="C152" s="300"/>
      <c r="D152" s="300"/>
      <c r="E152" s="300"/>
      <c r="F152" s="300"/>
      <c r="G152" s="300"/>
      <c r="H152" s="300"/>
      <c r="I152" s="301"/>
    </row>
    <row r="153" spans="1:9">
      <c r="A153" s="299"/>
      <c r="B153" s="300"/>
      <c r="C153" s="300"/>
      <c r="D153" s="300"/>
      <c r="E153" s="300"/>
      <c r="F153" s="300"/>
      <c r="G153" s="300"/>
      <c r="H153" s="300"/>
      <c r="I153" s="301"/>
    </row>
    <row r="154" spans="1:9">
      <c r="A154" s="299"/>
      <c r="B154" s="300"/>
      <c r="C154" s="300"/>
      <c r="D154" s="300"/>
      <c r="E154" s="300"/>
      <c r="F154" s="300"/>
      <c r="G154" s="300"/>
      <c r="H154" s="300"/>
      <c r="I154" s="301"/>
    </row>
    <row r="155" spans="1:9">
      <c r="A155" s="299"/>
      <c r="B155" s="300"/>
      <c r="C155" s="300"/>
      <c r="D155" s="300"/>
      <c r="E155" s="300"/>
      <c r="F155" s="300"/>
      <c r="G155" s="300"/>
      <c r="H155" s="300"/>
      <c r="I155" s="301"/>
    </row>
    <row r="156" spans="1:9">
      <c r="A156" s="299"/>
      <c r="B156" s="300"/>
      <c r="C156" s="300"/>
      <c r="D156" s="300"/>
      <c r="E156" s="300"/>
      <c r="F156" s="300"/>
      <c r="G156" s="300"/>
      <c r="H156" s="300"/>
      <c r="I156" s="301"/>
    </row>
    <row r="157" spans="1:9">
      <c r="A157" s="299"/>
      <c r="B157" s="300"/>
      <c r="C157" s="300"/>
      <c r="D157" s="300"/>
      <c r="E157" s="300"/>
      <c r="F157" s="300"/>
      <c r="G157" s="300"/>
      <c r="H157" s="300"/>
      <c r="I157" s="301"/>
    </row>
    <row r="158" spans="1:9">
      <c r="A158" s="299"/>
      <c r="B158" s="300"/>
      <c r="C158" s="300"/>
      <c r="D158" s="300"/>
      <c r="E158" s="300"/>
      <c r="F158" s="300"/>
      <c r="G158" s="300"/>
      <c r="H158" s="300"/>
      <c r="I158" s="301"/>
    </row>
    <row r="159" spans="1:9">
      <c r="A159" s="299"/>
      <c r="B159" s="300"/>
      <c r="C159" s="300"/>
      <c r="D159" s="300"/>
      <c r="E159" s="300"/>
      <c r="F159" s="300"/>
      <c r="G159" s="300"/>
      <c r="H159" s="300"/>
      <c r="I159" s="301"/>
    </row>
    <row r="160" spans="1:9">
      <c r="A160" s="299"/>
      <c r="B160" s="300"/>
      <c r="C160" s="300"/>
      <c r="D160" s="300"/>
      <c r="E160" s="300"/>
      <c r="F160" s="300"/>
      <c r="G160" s="300"/>
      <c r="H160" s="300"/>
      <c r="I160" s="301"/>
    </row>
    <row r="161" spans="1:9">
      <c r="A161" s="299"/>
      <c r="B161" s="300"/>
      <c r="C161" s="300"/>
      <c r="D161" s="300"/>
      <c r="E161" s="300"/>
      <c r="F161" s="300"/>
      <c r="G161" s="300"/>
      <c r="H161" s="300"/>
      <c r="I161" s="301"/>
    </row>
    <row r="162" spans="1:9">
      <c r="A162" s="299"/>
      <c r="B162" s="300"/>
      <c r="C162" s="300"/>
      <c r="D162" s="300"/>
      <c r="E162" s="300"/>
      <c r="F162" s="300"/>
      <c r="G162" s="300"/>
      <c r="H162" s="300"/>
      <c r="I162" s="301"/>
    </row>
    <row r="163" spans="1:9">
      <c r="A163" s="299"/>
      <c r="B163" s="300"/>
      <c r="C163" s="300"/>
      <c r="D163" s="300"/>
      <c r="E163" s="300"/>
      <c r="F163" s="300"/>
      <c r="G163" s="300"/>
      <c r="H163" s="300"/>
      <c r="I163" s="301"/>
    </row>
    <row r="164" spans="1:9">
      <c r="A164" s="299"/>
      <c r="B164" s="300"/>
      <c r="C164" s="300"/>
      <c r="D164" s="300"/>
      <c r="E164" s="300"/>
      <c r="F164" s="300"/>
      <c r="G164" s="300"/>
      <c r="H164" s="300"/>
      <c r="I164" s="301"/>
    </row>
    <row r="165" spans="1:9">
      <c r="A165" s="299"/>
      <c r="B165" s="300"/>
      <c r="C165" s="300"/>
      <c r="D165" s="300"/>
      <c r="E165" s="300"/>
      <c r="F165" s="300"/>
      <c r="G165" s="300"/>
      <c r="H165" s="300"/>
      <c r="I165" s="301"/>
    </row>
    <row r="166" spans="1:9">
      <c r="A166" s="299"/>
      <c r="B166" s="300"/>
      <c r="C166" s="300"/>
      <c r="D166" s="300"/>
      <c r="E166" s="300"/>
      <c r="F166" s="300"/>
      <c r="G166" s="300"/>
      <c r="H166" s="300"/>
      <c r="I166" s="301"/>
    </row>
    <row r="167" spans="1:9">
      <c r="A167" s="299"/>
      <c r="B167" s="300"/>
      <c r="C167" s="300"/>
      <c r="D167" s="300"/>
      <c r="E167" s="300"/>
      <c r="F167" s="300"/>
      <c r="G167" s="300"/>
      <c r="H167" s="300"/>
      <c r="I167" s="301"/>
    </row>
    <row r="168" spans="1:9">
      <c r="A168" s="299"/>
      <c r="B168" s="300"/>
      <c r="C168" s="300"/>
      <c r="D168" s="300"/>
      <c r="E168" s="300"/>
      <c r="F168" s="300"/>
      <c r="G168" s="300"/>
      <c r="H168" s="300"/>
      <c r="I168" s="301"/>
    </row>
    <row r="169" spans="1:9">
      <c r="A169" s="299"/>
      <c r="B169" s="300"/>
      <c r="C169" s="300"/>
      <c r="D169" s="300"/>
      <c r="E169" s="300"/>
      <c r="F169" s="300"/>
      <c r="G169" s="300"/>
      <c r="H169" s="300"/>
      <c r="I169" s="301"/>
    </row>
    <row r="170" spans="1:9">
      <c r="A170" s="299"/>
      <c r="B170" s="300"/>
      <c r="C170" s="300"/>
      <c r="D170" s="300"/>
      <c r="E170" s="300"/>
      <c r="F170" s="300"/>
      <c r="G170" s="300"/>
      <c r="H170" s="300"/>
      <c r="I170" s="301"/>
    </row>
    <row r="171" spans="1:9">
      <c r="A171" s="299"/>
      <c r="B171" s="300"/>
      <c r="C171" s="300"/>
      <c r="D171" s="300"/>
      <c r="E171" s="300"/>
      <c r="F171" s="300"/>
      <c r="G171" s="300"/>
      <c r="H171" s="300"/>
      <c r="I171" s="301"/>
    </row>
    <row r="172" spans="1:9">
      <c r="A172" s="299"/>
      <c r="B172" s="300"/>
      <c r="C172" s="300"/>
      <c r="D172" s="300"/>
      <c r="E172" s="300"/>
      <c r="F172" s="300"/>
      <c r="G172" s="300"/>
      <c r="H172" s="300"/>
      <c r="I172" s="301"/>
    </row>
    <row r="173" spans="1:9">
      <c r="A173" s="299"/>
      <c r="B173" s="300"/>
      <c r="C173" s="300"/>
      <c r="D173" s="300"/>
      <c r="E173" s="300"/>
      <c r="F173" s="300"/>
      <c r="G173" s="300"/>
      <c r="H173" s="300"/>
      <c r="I173" s="301"/>
    </row>
    <row r="174" spans="1:9">
      <c r="A174" s="299"/>
      <c r="B174" s="300"/>
      <c r="C174" s="300"/>
      <c r="D174" s="300"/>
      <c r="E174" s="300"/>
      <c r="F174" s="300"/>
      <c r="G174" s="300"/>
      <c r="H174" s="300"/>
      <c r="I174" s="301"/>
    </row>
    <row r="175" spans="1:9">
      <c r="A175" s="299"/>
      <c r="B175" s="300"/>
      <c r="C175" s="300"/>
      <c r="D175" s="300"/>
      <c r="E175" s="300"/>
      <c r="F175" s="300"/>
      <c r="G175" s="300"/>
      <c r="H175" s="300"/>
      <c r="I175" s="301"/>
    </row>
    <row r="176" spans="1:9">
      <c r="A176" s="299"/>
      <c r="B176" s="300"/>
      <c r="C176" s="300"/>
      <c r="D176" s="300"/>
      <c r="E176" s="300"/>
      <c r="F176" s="300"/>
      <c r="G176" s="300"/>
      <c r="H176" s="300"/>
      <c r="I176" s="301"/>
    </row>
    <row r="177" spans="1:9">
      <c r="A177" s="299"/>
      <c r="B177" s="300"/>
      <c r="C177" s="300"/>
      <c r="D177" s="300"/>
      <c r="E177" s="300"/>
      <c r="F177" s="300"/>
      <c r="G177" s="300"/>
      <c r="H177" s="300"/>
      <c r="I177" s="301"/>
    </row>
    <row r="178" spans="1:9">
      <c r="A178" s="299"/>
      <c r="B178" s="300"/>
      <c r="C178" s="300"/>
      <c r="D178" s="300"/>
      <c r="E178" s="300"/>
      <c r="F178" s="300"/>
      <c r="G178" s="300"/>
      <c r="H178" s="300"/>
      <c r="I178" s="301"/>
    </row>
    <row r="179" spans="1:9">
      <c r="A179" s="299"/>
      <c r="B179" s="300"/>
      <c r="C179" s="300"/>
      <c r="D179" s="300"/>
      <c r="E179" s="300"/>
      <c r="F179" s="300"/>
      <c r="G179" s="300"/>
      <c r="H179" s="300"/>
      <c r="I179" s="301"/>
    </row>
    <row r="180" spans="1:9">
      <c r="A180" s="299"/>
      <c r="B180" s="300"/>
      <c r="C180" s="300"/>
      <c r="D180" s="300"/>
      <c r="E180" s="300"/>
      <c r="F180" s="300"/>
      <c r="G180" s="300"/>
      <c r="H180" s="300"/>
      <c r="I180" s="301"/>
    </row>
    <row r="181" spans="1:9">
      <c r="A181" s="299"/>
      <c r="B181" s="300"/>
      <c r="C181" s="300"/>
      <c r="D181" s="300"/>
      <c r="E181" s="300"/>
      <c r="F181" s="300"/>
      <c r="G181" s="300"/>
      <c r="H181" s="300"/>
      <c r="I181" s="301"/>
    </row>
    <row r="182" spans="1:9">
      <c r="A182" s="299"/>
      <c r="B182" s="300"/>
      <c r="C182" s="300"/>
      <c r="D182" s="300"/>
      <c r="E182" s="300"/>
      <c r="F182" s="300"/>
      <c r="G182" s="300"/>
      <c r="H182" s="300"/>
      <c r="I182" s="301"/>
    </row>
    <row r="183" spans="1:9" ht="15" thickBot="1">
      <c r="A183" s="4177" t="s">
        <v>585</v>
      </c>
      <c r="B183" s="4178"/>
      <c r="C183" s="4178"/>
      <c r="D183" s="4178"/>
      <c r="E183" s="4178"/>
      <c r="F183" s="4178"/>
      <c r="G183" s="4178"/>
      <c r="H183" s="4178"/>
      <c r="I183" s="4179"/>
    </row>
    <row r="184" spans="1:9">
      <c r="A184" s="4170"/>
      <c r="B184" s="4170"/>
      <c r="C184" s="4170"/>
      <c r="D184" s="4170"/>
      <c r="E184" s="4170"/>
      <c r="F184" s="4170"/>
      <c r="G184" s="4170"/>
      <c r="H184" s="4170"/>
      <c r="I184" s="4170"/>
    </row>
    <row r="185" spans="1:9">
      <c r="A185" s="4171"/>
      <c r="B185" s="4171"/>
      <c r="C185" s="4171"/>
      <c r="D185" s="4171"/>
      <c r="E185" s="4171"/>
      <c r="F185" s="4171"/>
      <c r="G185" s="4171"/>
      <c r="H185" s="4171"/>
      <c r="I185" s="4171"/>
    </row>
  </sheetData>
  <sheetProtection password="CA4F" sheet="1" objects="1" scenarios="1" formatRows="0" selectLockedCells="1"/>
  <mergeCells count="20">
    <mergeCell ref="A46:I46"/>
    <mergeCell ref="A50:E50"/>
    <mergeCell ref="A89:I89"/>
    <mergeCell ref="A90:I90"/>
    <mergeCell ref="A1:C1"/>
    <mergeCell ref="A2:C2"/>
    <mergeCell ref="E2:I2"/>
    <mergeCell ref="A184:I184"/>
    <mergeCell ref="A185:I185"/>
    <mergeCell ref="A92:I92"/>
    <mergeCell ref="A127:I127"/>
    <mergeCell ref="A128:I128"/>
    <mergeCell ref="A129:I129"/>
    <mergeCell ref="A130:I130"/>
    <mergeCell ref="A183:I183"/>
    <mergeCell ref="A91:I91"/>
    <mergeCell ref="A3:I3"/>
    <mergeCell ref="A43:I43"/>
    <mergeCell ref="A44:I44"/>
    <mergeCell ref="A45:I45"/>
  </mergeCells>
  <hyperlinks>
    <hyperlink ref="A43:I43" r:id="rId1" display="Source: 2006 International Residential Code. International Code Council, Inc., Country Club Hills, Illinois. Reproduced with permission. All rights reserved. http://www.iccsafe.org" xr:uid="{00000000-0004-0000-0D00-000000000000}"/>
    <hyperlink ref="B5" location="link703.1.1" display="See 703.1.1" xr:uid="{00000000-0004-0000-0D00-000001000000}"/>
    <hyperlink ref="A89:I89" r:id="rId2" display="Source: www.nationalatlas.gov" xr:uid="{00000000-0004-0000-0D00-000002000000}"/>
    <hyperlink ref="B48" location="link602.1.12" display="See 602.1.12" xr:uid="{00000000-0004-0000-0D00-000003000000}"/>
    <hyperlink ref="A50" r:id="rId3" display="http://www.nationalatlas.gov/" xr:uid="{00000000-0004-0000-0D00-000004000000}"/>
    <hyperlink ref="A127" r:id="rId4" display="http://www.iccsafe.gov/" xr:uid="{00000000-0004-0000-0D00-000005000000}"/>
    <hyperlink ref="B94" location="link602.1.5" display="See Practice 602.1.5" xr:uid="{00000000-0004-0000-0D00-000006000000}"/>
    <hyperlink ref="C94" location="link602.1.6" display="See Practice 602.1.6" xr:uid="{00000000-0004-0000-0D00-000007000000}"/>
    <hyperlink ref="A183" r:id="rId5" display="http://www.iccsafe.gov/" xr:uid="{00000000-0004-0000-0D00-000008000000}"/>
    <hyperlink ref="I131" location="link902.3" display="See Practice 902.3" xr:uid="{00000000-0004-0000-0D00-000009000000}"/>
    <hyperlink ref="C5" location="link903.3" display="See 903.3" xr:uid="{00000000-0004-0000-0D00-00000A000000}"/>
    <hyperlink ref="A183:I183" r:id="rId6" display="See the EPA Map of Radon Zones to find the level of radon potential for your project area." xr:uid="{00000000-0004-0000-0D00-00000B000000}"/>
  </hyperlinks>
  <pageMargins left="0.7" right="0.7" top="0.75" bottom="0.75" header="0.3" footer="0.3"/>
  <pageSetup scale="53" fitToHeight="0" orientation="portrait" r:id="rId7"/>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rowBreaks count="3" manualBreakCount="3">
    <brk id="44" max="8" man="1"/>
    <brk id="91" max="8" man="1"/>
    <brk id="129" max="8" man="1"/>
  </rowBreaks>
  <drawing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J139"/>
  <sheetViews>
    <sheetView showGridLines="0" zoomScale="90" zoomScaleNormal="90" zoomScaleSheetLayoutView="100" workbookViewId="0">
      <pane ySplit="2" topLeftCell="A3" activePane="bottomLeft" state="frozen"/>
      <selection activeCell="N10" sqref="N10:N12"/>
      <selection pane="bottomLeft" activeCell="J7" sqref="J7"/>
    </sheetView>
  </sheetViews>
  <sheetFormatPr baseColWidth="10" defaultColWidth="9.1640625" defaultRowHeight="15"/>
  <cols>
    <col min="1" max="1" width="30.6640625" style="28" customWidth="1"/>
    <col min="2" max="2" width="15.6640625" style="28" customWidth="1"/>
    <col min="3" max="3" width="15.33203125" style="28" customWidth="1"/>
    <col min="4" max="9" width="15.6640625" style="28" customWidth="1"/>
    <col min="10" max="10" width="17.6640625" style="282" customWidth="1"/>
    <col min="11" max="16384" width="9.1640625" style="28"/>
  </cols>
  <sheetData>
    <row r="1" spans="1:10" s="73" customFormat="1" ht="45" customHeight="1">
      <c r="A1" s="4168"/>
      <c r="B1" s="4168"/>
      <c r="C1" s="4048">
        <v>2012</v>
      </c>
      <c r="D1" s="4048"/>
      <c r="E1" s="1621"/>
      <c r="F1" s="1621"/>
      <c r="G1" s="1621"/>
      <c r="H1" s="1621"/>
      <c r="I1" s="1621"/>
      <c r="J1" s="297"/>
    </row>
    <row r="2" spans="1:10" s="105" customFormat="1" ht="72.75" customHeight="1" thickBot="1">
      <c r="A2" s="4313" t="s">
        <v>2258</v>
      </c>
      <c r="B2" s="4313"/>
      <c r="C2" s="4314" t="str">
        <f>CONCATENATE("Revised ",TEXT(startRevisionDate,"mmmm dd, yyyy"))</f>
        <v>Revised January 26, 2018</v>
      </c>
      <c r="D2" s="4314"/>
      <c r="E2" s="2272"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2272"/>
      <c r="G2" s="2272"/>
      <c r="H2" s="2272"/>
      <c r="I2" s="2272"/>
      <c r="J2" s="311"/>
    </row>
    <row r="3" spans="1:10" ht="19.5" customHeight="1" thickBot="1">
      <c r="A3" s="4172" t="s">
        <v>586</v>
      </c>
      <c r="B3" s="4172"/>
      <c r="C3" s="4172"/>
      <c r="D3" s="4172"/>
      <c r="E3" s="4172"/>
      <c r="F3" s="4172"/>
      <c r="G3" s="4172"/>
      <c r="H3" s="4172"/>
      <c r="I3" s="4172"/>
    </row>
    <row r="4" spans="1:10" ht="30" customHeight="1" thickBot="1">
      <c r="A4" s="4292"/>
      <c r="B4" s="4293"/>
      <c r="C4" s="4293"/>
      <c r="D4" s="4293"/>
      <c r="E4" s="4293"/>
      <c r="F4" s="4293"/>
      <c r="G4" s="4293"/>
      <c r="H4" s="4237" t="s">
        <v>587</v>
      </c>
      <c r="I4" s="4238"/>
    </row>
    <row r="5" spans="1:10">
      <c r="A5" s="4301" t="s">
        <v>588</v>
      </c>
      <c r="B5" s="4302"/>
      <c r="C5" s="4302"/>
      <c r="D5" s="4302"/>
      <c r="E5" s="4302"/>
      <c r="F5" s="4302"/>
      <c r="G5" s="4302"/>
      <c r="H5" s="4302"/>
      <c r="I5" s="4303"/>
    </row>
    <row r="6" spans="1:10">
      <c r="A6" s="4249" t="s">
        <v>589</v>
      </c>
      <c r="B6" s="4250"/>
      <c r="C6" s="4250"/>
      <c r="D6" s="4250"/>
      <c r="E6" s="4250"/>
      <c r="F6" s="4250"/>
      <c r="G6" s="4250"/>
      <c r="H6" s="4250"/>
      <c r="I6" s="4251"/>
    </row>
    <row r="7" spans="1:10" ht="57.75" customHeight="1">
      <c r="A7" s="4249" t="s">
        <v>590</v>
      </c>
      <c r="B7" s="4250"/>
      <c r="C7" s="4250"/>
      <c r="D7" s="4250"/>
      <c r="E7" s="4250"/>
      <c r="F7" s="4250"/>
      <c r="G7" s="4250"/>
      <c r="H7" s="4250"/>
      <c r="I7" s="4251"/>
    </row>
    <row r="8" spans="1:10" ht="77.25" customHeight="1">
      <c r="A8" s="4249" t="s">
        <v>591</v>
      </c>
      <c r="B8" s="4250"/>
      <c r="C8" s="4250"/>
      <c r="D8" s="4250"/>
      <c r="E8" s="4250"/>
      <c r="F8" s="4250"/>
      <c r="G8" s="4250"/>
      <c r="H8" s="4250"/>
      <c r="I8" s="4251"/>
    </row>
    <row r="9" spans="1:10">
      <c r="A9" s="4301" t="s">
        <v>592</v>
      </c>
      <c r="B9" s="4302"/>
      <c r="C9" s="4302"/>
      <c r="D9" s="4302"/>
      <c r="E9" s="4302"/>
      <c r="F9" s="4302"/>
      <c r="G9" s="4302"/>
      <c r="H9" s="4302"/>
      <c r="I9" s="4303"/>
    </row>
    <row r="10" spans="1:10" ht="56.25" customHeight="1">
      <c r="A10" s="4249" t="s">
        <v>593</v>
      </c>
      <c r="B10" s="4250"/>
      <c r="C10" s="4250"/>
      <c r="D10" s="4250"/>
      <c r="E10" s="4250"/>
      <c r="F10" s="4250"/>
      <c r="G10" s="4250"/>
      <c r="H10" s="4250"/>
      <c r="I10" s="4251"/>
    </row>
    <row r="11" spans="1:10">
      <c r="A11" s="2834"/>
      <c r="B11" s="4304"/>
      <c r="C11" s="4304"/>
      <c r="D11" s="4304"/>
      <c r="E11" s="4304"/>
      <c r="F11" s="4304"/>
      <c r="G11" s="4304"/>
      <c r="H11" s="4304"/>
      <c r="I11" s="4305"/>
    </row>
    <row r="12" spans="1:10" ht="35" customHeight="1">
      <c r="A12" s="4143" t="s">
        <v>594</v>
      </c>
      <c r="B12" s="4144"/>
      <c r="C12" s="4144"/>
      <c r="D12" s="4144"/>
      <c r="E12" s="4144"/>
      <c r="F12" s="4144"/>
      <c r="G12" s="4144"/>
      <c r="H12" s="4144"/>
      <c r="I12" s="4145"/>
    </row>
    <row r="13" spans="1:10">
      <c r="A13" s="312"/>
      <c r="B13" s="4306" t="s">
        <v>595</v>
      </c>
      <c r="C13" s="4306"/>
      <c r="D13" s="4306"/>
      <c r="E13" s="4306"/>
      <c r="F13" s="4306"/>
      <c r="G13" s="4306"/>
      <c r="H13" s="4306"/>
      <c r="I13" s="4307"/>
    </row>
    <row r="14" spans="1:10">
      <c r="A14" s="313" t="s">
        <v>596</v>
      </c>
      <c r="B14" s="4308" t="s">
        <v>597</v>
      </c>
      <c r="C14" s="4308"/>
      <c r="D14" s="4308"/>
      <c r="E14" s="4308"/>
      <c r="F14" s="4308" t="s">
        <v>598</v>
      </c>
      <c r="G14" s="4308"/>
      <c r="H14" s="4308"/>
      <c r="I14" s="4309"/>
    </row>
    <row r="15" spans="1:10" ht="30">
      <c r="A15" s="313" t="s">
        <v>599</v>
      </c>
      <c r="B15" s="127" t="s">
        <v>600</v>
      </c>
      <c r="C15" s="127" t="s">
        <v>601</v>
      </c>
      <c r="D15" s="127" t="s">
        <v>602</v>
      </c>
      <c r="E15" s="127" t="s">
        <v>603</v>
      </c>
      <c r="F15" s="127" t="s">
        <v>600</v>
      </c>
      <c r="G15" s="127" t="s">
        <v>601</v>
      </c>
      <c r="H15" s="127" t="s">
        <v>602</v>
      </c>
      <c r="I15" s="314" t="s">
        <v>603</v>
      </c>
    </row>
    <row r="16" spans="1:10">
      <c r="A16" s="315" t="s">
        <v>604</v>
      </c>
      <c r="B16" s="4308" t="s">
        <v>605</v>
      </c>
      <c r="C16" s="4308"/>
      <c r="D16" s="4308"/>
      <c r="E16" s="4308"/>
      <c r="F16" s="4308"/>
      <c r="G16" s="4308"/>
      <c r="H16" s="4308"/>
      <c r="I16" s="4309"/>
    </row>
    <row r="17" spans="1:9">
      <c r="A17" s="315" t="s">
        <v>606</v>
      </c>
      <c r="B17" s="316" t="s">
        <v>607</v>
      </c>
      <c r="C17" s="316" t="s">
        <v>607</v>
      </c>
      <c r="D17" s="316" t="s">
        <v>607</v>
      </c>
      <c r="E17" s="316" t="s">
        <v>607</v>
      </c>
      <c r="F17" s="316" t="s">
        <v>608</v>
      </c>
      <c r="G17" s="316" t="s">
        <v>607</v>
      </c>
      <c r="H17" s="316" t="s">
        <v>607</v>
      </c>
      <c r="I17" s="317" t="s">
        <v>607</v>
      </c>
    </row>
    <row r="18" spans="1:9">
      <c r="A18" s="315" t="s">
        <v>609</v>
      </c>
      <c r="B18" s="316" t="s">
        <v>610</v>
      </c>
      <c r="C18" s="316" t="s">
        <v>611</v>
      </c>
      <c r="D18" s="316" t="s">
        <v>607</v>
      </c>
      <c r="E18" s="316" t="s">
        <v>607</v>
      </c>
      <c r="F18" s="316" t="s">
        <v>612</v>
      </c>
      <c r="G18" s="316" t="s">
        <v>613</v>
      </c>
      <c r="H18" s="316" t="s">
        <v>608</v>
      </c>
      <c r="I18" s="317" t="s">
        <v>607</v>
      </c>
    </row>
    <row r="19" spans="1:9">
      <c r="A19" s="315" t="s">
        <v>614</v>
      </c>
      <c r="B19" s="316" t="s">
        <v>615</v>
      </c>
      <c r="C19" s="316" t="s">
        <v>610</v>
      </c>
      <c r="D19" s="316" t="s">
        <v>613</v>
      </c>
      <c r="E19" s="316" t="s">
        <v>616</v>
      </c>
      <c r="F19" s="316" t="s">
        <v>615</v>
      </c>
      <c r="G19" s="316" t="s">
        <v>617</v>
      </c>
      <c r="H19" s="316" t="s">
        <v>618</v>
      </c>
      <c r="I19" s="317" t="s">
        <v>619</v>
      </c>
    </row>
    <row r="20" spans="1:9">
      <c r="A20" s="315" t="s">
        <v>620</v>
      </c>
      <c r="B20" s="316" t="s">
        <v>615</v>
      </c>
      <c r="C20" s="316" t="s">
        <v>615</v>
      </c>
      <c r="D20" s="316" t="s">
        <v>621</v>
      </c>
      <c r="E20" s="316" t="s">
        <v>622</v>
      </c>
      <c r="F20" s="316" t="s">
        <v>615</v>
      </c>
      <c r="G20" s="316" t="s">
        <v>615</v>
      </c>
      <c r="H20" s="316" t="s">
        <v>615</v>
      </c>
      <c r="I20" s="317" t="s">
        <v>623</v>
      </c>
    </row>
    <row r="21" spans="1:9">
      <c r="A21" s="315" t="s">
        <v>624</v>
      </c>
      <c r="B21" s="316" t="s">
        <v>615</v>
      </c>
      <c r="C21" s="316" t="s">
        <v>615</v>
      </c>
      <c r="D21" s="316" t="s">
        <v>615</v>
      </c>
      <c r="E21" s="316" t="s">
        <v>615</v>
      </c>
      <c r="F21" s="316" t="s">
        <v>615</v>
      </c>
      <c r="G21" s="316" t="s">
        <v>615</v>
      </c>
      <c r="H21" s="316" t="s">
        <v>615</v>
      </c>
      <c r="I21" s="317" t="s">
        <v>615</v>
      </c>
    </row>
    <row r="22" spans="1:9" ht="14" customHeight="1">
      <c r="A22" s="4310" t="s">
        <v>625</v>
      </c>
      <c r="B22" s="4311"/>
      <c r="C22" s="4311"/>
      <c r="D22" s="4311"/>
      <c r="E22" s="4311"/>
      <c r="F22" s="4311"/>
      <c r="G22" s="4311"/>
      <c r="H22" s="4311"/>
      <c r="I22" s="4312"/>
    </row>
    <row r="23" spans="1:9" ht="14" customHeight="1">
      <c r="A23" s="4298" t="s">
        <v>626</v>
      </c>
      <c r="B23" s="4299"/>
      <c r="C23" s="4299"/>
      <c r="D23" s="4299"/>
      <c r="E23" s="4299"/>
      <c r="F23" s="4299"/>
      <c r="G23" s="4299"/>
      <c r="H23" s="4299"/>
      <c r="I23" s="4300"/>
    </row>
    <row r="24" spans="1:9" ht="14" customHeight="1">
      <c r="A24" s="4289" t="s">
        <v>627</v>
      </c>
      <c r="B24" s="4290"/>
      <c r="C24" s="4290"/>
      <c r="D24" s="4290"/>
      <c r="E24" s="4290"/>
      <c r="F24" s="4290"/>
      <c r="G24" s="4290"/>
      <c r="H24" s="4290"/>
      <c r="I24" s="4291"/>
    </row>
    <row r="25" spans="1:9" ht="16" thickBot="1">
      <c r="A25" s="193"/>
      <c r="B25" s="318"/>
      <c r="C25" s="318"/>
      <c r="D25" s="318"/>
      <c r="E25" s="318"/>
      <c r="F25" s="318"/>
      <c r="G25" s="318"/>
      <c r="H25" s="318"/>
      <c r="I25" s="319"/>
    </row>
    <row r="26" spans="1:9" ht="16" thickBot="1"/>
    <row r="27" spans="1:9" ht="19.5" customHeight="1" thickBot="1">
      <c r="A27" s="4081" t="s">
        <v>628</v>
      </c>
      <c r="B27" s="4082"/>
      <c r="C27" s="4082"/>
      <c r="D27" s="4082"/>
      <c r="E27" s="4082"/>
      <c r="F27" s="4082"/>
      <c r="G27" s="4082"/>
      <c r="H27" s="4082"/>
      <c r="I27" s="4083"/>
    </row>
    <row r="28" spans="1:9" ht="25.5" customHeight="1" thickBot="1">
      <c r="A28" s="4292"/>
      <c r="B28" s="4293"/>
      <c r="C28" s="4293"/>
      <c r="D28" s="4293"/>
      <c r="E28" s="4293"/>
      <c r="F28" s="4293"/>
      <c r="G28" s="4294"/>
      <c r="H28" s="4237" t="s">
        <v>1868</v>
      </c>
      <c r="I28" s="4238"/>
    </row>
    <row r="29" spans="1:9">
      <c r="A29" s="4295" t="s">
        <v>629</v>
      </c>
      <c r="B29" s="4296"/>
      <c r="C29" s="4296"/>
      <c r="D29" s="4296"/>
      <c r="E29" s="4296"/>
      <c r="F29" s="4296"/>
      <c r="G29" s="4296"/>
      <c r="H29" s="4296"/>
      <c r="I29" s="4297"/>
    </row>
    <row r="30" spans="1:9">
      <c r="A30" s="4249" t="s">
        <v>630</v>
      </c>
      <c r="B30" s="4250"/>
      <c r="C30" s="4250"/>
      <c r="D30" s="4250"/>
      <c r="E30" s="4250"/>
      <c r="F30" s="4250"/>
      <c r="G30" s="4250"/>
      <c r="H30" s="4250"/>
      <c r="I30" s="4251"/>
    </row>
    <row r="31" spans="1:9" ht="75" customHeight="1">
      <c r="A31" s="2135" t="s">
        <v>631</v>
      </c>
      <c r="B31" s="4250"/>
      <c r="C31" s="4250"/>
      <c r="D31" s="4250"/>
      <c r="E31" s="4250"/>
      <c r="F31" s="4250"/>
      <c r="G31" s="4250"/>
      <c r="H31" s="4250"/>
      <c r="I31" s="4251"/>
    </row>
    <row r="32" spans="1:9" ht="75" customHeight="1">
      <c r="A32" s="2135" t="s">
        <v>632</v>
      </c>
      <c r="B32" s="4250"/>
      <c r="C32" s="4250"/>
      <c r="D32" s="4250"/>
      <c r="E32" s="4250"/>
      <c r="F32" s="4250"/>
      <c r="G32" s="4250"/>
      <c r="H32" s="4250"/>
      <c r="I32" s="4251"/>
    </row>
    <row r="33" spans="1:9">
      <c r="A33" s="4295" t="s">
        <v>633</v>
      </c>
      <c r="B33" s="4296"/>
      <c r="C33" s="4296"/>
      <c r="D33" s="4296"/>
      <c r="E33" s="4296"/>
      <c r="F33" s="4296"/>
      <c r="G33" s="4296"/>
      <c r="H33" s="4296"/>
      <c r="I33" s="4297"/>
    </row>
    <row r="34" spans="1:9" ht="60" customHeight="1">
      <c r="A34" s="4249" t="s">
        <v>634</v>
      </c>
      <c r="B34" s="4250"/>
      <c r="C34" s="4250"/>
      <c r="D34" s="4250"/>
      <c r="E34" s="4250"/>
      <c r="F34" s="4250"/>
      <c r="G34" s="4250"/>
      <c r="H34" s="4250"/>
      <c r="I34" s="4251"/>
    </row>
    <row r="35" spans="1:9" ht="29.25" customHeight="1">
      <c r="A35" s="4252" t="s">
        <v>635</v>
      </c>
      <c r="B35" s="4253"/>
      <c r="C35" s="4253"/>
      <c r="D35" s="4253"/>
      <c r="E35" s="4253"/>
      <c r="F35" s="4253"/>
      <c r="G35" s="4253"/>
      <c r="H35" s="4253"/>
      <c r="I35" s="4254"/>
    </row>
    <row r="36" spans="1:9">
      <c r="A36" s="4277" t="s">
        <v>636</v>
      </c>
      <c r="B36" s="4253"/>
      <c r="C36" s="4253"/>
      <c r="D36" s="4253"/>
      <c r="E36" s="4253"/>
      <c r="F36" s="4253"/>
      <c r="G36" s="4253"/>
      <c r="H36" s="4253"/>
      <c r="I36" s="4254"/>
    </row>
    <row r="37" spans="1:9" ht="30" customHeight="1">
      <c r="A37" s="4277" t="s">
        <v>637</v>
      </c>
      <c r="B37" s="4253"/>
      <c r="C37" s="4253"/>
      <c r="D37" s="4253"/>
      <c r="E37" s="4253"/>
      <c r="F37" s="4253"/>
      <c r="G37" s="4253"/>
      <c r="H37" s="4253"/>
      <c r="I37" s="4254"/>
    </row>
    <row r="38" spans="1:9">
      <c r="A38" s="4277" t="s">
        <v>638</v>
      </c>
      <c r="B38" s="4253"/>
      <c r="C38" s="4253"/>
      <c r="D38" s="4253"/>
      <c r="E38" s="4253"/>
      <c r="F38" s="4253"/>
      <c r="G38" s="4253"/>
      <c r="H38" s="4253"/>
      <c r="I38" s="4254"/>
    </row>
    <row r="39" spans="1:9" ht="30" customHeight="1">
      <c r="A39" s="4252" t="s">
        <v>639</v>
      </c>
      <c r="B39" s="4253"/>
      <c r="C39" s="4253"/>
      <c r="D39" s="4253"/>
      <c r="E39" s="4253"/>
      <c r="F39" s="4253"/>
      <c r="G39" s="4253"/>
      <c r="H39" s="4253"/>
      <c r="I39" s="4254"/>
    </row>
    <row r="40" spans="1:9" ht="60" customHeight="1">
      <c r="A40" s="4288" t="s">
        <v>640</v>
      </c>
      <c r="B40" s="4256"/>
      <c r="C40" s="4256"/>
      <c r="D40" s="4256"/>
      <c r="E40" s="4256"/>
      <c r="F40" s="4256"/>
      <c r="G40" s="4256"/>
      <c r="H40" s="4256"/>
      <c r="I40" s="4257"/>
    </row>
    <row r="41" spans="1:9" ht="30" customHeight="1">
      <c r="A41" s="4255" t="s">
        <v>641</v>
      </c>
      <c r="B41" s="4256"/>
      <c r="C41" s="4256"/>
      <c r="D41" s="4256"/>
      <c r="E41" s="4256"/>
      <c r="F41" s="4256"/>
      <c r="G41" s="4256"/>
      <c r="H41" s="4256"/>
      <c r="I41" s="4257"/>
    </row>
    <row r="42" spans="1:9" ht="90" customHeight="1">
      <c r="A42" s="4288" t="s">
        <v>642</v>
      </c>
      <c r="B42" s="4256"/>
      <c r="C42" s="4256"/>
      <c r="D42" s="4256"/>
      <c r="E42" s="4256"/>
      <c r="F42" s="4256"/>
      <c r="G42" s="4256"/>
      <c r="H42" s="4256"/>
      <c r="I42" s="4257"/>
    </row>
    <row r="43" spans="1:9">
      <c r="A43" s="320"/>
      <c r="B43" s="321"/>
      <c r="C43" s="321"/>
      <c r="D43" s="321"/>
      <c r="E43" s="321"/>
      <c r="F43" s="321"/>
      <c r="G43" s="321"/>
      <c r="H43" s="321"/>
      <c r="I43" s="322"/>
    </row>
    <row r="44" spans="1:9">
      <c r="A44" s="320"/>
      <c r="B44" s="4278" t="s">
        <v>643</v>
      </c>
      <c r="C44" s="4279"/>
      <c r="D44" s="4279"/>
      <c r="E44" s="4279"/>
      <c r="F44" s="4279"/>
      <c r="G44" s="4280"/>
      <c r="H44" s="321"/>
      <c r="I44" s="322"/>
    </row>
    <row r="45" spans="1:9" ht="15" customHeight="1">
      <c r="A45" s="320"/>
      <c r="B45" s="323" t="s">
        <v>644</v>
      </c>
      <c r="C45" s="324" t="s">
        <v>645</v>
      </c>
      <c r="D45" s="4247" t="s">
        <v>646</v>
      </c>
      <c r="E45" s="4247"/>
      <c r="F45" s="4247"/>
      <c r="G45" s="4284"/>
      <c r="H45" s="321"/>
      <c r="I45" s="322"/>
    </row>
    <row r="46" spans="1:9">
      <c r="A46" s="320"/>
      <c r="B46" s="4283" t="s">
        <v>647</v>
      </c>
      <c r="C46" s="4247"/>
      <c r="D46" s="4247"/>
      <c r="E46" s="4247"/>
      <c r="F46" s="4247"/>
      <c r="G46" s="4284"/>
      <c r="H46" s="321"/>
      <c r="I46" s="322"/>
    </row>
    <row r="47" spans="1:9" ht="15" customHeight="1">
      <c r="A47" s="320"/>
      <c r="B47" s="323" t="s">
        <v>644</v>
      </c>
      <c r="C47" s="324" t="s">
        <v>645</v>
      </c>
      <c r="D47" s="4247" t="s">
        <v>648</v>
      </c>
      <c r="E47" s="4247"/>
      <c r="F47" s="4247"/>
      <c r="G47" s="4284"/>
      <c r="H47" s="321"/>
      <c r="I47" s="322"/>
    </row>
    <row r="48" spans="1:9" ht="15" customHeight="1">
      <c r="A48" s="320"/>
      <c r="B48" s="323" t="s">
        <v>649</v>
      </c>
      <c r="C48" s="324" t="s">
        <v>645</v>
      </c>
      <c r="D48" s="4247" t="s">
        <v>650</v>
      </c>
      <c r="E48" s="4247"/>
      <c r="F48" s="4247"/>
      <c r="G48" s="4284"/>
      <c r="H48" s="321"/>
      <c r="I48" s="322"/>
    </row>
    <row r="49" spans="1:9" ht="16">
      <c r="A49" s="320"/>
      <c r="B49" s="325" t="s">
        <v>651</v>
      </c>
      <c r="C49" s="326" t="s">
        <v>645</v>
      </c>
      <c r="D49" s="4275" t="s">
        <v>652</v>
      </c>
      <c r="E49" s="4275"/>
      <c r="F49" s="4275"/>
      <c r="G49" s="4276"/>
      <c r="H49" s="321"/>
      <c r="I49" s="322"/>
    </row>
    <row r="50" spans="1:9">
      <c r="A50" s="327"/>
      <c r="B50" s="328"/>
      <c r="C50" s="328"/>
      <c r="D50" s="328"/>
      <c r="E50" s="328"/>
      <c r="F50" s="328"/>
      <c r="G50" s="328"/>
      <c r="H50" s="328"/>
      <c r="I50" s="329"/>
    </row>
    <row r="51" spans="1:9">
      <c r="A51" s="320"/>
      <c r="B51" s="4278" t="s">
        <v>653</v>
      </c>
      <c r="C51" s="4279"/>
      <c r="D51" s="4279"/>
      <c r="E51" s="4279"/>
      <c r="F51" s="4279"/>
      <c r="G51" s="4280"/>
      <c r="H51" s="321"/>
      <c r="I51" s="322"/>
    </row>
    <row r="52" spans="1:9" ht="15" customHeight="1">
      <c r="A52" s="320"/>
      <c r="B52" s="323" t="s">
        <v>644</v>
      </c>
      <c r="C52" s="324" t="s">
        <v>645</v>
      </c>
      <c r="D52" s="4247" t="s">
        <v>654</v>
      </c>
      <c r="E52" s="4247"/>
      <c r="F52" s="4247"/>
      <c r="G52" s="4284"/>
      <c r="H52" s="321"/>
      <c r="I52" s="322"/>
    </row>
    <row r="53" spans="1:9">
      <c r="A53" s="320"/>
      <c r="B53" s="4283" t="s">
        <v>647</v>
      </c>
      <c r="C53" s="4247"/>
      <c r="D53" s="4247"/>
      <c r="E53" s="4247"/>
      <c r="F53" s="4247"/>
      <c r="G53" s="4284"/>
      <c r="H53" s="321"/>
      <c r="I53" s="322"/>
    </row>
    <row r="54" spans="1:9" ht="15" customHeight="1">
      <c r="A54" s="320"/>
      <c r="B54" s="323" t="s">
        <v>644</v>
      </c>
      <c r="C54" s="324" t="s">
        <v>645</v>
      </c>
      <c r="D54" s="4247" t="s">
        <v>655</v>
      </c>
      <c r="E54" s="4247"/>
      <c r="F54" s="4247"/>
      <c r="G54" s="4284"/>
      <c r="H54" s="321"/>
      <c r="I54" s="322"/>
    </row>
    <row r="55" spans="1:9" ht="15" customHeight="1">
      <c r="A55" s="320"/>
      <c r="B55" s="323" t="s">
        <v>649</v>
      </c>
      <c r="C55" s="324" t="s">
        <v>645</v>
      </c>
      <c r="D55" s="4247" t="s">
        <v>656</v>
      </c>
      <c r="E55" s="4247"/>
      <c r="F55" s="4247"/>
      <c r="G55" s="4284"/>
      <c r="H55" s="321"/>
      <c r="I55" s="322"/>
    </row>
    <row r="56" spans="1:9" ht="16">
      <c r="A56" s="320"/>
      <c r="B56" s="325" t="s">
        <v>651</v>
      </c>
      <c r="C56" s="326" t="s">
        <v>645</v>
      </c>
      <c r="D56" s="4275" t="s">
        <v>652</v>
      </c>
      <c r="E56" s="4275"/>
      <c r="F56" s="4275"/>
      <c r="G56" s="4276"/>
      <c r="H56" s="321"/>
      <c r="I56" s="322"/>
    </row>
    <row r="57" spans="1:9">
      <c r="A57" s="327"/>
      <c r="B57" s="328"/>
      <c r="C57" s="328"/>
      <c r="D57" s="328"/>
      <c r="E57" s="328"/>
      <c r="F57" s="328"/>
      <c r="G57" s="328"/>
      <c r="H57" s="328"/>
      <c r="I57" s="329"/>
    </row>
    <row r="58" spans="1:9" ht="30" customHeight="1">
      <c r="A58" s="327"/>
      <c r="B58" s="4285" t="s">
        <v>657</v>
      </c>
      <c r="C58" s="4285"/>
      <c r="D58" s="4285"/>
      <c r="E58" s="4285"/>
      <c r="F58" s="4285"/>
      <c r="G58" s="4285"/>
      <c r="H58" s="328"/>
      <c r="I58" s="329"/>
    </row>
    <row r="59" spans="1:9" ht="16">
      <c r="A59" s="188"/>
      <c r="B59" s="330" t="s">
        <v>658</v>
      </c>
      <c r="C59" s="4286" t="s">
        <v>659</v>
      </c>
      <c r="D59" s="4286"/>
      <c r="E59" s="4286"/>
      <c r="F59" s="4286"/>
      <c r="G59" s="4287"/>
      <c r="H59" s="328"/>
      <c r="I59" s="329"/>
    </row>
    <row r="60" spans="1:9" ht="18">
      <c r="A60" s="188"/>
      <c r="B60" s="331" t="s">
        <v>660</v>
      </c>
      <c r="C60" s="332" t="s">
        <v>661</v>
      </c>
      <c r="D60" s="332" t="s">
        <v>662</v>
      </c>
      <c r="E60" s="332" t="s">
        <v>663</v>
      </c>
      <c r="F60" s="332" t="s">
        <v>664</v>
      </c>
      <c r="G60" s="333" t="s">
        <v>665</v>
      </c>
      <c r="H60" s="334"/>
      <c r="I60" s="335"/>
    </row>
    <row r="61" spans="1:9" ht="16">
      <c r="A61" s="327"/>
      <c r="B61" s="336" t="s">
        <v>666</v>
      </c>
      <c r="C61" s="337">
        <v>30</v>
      </c>
      <c r="D61" s="337">
        <v>45</v>
      </c>
      <c r="E61" s="337">
        <v>60</v>
      </c>
      <c r="F61" s="337">
        <v>75</v>
      </c>
      <c r="G61" s="338">
        <v>90</v>
      </c>
      <c r="H61" s="328"/>
      <c r="I61" s="329"/>
    </row>
    <row r="62" spans="1:9" ht="16">
      <c r="A62" s="327"/>
      <c r="B62" s="336" t="s">
        <v>667</v>
      </c>
      <c r="C62" s="337">
        <v>45</v>
      </c>
      <c r="D62" s="337">
        <v>60</v>
      </c>
      <c r="E62" s="337">
        <v>75</v>
      </c>
      <c r="F62" s="337">
        <v>90</v>
      </c>
      <c r="G62" s="338">
        <v>105</v>
      </c>
      <c r="H62" s="328"/>
      <c r="I62" s="329"/>
    </row>
    <row r="63" spans="1:9" ht="16">
      <c r="A63" s="327"/>
      <c r="B63" s="336" t="s">
        <v>668</v>
      </c>
      <c r="C63" s="337">
        <v>60</v>
      </c>
      <c r="D63" s="337">
        <v>75</v>
      </c>
      <c r="E63" s="337">
        <v>90</v>
      </c>
      <c r="F63" s="337">
        <v>15</v>
      </c>
      <c r="G63" s="338">
        <v>120</v>
      </c>
      <c r="H63" s="328"/>
      <c r="I63" s="329"/>
    </row>
    <row r="64" spans="1:9" ht="16">
      <c r="A64" s="327"/>
      <c r="B64" s="336" t="s">
        <v>669</v>
      </c>
      <c r="C64" s="337">
        <v>75</v>
      </c>
      <c r="D64" s="337">
        <v>90</v>
      </c>
      <c r="E64" s="337">
        <v>105</v>
      </c>
      <c r="F64" s="337">
        <v>120</v>
      </c>
      <c r="G64" s="338">
        <v>135</v>
      </c>
      <c r="H64" s="328"/>
      <c r="I64" s="329"/>
    </row>
    <row r="65" spans="1:9" ht="16">
      <c r="A65" s="327"/>
      <c r="B65" s="336" t="s">
        <v>670</v>
      </c>
      <c r="C65" s="337">
        <v>90</v>
      </c>
      <c r="D65" s="337">
        <v>105</v>
      </c>
      <c r="E65" s="337">
        <v>120</v>
      </c>
      <c r="F65" s="337">
        <v>135</v>
      </c>
      <c r="G65" s="338">
        <v>150</v>
      </c>
      <c r="H65" s="328"/>
      <c r="I65" s="329"/>
    </row>
    <row r="66" spans="1:9" ht="16">
      <c r="A66" s="327"/>
      <c r="B66" s="339" t="s">
        <v>671</v>
      </c>
      <c r="C66" s="340">
        <v>105</v>
      </c>
      <c r="D66" s="340">
        <v>120</v>
      </c>
      <c r="E66" s="340">
        <v>135</v>
      </c>
      <c r="F66" s="340">
        <v>150</v>
      </c>
      <c r="G66" s="341">
        <v>165</v>
      </c>
      <c r="H66" s="328"/>
      <c r="I66" s="329"/>
    </row>
    <row r="67" spans="1:9">
      <c r="A67" s="327"/>
      <c r="B67" s="328"/>
      <c r="C67" s="328"/>
      <c r="D67" s="328"/>
      <c r="E67" s="328"/>
      <c r="F67" s="328"/>
      <c r="G67" s="328"/>
      <c r="H67" s="328"/>
      <c r="I67" s="329"/>
    </row>
    <row r="68" spans="1:9" ht="30" customHeight="1">
      <c r="A68" s="327"/>
      <c r="B68" s="4285" t="s">
        <v>672</v>
      </c>
      <c r="C68" s="4285"/>
      <c r="D68" s="4285"/>
      <c r="E68" s="4285"/>
      <c r="F68" s="4285"/>
      <c r="G68" s="4285"/>
      <c r="H68" s="328"/>
      <c r="I68" s="329"/>
    </row>
    <row r="69" spans="1:9" ht="16">
      <c r="A69" s="188"/>
      <c r="B69" s="330" t="s">
        <v>658</v>
      </c>
      <c r="C69" s="4286" t="s">
        <v>659</v>
      </c>
      <c r="D69" s="4286"/>
      <c r="E69" s="4286"/>
      <c r="F69" s="4286"/>
      <c r="G69" s="4287"/>
      <c r="H69" s="328"/>
      <c r="I69" s="329"/>
    </row>
    <row r="70" spans="1:9" ht="18">
      <c r="A70" s="188"/>
      <c r="B70" s="331" t="s">
        <v>673</v>
      </c>
      <c r="C70" s="332" t="s">
        <v>661</v>
      </c>
      <c r="D70" s="332" t="s">
        <v>662</v>
      </c>
      <c r="E70" s="332" t="s">
        <v>663</v>
      </c>
      <c r="F70" s="332" t="s">
        <v>664</v>
      </c>
      <c r="G70" s="333" t="s">
        <v>665</v>
      </c>
      <c r="H70" s="334"/>
      <c r="I70" s="335"/>
    </row>
    <row r="71" spans="1:9" ht="16">
      <c r="A71" s="327"/>
      <c r="B71" s="336" t="s">
        <v>674</v>
      </c>
      <c r="C71" s="337">
        <v>14</v>
      </c>
      <c r="D71" s="337">
        <v>21</v>
      </c>
      <c r="E71" s="337">
        <v>28</v>
      </c>
      <c r="F71" s="337">
        <v>35</v>
      </c>
      <c r="G71" s="338">
        <v>42</v>
      </c>
      <c r="H71" s="328"/>
      <c r="I71" s="329"/>
    </row>
    <row r="72" spans="1:9" ht="16">
      <c r="A72" s="327"/>
      <c r="B72" s="336" t="s">
        <v>675</v>
      </c>
      <c r="C72" s="337">
        <v>21</v>
      </c>
      <c r="D72" s="337">
        <v>28</v>
      </c>
      <c r="E72" s="337">
        <v>35</v>
      </c>
      <c r="F72" s="337">
        <v>42</v>
      </c>
      <c r="G72" s="338">
        <v>50</v>
      </c>
      <c r="H72" s="328"/>
      <c r="I72" s="329"/>
    </row>
    <row r="73" spans="1:9" ht="16">
      <c r="A73" s="327"/>
      <c r="B73" s="336" t="s">
        <v>676</v>
      </c>
      <c r="C73" s="337">
        <v>28</v>
      </c>
      <c r="D73" s="337">
        <v>35</v>
      </c>
      <c r="E73" s="337">
        <v>42</v>
      </c>
      <c r="F73" s="337">
        <v>50</v>
      </c>
      <c r="G73" s="338">
        <v>57</v>
      </c>
      <c r="H73" s="328"/>
      <c r="I73" s="329"/>
    </row>
    <row r="74" spans="1:9" ht="16">
      <c r="A74" s="327"/>
      <c r="B74" s="336" t="s">
        <v>677</v>
      </c>
      <c r="C74" s="337">
        <v>35</v>
      </c>
      <c r="D74" s="337">
        <v>42</v>
      </c>
      <c r="E74" s="337">
        <v>50</v>
      </c>
      <c r="F74" s="337">
        <v>57</v>
      </c>
      <c r="G74" s="338">
        <v>64</v>
      </c>
      <c r="H74" s="328"/>
      <c r="I74" s="329"/>
    </row>
    <row r="75" spans="1:9" ht="16">
      <c r="A75" s="327"/>
      <c r="B75" s="336" t="s">
        <v>678</v>
      </c>
      <c r="C75" s="337">
        <v>42</v>
      </c>
      <c r="D75" s="337">
        <v>50</v>
      </c>
      <c r="E75" s="337">
        <v>57</v>
      </c>
      <c r="F75" s="337">
        <v>64</v>
      </c>
      <c r="G75" s="338">
        <v>71</v>
      </c>
      <c r="H75" s="328"/>
      <c r="I75" s="329"/>
    </row>
    <row r="76" spans="1:9" ht="16">
      <c r="A76" s="327"/>
      <c r="B76" s="339" t="s">
        <v>679</v>
      </c>
      <c r="C76" s="340">
        <v>50</v>
      </c>
      <c r="D76" s="340">
        <v>57</v>
      </c>
      <c r="E76" s="340">
        <v>64</v>
      </c>
      <c r="F76" s="340">
        <v>71</v>
      </c>
      <c r="G76" s="341">
        <v>78</v>
      </c>
      <c r="H76" s="328"/>
      <c r="I76" s="329"/>
    </row>
    <row r="77" spans="1:9">
      <c r="A77" s="327"/>
      <c r="B77" s="328"/>
      <c r="C77" s="328"/>
      <c r="D77" s="328"/>
      <c r="E77" s="328"/>
      <c r="F77" s="328"/>
      <c r="G77" s="328"/>
      <c r="H77" s="328"/>
      <c r="I77" s="329"/>
    </row>
    <row r="78" spans="1:9" ht="90" customHeight="1">
      <c r="A78" s="2135" t="s">
        <v>680</v>
      </c>
      <c r="B78" s="4250"/>
      <c r="C78" s="4250"/>
      <c r="D78" s="4250"/>
      <c r="E78" s="4250"/>
      <c r="F78" s="4250"/>
      <c r="G78" s="4250"/>
      <c r="H78" s="4250"/>
      <c r="I78" s="4251"/>
    </row>
    <row r="79" spans="1:9" ht="75.75" customHeight="1">
      <c r="A79" s="2135" t="s">
        <v>681</v>
      </c>
      <c r="B79" s="4250"/>
      <c r="C79" s="4250"/>
      <c r="D79" s="4250"/>
      <c r="E79" s="4250"/>
      <c r="F79" s="4250"/>
      <c r="G79" s="4250"/>
      <c r="H79" s="4250"/>
      <c r="I79" s="4251"/>
    </row>
    <row r="80" spans="1:9" ht="60" customHeight="1">
      <c r="A80" s="4277" t="s">
        <v>682</v>
      </c>
      <c r="B80" s="4253"/>
      <c r="C80" s="4253"/>
      <c r="D80" s="4253"/>
      <c r="E80" s="4253"/>
      <c r="F80" s="4253"/>
      <c r="G80" s="4253"/>
      <c r="H80" s="4253"/>
      <c r="I80" s="4254"/>
    </row>
    <row r="81" spans="1:9" ht="30" customHeight="1">
      <c r="A81" s="4249" t="s">
        <v>683</v>
      </c>
      <c r="B81" s="4250"/>
      <c r="C81" s="4250"/>
      <c r="D81" s="4250"/>
      <c r="E81" s="4250"/>
      <c r="F81" s="4250"/>
      <c r="G81" s="4250"/>
      <c r="H81" s="4250"/>
      <c r="I81" s="4251"/>
    </row>
    <row r="82" spans="1:9" ht="30" customHeight="1">
      <c r="A82" s="4277" t="s">
        <v>684</v>
      </c>
      <c r="B82" s="4253"/>
      <c r="C82" s="4253"/>
      <c r="D82" s="4253"/>
      <c r="E82" s="4253"/>
      <c r="F82" s="4253"/>
      <c r="G82" s="4253"/>
      <c r="H82" s="4253"/>
      <c r="I82" s="4254"/>
    </row>
    <row r="83" spans="1:9">
      <c r="A83" s="4246"/>
      <c r="B83" s="4247"/>
      <c r="C83" s="4247"/>
      <c r="D83" s="4247"/>
      <c r="E83" s="4247"/>
      <c r="F83" s="4247"/>
      <c r="G83" s="4247"/>
      <c r="H83" s="4247"/>
      <c r="I83" s="4248"/>
    </row>
    <row r="84" spans="1:9">
      <c r="A84" s="320"/>
      <c r="B84" s="4278" t="s">
        <v>685</v>
      </c>
      <c r="C84" s="4279"/>
      <c r="D84" s="4279"/>
      <c r="E84" s="4279"/>
      <c r="F84" s="4279"/>
      <c r="G84" s="4280"/>
      <c r="H84" s="321"/>
      <c r="I84" s="322"/>
    </row>
    <row r="85" spans="1:9" ht="15" customHeight="1">
      <c r="A85" s="320"/>
      <c r="B85" s="323" t="s">
        <v>644</v>
      </c>
      <c r="C85" s="324" t="s">
        <v>645</v>
      </c>
      <c r="D85" s="4281" t="s">
        <v>686</v>
      </c>
      <c r="E85" s="4281"/>
      <c r="F85" s="4281"/>
      <c r="G85" s="4282"/>
      <c r="H85" s="321"/>
      <c r="I85" s="322"/>
    </row>
    <row r="86" spans="1:9">
      <c r="A86" s="320"/>
      <c r="B86" s="4283" t="s">
        <v>647</v>
      </c>
      <c r="C86" s="4247"/>
      <c r="D86" s="4247"/>
      <c r="E86" s="4247"/>
      <c r="F86" s="4247"/>
      <c r="G86" s="4284"/>
      <c r="H86" s="321"/>
      <c r="I86" s="322"/>
    </row>
    <row r="87" spans="1:9" ht="15" customHeight="1">
      <c r="A87" s="320"/>
      <c r="B87" s="323" t="s">
        <v>687</v>
      </c>
      <c r="C87" s="324" t="s">
        <v>645</v>
      </c>
      <c r="D87" s="4247" t="s">
        <v>688</v>
      </c>
      <c r="E87" s="4247"/>
      <c r="F87" s="4247"/>
      <c r="G87" s="4284"/>
      <c r="H87" s="321"/>
      <c r="I87" s="322"/>
    </row>
    <row r="88" spans="1:9" ht="15" customHeight="1">
      <c r="A88" s="320"/>
      <c r="B88" s="323" t="s">
        <v>689</v>
      </c>
      <c r="C88" s="324" t="s">
        <v>645</v>
      </c>
      <c r="D88" s="4247" t="s">
        <v>690</v>
      </c>
      <c r="E88" s="4247"/>
      <c r="F88" s="4247"/>
      <c r="G88" s="4284"/>
      <c r="H88" s="321"/>
      <c r="I88" s="322"/>
    </row>
    <row r="89" spans="1:9" ht="16">
      <c r="A89" s="320"/>
      <c r="B89" s="323" t="s">
        <v>691</v>
      </c>
      <c r="C89" s="324" t="s">
        <v>645</v>
      </c>
      <c r="D89" s="4247" t="s">
        <v>692</v>
      </c>
      <c r="E89" s="4247"/>
      <c r="F89" s="4247"/>
      <c r="G89" s="4284"/>
      <c r="H89" s="321"/>
      <c r="I89" s="322"/>
    </row>
    <row r="90" spans="1:9" ht="16">
      <c r="A90" s="320"/>
      <c r="B90" s="323" t="s">
        <v>693</v>
      </c>
      <c r="C90" s="342" t="s">
        <v>645</v>
      </c>
      <c r="D90" s="4247" t="s">
        <v>694</v>
      </c>
      <c r="E90" s="4247"/>
      <c r="F90" s="4247"/>
      <c r="G90" s="4284"/>
      <c r="H90" s="321"/>
      <c r="I90" s="322"/>
    </row>
    <row r="91" spans="1:9" ht="45" customHeight="1">
      <c r="A91" s="320"/>
      <c r="B91" s="4274" t="s">
        <v>695</v>
      </c>
      <c r="C91" s="4275"/>
      <c r="D91" s="4275"/>
      <c r="E91" s="4275"/>
      <c r="F91" s="4275"/>
      <c r="G91" s="4276"/>
      <c r="H91" s="321"/>
      <c r="I91" s="322"/>
    </row>
    <row r="92" spans="1:9">
      <c r="A92" s="4246"/>
      <c r="B92" s="4247"/>
      <c r="C92" s="4247"/>
      <c r="D92" s="4247"/>
      <c r="E92" s="4247"/>
      <c r="F92" s="4247"/>
      <c r="G92" s="4247"/>
      <c r="H92" s="4247"/>
      <c r="I92" s="4248"/>
    </row>
    <row r="93" spans="1:9" ht="30" customHeight="1">
      <c r="A93" s="320"/>
      <c r="B93" s="4270" t="s">
        <v>696</v>
      </c>
      <c r="C93" s="4270"/>
      <c r="D93" s="4270"/>
      <c r="E93" s="4270"/>
      <c r="F93" s="4270"/>
      <c r="G93" s="4270"/>
      <c r="H93" s="321"/>
      <c r="I93" s="322"/>
    </row>
    <row r="94" spans="1:9">
      <c r="A94" s="320"/>
      <c r="B94" s="4271" t="s">
        <v>697</v>
      </c>
      <c r="C94" s="4272"/>
      <c r="D94" s="4272"/>
      <c r="E94" s="4272" t="s">
        <v>698</v>
      </c>
      <c r="F94" s="4272"/>
      <c r="G94" s="4273"/>
      <c r="H94" s="321"/>
      <c r="I94" s="322"/>
    </row>
    <row r="95" spans="1:9">
      <c r="A95" s="320"/>
      <c r="B95" s="4265" t="s">
        <v>699</v>
      </c>
      <c r="C95" s="4262"/>
      <c r="D95" s="4262"/>
      <c r="E95" s="4263">
        <v>0.33</v>
      </c>
      <c r="F95" s="4263"/>
      <c r="G95" s="4264"/>
      <c r="H95" s="321"/>
      <c r="I95" s="322"/>
    </row>
    <row r="96" spans="1:9">
      <c r="A96" s="320"/>
      <c r="B96" s="4261" t="s">
        <v>700</v>
      </c>
      <c r="C96" s="4262"/>
      <c r="D96" s="4262"/>
      <c r="E96" s="4263">
        <v>0.5</v>
      </c>
      <c r="F96" s="4263"/>
      <c r="G96" s="4264"/>
      <c r="H96" s="321"/>
      <c r="I96" s="322"/>
    </row>
    <row r="97" spans="1:10">
      <c r="A97" s="320"/>
      <c r="B97" s="4265" t="s">
        <v>701</v>
      </c>
      <c r="C97" s="4262"/>
      <c r="D97" s="4262"/>
      <c r="E97" s="4263">
        <v>0.75</v>
      </c>
      <c r="F97" s="4263"/>
      <c r="G97" s="4264"/>
      <c r="H97" s="321"/>
      <c r="I97" s="322"/>
    </row>
    <row r="98" spans="1:10">
      <c r="A98" s="320"/>
      <c r="B98" s="4266" t="s">
        <v>702</v>
      </c>
      <c r="C98" s="4267"/>
      <c r="D98" s="4267"/>
      <c r="E98" s="4268">
        <v>1</v>
      </c>
      <c r="F98" s="4268"/>
      <c r="G98" s="4269"/>
      <c r="H98" s="321"/>
      <c r="I98" s="322"/>
    </row>
    <row r="99" spans="1:10">
      <c r="A99" s="4246"/>
      <c r="B99" s="4247"/>
      <c r="C99" s="4247"/>
      <c r="D99" s="4247"/>
      <c r="E99" s="4247"/>
      <c r="F99" s="4247"/>
      <c r="G99" s="4247"/>
      <c r="H99" s="4247"/>
      <c r="I99" s="4248"/>
    </row>
    <row r="100" spans="1:10">
      <c r="A100" s="4249" t="s">
        <v>703</v>
      </c>
      <c r="B100" s="4250"/>
      <c r="C100" s="4250"/>
      <c r="D100" s="4250"/>
      <c r="E100" s="4250"/>
      <c r="F100" s="4250"/>
      <c r="G100" s="4250"/>
      <c r="H100" s="4250"/>
      <c r="I100" s="4251"/>
    </row>
    <row r="101" spans="1:10" ht="59.25" customHeight="1">
      <c r="A101" s="4252" t="s">
        <v>704</v>
      </c>
      <c r="B101" s="4253"/>
      <c r="C101" s="4253"/>
      <c r="D101" s="4253"/>
      <c r="E101" s="4253"/>
      <c r="F101" s="4253"/>
      <c r="G101" s="4253"/>
      <c r="H101" s="4253"/>
      <c r="I101" s="4254"/>
    </row>
    <row r="102" spans="1:10" ht="34.5" customHeight="1">
      <c r="A102" s="4252" t="s">
        <v>705</v>
      </c>
      <c r="B102" s="4253"/>
      <c r="C102" s="4253"/>
      <c r="D102" s="4253"/>
      <c r="E102" s="4253"/>
      <c r="F102" s="4253"/>
      <c r="G102" s="4253"/>
      <c r="H102" s="4253"/>
      <c r="I102" s="4254"/>
    </row>
    <row r="103" spans="1:10" ht="30" customHeight="1">
      <c r="A103" s="4255" t="s">
        <v>706</v>
      </c>
      <c r="B103" s="4256"/>
      <c r="C103" s="4256"/>
      <c r="D103" s="4256"/>
      <c r="E103" s="4256"/>
      <c r="F103" s="4256"/>
      <c r="G103" s="4256"/>
      <c r="H103" s="4256"/>
      <c r="I103" s="4257"/>
    </row>
    <row r="104" spans="1:10" ht="45" customHeight="1">
      <c r="A104" s="4258" t="s">
        <v>707</v>
      </c>
      <c r="B104" s="4259"/>
      <c r="C104" s="4259"/>
      <c r="D104" s="4259"/>
      <c r="E104" s="4259"/>
      <c r="F104" s="4259"/>
      <c r="G104" s="4259"/>
      <c r="H104" s="4259"/>
      <c r="I104" s="4260"/>
    </row>
    <row r="105" spans="1:10" ht="16" thickBot="1">
      <c r="A105" s="4243"/>
      <c r="B105" s="4244"/>
      <c r="C105" s="4244"/>
      <c r="D105" s="4244"/>
      <c r="E105" s="4244"/>
      <c r="F105" s="4244"/>
      <c r="G105" s="4244"/>
      <c r="H105" s="4244"/>
      <c r="I105" s="4245"/>
    </row>
    <row r="106" spans="1:10" ht="16" thickBot="1"/>
    <row r="107" spans="1:10" ht="19.5" customHeight="1" thickBot="1">
      <c r="A107" s="4172" t="s">
        <v>1219</v>
      </c>
      <c r="B107" s="4172"/>
      <c r="C107" s="4172"/>
      <c r="D107" s="4172"/>
      <c r="E107" s="4172"/>
      <c r="F107" s="4172"/>
      <c r="G107" s="4172"/>
      <c r="H107" s="4172"/>
      <c r="I107" s="4172"/>
    </row>
    <row r="108" spans="1:10" ht="20" customHeight="1" thickBot="1">
      <c r="A108" s="1126" t="s">
        <v>1864</v>
      </c>
      <c r="B108" s="4237" t="s">
        <v>1874</v>
      </c>
      <c r="C108" s="4238"/>
      <c r="D108" s="4239" t="s">
        <v>1873</v>
      </c>
      <c r="E108" s="4240"/>
      <c r="F108" s="4239" t="s">
        <v>1872</v>
      </c>
      <c r="G108" s="4240"/>
      <c r="H108" s="4239" t="s">
        <v>1871</v>
      </c>
      <c r="I108" s="4240"/>
    </row>
    <row r="109" spans="1:10" ht="20" customHeight="1" thickBot="1">
      <c r="A109" s="1137" t="s">
        <v>1870</v>
      </c>
      <c r="B109" s="4241" t="s">
        <v>1869</v>
      </c>
      <c r="C109" s="4242"/>
      <c r="D109" s="1122"/>
      <c r="E109" s="1122"/>
      <c r="F109" s="1122"/>
      <c r="G109" s="1122"/>
      <c r="H109" s="780"/>
      <c r="I109" s="1132"/>
    </row>
    <row r="110" spans="1:10" ht="17" thickBot="1">
      <c r="A110" s="1118"/>
      <c r="B110" s="4191" t="s">
        <v>1239</v>
      </c>
      <c r="C110" s="4192"/>
      <c r="D110" s="4192"/>
      <c r="E110" s="4192"/>
      <c r="F110" s="4192"/>
      <c r="G110" s="4192"/>
      <c r="H110" s="4192"/>
      <c r="I110" s="1123"/>
    </row>
    <row r="111" spans="1:10" s="346" customFormat="1" ht="17" thickBot="1">
      <c r="A111" s="1133"/>
      <c r="B111" s="777" t="s">
        <v>1220</v>
      </c>
      <c r="C111" s="4204" t="s">
        <v>1221</v>
      </c>
      <c r="D111" s="4205"/>
      <c r="E111" s="4205"/>
      <c r="F111" s="4205"/>
      <c r="G111" s="4205"/>
      <c r="H111" s="4206"/>
      <c r="I111" s="1134"/>
      <c r="J111" s="311"/>
    </row>
    <row r="112" spans="1:10" ht="17" thickBot="1">
      <c r="A112" s="1118"/>
      <c r="B112" s="778" t="s">
        <v>1222</v>
      </c>
      <c r="C112" s="4207" t="s">
        <v>1223</v>
      </c>
      <c r="D112" s="4208"/>
      <c r="E112" s="4208"/>
      <c r="F112" s="4208"/>
      <c r="G112" s="4208"/>
      <c r="H112" s="4209"/>
      <c r="I112" s="1123"/>
    </row>
    <row r="113" spans="1:9" ht="17" thickBot="1">
      <c r="A113" s="1118"/>
      <c r="B113" s="779" t="s">
        <v>1224</v>
      </c>
      <c r="C113" s="4217" t="s">
        <v>1225</v>
      </c>
      <c r="D113" s="4218"/>
      <c r="E113" s="4218"/>
      <c r="F113" s="4218"/>
      <c r="G113" s="4218"/>
      <c r="H113" s="4219"/>
      <c r="I113" s="1123"/>
    </row>
    <row r="114" spans="1:9">
      <c r="A114" s="1118"/>
      <c r="B114" s="4199" t="s">
        <v>1226</v>
      </c>
      <c r="C114" s="4220" t="s">
        <v>1227</v>
      </c>
      <c r="D114" s="4221"/>
      <c r="E114" s="4221"/>
      <c r="F114" s="4221"/>
      <c r="G114" s="4221"/>
      <c r="H114" s="4222"/>
      <c r="I114" s="1123"/>
    </row>
    <row r="115" spans="1:9" ht="16" thickBot="1">
      <c r="A115" s="1118"/>
      <c r="B115" s="4201"/>
      <c r="C115" s="4212" t="s">
        <v>1228</v>
      </c>
      <c r="D115" s="4213"/>
      <c r="E115" s="4213"/>
      <c r="F115" s="4213"/>
      <c r="G115" s="4213"/>
      <c r="H115" s="4214"/>
      <c r="I115" s="1123"/>
    </row>
    <row r="116" spans="1:9">
      <c r="A116" s="1118"/>
      <c r="B116" s="4202" t="s">
        <v>1229</v>
      </c>
      <c r="C116" s="4223" t="s">
        <v>1227</v>
      </c>
      <c r="D116" s="4224"/>
      <c r="E116" s="4224"/>
      <c r="F116" s="4224"/>
      <c r="G116" s="4224"/>
      <c r="H116" s="4225"/>
      <c r="I116" s="1123"/>
    </row>
    <row r="117" spans="1:9" ht="16" thickBot="1">
      <c r="A117" s="1118"/>
      <c r="B117" s="4203"/>
      <c r="C117" s="4226" t="s">
        <v>1230</v>
      </c>
      <c r="D117" s="4227"/>
      <c r="E117" s="4227"/>
      <c r="F117" s="4227"/>
      <c r="G117" s="4227"/>
      <c r="H117" s="4228"/>
      <c r="I117" s="1123"/>
    </row>
    <row r="118" spans="1:9">
      <c r="A118" s="1118"/>
      <c r="B118" s="4199" t="s">
        <v>1231</v>
      </c>
      <c r="C118" s="4220" t="s">
        <v>1227</v>
      </c>
      <c r="D118" s="4221"/>
      <c r="E118" s="4221"/>
      <c r="F118" s="4221"/>
      <c r="G118" s="4221"/>
      <c r="H118" s="4222"/>
      <c r="I118" s="1123"/>
    </row>
    <row r="119" spans="1:9">
      <c r="A119" s="1118"/>
      <c r="B119" s="4200"/>
      <c r="C119" s="4210" t="s">
        <v>1230</v>
      </c>
      <c r="D119" s="4189"/>
      <c r="E119" s="4189"/>
      <c r="F119" s="4189"/>
      <c r="G119" s="4189"/>
      <c r="H119" s="4211"/>
      <c r="I119" s="1123"/>
    </row>
    <row r="120" spans="1:9">
      <c r="A120" s="1118"/>
      <c r="B120" s="4200"/>
      <c r="C120" s="4210" t="s">
        <v>1232</v>
      </c>
      <c r="D120" s="4189"/>
      <c r="E120" s="4189"/>
      <c r="F120" s="4189"/>
      <c r="G120" s="4189"/>
      <c r="H120" s="4211"/>
      <c r="I120" s="1123"/>
    </row>
    <row r="121" spans="1:9" ht="16" thickBot="1">
      <c r="A121" s="1118"/>
      <c r="B121" s="4201"/>
      <c r="C121" s="4212" t="s">
        <v>1233</v>
      </c>
      <c r="D121" s="4213"/>
      <c r="E121" s="4213"/>
      <c r="F121" s="4213"/>
      <c r="G121" s="4213"/>
      <c r="H121" s="4214"/>
      <c r="I121" s="1123"/>
    </row>
    <row r="122" spans="1:9">
      <c r="A122" s="1118"/>
      <c r="B122" s="4202" t="s">
        <v>1234</v>
      </c>
      <c r="C122" s="4223" t="s">
        <v>1235</v>
      </c>
      <c r="D122" s="4224"/>
      <c r="E122" s="4224"/>
      <c r="F122" s="4224"/>
      <c r="G122" s="4224"/>
      <c r="H122" s="4225"/>
      <c r="I122" s="1123"/>
    </row>
    <row r="123" spans="1:9">
      <c r="A123" s="1118"/>
      <c r="B123" s="4229"/>
      <c r="C123" s="4230" t="s">
        <v>1236</v>
      </c>
      <c r="D123" s="4231"/>
      <c r="E123" s="4231"/>
      <c r="F123" s="4231"/>
      <c r="G123" s="4231"/>
      <c r="H123" s="4232"/>
      <c r="I123" s="1123"/>
    </row>
    <row r="124" spans="1:9">
      <c r="A124" s="1118"/>
      <c r="B124" s="4229"/>
      <c r="C124" s="4230" t="s">
        <v>1225</v>
      </c>
      <c r="D124" s="4231"/>
      <c r="E124" s="4231"/>
      <c r="F124" s="4231"/>
      <c r="G124" s="4231"/>
      <c r="H124" s="4232"/>
      <c r="I124" s="1123"/>
    </row>
    <row r="125" spans="1:9">
      <c r="A125" s="1118"/>
      <c r="B125" s="4229"/>
      <c r="C125" s="4230" t="s">
        <v>1228</v>
      </c>
      <c r="D125" s="4231"/>
      <c r="E125" s="4231"/>
      <c r="F125" s="4231"/>
      <c r="G125" s="4231"/>
      <c r="H125" s="4232"/>
      <c r="I125" s="1123"/>
    </row>
    <row r="126" spans="1:9" ht="16" thickBot="1">
      <c r="A126" s="1118"/>
      <c r="B126" s="4203"/>
      <c r="C126" s="4226" t="s">
        <v>1237</v>
      </c>
      <c r="D126" s="4227"/>
      <c r="E126" s="4227"/>
      <c r="F126" s="4227"/>
      <c r="G126" s="4227"/>
      <c r="H126" s="4228"/>
      <c r="I126" s="1123"/>
    </row>
    <row r="127" spans="1:9">
      <c r="A127" s="1118"/>
      <c r="B127" s="4200" t="s">
        <v>1238</v>
      </c>
      <c r="C127" s="4233" t="s">
        <v>1235</v>
      </c>
      <c r="D127" s="4234"/>
      <c r="E127" s="4234"/>
      <c r="F127" s="4234"/>
      <c r="G127" s="4234"/>
      <c r="H127" s="4235"/>
      <c r="I127" s="1123"/>
    </row>
    <row r="128" spans="1:9" ht="16" thickBot="1">
      <c r="A128" s="1118"/>
      <c r="B128" s="4201"/>
      <c r="C128" s="4212" t="s">
        <v>1236</v>
      </c>
      <c r="D128" s="4213"/>
      <c r="E128" s="4213"/>
      <c r="F128" s="4213"/>
      <c r="G128" s="4213"/>
      <c r="H128" s="4214"/>
      <c r="I128" s="1123"/>
    </row>
    <row r="129" spans="1:9">
      <c r="A129" s="1118"/>
      <c r="B129" s="1120"/>
      <c r="C129" s="1120"/>
      <c r="D129" s="1120"/>
      <c r="E129" s="1120"/>
      <c r="F129" s="1120"/>
      <c r="G129" s="1120"/>
      <c r="H129" s="1120"/>
      <c r="I129" s="1123"/>
    </row>
    <row r="130" spans="1:9" ht="17" thickBot="1">
      <c r="A130" s="1118"/>
      <c r="B130" s="4193" t="s">
        <v>1240</v>
      </c>
      <c r="C130" s="4193"/>
      <c r="D130" s="4193"/>
      <c r="E130" s="4193"/>
      <c r="F130" s="4193"/>
      <c r="G130" s="4193"/>
      <c r="H130" s="4193"/>
      <c r="I130" s="1123"/>
    </row>
    <row r="131" spans="1:9">
      <c r="A131" s="1118"/>
      <c r="B131" s="4194" t="s">
        <v>1241</v>
      </c>
      <c r="C131" s="4195"/>
      <c r="D131" s="4195"/>
      <c r="E131" s="4195" t="s">
        <v>1242</v>
      </c>
      <c r="F131" s="4195"/>
      <c r="G131" s="4195"/>
      <c r="H131" s="4196"/>
      <c r="I131" s="1123"/>
    </row>
    <row r="132" spans="1:9" ht="75" customHeight="1">
      <c r="A132" s="1118"/>
      <c r="B132" s="4197" t="s">
        <v>1223</v>
      </c>
      <c r="C132" s="4198"/>
      <c r="D132" s="4198"/>
      <c r="E132" s="4198" t="s">
        <v>1243</v>
      </c>
      <c r="F132" s="4198"/>
      <c r="G132" s="4198"/>
      <c r="H132" s="4236"/>
      <c r="I132" s="1123"/>
    </row>
    <row r="133" spans="1:9" ht="90" customHeight="1">
      <c r="A133" s="1118"/>
      <c r="B133" s="4197" t="s">
        <v>1225</v>
      </c>
      <c r="C133" s="4198"/>
      <c r="D133" s="4198"/>
      <c r="E133" s="4210" t="s">
        <v>1244</v>
      </c>
      <c r="F133" s="4189"/>
      <c r="G133" s="4189"/>
      <c r="H133" s="4211"/>
      <c r="I133" s="1123"/>
    </row>
    <row r="134" spans="1:9" ht="76.5" customHeight="1">
      <c r="A134" s="1118"/>
      <c r="B134" s="4188" t="s">
        <v>1227</v>
      </c>
      <c r="C134" s="4189"/>
      <c r="D134" s="4190"/>
      <c r="E134" s="4210" t="s">
        <v>1245</v>
      </c>
      <c r="F134" s="4189"/>
      <c r="G134" s="4189"/>
      <c r="H134" s="4211"/>
      <c r="I134" s="1123"/>
    </row>
    <row r="135" spans="1:9" ht="75" customHeight="1">
      <c r="A135" s="1118"/>
      <c r="B135" s="4188" t="s">
        <v>1228</v>
      </c>
      <c r="C135" s="4189"/>
      <c r="D135" s="4190"/>
      <c r="E135" s="4210" t="s">
        <v>1246</v>
      </c>
      <c r="F135" s="4189"/>
      <c r="G135" s="4189"/>
      <c r="H135" s="4211"/>
      <c r="I135" s="1123"/>
    </row>
    <row r="136" spans="1:9" ht="75" customHeight="1">
      <c r="A136" s="1118"/>
      <c r="B136" s="4188" t="s">
        <v>1230</v>
      </c>
      <c r="C136" s="4189"/>
      <c r="D136" s="4190"/>
      <c r="E136" s="4210" t="s">
        <v>1247</v>
      </c>
      <c r="F136" s="4189"/>
      <c r="G136" s="4189"/>
      <c r="H136" s="4211"/>
      <c r="I136" s="1123"/>
    </row>
    <row r="137" spans="1:9" ht="90" customHeight="1">
      <c r="A137" s="1118"/>
      <c r="B137" s="4188" t="s">
        <v>1232</v>
      </c>
      <c r="C137" s="4189"/>
      <c r="D137" s="4190"/>
      <c r="E137" s="4210" t="s">
        <v>1248</v>
      </c>
      <c r="F137" s="4189"/>
      <c r="G137" s="4189"/>
      <c r="H137" s="4211"/>
      <c r="I137" s="1123"/>
    </row>
    <row r="138" spans="1:9" ht="75" customHeight="1" thickBot="1">
      <c r="A138" s="1118"/>
      <c r="B138" s="4215" t="s">
        <v>1233</v>
      </c>
      <c r="C138" s="4213"/>
      <c r="D138" s="4216"/>
      <c r="E138" s="4212" t="s">
        <v>1249</v>
      </c>
      <c r="F138" s="4213"/>
      <c r="G138" s="4213"/>
      <c r="H138" s="4214"/>
      <c r="I138" s="1123"/>
    </row>
    <row r="139" spans="1:9" ht="16" thickBot="1">
      <c r="A139" s="1124"/>
      <c r="B139" s="1121"/>
      <c r="C139" s="1121"/>
      <c r="D139" s="1121"/>
      <c r="E139" s="1121"/>
      <c r="F139" s="1121"/>
      <c r="G139" s="1121"/>
      <c r="H139" s="1121"/>
      <c r="I139" s="1125"/>
    </row>
  </sheetData>
  <sheetProtection password="CA4F" sheet="1" objects="1" scenarios="1" formatRows="0" selectLockedCells="1"/>
  <mergeCells count="136">
    <mergeCell ref="A2:B2"/>
    <mergeCell ref="A1:B1"/>
    <mergeCell ref="C2:D2"/>
    <mergeCell ref="E2:I2"/>
    <mergeCell ref="A6:I6"/>
    <mergeCell ref="A3:I3"/>
    <mergeCell ref="A4:G4"/>
    <mergeCell ref="H4:I4"/>
    <mergeCell ref="A5:I5"/>
    <mergeCell ref="C1:D1"/>
    <mergeCell ref="A23:I23"/>
    <mergeCell ref="A7:I7"/>
    <mergeCell ref="A8:I8"/>
    <mergeCell ref="A9:I9"/>
    <mergeCell ref="A10:I10"/>
    <mergeCell ref="A11:I11"/>
    <mergeCell ref="A12:I12"/>
    <mergeCell ref="B13:I13"/>
    <mergeCell ref="B14:E14"/>
    <mergeCell ref="F14:I14"/>
    <mergeCell ref="B16:I16"/>
    <mergeCell ref="A22:I22"/>
    <mergeCell ref="A36:I36"/>
    <mergeCell ref="A24:I24"/>
    <mergeCell ref="A27:I27"/>
    <mergeCell ref="A28:G28"/>
    <mergeCell ref="H28:I28"/>
    <mergeCell ref="A29:I29"/>
    <mergeCell ref="A30:I30"/>
    <mergeCell ref="A31:I31"/>
    <mergeCell ref="A32:I32"/>
    <mergeCell ref="A33:I33"/>
    <mergeCell ref="A34:I34"/>
    <mergeCell ref="A35:I35"/>
    <mergeCell ref="D49:G49"/>
    <mergeCell ref="A37:I37"/>
    <mergeCell ref="A38:I38"/>
    <mergeCell ref="A39:I39"/>
    <mergeCell ref="A40:I40"/>
    <mergeCell ref="A41:I41"/>
    <mergeCell ref="A42:I42"/>
    <mergeCell ref="B44:G44"/>
    <mergeCell ref="D45:G45"/>
    <mergeCell ref="B46:G46"/>
    <mergeCell ref="D47:G47"/>
    <mergeCell ref="D48:G48"/>
    <mergeCell ref="A79:I79"/>
    <mergeCell ref="B51:G51"/>
    <mergeCell ref="D52:G52"/>
    <mergeCell ref="B53:G53"/>
    <mergeCell ref="D54:G54"/>
    <mergeCell ref="D55:G55"/>
    <mergeCell ref="D56:G56"/>
    <mergeCell ref="B58:G58"/>
    <mergeCell ref="C59:G59"/>
    <mergeCell ref="B68:G68"/>
    <mergeCell ref="C69:G69"/>
    <mergeCell ref="A78:I78"/>
    <mergeCell ref="B91:G91"/>
    <mergeCell ref="A80:I80"/>
    <mergeCell ref="A81:I81"/>
    <mergeCell ref="A82:I82"/>
    <mergeCell ref="A83:I83"/>
    <mergeCell ref="B84:G84"/>
    <mergeCell ref="D85:G85"/>
    <mergeCell ref="B86:G86"/>
    <mergeCell ref="D87:G87"/>
    <mergeCell ref="D88:G88"/>
    <mergeCell ref="D89:G89"/>
    <mergeCell ref="D90:G90"/>
    <mergeCell ref="B96:D96"/>
    <mergeCell ref="E96:G96"/>
    <mergeCell ref="B97:D97"/>
    <mergeCell ref="E97:G97"/>
    <mergeCell ref="B98:D98"/>
    <mergeCell ref="E98:G98"/>
    <mergeCell ref="A92:I92"/>
    <mergeCell ref="B93:G93"/>
    <mergeCell ref="B94:D94"/>
    <mergeCell ref="E94:G94"/>
    <mergeCell ref="B95:D95"/>
    <mergeCell ref="E95:G95"/>
    <mergeCell ref="A107:I107"/>
    <mergeCell ref="B108:C108"/>
    <mergeCell ref="F108:G108"/>
    <mergeCell ref="D108:E108"/>
    <mergeCell ref="H108:I108"/>
    <mergeCell ref="B109:C109"/>
    <mergeCell ref="A105:I105"/>
    <mergeCell ref="A99:I99"/>
    <mergeCell ref="A100:I100"/>
    <mergeCell ref="A101:I101"/>
    <mergeCell ref="A102:I102"/>
    <mergeCell ref="A103:I103"/>
    <mergeCell ref="A104:I104"/>
    <mergeCell ref="E137:H137"/>
    <mergeCell ref="E138:H138"/>
    <mergeCell ref="B137:D137"/>
    <mergeCell ref="B138:D138"/>
    <mergeCell ref="B133:D133"/>
    <mergeCell ref="C113:H113"/>
    <mergeCell ref="C114:H114"/>
    <mergeCell ref="C115:H115"/>
    <mergeCell ref="C116:H116"/>
    <mergeCell ref="C117:H117"/>
    <mergeCell ref="C118:H118"/>
    <mergeCell ref="C119:H119"/>
    <mergeCell ref="C120:H120"/>
    <mergeCell ref="C121:H121"/>
    <mergeCell ref="B127:B128"/>
    <mergeCell ref="B122:B126"/>
    <mergeCell ref="C122:H122"/>
    <mergeCell ref="C123:H123"/>
    <mergeCell ref="C124:H124"/>
    <mergeCell ref="C125:H125"/>
    <mergeCell ref="C126:H126"/>
    <mergeCell ref="C127:H127"/>
    <mergeCell ref="C128:H128"/>
    <mergeCell ref="E132:H132"/>
    <mergeCell ref="B134:D134"/>
    <mergeCell ref="B135:D135"/>
    <mergeCell ref="B136:D136"/>
    <mergeCell ref="B110:H110"/>
    <mergeCell ref="B130:H130"/>
    <mergeCell ref="B131:D131"/>
    <mergeCell ref="E131:H131"/>
    <mergeCell ref="B132:D132"/>
    <mergeCell ref="B118:B121"/>
    <mergeCell ref="B116:B117"/>
    <mergeCell ref="B114:B115"/>
    <mergeCell ref="C111:H111"/>
    <mergeCell ref="C112:H112"/>
    <mergeCell ref="E133:H133"/>
    <mergeCell ref="E134:H134"/>
    <mergeCell ref="E135:H135"/>
    <mergeCell ref="E136:H136"/>
  </mergeCells>
  <hyperlinks>
    <hyperlink ref="H4" location="pn901_3_c" display="See Practice 901.3(1)(c)" xr:uid="{00000000-0004-0000-0E00-000000000000}"/>
    <hyperlink ref="H28" location="pn902_2" display="See Practice 902.2" xr:uid="{00000000-0004-0000-0E00-000001000000}"/>
    <hyperlink ref="A108" location="link901.5" display="See Practice 901.5-901.11" xr:uid="{00000000-0004-0000-0E00-000002000000}"/>
    <hyperlink ref="H4:I4" location="link901.3" display="See Practice 901.3(1)(c)" xr:uid="{00000000-0004-0000-0E00-000003000000}"/>
    <hyperlink ref="B108" location="pn901_3_c" display="See Practice 901.3(1)(c)" xr:uid="{00000000-0004-0000-0E00-000004000000}"/>
    <hyperlink ref="B108:C108" location="link901.6" display="See Practice 901.6" xr:uid="{00000000-0004-0000-0E00-000005000000}"/>
    <hyperlink ref="H28:I28" location="link902.2.1" display="See Practice 902.2.1" xr:uid="{00000000-0004-0000-0E00-000006000000}"/>
    <hyperlink ref="B109" location="link901.11" display="See Practice 901.11" xr:uid="{00000000-0004-0000-0E00-000007000000}"/>
    <hyperlink ref="A109" location="link901.10" display="See Practice 901.10" xr:uid="{00000000-0004-0000-0E00-000008000000}"/>
    <hyperlink ref="H108" location="link901.9.3" display="See Practice 901.9.3" xr:uid="{00000000-0004-0000-0E00-000009000000}"/>
    <hyperlink ref="F108" location="link901.8" display="See Practice 901.8" xr:uid="{00000000-0004-0000-0E00-00000A000000}"/>
    <hyperlink ref="D108" location="link901.7" display="See Practice 901.7" xr:uid="{00000000-0004-0000-0E00-00000B000000}"/>
  </hyperlinks>
  <pageMargins left="0.7" right="0.7" top="0.75" bottom="0.75" header="0.3" footer="0.3"/>
  <pageSetup scale="58" fitToHeight="0" orientation="portrait" r:id="rId1"/>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C14"/>
  <sheetViews>
    <sheetView zoomScale="90" zoomScaleNormal="90" workbookViewId="0">
      <selection sqref="A1:C1"/>
    </sheetView>
  </sheetViews>
  <sheetFormatPr baseColWidth="10" defaultColWidth="8.83203125" defaultRowHeight="15"/>
  <cols>
    <col min="1" max="1" width="10.6640625" customWidth="1"/>
    <col min="2" max="2" width="7.83203125" bestFit="1" customWidth="1"/>
    <col min="3" max="3" width="104.6640625" customWidth="1"/>
  </cols>
  <sheetData>
    <row r="1" spans="1:3" ht="19">
      <c r="A1" s="4315" t="s">
        <v>708</v>
      </c>
      <c r="B1" s="4315"/>
      <c r="C1" s="4315"/>
    </row>
    <row r="2" spans="1:3">
      <c r="A2" s="1648" t="s">
        <v>709</v>
      </c>
      <c r="B2" s="1648" t="s">
        <v>143</v>
      </c>
      <c r="C2" s="1648" t="s">
        <v>710</v>
      </c>
    </row>
    <row r="3" spans="1:3" s="1532" customFormat="1">
      <c r="A3" s="1649">
        <v>43126</v>
      </c>
      <c r="B3" s="2024" t="s">
        <v>2629</v>
      </c>
      <c r="C3" s="1863" t="s">
        <v>2630</v>
      </c>
    </row>
    <row r="4" spans="1:3" s="1863" customFormat="1">
      <c r="A4" s="1649">
        <v>43118</v>
      </c>
      <c r="B4" s="2024" t="s">
        <v>2627</v>
      </c>
      <c r="C4" s="1863" t="s">
        <v>2628</v>
      </c>
    </row>
    <row r="5" spans="1:3" s="1863" customFormat="1">
      <c r="A5" s="1649">
        <v>43069</v>
      </c>
      <c r="B5" s="2024" t="s">
        <v>2625</v>
      </c>
      <c r="C5" s="1863" t="s">
        <v>2626</v>
      </c>
    </row>
    <row r="6" spans="1:3" s="1863" customFormat="1">
      <c r="A6" s="1866">
        <v>41814</v>
      </c>
      <c r="B6" s="2024" t="s">
        <v>2614</v>
      </c>
      <c r="C6" s="1863" t="s">
        <v>2621</v>
      </c>
    </row>
    <row r="7" spans="1:3" s="1863" customFormat="1">
      <c r="A7" s="1866">
        <v>41660</v>
      </c>
      <c r="B7" s="2024" t="s">
        <v>2614</v>
      </c>
      <c r="C7" s="1863" t="s">
        <v>2618</v>
      </c>
    </row>
    <row r="8" spans="1:3" s="1861" customFormat="1">
      <c r="A8" s="1866">
        <v>41430</v>
      </c>
      <c r="B8" s="1861" t="s">
        <v>2605</v>
      </c>
      <c r="C8" s="1532" t="s">
        <v>2606</v>
      </c>
    </row>
    <row r="9" spans="1:3" s="1653" customFormat="1">
      <c r="A9" s="1862"/>
      <c r="B9" s="1532"/>
      <c r="C9" s="1532"/>
    </row>
    <row r="10" spans="1:3" s="1646" customFormat="1">
      <c r="A10" s="1649"/>
      <c r="B10" s="1651"/>
      <c r="C10" s="1532"/>
    </row>
    <row r="11" spans="1:3" s="1468" customFormat="1">
      <c r="A11" s="1649"/>
      <c r="B11" s="1650"/>
      <c r="C11" s="1650"/>
    </row>
    <row r="12" spans="1:3" s="28" customFormat="1">
      <c r="A12" s="1649"/>
      <c r="B12" s="1650"/>
      <c r="C12" s="1650"/>
    </row>
    <row r="13" spans="1:3">
      <c r="A13" s="1622"/>
      <c r="B13" s="1647"/>
      <c r="C13" s="1623"/>
    </row>
    <row r="14" spans="1:3">
      <c r="A14" s="1624"/>
      <c r="B14" s="1625"/>
      <c r="C14" s="1625"/>
    </row>
  </sheetData>
  <sheetProtection algorithmName="SHA-512" hashValue="2hARjUdl7hKde92/3o3Idt3kApDCCljAfrDRMzwW6aG9Q72Akmb6Ib5ZEALC9idRU33xX7l4rr/+hv0vmeqjcQ==" saltValue="h/2a0G46c1L8YywAb36sJg==" spinCount="100000" sheet="1" objects="1" scenarios="1" selectLockedCells="1"/>
  <mergeCells count="1">
    <mergeCell ref="A1:C1"/>
  </mergeCells>
  <pageMargins left="0.7" right="0.7" top="0.75" bottom="0.75" header="0.3" footer="0.3"/>
  <pageSetup scale="82" orientation="portrait" r:id="rId1"/>
  <headerFooter>
    <oddFooter>&amp;C&amp;8© 2013 Home Innovation Research Labs.  Practices of ICC700-2012 © 2013 National Association of Home Builders- used by permission.  &amp;R&amp;8Errata - 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74"/>
  <sheetViews>
    <sheetView topLeftCell="B1" zoomScaleNormal="100" workbookViewId="0">
      <pane ySplit="6" topLeftCell="A7" activePane="bottomLeft" state="frozen"/>
      <selection activeCell="O12" sqref="O12:O15"/>
      <selection pane="bottomLeft" activeCell="O11" sqref="O11"/>
    </sheetView>
  </sheetViews>
  <sheetFormatPr baseColWidth="10" defaultColWidth="8.83203125" defaultRowHeight="15"/>
  <cols>
    <col min="1" max="1" width="5.6640625" hidden="1" customWidth="1"/>
    <col min="2" max="2" width="6.6640625" style="42" customWidth="1"/>
    <col min="3" max="3" width="4.33203125" style="40" customWidth="1"/>
    <col min="4" max="4" width="3.6640625" style="40" customWidth="1"/>
    <col min="5" max="12" width="8.6640625" customWidth="1"/>
    <col min="13" max="13" width="10.6640625" bestFit="1" customWidth="1"/>
    <col min="14" max="14" width="15.6640625" style="43" customWidth="1"/>
    <col min="15" max="15" width="10.6640625" style="435" customWidth="1"/>
    <col min="16" max="17" width="11.6640625" customWidth="1"/>
    <col min="18" max="18" width="11.6640625" style="41" customWidth="1"/>
    <col min="19" max="19" width="11.6640625" customWidth="1"/>
  </cols>
  <sheetData>
    <row r="1" spans="1:21" ht="15" customHeight="1">
      <c r="B1" s="2267"/>
      <c r="C1" s="2267"/>
      <c r="D1" s="2267"/>
      <c r="E1" s="2267"/>
      <c r="F1" s="2267"/>
      <c r="G1" s="2267"/>
      <c r="H1" s="2267"/>
      <c r="I1" s="2265" t="str">
        <f>levelStatement</f>
        <v>This project has not met all the requirements for Bronze, Silver, Gold, or Emerald.</v>
      </c>
      <c r="J1" s="2265"/>
      <c r="K1" s="2265"/>
      <c r="L1" s="2266"/>
      <c r="M1" s="2123">
        <v>2012</v>
      </c>
      <c r="N1" s="2269" t="s">
        <v>0</v>
      </c>
      <c r="O1" s="2270"/>
      <c r="P1" s="2269" t="s">
        <v>1</v>
      </c>
      <c r="Q1" s="2271"/>
      <c r="R1" s="2271"/>
      <c r="S1" s="2270"/>
    </row>
    <row r="2" spans="1:21">
      <c r="B2" s="2267"/>
      <c r="C2" s="2267"/>
      <c r="D2" s="2267"/>
      <c r="E2" s="2267"/>
      <c r="F2" s="2267"/>
      <c r="G2" s="2267"/>
      <c r="H2" s="2267"/>
      <c r="I2" s="2265"/>
      <c r="J2" s="2265"/>
      <c r="K2" s="2265"/>
      <c r="L2" s="2266"/>
      <c r="M2" s="2124"/>
      <c r="N2" s="1" t="s">
        <v>2</v>
      </c>
      <c r="O2" s="1" t="s">
        <v>3</v>
      </c>
      <c r="P2" s="2" t="s">
        <v>4</v>
      </c>
      <c r="Q2" s="3" t="s">
        <v>5</v>
      </c>
      <c r="R2" s="4" t="s">
        <v>6</v>
      </c>
      <c r="S2" s="5" t="s">
        <v>7</v>
      </c>
    </row>
    <row r="3" spans="1:21">
      <c r="B3" s="2267"/>
      <c r="C3" s="2267"/>
      <c r="D3" s="2267"/>
      <c r="E3" s="2267"/>
      <c r="F3" s="2267"/>
      <c r="G3" s="2267"/>
      <c r="H3" s="2267"/>
      <c r="I3" s="2265"/>
      <c r="J3" s="2265"/>
      <c r="K3" s="2265"/>
      <c r="L3" s="2266"/>
      <c r="M3" s="2040" t="s">
        <v>8</v>
      </c>
      <c r="N3" s="72">
        <f>SUM(O10:O115)</f>
        <v>0</v>
      </c>
      <c r="O3" s="173" t="s">
        <v>9</v>
      </c>
      <c r="P3" s="7" t="s">
        <v>2594</v>
      </c>
      <c r="Q3" s="7" t="s">
        <v>2594</v>
      </c>
      <c r="R3" s="7" t="s">
        <v>2594</v>
      </c>
      <c r="S3" s="7" t="s">
        <v>2594</v>
      </c>
    </row>
    <row r="4" spans="1:21" ht="15" customHeight="1">
      <c r="A4" s="2285" t="s">
        <v>2597</v>
      </c>
      <c r="B4" s="2285"/>
      <c r="C4" s="2285"/>
      <c r="D4" s="2285"/>
      <c r="E4" s="2285"/>
      <c r="F4" s="2285"/>
      <c r="G4" s="2285"/>
      <c r="H4" s="2285"/>
      <c r="I4" s="2120" t="str">
        <f>CONCATENATE("Revised ",TEXT(startRevisionDate,"mmmm dd, yyyy"))</f>
        <v>Revised January 26, 2018</v>
      </c>
      <c r="J4" s="2120"/>
      <c r="K4" s="2120"/>
      <c r="L4" s="2121"/>
      <c r="M4" s="2041" t="s">
        <v>10</v>
      </c>
      <c r="N4" s="1608">
        <f>projectTotal</f>
        <v>0</v>
      </c>
      <c r="O4" s="1609" t="str">
        <f>IF(SUM(projectMandatoryCount)=4,"Met","Not Met")</f>
        <v>Not Met</v>
      </c>
      <c r="P4" s="1601">
        <f>SUM(bronzeMinimum)</f>
        <v>88</v>
      </c>
      <c r="Q4" s="1601">
        <f>SUM(silverMinimum)</f>
        <v>125</v>
      </c>
      <c r="R4" s="1601">
        <f>SUM(goldMinimum)</f>
        <v>181</v>
      </c>
      <c r="S4" s="1601">
        <f>SUM(emeraldMinimum)</f>
        <v>225</v>
      </c>
    </row>
    <row r="5" spans="1:21" ht="20.25" customHeight="1" thickBot="1">
      <c r="A5" s="2285"/>
      <c r="B5" s="2285"/>
      <c r="C5" s="2285"/>
      <c r="D5" s="2285"/>
      <c r="E5" s="2285"/>
      <c r="F5" s="2285"/>
      <c r="G5" s="2285"/>
      <c r="H5" s="2285"/>
      <c r="I5" s="2272" t="str">
        <f>CONCATENATE(copyright," All rights reserved.  See full notice at bottom of this sheet")</f>
        <v>© 2013 Home Innovation Research Labs, Inc. All rights reserved.  See full notice at bottom of this sheet</v>
      </c>
      <c r="J5" s="2272"/>
      <c r="K5" s="2272"/>
      <c r="L5" s="2272"/>
      <c r="M5" s="2272"/>
      <c r="N5" s="2272"/>
      <c r="O5" s="2272"/>
      <c r="P5" s="2272"/>
      <c r="Q5" s="2272"/>
      <c r="R5" s="2272"/>
      <c r="S5" s="2272"/>
    </row>
    <row r="6" spans="1:21" s="8" customFormat="1" ht="18.75" customHeight="1" thickBot="1">
      <c r="B6" s="2276" t="s">
        <v>11</v>
      </c>
      <c r="C6" s="2277"/>
      <c r="D6" s="2277"/>
      <c r="E6" s="2278" t="s">
        <v>12</v>
      </c>
      <c r="F6" s="2279"/>
      <c r="G6" s="2279"/>
      <c r="H6" s="2279"/>
      <c r="I6" s="2279"/>
      <c r="J6" s="2279"/>
      <c r="K6" s="2279"/>
      <c r="L6" s="2279"/>
      <c r="M6" s="2280"/>
      <c r="N6" s="2039" t="s">
        <v>2595</v>
      </c>
      <c r="O6" s="2037" t="s">
        <v>210</v>
      </c>
      <c r="P6" s="2273" t="s">
        <v>16</v>
      </c>
      <c r="Q6" s="2274"/>
      <c r="R6" s="2275"/>
      <c r="S6" s="2038" t="s">
        <v>2596</v>
      </c>
    </row>
    <row r="7" spans="1:21" s="8" customFormat="1" ht="17.25" customHeight="1">
      <c r="B7" s="2268" t="s">
        <v>17</v>
      </c>
      <c r="C7" s="2268"/>
      <c r="D7" s="2268"/>
      <c r="E7" s="2268"/>
      <c r="F7" s="2268"/>
      <c r="G7" s="2268"/>
      <c r="H7" s="2268"/>
      <c r="I7" s="2268"/>
      <c r="J7" s="2268"/>
      <c r="K7" s="2268"/>
      <c r="L7" s="2268"/>
      <c r="M7" s="2268"/>
      <c r="N7" s="2268"/>
      <c r="O7" s="2268"/>
      <c r="P7" s="2268"/>
      <c r="Q7" s="2268"/>
      <c r="R7" s="2268"/>
      <c r="S7" s="2268"/>
    </row>
    <row r="8" spans="1:21" s="8" customFormat="1" ht="18" customHeight="1">
      <c r="B8" s="1882">
        <v>11.5</v>
      </c>
      <c r="C8" s="10"/>
      <c r="D8" s="10"/>
      <c r="E8" s="2281" t="s">
        <v>2207</v>
      </c>
      <c r="F8" s="2282"/>
      <c r="G8" s="2282"/>
      <c r="H8" s="2282"/>
      <c r="I8" s="2282"/>
      <c r="J8" s="2282"/>
      <c r="K8" s="2282"/>
      <c r="L8" s="2282"/>
      <c r="M8" s="2282"/>
      <c r="N8" s="2283"/>
      <c r="O8" s="2283"/>
      <c r="P8" s="2283"/>
      <c r="Q8" s="2283"/>
      <c r="R8" s="2283"/>
      <c r="S8" s="2284"/>
    </row>
    <row r="9" spans="1:21" s="8" customFormat="1" ht="17.25" customHeight="1" thickBot="1">
      <c r="B9" s="2264" t="s">
        <v>2208</v>
      </c>
      <c r="C9" s="2264"/>
      <c r="D9" s="2264"/>
      <c r="E9" s="2264"/>
      <c r="F9" s="2264"/>
      <c r="G9" s="2264"/>
      <c r="H9" s="2264"/>
      <c r="I9" s="2264"/>
      <c r="J9" s="2264"/>
      <c r="K9" s="2264"/>
      <c r="L9" s="2264"/>
      <c r="M9" s="2264"/>
      <c r="N9" s="2264"/>
      <c r="O9" s="2264"/>
      <c r="P9" s="2264"/>
      <c r="Q9" s="2264"/>
      <c r="R9" s="2264"/>
      <c r="S9" s="2264"/>
    </row>
    <row r="10" spans="1:21" s="8" customFormat="1" ht="45" customHeight="1" thickTop="1">
      <c r="B10" s="1888" t="s">
        <v>2209</v>
      </c>
      <c r="C10" s="44"/>
      <c r="D10" s="44"/>
      <c r="E10" s="2257" t="s">
        <v>34</v>
      </c>
      <c r="F10" s="2257"/>
      <c r="G10" s="2257"/>
      <c r="H10" s="2257"/>
      <c r="I10" s="2257"/>
      <c r="J10" s="2257"/>
      <c r="K10" s="2257"/>
      <c r="L10" s="2257"/>
      <c r="M10" s="2257"/>
      <c r="N10" s="756"/>
      <c r="O10" s="756"/>
      <c r="P10" s="2261"/>
      <c r="Q10" s="2261"/>
      <c r="R10" s="2261"/>
      <c r="S10" s="863"/>
      <c r="U10" s="1630"/>
    </row>
    <row r="11" spans="1:21" s="8" customFormat="1" ht="30" customHeight="1">
      <c r="B11" s="13"/>
      <c r="C11" s="455">
        <v>1</v>
      </c>
      <c r="D11" s="455"/>
      <c r="E11" s="2288" t="s">
        <v>2210</v>
      </c>
      <c r="F11" s="2288"/>
      <c r="G11" s="2288"/>
      <c r="H11" s="2288"/>
      <c r="I11" s="2288"/>
      <c r="J11" s="2288"/>
      <c r="K11" s="2288"/>
      <c r="L11" s="2288"/>
      <c r="M11" s="2288"/>
      <c r="N11" s="445">
        <v>4</v>
      </c>
      <c r="O11" s="864"/>
      <c r="P11" s="2262"/>
      <c r="Q11" s="2263"/>
      <c r="R11" s="2263"/>
      <c r="S11" s="896" t="s">
        <v>18</v>
      </c>
    </row>
    <row r="12" spans="1:21" s="8" customFormat="1" ht="60" customHeight="1">
      <c r="B12" s="13"/>
      <c r="C12" s="454">
        <v>2</v>
      </c>
      <c r="D12" s="454"/>
      <c r="E12" s="2289" t="s">
        <v>2211</v>
      </c>
      <c r="F12" s="2289"/>
      <c r="G12" s="2289"/>
      <c r="H12" s="2289"/>
      <c r="I12" s="2289"/>
      <c r="J12" s="2289"/>
      <c r="K12" s="2289"/>
      <c r="L12" s="2289"/>
      <c r="M12" s="2289"/>
      <c r="N12" s="2290">
        <v>4</v>
      </c>
      <c r="O12" s="2292"/>
      <c r="P12" s="2294"/>
      <c r="Q12" s="2295"/>
      <c r="R12" s="2296"/>
      <c r="S12" s="2258" t="s">
        <v>18</v>
      </c>
    </row>
    <row r="13" spans="1:21" s="8" customFormat="1">
      <c r="B13" s="459"/>
      <c r="C13" s="458"/>
      <c r="D13" s="458"/>
      <c r="E13" s="2260" t="s">
        <v>33</v>
      </c>
      <c r="F13" s="2260"/>
      <c r="G13" s="2260"/>
      <c r="H13" s="2260"/>
      <c r="I13" s="2260"/>
      <c r="J13" s="2260"/>
      <c r="K13" s="2260"/>
      <c r="L13" s="2260"/>
      <c r="M13" s="2260"/>
      <c r="N13" s="2291"/>
      <c r="O13" s="2292"/>
      <c r="P13" s="2297"/>
      <c r="Q13" s="2298"/>
      <c r="R13" s="2299"/>
      <c r="S13" s="2259"/>
    </row>
    <row r="14" spans="1:21" s="8" customFormat="1" ht="45" customHeight="1">
      <c r="B14" s="459"/>
      <c r="C14" s="46">
        <v>3</v>
      </c>
      <c r="D14" s="449"/>
      <c r="E14" s="2293" t="s">
        <v>2212</v>
      </c>
      <c r="F14" s="2293"/>
      <c r="G14" s="2293"/>
      <c r="H14" s="2293"/>
      <c r="I14" s="2293"/>
      <c r="J14" s="2293"/>
      <c r="K14" s="2293"/>
      <c r="L14" s="2293"/>
      <c r="M14" s="2293"/>
      <c r="N14" s="443">
        <v>5</v>
      </c>
      <c r="O14" s="865"/>
      <c r="P14" s="2300"/>
      <c r="Q14" s="2301"/>
      <c r="R14" s="2301"/>
      <c r="S14" s="899" t="s">
        <v>18</v>
      </c>
    </row>
    <row r="15" spans="1:21" s="8" customFormat="1">
      <c r="B15" s="2264" t="s">
        <v>2213</v>
      </c>
      <c r="C15" s="2264"/>
      <c r="D15" s="2264"/>
      <c r="E15" s="2264"/>
      <c r="F15" s="2264"/>
      <c r="G15" s="2264"/>
      <c r="H15" s="2264"/>
      <c r="I15" s="2264"/>
      <c r="J15" s="2264"/>
      <c r="K15" s="2264"/>
      <c r="L15" s="2264"/>
      <c r="M15" s="2264"/>
      <c r="N15" s="2264"/>
      <c r="O15" s="2264"/>
      <c r="P15" s="2264"/>
      <c r="Q15" s="2264"/>
      <c r="R15" s="2264"/>
      <c r="S15" s="2264"/>
    </row>
    <row r="16" spans="1:21" s="8" customFormat="1" ht="45" customHeight="1">
      <c r="B16" s="453" t="s">
        <v>2214</v>
      </c>
      <c r="C16" s="17"/>
      <c r="D16" s="17"/>
      <c r="E16" s="2302" t="s">
        <v>35</v>
      </c>
      <c r="F16" s="2302"/>
      <c r="G16" s="2302"/>
      <c r="H16" s="2302"/>
      <c r="I16" s="2302"/>
      <c r="J16" s="2302"/>
      <c r="K16" s="2302"/>
      <c r="L16" s="2302"/>
      <c r="M16" s="2302"/>
      <c r="N16" s="443">
        <v>4</v>
      </c>
      <c r="O16" s="358"/>
      <c r="P16" s="2307"/>
      <c r="Q16" s="2308"/>
      <c r="R16" s="2308"/>
      <c r="S16" s="896" t="s">
        <v>18</v>
      </c>
    </row>
    <row r="17" spans="2:19" s="8" customFormat="1">
      <c r="B17" s="2264" t="s">
        <v>2215</v>
      </c>
      <c r="C17" s="2264"/>
      <c r="D17" s="2264"/>
      <c r="E17" s="2264"/>
      <c r="F17" s="2264"/>
      <c r="G17" s="2264"/>
      <c r="H17" s="2264"/>
      <c r="I17" s="2264"/>
      <c r="J17" s="2264"/>
      <c r="K17" s="2264"/>
      <c r="L17" s="2264"/>
      <c r="M17" s="2264"/>
      <c r="N17" s="2264"/>
      <c r="O17" s="2264"/>
      <c r="P17" s="2264"/>
      <c r="Q17" s="2264"/>
      <c r="R17" s="2264"/>
      <c r="S17" s="2264"/>
    </row>
    <row r="18" spans="2:19" s="23" customFormat="1" ht="54.75" customHeight="1">
      <c r="B18" s="1883">
        <v>11.503</v>
      </c>
      <c r="C18" s="20"/>
      <c r="D18" s="20"/>
      <c r="E18" s="2303" t="s">
        <v>36</v>
      </c>
      <c r="F18" s="2303"/>
      <c r="G18" s="2303"/>
      <c r="H18" s="2303"/>
      <c r="I18" s="2303"/>
      <c r="J18" s="2303"/>
      <c r="K18" s="2303"/>
      <c r="L18" s="2303"/>
      <c r="M18" s="2303"/>
      <c r="N18" s="2267"/>
      <c r="O18" s="2310"/>
      <c r="P18" s="2312"/>
      <c r="Q18" s="2312"/>
      <c r="R18" s="2312"/>
      <c r="S18" s="2304"/>
    </row>
    <row r="19" spans="2:19" s="8" customFormat="1" ht="16" thickBot="1">
      <c r="B19" s="24"/>
      <c r="C19" s="451"/>
      <c r="D19" s="451"/>
      <c r="E19" s="2306" t="s">
        <v>37</v>
      </c>
      <c r="F19" s="2306"/>
      <c r="G19" s="2306"/>
      <c r="H19" s="2306"/>
      <c r="I19" s="2306"/>
      <c r="J19" s="2306"/>
      <c r="K19" s="2306"/>
      <c r="L19" s="2306"/>
      <c r="M19" s="2306"/>
      <c r="N19" s="2309"/>
      <c r="O19" s="2311"/>
      <c r="P19" s="2313"/>
      <c r="Q19" s="2313"/>
      <c r="R19" s="2313"/>
      <c r="S19" s="2305"/>
    </row>
    <row r="20" spans="2:19" s="8" customFormat="1" ht="30" customHeight="1" thickTop="1">
      <c r="B20" s="1887" t="s">
        <v>2216</v>
      </c>
      <c r="C20" s="17"/>
      <c r="D20" s="17"/>
      <c r="E20" s="2287" t="s">
        <v>40</v>
      </c>
      <c r="F20" s="2287"/>
      <c r="G20" s="2287"/>
      <c r="H20" s="2287"/>
      <c r="I20" s="2287"/>
      <c r="J20" s="2287"/>
      <c r="K20" s="2287"/>
      <c r="L20" s="2287"/>
      <c r="M20" s="2287"/>
      <c r="N20" s="858"/>
      <c r="O20" s="855"/>
      <c r="P20" s="2286"/>
      <c r="Q20" s="2286"/>
      <c r="R20" s="2286"/>
      <c r="S20" s="866"/>
    </row>
    <row r="21" spans="2:19" s="8" customFormat="1" ht="30" customHeight="1">
      <c r="B21" s="13"/>
      <c r="C21" s="456">
        <v>1</v>
      </c>
      <c r="D21" s="456"/>
      <c r="E21" s="2319" t="s">
        <v>19</v>
      </c>
      <c r="F21" s="2319"/>
      <c r="G21" s="2319"/>
      <c r="H21" s="2319"/>
      <c r="I21" s="2319"/>
      <c r="J21" s="2319"/>
      <c r="K21" s="2319"/>
      <c r="L21" s="2319"/>
      <c r="M21" s="2319"/>
      <c r="N21" s="444">
        <v>5</v>
      </c>
      <c r="O21" s="864"/>
      <c r="P21" s="2241"/>
      <c r="Q21" s="2242"/>
      <c r="R21" s="2242"/>
      <c r="S21" s="896" t="s">
        <v>18</v>
      </c>
    </row>
    <row r="22" spans="2:19" s="8" customFormat="1" ht="30" customHeight="1">
      <c r="B22" s="13"/>
      <c r="C22" s="18">
        <v>2</v>
      </c>
      <c r="D22" s="18"/>
      <c r="E22" s="2320" t="s">
        <v>38</v>
      </c>
      <c r="F22" s="2320"/>
      <c r="G22" s="2320"/>
      <c r="H22" s="2320"/>
      <c r="I22" s="2320"/>
      <c r="J22" s="2320"/>
      <c r="K22" s="2320"/>
      <c r="L22" s="2320"/>
      <c r="M22" s="2320"/>
      <c r="N22" s="25">
        <v>6</v>
      </c>
      <c r="O22" s="615"/>
      <c r="P22" s="2243"/>
      <c r="Q22" s="2244"/>
      <c r="R22" s="2244"/>
      <c r="S22" s="899" t="s">
        <v>18</v>
      </c>
    </row>
    <row r="23" spans="2:19" s="8" customFormat="1" ht="30" customHeight="1">
      <c r="B23" s="13"/>
      <c r="C23" s="18">
        <v>3</v>
      </c>
      <c r="D23" s="18"/>
      <c r="E23" s="2320" t="s">
        <v>20</v>
      </c>
      <c r="F23" s="2320"/>
      <c r="G23" s="2320"/>
      <c r="H23" s="2320"/>
      <c r="I23" s="2320"/>
      <c r="J23" s="2320"/>
      <c r="K23" s="2320"/>
      <c r="L23" s="2320"/>
      <c r="M23" s="2320"/>
      <c r="N23" s="25">
        <v>4</v>
      </c>
      <c r="O23" s="615"/>
      <c r="P23" s="2243"/>
      <c r="Q23" s="2244"/>
      <c r="R23" s="2244"/>
      <c r="S23" s="905" t="s">
        <v>18</v>
      </c>
    </row>
    <row r="24" spans="2:19" s="8" customFormat="1" ht="30" customHeight="1">
      <c r="B24" s="13"/>
      <c r="C24" s="18">
        <v>4</v>
      </c>
      <c r="D24" s="18"/>
      <c r="E24" s="2320" t="s">
        <v>21</v>
      </c>
      <c r="F24" s="2320"/>
      <c r="G24" s="2320"/>
      <c r="H24" s="2320"/>
      <c r="I24" s="2320"/>
      <c r="J24" s="2320"/>
      <c r="K24" s="2320"/>
      <c r="L24" s="2320"/>
      <c r="M24" s="2320"/>
      <c r="N24" s="25">
        <v>4</v>
      </c>
      <c r="O24" s="615"/>
      <c r="P24" s="2243"/>
      <c r="Q24" s="2244"/>
      <c r="R24" s="2244"/>
      <c r="S24" s="896" t="s">
        <v>18</v>
      </c>
    </row>
    <row r="25" spans="2:19" s="8" customFormat="1" ht="30" customHeight="1">
      <c r="B25" s="13"/>
      <c r="C25" s="18">
        <v>5</v>
      </c>
      <c r="D25" s="18"/>
      <c r="E25" s="2320" t="s">
        <v>22</v>
      </c>
      <c r="F25" s="2320"/>
      <c r="G25" s="2320"/>
      <c r="H25" s="2320"/>
      <c r="I25" s="2320"/>
      <c r="J25" s="2320"/>
      <c r="K25" s="2320"/>
      <c r="L25" s="2320"/>
      <c r="M25" s="2320"/>
      <c r="N25" s="25">
        <v>3</v>
      </c>
      <c r="O25" s="615"/>
      <c r="P25" s="2243"/>
      <c r="Q25" s="2244"/>
      <c r="R25" s="2244"/>
      <c r="S25" s="905" t="s">
        <v>18</v>
      </c>
    </row>
    <row r="26" spans="2:19" s="8" customFormat="1" ht="30" customHeight="1">
      <c r="B26" s="13"/>
      <c r="C26" s="18">
        <v>6</v>
      </c>
      <c r="D26" s="18"/>
      <c r="E26" s="2320" t="s">
        <v>39</v>
      </c>
      <c r="F26" s="2320"/>
      <c r="G26" s="2320"/>
      <c r="H26" s="2320"/>
      <c r="I26" s="2320"/>
      <c r="J26" s="2320"/>
      <c r="K26" s="2320"/>
      <c r="L26" s="2320"/>
      <c r="M26" s="2320"/>
      <c r="N26" s="19">
        <v>4</v>
      </c>
      <c r="O26" s="615"/>
      <c r="P26" s="2243"/>
      <c r="Q26" s="2244"/>
      <c r="R26" s="2244"/>
      <c r="S26" s="905" t="s">
        <v>18</v>
      </c>
    </row>
    <row r="27" spans="2:19" s="8" customFormat="1" ht="30" customHeight="1" thickBot="1">
      <c r="B27" s="13"/>
      <c r="C27" s="455">
        <v>7</v>
      </c>
      <c r="D27" s="455"/>
      <c r="E27" s="2302" t="s">
        <v>2217</v>
      </c>
      <c r="F27" s="2302"/>
      <c r="G27" s="2302"/>
      <c r="H27" s="2302"/>
      <c r="I27" s="2302"/>
      <c r="J27" s="2302"/>
      <c r="K27" s="2302"/>
      <c r="L27" s="2302"/>
      <c r="M27" s="2302"/>
      <c r="N27" s="443">
        <v>5</v>
      </c>
      <c r="O27" s="558"/>
      <c r="P27" s="2315"/>
      <c r="Q27" s="2316"/>
      <c r="R27" s="2316"/>
      <c r="S27" s="903" t="s">
        <v>18</v>
      </c>
    </row>
    <row r="28" spans="2:19" s="8" customFormat="1" ht="30" customHeight="1" thickTop="1">
      <c r="B28" s="1886" t="s">
        <v>2218</v>
      </c>
      <c r="C28" s="26"/>
      <c r="D28" s="26"/>
      <c r="E28" s="2395" t="s">
        <v>2117</v>
      </c>
      <c r="F28" s="2395"/>
      <c r="G28" s="2395"/>
      <c r="H28" s="2395"/>
      <c r="I28" s="2395"/>
      <c r="J28" s="2395"/>
      <c r="K28" s="2395"/>
      <c r="L28" s="2395"/>
      <c r="M28" s="2395"/>
      <c r="N28" s="856"/>
      <c r="O28" s="432"/>
      <c r="P28" s="2382"/>
      <c r="Q28" s="2382"/>
      <c r="R28" s="2382"/>
      <c r="S28" s="470"/>
    </row>
    <row r="29" spans="2:19" s="8" customFormat="1" ht="30" customHeight="1">
      <c r="B29" s="13"/>
      <c r="C29" s="455">
        <v>1</v>
      </c>
      <c r="D29" s="455"/>
      <c r="E29" s="2288" t="s">
        <v>41</v>
      </c>
      <c r="F29" s="2288"/>
      <c r="G29" s="2288"/>
      <c r="H29" s="2288"/>
      <c r="I29" s="2288"/>
      <c r="J29" s="2288"/>
      <c r="K29" s="2288"/>
      <c r="L29" s="2288"/>
      <c r="M29" s="2288"/>
      <c r="N29" s="443">
        <v>5</v>
      </c>
      <c r="O29" s="441"/>
      <c r="P29" s="2383"/>
      <c r="Q29" s="2383"/>
      <c r="R29" s="2383"/>
      <c r="S29" s="896" t="s">
        <v>18</v>
      </c>
    </row>
    <row r="30" spans="2:19" s="8" customFormat="1" ht="30" customHeight="1">
      <c r="B30" s="13"/>
      <c r="C30" s="18">
        <v>2</v>
      </c>
      <c r="D30" s="18"/>
      <c r="E30" s="2321" t="s">
        <v>2116</v>
      </c>
      <c r="F30" s="2321"/>
      <c r="G30" s="2321"/>
      <c r="H30" s="2321"/>
      <c r="I30" s="2321"/>
      <c r="J30" s="2321"/>
      <c r="K30" s="2321"/>
      <c r="L30" s="2321"/>
      <c r="M30" s="2321"/>
      <c r="N30" s="19">
        <v>4</v>
      </c>
      <c r="O30" s="898"/>
      <c r="P30" s="2317"/>
      <c r="Q30" s="2317"/>
      <c r="R30" s="2317"/>
      <c r="S30" s="905" t="s">
        <v>18</v>
      </c>
    </row>
    <row r="31" spans="2:19" s="8" customFormat="1" ht="30" customHeight="1">
      <c r="B31" s="2381"/>
      <c r="C31" s="2396">
        <v>3</v>
      </c>
      <c r="D31" s="2396"/>
      <c r="E31" s="2318" t="s">
        <v>863</v>
      </c>
      <c r="F31" s="2318"/>
      <c r="G31" s="2318"/>
      <c r="H31" s="2318"/>
      <c r="I31" s="2318"/>
      <c r="J31" s="2318"/>
      <c r="K31" s="2318"/>
      <c r="L31" s="2318"/>
      <c r="M31" s="2318"/>
      <c r="N31" s="2290" t="s">
        <v>862</v>
      </c>
      <c r="O31" s="1162"/>
      <c r="P31" s="2317"/>
      <c r="Q31" s="2317"/>
      <c r="R31" s="2317"/>
      <c r="S31" s="2314" t="s">
        <v>18</v>
      </c>
    </row>
    <row r="32" spans="2:19" s="8" customFormat="1" ht="30" customHeight="1">
      <c r="B32" s="2381"/>
      <c r="C32" s="2397"/>
      <c r="D32" s="2397"/>
      <c r="E32" s="2319"/>
      <c r="F32" s="2319"/>
      <c r="G32" s="2319"/>
      <c r="H32" s="2319"/>
      <c r="I32" s="2319"/>
      <c r="J32" s="2319"/>
      <c r="K32" s="2319"/>
      <c r="L32" s="2319"/>
      <c r="M32" s="2319"/>
      <c r="N32" s="2291"/>
      <c r="O32" s="867">
        <f>score503.2_3</f>
        <v>0</v>
      </c>
      <c r="P32" s="2317"/>
      <c r="Q32" s="2317"/>
      <c r="R32" s="2317"/>
      <c r="S32" s="2259"/>
    </row>
    <row r="33" spans="2:19" s="8" customFormat="1" ht="30" customHeight="1">
      <c r="B33" s="30"/>
      <c r="C33" s="461">
        <v>4</v>
      </c>
      <c r="D33" s="461"/>
      <c r="E33" s="2391" t="s">
        <v>50</v>
      </c>
      <c r="F33" s="2391"/>
      <c r="G33" s="2391"/>
      <c r="H33" s="2391"/>
      <c r="I33" s="2392"/>
      <c r="J33" s="2392"/>
      <c r="K33" s="2392"/>
      <c r="L33" s="2392"/>
      <c r="M33" s="2392"/>
      <c r="N33" s="31">
        <v>5</v>
      </c>
      <c r="O33" s="898"/>
      <c r="P33" s="2317"/>
      <c r="Q33" s="2317"/>
      <c r="R33" s="2317"/>
      <c r="S33" s="905" t="s">
        <v>18</v>
      </c>
    </row>
    <row r="34" spans="2:19" s="8" customFormat="1" ht="16" thickBot="1">
      <c r="B34" s="30"/>
      <c r="C34" s="461">
        <v>5</v>
      </c>
      <c r="D34" s="461"/>
      <c r="E34" s="2393" t="s">
        <v>23</v>
      </c>
      <c r="F34" s="2393"/>
      <c r="G34" s="2393"/>
      <c r="H34" s="2393"/>
      <c r="I34" s="2393"/>
      <c r="J34" s="2393"/>
      <c r="K34" s="2393"/>
      <c r="L34" s="2393"/>
      <c r="M34" s="2393"/>
      <c r="N34" s="462">
        <v>5</v>
      </c>
      <c r="O34" s="868"/>
      <c r="P34" s="2384"/>
      <c r="Q34" s="2384"/>
      <c r="R34" s="2384"/>
      <c r="S34" s="896" t="s">
        <v>18</v>
      </c>
    </row>
    <row r="35" spans="2:19" s="8" customFormat="1" ht="45" customHeight="1" thickTop="1">
      <c r="B35" s="2388" t="s">
        <v>2219</v>
      </c>
      <c r="C35" s="2389"/>
      <c r="D35" s="2389"/>
      <c r="E35" s="2394" t="s">
        <v>51</v>
      </c>
      <c r="F35" s="2394"/>
      <c r="G35" s="2394"/>
      <c r="H35" s="2394"/>
      <c r="I35" s="2394"/>
      <c r="J35" s="2394"/>
      <c r="K35" s="2394"/>
      <c r="L35" s="2394"/>
      <c r="M35" s="2394"/>
      <c r="N35" s="2385"/>
      <c r="O35" s="2385"/>
      <c r="P35" s="2349"/>
      <c r="Q35" s="2349"/>
      <c r="R35" s="2349"/>
      <c r="S35" s="2337"/>
    </row>
    <row r="36" spans="2:19" s="8" customFormat="1">
      <c r="B36" s="2232"/>
      <c r="C36" s="2390"/>
      <c r="D36" s="2390"/>
      <c r="E36" s="2333" t="s">
        <v>2229</v>
      </c>
      <c r="F36" s="2334"/>
      <c r="G36" s="2334"/>
      <c r="H36" s="2334"/>
      <c r="I36" s="2334"/>
      <c r="J36" s="2334"/>
      <c r="K36" s="2334"/>
      <c r="L36" s="2334"/>
      <c r="M36" s="2335"/>
      <c r="N36" s="2386"/>
      <c r="O36" s="2387"/>
      <c r="P36" s="2336"/>
      <c r="Q36" s="2336"/>
      <c r="R36" s="2336"/>
      <c r="S36" s="2338"/>
    </row>
    <row r="37" spans="2:19" s="8" customFormat="1" ht="20" customHeight="1">
      <c r="B37" s="13"/>
      <c r="C37" s="456">
        <v>1</v>
      </c>
      <c r="D37" s="456"/>
      <c r="E37" s="2322" t="s">
        <v>2220</v>
      </c>
      <c r="F37" s="2322"/>
      <c r="G37" s="2322"/>
      <c r="H37" s="2322"/>
      <c r="I37" s="2322"/>
      <c r="J37" s="2322"/>
      <c r="K37" s="2322"/>
      <c r="L37" s="2322"/>
      <c r="M37" s="2322"/>
      <c r="N37" s="444">
        <v>5</v>
      </c>
      <c r="O37" s="441"/>
      <c r="P37" s="2228"/>
      <c r="Q37" s="2228"/>
      <c r="R37" s="2228"/>
      <c r="S37" s="896" t="s">
        <v>18</v>
      </c>
    </row>
    <row r="38" spans="2:19" s="8" customFormat="1" ht="90" customHeight="1">
      <c r="B38" s="2381"/>
      <c r="C38" s="2396">
        <v>2</v>
      </c>
      <c r="D38" s="2396"/>
      <c r="E38" s="2401" t="s">
        <v>2252</v>
      </c>
      <c r="F38" s="2401"/>
      <c r="G38" s="2401"/>
      <c r="H38" s="2401"/>
      <c r="I38" s="2401"/>
      <c r="J38" s="2401"/>
      <c r="K38" s="2401"/>
      <c r="L38" s="2401"/>
      <c r="M38" s="2401"/>
      <c r="N38" s="2402">
        <v>5</v>
      </c>
      <c r="O38" s="2292"/>
      <c r="P38" s="2327"/>
      <c r="Q38" s="2328"/>
      <c r="R38" s="2329"/>
      <c r="S38" s="2314" t="s">
        <v>18</v>
      </c>
    </row>
    <row r="39" spans="2:19" s="8" customFormat="1" ht="20" customHeight="1">
      <c r="B39" s="2381"/>
      <c r="C39" s="2397"/>
      <c r="D39" s="2397"/>
      <c r="E39" s="2324" t="s">
        <v>868</v>
      </c>
      <c r="F39" s="2325"/>
      <c r="G39" s="2325"/>
      <c r="H39" s="2325"/>
      <c r="I39" s="2325"/>
      <c r="J39" s="2325"/>
      <c r="K39" s="2325"/>
      <c r="L39" s="2325"/>
      <c r="M39" s="2326"/>
      <c r="N39" s="2403"/>
      <c r="O39" s="2292"/>
      <c r="P39" s="2330"/>
      <c r="Q39" s="2331"/>
      <c r="R39" s="2332"/>
      <c r="S39" s="2259"/>
    </row>
    <row r="40" spans="2:19" s="8" customFormat="1" ht="20" customHeight="1" thickBot="1">
      <c r="B40" s="47"/>
      <c r="C40" s="48">
        <v>3</v>
      </c>
      <c r="D40" s="48"/>
      <c r="E40" s="2323" t="s">
        <v>2253</v>
      </c>
      <c r="F40" s="2323"/>
      <c r="G40" s="2323"/>
      <c r="H40" s="2323"/>
      <c r="I40" s="2323"/>
      <c r="J40" s="2323"/>
      <c r="K40" s="2323"/>
      <c r="L40" s="2323"/>
      <c r="M40" s="2323"/>
      <c r="N40" s="49">
        <v>5</v>
      </c>
      <c r="O40" s="869"/>
      <c r="P40" s="2228"/>
      <c r="Q40" s="2228"/>
      <c r="R40" s="2228"/>
      <c r="S40" s="904" t="s">
        <v>18</v>
      </c>
    </row>
    <row r="41" spans="2:19" s="8" customFormat="1" ht="45" customHeight="1" thickTop="1">
      <c r="B41" s="2404" t="s">
        <v>2221</v>
      </c>
      <c r="C41" s="2405"/>
      <c r="D41" s="2398"/>
      <c r="E41" s="2336" t="s">
        <v>53</v>
      </c>
      <c r="F41" s="2336"/>
      <c r="G41" s="2336"/>
      <c r="H41" s="2336"/>
      <c r="I41" s="2336"/>
      <c r="J41" s="2336"/>
      <c r="K41" s="2336"/>
      <c r="L41" s="2336"/>
      <c r="M41" s="2336"/>
      <c r="N41" s="2399"/>
      <c r="O41" s="2399"/>
      <c r="P41" s="2261"/>
      <c r="Q41" s="2261"/>
      <c r="R41" s="2261"/>
      <c r="S41" s="2400"/>
    </row>
    <row r="42" spans="2:19" s="8" customFormat="1" ht="45" customHeight="1">
      <c r="B42" s="2406"/>
      <c r="C42" s="2302"/>
      <c r="D42" s="2361"/>
      <c r="E42" s="2333" t="s">
        <v>52</v>
      </c>
      <c r="F42" s="2334"/>
      <c r="G42" s="2334"/>
      <c r="H42" s="2334"/>
      <c r="I42" s="2334"/>
      <c r="J42" s="2334"/>
      <c r="K42" s="2334"/>
      <c r="L42" s="2334"/>
      <c r="M42" s="2335"/>
      <c r="N42" s="2386"/>
      <c r="O42" s="2387"/>
      <c r="P42" s="2336"/>
      <c r="Q42" s="2336"/>
      <c r="R42" s="2336"/>
      <c r="S42" s="2338"/>
    </row>
    <row r="43" spans="2:19" s="8" customFormat="1" ht="20" customHeight="1">
      <c r="B43" s="13"/>
      <c r="C43" s="32">
        <v>1</v>
      </c>
      <c r="D43" s="32"/>
      <c r="E43" s="2319" t="s">
        <v>24</v>
      </c>
      <c r="F43" s="2319"/>
      <c r="G43" s="2319"/>
      <c r="H43" s="2319"/>
      <c r="I43" s="2319"/>
      <c r="J43" s="2319"/>
      <c r="K43" s="2319"/>
      <c r="L43" s="2319"/>
      <c r="M43" s="2319"/>
      <c r="N43" s="444">
        <v>6</v>
      </c>
      <c r="O43" s="441"/>
      <c r="P43" s="2241"/>
      <c r="Q43" s="2242"/>
      <c r="R43" s="2242"/>
      <c r="S43" s="937" t="s">
        <v>18</v>
      </c>
    </row>
    <row r="44" spans="2:19" s="8" customFormat="1" ht="45" customHeight="1">
      <c r="B44" s="13"/>
      <c r="C44" s="33">
        <v>2</v>
      </c>
      <c r="D44" s="33"/>
      <c r="E44" s="2320" t="s">
        <v>54</v>
      </c>
      <c r="F44" s="2320"/>
      <c r="G44" s="2320"/>
      <c r="H44" s="2320"/>
      <c r="I44" s="2320"/>
      <c r="J44" s="2320"/>
      <c r="K44" s="2320"/>
      <c r="L44" s="2320"/>
      <c r="M44" s="2320"/>
      <c r="N44" s="25">
        <v>7</v>
      </c>
      <c r="O44" s="615"/>
      <c r="P44" s="2243"/>
      <c r="Q44" s="2244"/>
      <c r="R44" s="2244"/>
      <c r="S44" s="938" t="s">
        <v>18</v>
      </c>
    </row>
    <row r="45" spans="2:19" s="8" customFormat="1" ht="25" customHeight="1">
      <c r="B45" s="2381"/>
      <c r="C45" s="2363">
        <v>3</v>
      </c>
      <c r="D45" s="2363"/>
      <c r="E45" s="2318" t="s">
        <v>865</v>
      </c>
      <c r="F45" s="2318"/>
      <c r="G45" s="2318"/>
      <c r="H45" s="2318"/>
      <c r="I45" s="2318"/>
      <c r="J45" s="2318"/>
      <c r="K45" s="2318"/>
      <c r="L45" s="2318"/>
      <c r="M45" s="2318"/>
      <c r="N45" s="2290" t="s">
        <v>864</v>
      </c>
      <c r="O45" s="1161"/>
      <c r="P45" s="2243"/>
      <c r="Q45" s="2244"/>
      <c r="R45" s="2244"/>
      <c r="S45" s="2407" t="s">
        <v>18</v>
      </c>
    </row>
    <row r="46" spans="2:19" s="8" customFormat="1" ht="25" customHeight="1">
      <c r="B46" s="2381"/>
      <c r="C46" s="2360"/>
      <c r="D46" s="2360"/>
      <c r="E46" s="2319"/>
      <c r="F46" s="2319"/>
      <c r="G46" s="2319"/>
      <c r="H46" s="2319"/>
      <c r="I46" s="2319"/>
      <c r="J46" s="2319"/>
      <c r="K46" s="2319"/>
      <c r="L46" s="2319"/>
      <c r="M46" s="2319"/>
      <c r="N46" s="2291"/>
      <c r="O46" s="448">
        <f>score503.4_3</f>
        <v>0</v>
      </c>
      <c r="P46" s="2243"/>
      <c r="Q46" s="2244"/>
      <c r="R46" s="2244"/>
      <c r="S46" s="2408"/>
    </row>
    <row r="47" spans="2:19" s="8" customFormat="1" ht="45" customHeight="1">
      <c r="B47" s="13"/>
      <c r="C47" s="33">
        <v>4</v>
      </c>
      <c r="D47" s="33"/>
      <c r="E47" s="2320" t="s">
        <v>56</v>
      </c>
      <c r="F47" s="2320"/>
      <c r="G47" s="2320"/>
      <c r="H47" s="2320"/>
      <c r="I47" s="2320"/>
      <c r="J47" s="2320"/>
      <c r="K47" s="2320"/>
      <c r="L47" s="2320"/>
      <c r="M47" s="2320"/>
      <c r="N47" s="25">
        <v>5</v>
      </c>
      <c r="O47" s="939"/>
      <c r="P47" s="2243"/>
      <c r="Q47" s="2244"/>
      <c r="R47" s="2244"/>
      <c r="S47" s="940" t="s">
        <v>18</v>
      </c>
    </row>
    <row r="48" spans="2:19" s="8" customFormat="1" ht="30" customHeight="1" thickBot="1">
      <c r="B48" s="13"/>
      <c r="C48" s="33">
        <v>5</v>
      </c>
      <c r="D48" s="33"/>
      <c r="E48" s="2320" t="s">
        <v>57</v>
      </c>
      <c r="F48" s="2320"/>
      <c r="G48" s="2320"/>
      <c r="H48" s="2320"/>
      <c r="I48" s="2320"/>
      <c r="J48" s="2320"/>
      <c r="K48" s="2320"/>
      <c r="L48" s="2320"/>
      <c r="M48" s="2320"/>
      <c r="N48" s="25">
        <v>6</v>
      </c>
      <c r="O48" s="615"/>
      <c r="P48" s="2243"/>
      <c r="Q48" s="2244"/>
      <c r="R48" s="2244"/>
      <c r="S48" s="521" t="s">
        <v>18</v>
      </c>
    </row>
    <row r="49" spans="2:19" s="8" customFormat="1" ht="57.75" customHeight="1" thickTop="1">
      <c r="B49" s="1884" t="s">
        <v>2222</v>
      </c>
      <c r="C49" s="476"/>
      <c r="D49" s="476"/>
      <c r="E49" s="2349" t="s">
        <v>1729</v>
      </c>
      <c r="F49" s="2349"/>
      <c r="G49" s="2349"/>
      <c r="H49" s="2349"/>
      <c r="I49" s="2349"/>
      <c r="J49" s="2349"/>
      <c r="K49" s="2349"/>
      <c r="L49" s="2349"/>
      <c r="M49" s="2349"/>
      <c r="N49" s="974" t="s">
        <v>1614</v>
      </c>
      <c r="O49" s="1158"/>
      <c r="P49" s="2261"/>
      <c r="Q49" s="2261"/>
      <c r="R49" s="2261"/>
      <c r="S49" s="870"/>
    </row>
    <row r="50" spans="2:19" s="8" customFormat="1" ht="30" customHeight="1">
      <c r="B50" s="36"/>
      <c r="C50" s="15">
        <v>1</v>
      </c>
      <c r="D50" s="15"/>
      <c r="E50" s="2302" t="s">
        <v>59</v>
      </c>
      <c r="F50" s="2302"/>
      <c r="G50" s="2302"/>
      <c r="H50" s="2302"/>
      <c r="I50" s="2302"/>
      <c r="J50" s="2302"/>
      <c r="K50" s="2302"/>
      <c r="L50" s="2302"/>
      <c r="M50" s="2302"/>
      <c r="N50" s="2411">
        <f>IF(choice503.5_type="Full Landscape Plan",6,IF(OR(choice503.5_type="Front Only Landscape Plan",choice503.5_type="Rear Only Landscape Plan"),3,0))</f>
        <v>0</v>
      </c>
      <c r="O50" s="2409"/>
      <c r="P50" s="2383"/>
      <c r="Q50" s="2383"/>
      <c r="R50" s="2383"/>
      <c r="S50" s="2258" t="s">
        <v>18</v>
      </c>
    </row>
    <row r="51" spans="2:19" s="8" customFormat="1" ht="15" customHeight="1">
      <c r="B51" s="36"/>
      <c r="C51" s="32"/>
      <c r="D51" s="32"/>
      <c r="E51" s="2319"/>
      <c r="F51" s="2319"/>
      <c r="G51" s="2319"/>
      <c r="H51" s="2319"/>
      <c r="I51" s="2319"/>
      <c r="J51" s="2319"/>
      <c r="K51" s="2319"/>
      <c r="L51" s="2319"/>
      <c r="M51" s="2319"/>
      <c r="N51" s="2412"/>
      <c r="O51" s="2410"/>
      <c r="P51" s="2317"/>
      <c r="Q51" s="2317"/>
      <c r="R51" s="2317"/>
      <c r="S51" s="2259"/>
    </row>
    <row r="52" spans="2:19" s="8" customFormat="1" ht="15" customHeight="1">
      <c r="B52" s="13"/>
      <c r="C52" s="34">
        <v>2</v>
      </c>
      <c r="D52" s="34"/>
      <c r="E52" s="2318" t="s">
        <v>60</v>
      </c>
      <c r="F52" s="2318"/>
      <c r="G52" s="2318"/>
      <c r="H52" s="2318"/>
      <c r="I52" s="2318"/>
      <c r="J52" s="2318"/>
      <c r="K52" s="2318"/>
      <c r="L52" s="2318"/>
      <c r="M52" s="2318"/>
      <c r="N52" s="2415">
        <f>IF(choice503.5_type="Full Landscape Plan",4,IF(OR(choice503.5_type="Front Only Landscape Plan",choice503.5_type="Rear Only Landscape Plan"),2,0))</f>
        <v>0</v>
      </c>
      <c r="O52" s="2416"/>
      <c r="P52" s="2317"/>
      <c r="Q52" s="2317"/>
      <c r="R52" s="2317"/>
      <c r="S52" s="2314" t="s">
        <v>18</v>
      </c>
    </row>
    <row r="53" spans="2:19" s="8" customFormat="1" ht="15" customHeight="1">
      <c r="B53" s="36"/>
      <c r="C53" s="32"/>
      <c r="D53" s="32"/>
      <c r="E53" s="2319"/>
      <c r="F53" s="2319"/>
      <c r="G53" s="2319"/>
      <c r="H53" s="2319"/>
      <c r="I53" s="2319"/>
      <c r="J53" s="2319"/>
      <c r="K53" s="2319"/>
      <c r="L53" s="2319"/>
      <c r="M53" s="2319"/>
      <c r="N53" s="2412"/>
      <c r="O53" s="2410"/>
      <c r="P53" s="2317"/>
      <c r="Q53" s="2317"/>
      <c r="R53" s="2317"/>
      <c r="S53" s="2259"/>
    </row>
    <row r="54" spans="2:19" s="8" customFormat="1" ht="60" customHeight="1" thickBot="1">
      <c r="B54" s="13"/>
      <c r="C54" s="15">
        <v>3</v>
      </c>
      <c r="D54" s="15"/>
      <c r="E54" s="2302" t="s">
        <v>61</v>
      </c>
      <c r="F54" s="2302"/>
      <c r="G54" s="2302"/>
      <c r="H54" s="2302"/>
      <c r="I54" s="2302"/>
      <c r="J54" s="2302"/>
      <c r="K54" s="2302"/>
      <c r="L54" s="2302"/>
      <c r="M54" s="2302"/>
      <c r="N54" s="2290"/>
      <c r="O54" s="1160"/>
      <c r="P54" s="2317"/>
      <c r="Q54" s="2317"/>
      <c r="R54" s="2317"/>
      <c r="S54" s="2314" t="s">
        <v>18</v>
      </c>
    </row>
    <row r="55" spans="2:19" ht="15" customHeight="1">
      <c r="B55" s="81"/>
      <c r="C55" s="450"/>
      <c r="D55" s="450"/>
      <c r="E55" s="2417" t="str">
        <f>IF(choice503.5_type="","Landscape Type not chosen - No points available",CONCATENATE("Points for ",choice503.5_type))</f>
        <v>Landscape Type not chosen - No points available</v>
      </c>
      <c r="F55" s="2418"/>
      <c r="G55" s="2418"/>
      <c r="H55" s="2418"/>
      <c r="I55" s="2418"/>
      <c r="J55" s="2418"/>
      <c r="K55" s="2418"/>
      <c r="L55" s="2418"/>
      <c r="M55" s="2419"/>
      <c r="N55" s="2230"/>
      <c r="O55" s="2427">
        <f>score503.5_3</f>
        <v>0</v>
      </c>
      <c r="P55" s="2317"/>
      <c r="Q55" s="2317"/>
      <c r="R55" s="2317"/>
      <c r="S55" s="2258"/>
    </row>
    <row r="56" spans="2:19" s="8" customFormat="1" ht="32" customHeight="1">
      <c r="B56" s="36"/>
      <c r="C56" s="29"/>
      <c r="D56" s="27"/>
      <c r="E56" s="50" t="s">
        <v>43</v>
      </c>
      <c r="F56" s="2420" t="s">
        <v>63</v>
      </c>
      <c r="G56" s="2420"/>
      <c r="H56" s="2420"/>
      <c r="I56" s="2420"/>
      <c r="J56" s="2420"/>
      <c r="K56" s="2420"/>
      <c r="L56" s="2423">
        <f>IF(choice503.5_type="Full Landscape Plan",5,IF(choice503.5_type="",0,2))</f>
        <v>0</v>
      </c>
      <c r="M56" s="2424"/>
      <c r="N56" s="2230"/>
      <c r="O56" s="2428"/>
      <c r="P56" s="2317"/>
      <c r="Q56" s="2317"/>
      <c r="R56" s="2317"/>
      <c r="S56" s="2258"/>
    </row>
    <row r="57" spans="2:19" s="8" customFormat="1" ht="15" customHeight="1">
      <c r="B57" s="36"/>
      <c r="C57" s="29"/>
      <c r="D57" s="27"/>
      <c r="E57" s="51" t="s">
        <v>44</v>
      </c>
      <c r="F57" s="2421" t="s">
        <v>64</v>
      </c>
      <c r="G57" s="2421"/>
      <c r="H57" s="2421"/>
      <c r="I57" s="2421"/>
      <c r="J57" s="2421"/>
      <c r="K57" s="2421"/>
      <c r="L57" s="2423">
        <f>IF(choice503.5_type="Full Landscape Plan",4,IF(choice503.5_type="",0,2))</f>
        <v>0</v>
      </c>
      <c r="M57" s="2424"/>
      <c r="N57" s="2230"/>
      <c r="O57" s="2428"/>
      <c r="P57" s="2317"/>
      <c r="Q57" s="2317"/>
      <c r="R57" s="2317"/>
      <c r="S57" s="2258"/>
    </row>
    <row r="58" spans="2:19" s="8" customFormat="1" ht="15" customHeight="1">
      <c r="B58" s="36"/>
      <c r="C58" s="29"/>
      <c r="D58" s="27"/>
      <c r="E58" s="51" t="s">
        <v>45</v>
      </c>
      <c r="F58" s="2421" t="s">
        <v>66</v>
      </c>
      <c r="G58" s="2421"/>
      <c r="H58" s="2421"/>
      <c r="I58" s="2421"/>
      <c r="J58" s="2421"/>
      <c r="K58" s="2421"/>
      <c r="L58" s="2423">
        <f>IF(choice503.5_type="Full Landscape Plan",3,IF(choice503.5_type="",0,1))</f>
        <v>0</v>
      </c>
      <c r="M58" s="2424"/>
      <c r="N58" s="2230"/>
      <c r="O58" s="2428"/>
      <c r="P58" s="2317"/>
      <c r="Q58" s="2317"/>
      <c r="R58" s="2317"/>
      <c r="S58" s="2258"/>
    </row>
    <row r="59" spans="2:19" s="8" customFormat="1" ht="15.75" customHeight="1" thickBot="1">
      <c r="B59" s="36"/>
      <c r="C59" s="29"/>
      <c r="D59" s="27"/>
      <c r="E59" s="52" t="s">
        <v>62</v>
      </c>
      <c r="F59" s="2422" t="s">
        <v>65</v>
      </c>
      <c r="G59" s="2422"/>
      <c r="H59" s="2422"/>
      <c r="I59" s="2422"/>
      <c r="J59" s="2422"/>
      <c r="K59" s="2422"/>
      <c r="L59" s="2425">
        <f>IF(choice503.5_type="Full Landscape Plan",2,IF(choice503.5_type="",0,1))</f>
        <v>0</v>
      </c>
      <c r="M59" s="2426"/>
      <c r="N59" s="2291"/>
      <c r="O59" s="2428"/>
      <c r="P59" s="2317"/>
      <c r="Q59" s="2317"/>
      <c r="R59" s="2317"/>
      <c r="S59" s="2258"/>
    </row>
    <row r="60" spans="2:19" s="8" customFormat="1" ht="15" customHeight="1">
      <c r="B60" s="13"/>
      <c r="C60" s="2363">
        <v>4</v>
      </c>
      <c r="D60" s="2363"/>
      <c r="E60" s="2430" t="s">
        <v>25</v>
      </c>
      <c r="F60" s="2430"/>
      <c r="G60" s="2430"/>
      <c r="H60" s="2430"/>
      <c r="I60" s="2430"/>
      <c r="J60" s="2430"/>
      <c r="K60" s="2430"/>
      <c r="L60" s="2430"/>
      <c r="M60" s="2430"/>
      <c r="N60" s="2413">
        <f>IF(choice503.5_type="Full Landscape Plan",5,IF(OR(choice503.5_type="Front Only Landscape Plan",choice503.5_type="Rear Only Landscape Plan"),2,0))</f>
        <v>0</v>
      </c>
      <c r="O60" s="2429"/>
      <c r="P60" s="2317"/>
      <c r="Q60" s="2317"/>
      <c r="R60" s="2317"/>
      <c r="S60" s="2314" t="s">
        <v>18</v>
      </c>
    </row>
    <row r="61" spans="2:19" s="8" customFormat="1" ht="15" customHeight="1">
      <c r="B61" s="36"/>
      <c r="C61" s="2360"/>
      <c r="D61" s="2360"/>
      <c r="E61" s="2319"/>
      <c r="F61" s="2319"/>
      <c r="G61" s="2319"/>
      <c r="H61" s="2319"/>
      <c r="I61" s="2319"/>
      <c r="J61" s="2319"/>
      <c r="K61" s="2319"/>
      <c r="L61" s="2319"/>
      <c r="M61" s="2319"/>
      <c r="N61" s="2414"/>
      <c r="O61" s="2429"/>
      <c r="P61" s="2317"/>
      <c r="Q61" s="2317"/>
      <c r="R61" s="2317"/>
      <c r="S61" s="2259"/>
    </row>
    <row r="62" spans="2:19" s="8" customFormat="1" ht="30" customHeight="1">
      <c r="B62" s="13"/>
      <c r="C62" s="2363">
        <v>5</v>
      </c>
      <c r="D62" s="2363"/>
      <c r="E62" s="2318" t="s">
        <v>901</v>
      </c>
      <c r="F62" s="2318"/>
      <c r="G62" s="2318"/>
      <c r="H62" s="2318"/>
      <c r="I62" s="2318"/>
      <c r="J62" s="2318"/>
      <c r="K62" s="2318"/>
      <c r="L62" s="2318"/>
      <c r="M62" s="2318"/>
      <c r="N62" s="2413">
        <f>IF(choice503.5_type="Full Landscape Plan",5,IF(OR(choice503.5_type="Front Only Landscape Plan",choice503.5_type="Rear Only Landscape Plan"),2,0))</f>
        <v>0</v>
      </c>
      <c r="O62" s="2429"/>
      <c r="P62" s="2317"/>
      <c r="Q62" s="2317"/>
      <c r="R62" s="2317"/>
      <c r="S62" s="2314" t="s">
        <v>18</v>
      </c>
    </row>
    <row r="63" spans="2:19" s="8" customFormat="1" ht="30" customHeight="1">
      <c r="B63" s="36"/>
      <c r="C63" s="2360"/>
      <c r="D63" s="2360"/>
      <c r="E63" s="2319"/>
      <c r="F63" s="2319"/>
      <c r="G63" s="2319"/>
      <c r="H63" s="2319"/>
      <c r="I63" s="2319"/>
      <c r="J63" s="2319"/>
      <c r="K63" s="2319"/>
      <c r="L63" s="2319"/>
      <c r="M63" s="2319"/>
      <c r="N63" s="2414"/>
      <c r="O63" s="2429"/>
      <c r="P63" s="2317"/>
      <c r="Q63" s="2317"/>
      <c r="R63" s="2317"/>
      <c r="S63" s="2259"/>
    </row>
    <row r="64" spans="2:19" s="8" customFormat="1" ht="15" customHeight="1">
      <c r="B64" s="13"/>
      <c r="C64" s="2363">
        <v>6</v>
      </c>
      <c r="D64" s="2363"/>
      <c r="E64" s="2318" t="s">
        <v>900</v>
      </c>
      <c r="F64" s="2318"/>
      <c r="G64" s="2318"/>
      <c r="H64" s="2318"/>
      <c r="I64" s="2318"/>
      <c r="J64" s="2318"/>
      <c r="K64" s="2318"/>
      <c r="L64" s="2318"/>
      <c r="M64" s="2318"/>
      <c r="N64" s="2413">
        <f>IF(choice503.5_type="Full Landscape Plan",4,IF(OR(choice503.5_type="Front Only Landscape Plan",choice503.5_type="Rear Only Landscape Plan"),2,0))</f>
        <v>0</v>
      </c>
      <c r="O64" s="2429"/>
      <c r="P64" s="2317"/>
      <c r="Q64" s="2317"/>
      <c r="R64" s="2317"/>
      <c r="S64" s="2314" t="s">
        <v>18</v>
      </c>
    </row>
    <row r="65" spans="1:19" s="8" customFormat="1" ht="15" customHeight="1">
      <c r="B65" s="36"/>
      <c r="C65" s="2360"/>
      <c r="D65" s="2360"/>
      <c r="E65" s="2319"/>
      <c r="F65" s="2319"/>
      <c r="G65" s="2319"/>
      <c r="H65" s="2319"/>
      <c r="I65" s="2319"/>
      <c r="J65" s="2319"/>
      <c r="K65" s="2319"/>
      <c r="L65" s="2319"/>
      <c r="M65" s="2319"/>
      <c r="N65" s="2414"/>
      <c r="O65" s="2429"/>
      <c r="P65" s="2317"/>
      <c r="Q65" s="2317"/>
      <c r="R65" s="2317"/>
      <c r="S65" s="2259"/>
    </row>
    <row r="66" spans="1:19" s="8" customFormat="1" ht="33.75" customHeight="1">
      <c r="B66" s="13"/>
      <c r="C66" s="33">
        <v>7</v>
      </c>
      <c r="D66" s="33"/>
      <c r="E66" s="2320" t="s">
        <v>2223</v>
      </c>
      <c r="F66" s="2320"/>
      <c r="G66" s="2320"/>
      <c r="H66" s="2320"/>
      <c r="I66" s="2320"/>
      <c r="J66" s="2320"/>
      <c r="K66" s="2320"/>
      <c r="L66" s="2320"/>
      <c r="M66" s="2320"/>
      <c r="N66" s="25">
        <v>3</v>
      </c>
      <c r="O66" s="558"/>
      <c r="P66" s="2317"/>
      <c r="Q66" s="2317"/>
      <c r="R66" s="2317"/>
      <c r="S66" s="896" t="s">
        <v>18</v>
      </c>
    </row>
    <row r="67" spans="1:19" s="8" customFormat="1" ht="32.25" customHeight="1" thickBot="1">
      <c r="B67" s="13"/>
      <c r="C67" s="15">
        <v>8</v>
      </c>
      <c r="D67" s="15"/>
      <c r="E67" s="2318" t="s">
        <v>26</v>
      </c>
      <c r="F67" s="2318"/>
      <c r="G67" s="2318"/>
      <c r="H67" s="2318"/>
      <c r="I67" s="2318"/>
      <c r="J67" s="2318"/>
      <c r="K67" s="2318"/>
      <c r="L67" s="2318"/>
      <c r="M67" s="2318"/>
      <c r="N67" s="25">
        <v>4</v>
      </c>
      <c r="O67" s="871"/>
      <c r="P67" s="2384"/>
      <c r="Q67" s="2384"/>
      <c r="R67" s="2384"/>
      <c r="S67" s="471" t="s">
        <v>18</v>
      </c>
    </row>
    <row r="68" spans="1:19" s="8" customFormat="1" ht="30" customHeight="1" thickTop="1">
      <c r="B68" s="2433" t="s">
        <v>2224</v>
      </c>
      <c r="C68" s="2434"/>
      <c r="D68" s="2434"/>
      <c r="E68" s="2349" t="s">
        <v>866</v>
      </c>
      <c r="F68" s="2349"/>
      <c r="G68" s="2349"/>
      <c r="H68" s="2349"/>
      <c r="I68" s="2349"/>
      <c r="J68" s="2349"/>
      <c r="K68" s="2349"/>
      <c r="L68" s="2349"/>
      <c r="M68" s="2349"/>
      <c r="N68" s="2385"/>
      <c r="O68" s="2435"/>
      <c r="P68" s="2349"/>
      <c r="Q68" s="2349"/>
      <c r="R68" s="2349"/>
      <c r="S68" s="2337"/>
    </row>
    <row r="69" spans="1:19" s="477" customFormat="1" ht="15" customHeight="1">
      <c r="B69" s="2224"/>
      <c r="C69" s="2361"/>
      <c r="D69" s="2361"/>
      <c r="E69" s="2431" t="s">
        <v>867</v>
      </c>
      <c r="F69" s="2431"/>
      <c r="G69" s="2431"/>
      <c r="H69" s="2431"/>
      <c r="I69" s="2431"/>
      <c r="J69" s="2431"/>
      <c r="K69" s="2431"/>
      <c r="L69" s="2431"/>
      <c r="M69" s="2431"/>
      <c r="N69" s="2386"/>
      <c r="O69" s="2436"/>
      <c r="P69" s="2336"/>
      <c r="Q69" s="2336"/>
      <c r="R69" s="2336"/>
      <c r="S69" s="2338"/>
    </row>
    <row r="70" spans="1:19" s="16" customFormat="1" ht="30" customHeight="1">
      <c r="A70" s="449"/>
      <c r="B70" s="460"/>
      <c r="C70" s="32">
        <v>1</v>
      </c>
      <c r="D70" s="37"/>
      <c r="E70" s="2319" t="s">
        <v>68</v>
      </c>
      <c r="F70" s="2319"/>
      <c r="G70" s="2319"/>
      <c r="H70" s="2319"/>
      <c r="I70" s="2319"/>
      <c r="J70" s="2319"/>
      <c r="K70" s="2319"/>
      <c r="L70" s="2319"/>
      <c r="M70" s="2319"/>
      <c r="N70" s="447">
        <v>3</v>
      </c>
      <c r="O70" s="441"/>
      <c r="P70" s="2241"/>
      <c r="Q70" s="2242"/>
      <c r="R70" s="2242"/>
      <c r="S70" s="897" t="s">
        <v>18</v>
      </c>
    </row>
    <row r="71" spans="1:19" s="16" customFormat="1" ht="30" customHeight="1">
      <c r="A71" s="449"/>
      <c r="B71" s="460"/>
      <c r="C71" s="33">
        <v>2</v>
      </c>
      <c r="D71" s="38"/>
      <c r="E71" s="2320" t="s">
        <v>69</v>
      </c>
      <c r="F71" s="2320"/>
      <c r="G71" s="2320"/>
      <c r="H71" s="2320"/>
      <c r="I71" s="2320"/>
      <c r="J71" s="2320"/>
      <c r="K71" s="2320"/>
      <c r="L71" s="2320"/>
      <c r="M71" s="2320"/>
      <c r="N71" s="19">
        <v>3</v>
      </c>
      <c r="O71" s="615"/>
      <c r="P71" s="2243"/>
      <c r="Q71" s="2244"/>
      <c r="R71" s="2244"/>
      <c r="S71" s="905" t="s">
        <v>18</v>
      </c>
    </row>
    <row r="72" spans="1:19" s="16" customFormat="1" ht="30" customHeight="1">
      <c r="A72" s="449"/>
      <c r="B72" s="460"/>
      <c r="C72" s="33">
        <v>3</v>
      </c>
      <c r="D72" s="38"/>
      <c r="E72" s="2320" t="s">
        <v>70</v>
      </c>
      <c r="F72" s="2320"/>
      <c r="G72" s="2320"/>
      <c r="H72" s="2320"/>
      <c r="I72" s="2320"/>
      <c r="J72" s="2320"/>
      <c r="K72" s="2320"/>
      <c r="L72" s="2320"/>
      <c r="M72" s="2320"/>
      <c r="N72" s="19">
        <v>3</v>
      </c>
      <c r="O72" s="615"/>
      <c r="P72" s="2243"/>
      <c r="Q72" s="2244"/>
      <c r="R72" s="2244"/>
      <c r="S72" s="905" t="s">
        <v>18</v>
      </c>
    </row>
    <row r="73" spans="1:19" s="16" customFormat="1" ht="30" customHeight="1" thickBot="1">
      <c r="A73" s="449"/>
      <c r="B73" s="460"/>
      <c r="C73" s="53">
        <v>4</v>
      </c>
      <c r="D73" s="54"/>
      <c r="E73" s="2432" t="s">
        <v>71</v>
      </c>
      <c r="F73" s="2432"/>
      <c r="G73" s="2432"/>
      <c r="H73" s="2432"/>
      <c r="I73" s="2432"/>
      <c r="J73" s="2432"/>
      <c r="K73" s="2432"/>
      <c r="L73" s="2432"/>
      <c r="M73" s="2432"/>
      <c r="N73" s="55">
        <v>3</v>
      </c>
      <c r="O73" s="868"/>
      <c r="P73" s="2315"/>
      <c r="Q73" s="2316"/>
      <c r="R73" s="2316"/>
      <c r="S73" s="471" t="s">
        <v>18</v>
      </c>
    </row>
    <row r="74" spans="1:19" s="8" customFormat="1" ht="30" customHeight="1" thickTop="1">
      <c r="B74" s="1884" t="s">
        <v>2225</v>
      </c>
      <c r="C74" s="35"/>
      <c r="D74" s="35"/>
      <c r="E74" s="2349" t="s">
        <v>72</v>
      </c>
      <c r="F74" s="2349"/>
      <c r="G74" s="2349"/>
      <c r="H74" s="2349"/>
      <c r="I74" s="2349"/>
      <c r="J74" s="2349"/>
      <c r="K74" s="2349"/>
      <c r="L74" s="2349"/>
      <c r="M74" s="2349"/>
      <c r="N74" s="860"/>
      <c r="O74" s="860"/>
      <c r="P74" s="2261"/>
      <c r="Q74" s="2261"/>
      <c r="R74" s="2261"/>
      <c r="S74" s="870"/>
    </row>
    <row r="75" spans="1:19" s="8" customFormat="1" ht="30" customHeight="1">
      <c r="B75" s="13"/>
      <c r="C75" s="32">
        <v>1</v>
      </c>
      <c r="D75" s="32"/>
      <c r="E75" s="2319" t="s">
        <v>2226</v>
      </c>
      <c r="F75" s="2319"/>
      <c r="G75" s="2319"/>
      <c r="H75" s="2319"/>
      <c r="I75" s="2319"/>
      <c r="J75" s="2319"/>
      <c r="K75" s="2319"/>
      <c r="L75" s="2319"/>
      <c r="M75" s="2319"/>
      <c r="N75" s="444">
        <v>4</v>
      </c>
      <c r="O75" s="441"/>
      <c r="P75" s="2241"/>
      <c r="Q75" s="2242"/>
      <c r="R75" s="2242"/>
      <c r="S75" s="896" t="s">
        <v>18</v>
      </c>
    </row>
    <row r="76" spans="1:19" s="8" customFormat="1" ht="30" customHeight="1">
      <c r="B76" s="13"/>
      <c r="C76" s="15">
        <v>2</v>
      </c>
      <c r="D76" s="15"/>
      <c r="E76" s="2318" t="s">
        <v>2227</v>
      </c>
      <c r="F76" s="2318"/>
      <c r="G76" s="2318"/>
      <c r="H76" s="2318"/>
      <c r="I76" s="2318"/>
      <c r="J76" s="2318"/>
      <c r="K76" s="2318"/>
      <c r="L76" s="2318"/>
      <c r="M76" s="2318"/>
      <c r="N76" s="443">
        <v>4</v>
      </c>
      <c r="O76" s="872"/>
      <c r="P76" s="2368"/>
      <c r="Q76" s="2369"/>
      <c r="R76" s="2369"/>
      <c r="S76" s="899" t="s">
        <v>18</v>
      </c>
    </row>
    <row r="77" spans="1:19" s="8" customFormat="1">
      <c r="B77" s="2264" t="s">
        <v>2228</v>
      </c>
      <c r="C77" s="2264"/>
      <c r="D77" s="2264"/>
      <c r="E77" s="2264"/>
      <c r="F77" s="2264"/>
      <c r="G77" s="2264"/>
      <c r="H77" s="2264"/>
      <c r="I77" s="2264"/>
      <c r="J77" s="2264"/>
      <c r="K77" s="2264"/>
      <c r="L77" s="2264"/>
      <c r="M77" s="2264"/>
      <c r="N77" s="2264"/>
      <c r="O77" s="2264"/>
      <c r="P77" s="2264"/>
      <c r="Q77" s="2264"/>
      <c r="R77" s="2264"/>
      <c r="S77" s="2264"/>
    </row>
    <row r="78" spans="1:19" s="8" customFormat="1" ht="30" customHeight="1" thickBot="1">
      <c r="B78" s="1885">
        <v>11.504</v>
      </c>
      <c r="C78" s="39"/>
      <c r="D78" s="39"/>
      <c r="E78" s="2348" t="s">
        <v>73</v>
      </c>
      <c r="F78" s="2348"/>
      <c r="G78" s="2348"/>
      <c r="H78" s="2348"/>
      <c r="I78" s="2348"/>
      <c r="J78" s="2348"/>
      <c r="K78" s="2348"/>
      <c r="L78" s="2348"/>
      <c r="M78" s="2348"/>
      <c r="N78" s="857"/>
      <c r="O78" s="433"/>
      <c r="P78" s="2348"/>
      <c r="Q78" s="2348"/>
      <c r="R78" s="2348"/>
      <c r="S78" s="472"/>
    </row>
    <row r="79" spans="1:19" s="8" customFormat="1" ht="48" customHeight="1" thickTop="1">
      <c r="B79" s="1889" t="s">
        <v>2230</v>
      </c>
      <c r="C79" s="27"/>
      <c r="D79" s="27"/>
      <c r="E79" s="2439" t="s">
        <v>74</v>
      </c>
      <c r="F79" s="2439"/>
      <c r="G79" s="2439"/>
      <c r="H79" s="2439"/>
      <c r="I79" s="2439"/>
      <c r="J79" s="2439"/>
      <c r="K79" s="2439"/>
      <c r="L79" s="2439"/>
      <c r="M79" s="2439"/>
      <c r="N79" s="2437">
        <v>4</v>
      </c>
      <c r="O79" s="2452"/>
      <c r="P79" s="2449"/>
      <c r="Q79" s="2450"/>
      <c r="R79" s="2450"/>
      <c r="S79" s="2444" t="s">
        <v>18</v>
      </c>
    </row>
    <row r="80" spans="1:19" s="8" customFormat="1" ht="16" thickBot="1">
      <c r="B80" s="1890"/>
      <c r="C80" s="449"/>
      <c r="D80" s="449"/>
      <c r="E80" s="2440" t="s">
        <v>27</v>
      </c>
      <c r="F80" s="2441"/>
      <c r="G80" s="2441"/>
      <c r="H80" s="2441"/>
      <c r="I80" s="2441"/>
      <c r="J80" s="2441"/>
      <c r="K80" s="2441"/>
      <c r="L80" s="2441"/>
      <c r="M80" s="2442"/>
      <c r="N80" s="2438"/>
      <c r="O80" s="2453"/>
      <c r="P80" s="2451"/>
      <c r="Q80" s="2256"/>
      <c r="R80" s="2256"/>
      <c r="S80" s="2445"/>
    </row>
    <row r="81" spans="2:19" s="8" customFormat="1" ht="34.5" customHeight="1" thickTop="1">
      <c r="B81" s="1884" t="s">
        <v>2231</v>
      </c>
      <c r="C81" s="35"/>
      <c r="D81" s="35"/>
      <c r="E81" s="2443" t="s">
        <v>75</v>
      </c>
      <c r="F81" s="2443"/>
      <c r="G81" s="2443"/>
      <c r="H81" s="2443"/>
      <c r="I81" s="2443"/>
      <c r="J81" s="2443"/>
      <c r="K81" s="2443"/>
      <c r="L81" s="2443"/>
      <c r="M81" s="2443"/>
      <c r="N81" s="860"/>
      <c r="O81" s="860"/>
      <c r="P81" s="2261"/>
      <c r="Q81" s="2261"/>
      <c r="R81" s="2261"/>
      <c r="S81" s="870"/>
    </row>
    <row r="82" spans="2:19" s="8" customFormat="1" ht="24" customHeight="1">
      <c r="B82" s="1891"/>
      <c r="C82" s="32">
        <v>1</v>
      </c>
      <c r="D82" s="32"/>
      <c r="E82" s="2319" t="s">
        <v>28</v>
      </c>
      <c r="F82" s="2319"/>
      <c r="G82" s="2319"/>
      <c r="H82" s="2319"/>
      <c r="I82" s="2319"/>
      <c r="J82" s="2319"/>
      <c r="K82" s="2319"/>
      <c r="L82" s="2319"/>
      <c r="M82" s="2319"/>
      <c r="N82" s="444">
        <v>3</v>
      </c>
      <c r="O82" s="441"/>
      <c r="P82" s="2242"/>
      <c r="Q82" s="2242"/>
      <c r="R82" s="2242"/>
      <c r="S82" s="896" t="s">
        <v>18</v>
      </c>
    </row>
    <row r="83" spans="2:19" s="8" customFormat="1" ht="30" customHeight="1">
      <c r="B83" s="1891"/>
      <c r="C83" s="33">
        <v>2</v>
      </c>
      <c r="D83" s="33"/>
      <c r="E83" s="2320" t="s">
        <v>76</v>
      </c>
      <c r="F83" s="2320"/>
      <c r="G83" s="2320"/>
      <c r="H83" s="2320"/>
      <c r="I83" s="2320"/>
      <c r="J83" s="2320"/>
      <c r="K83" s="2320"/>
      <c r="L83" s="2320"/>
      <c r="M83" s="2320"/>
      <c r="N83" s="25">
        <v>5</v>
      </c>
      <c r="O83" s="615"/>
      <c r="P83" s="2244"/>
      <c r="Q83" s="2244"/>
      <c r="R83" s="2244"/>
      <c r="S83" s="905" t="s">
        <v>18</v>
      </c>
    </row>
    <row r="84" spans="2:19" s="8" customFormat="1" ht="30" customHeight="1" thickBot="1">
      <c r="B84" s="1891"/>
      <c r="C84" s="34">
        <v>3</v>
      </c>
      <c r="D84" s="34"/>
      <c r="E84" s="2318" t="s">
        <v>29</v>
      </c>
      <c r="F84" s="2318"/>
      <c r="G84" s="2318"/>
      <c r="H84" s="2318"/>
      <c r="I84" s="2318"/>
      <c r="J84" s="2318"/>
      <c r="K84" s="2318"/>
      <c r="L84" s="2318"/>
      <c r="M84" s="2318"/>
      <c r="N84" s="442">
        <v>4</v>
      </c>
      <c r="O84" s="558"/>
      <c r="P84" s="2380"/>
      <c r="Q84" s="2380"/>
      <c r="R84" s="2380"/>
      <c r="S84" s="471" t="s">
        <v>18</v>
      </c>
    </row>
    <row r="85" spans="2:19" s="8" customFormat="1" ht="60" customHeight="1" thickTop="1">
      <c r="B85" s="1884" t="s">
        <v>2232</v>
      </c>
      <c r="C85" s="35"/>
      <c r="D85" s="35"/>
      <c r="E85" s="2349" t="s">
        <v>2233</v>
      </c>
      <c r="F85" s="2349"/>
      <c r="G85" s="2349"/>
      <c r="H85" s="2349"/>
      <c r="I85" s="2349"/>
      <c r="J85" s="2349"/>
      <c r="K85" s="2349"/>
      <c r="L85" s="2349"/>
      <c r="M85" s="2349"/>
      <c r="N85" s="860"/>
      <c r="O85" s="860"/>
      <c r="P85" s="2261"/>
      <c r="Q85" s="2261"/>
      <c r="R85" s="2261"/>
      <c r="S85" s="870"/>
    </row>
    <row r="86" spans="2:19" s="8" customFormat="1" ht="30" customHeight="1">
      <c r="B86" s="1891"/>
      <c r="C86" s="32">
        <v>1</v>
      </c>
      <c r="D86" s="32"/>
      <c r="E86" s="2319" t="s">
        <v>77</v>
      </c>
      <c r="F86" s="2319"/>
      <c r="G86" s="2319"/>
      <c r="H86" s="2319"/>
      <c r="I86" s="2319"/>
      <c r="J86" s="2319"/>
      <c r="K86" s="2319"/>
      <c r="L86" s="2319"/>
      <c r="M86" s="2319"/>
      <c r="N86" s="444">
        <v>5</v>
      </c>
      <c r="O86" s="441"/>
      <c r="P86" s="2242"/>
      <c r="Q86" s="2242"/>
      <c r="R86" s="2242"/>
      <c r="S86" s="902" t="s">
        <v>18</v>
      </c>
    </row>
    <row r="87" spans="2:19" s="8" customFormat="1" ht="20" customHeight="1">
      <c r="B87" s="1891"/>
      <c r="C87" s="33">
        <v>2</v>
      </c>
      <c r="D87" s="33"/>
      <c r="E87" s="2320" t="s">
        <v>78</v>
      </c>
      <c r="F87" s="2320"/>
      <c r="G87" s="2320"/>
      <c r="H87" s="2320"/>
      <c r="I87" s="2320"/>
      <c r="J87" s="2320"/>
      <c r="K87" s="2320"/>
      <c r="L87" s="2320"/>
      <c r="M87" s="2320"/>
      <c r="N87" s="25">
        <v>5</v>
      </c>
      <c r="O87" s="615"/>
      <c r="P87" s="2244"/>
      <c r="Q87" s="2244"/>
      <c r="R87" s="2244"/>
      <c r="S87" s="900" t="s">
        <v>18</v>
      </c>
    </row>
    <row r="88" spans="2:19" s="8" customFormat="1" ht="30" customHeight="1">
      <c r="B88" s="1891"/>
      <c r="C88" s="33">
        <v>3</v>
      </c>
      <c r="D88" s="33"/>
      <c r="E88" s="2320" t="s">
        <v>79</v>
      </c>
      <c r="F88" s="2320"/>
      <c r="G88" s="2320"/>
      <c r="H88" s="2320"/>
      <c r="I88" s="2320"/>
      <c r="J88" s="2320"/>
      <c r="K88" s="2320"/>
      <c r="L88" s="2320"/>
      <c r="M88" s="2320"/>
      <c r="N88" s="25">
        <v>5</v>
      </c>
      <c r="O88" s="615"/>
      <c r="P88" s="2244"/>
      <c r="Q88" s="2244"/>
      <c r="R88" s="2244"/>
      <c r="S88" s="900" t="s">
        <v>18</v>
      </c>
    </row>
    <row r="89" spans="2:19" s="8" customFormat="1" ht="30" customHeight="1">
      <c r="B89" s="1891"/>
      <c r="C89" s="33">
        <v>4</v>
      </c>
      <c r="D89" s="33"/>
      <c r="E89" s="2320" t="s">
        <v>80</v>
      </c>
      <c r="F89" s="2320"/>
      <c r="G89" s="2320"/>
      <c r="H89" s="2320"/>
      <c r="I89" s="2320"/>
      <c r="J89" s="2320"/>
      <c r="K89" s="2320"/>
      <c r="L89" s="2320"/>
      <c r="M89" s="2320"/>
      <c r="N89" s="25">
        <v>5</v>
      </c>
      <c r="O89" s="615"/>
      <c r="P89" s="2244"/>
      <c r="Q89" s="2244"/>
      <c r="R89" s="2244"/>
      <c r="S89" s="900" t="s">
        <v>18</v>
      </c>
    </row>
    <row r="90" spans="2:19" s="8" customFormat="1" ht="60" customHeight="1">
      <c r="B90" s="1891"/>
      <c r="C90" s="33">
        <v>5</v>
      </c>
      <c r="D90" s="33"/>
      <c r="E90" s="2320" t="s">
        <v>30</v>
      </c>
      <c r="F90" s="2320"/>
      <c r="G90" s="2320"/>
      <c r="H90" s="2320"/>
      <c r="I90" s="2320"/>
      <c r="J90" s="2320"/>
      <c r="K90" s="2320"/>
      <c r="L90" s="2320"/>
      <c r="M90" s="2320"/>
      <c r="N90" s="25">
        <v>4</v>
      </c>
      <c r="O90" s="615"/>
      <c r="P90" s="2244"/>
      <c r="Q90" s="2244"/>
      <c r="R90" s="2244"/>
      <c r="S90" s="900" t="s">
        <v>18</v>
      </c>
    </row>
    <row r="91" spans="2:19" s="8" customFormat="1" ht="45" customHeight="1">
      <c r="B91" s="1891"/>
      <c r="C91" s="33">
        <v>6</v>
      </c>
      <c r="D91" s="33"/>
      <c r="E91" s="2320" t="s">
        <v>81</v>
      </c>
      <c r="F91" s="2320"/>
      <c r="G91" s="2320"/>
      <c r="H91" s="2320"/>
      <c r="I91" s="2320"/>
      <c r="J91" s="2320"/>
      <c r="K91" s="2320"/>
      <c r="L91" s="2320"/>
      <c r="M91" s="2320"/>
      <c r="N91" s="25">
        <v>3</v>
      </c>
      <c r="O91" s="615"/>
      <c r="P91" s="2244"/>
      <c r="Q91" s="2244"/>
      <c r="R91" s="2244"/>
      <c r="S91" s="900" t="s">
        <v>18</v>
      </c>
    </row>
    <row r="92" spans="2:19" s="8" customFormat="1" ht="20" customHeight="1">
      <c r="B92" s="1891"/>
      <c r="C92" s="33">
        <v>7</v>
      </c>
      <c r="D92" s="33"/>
      <c r="E92" s="2320" t="s">
        <v>2118</v>
      </c>
      <c r="F92" s="2320"/>
      <c r="G92" s="2320"/>
      <c r="H92" s="2320"/>
      <c r="I92" s="2320"/>
      <c r="J92" s="2320"/>
      <c r="K92" s="2320"/>
      <c r="L92" s="2320"/>
      <c r="M92" s="2320"/>
      <c r="N92" s="25">
        <v>3</v>
      </c>
      <c r="O92" s="615"/>
      <c r="P92" s="2244"/>
      <c r="Q92" s="2244"/>
      <c r="R92" s="2244"/>
      <c r="S92" s="900" t="s">
        <v>18</v>
      </c>
    </row>
    <row r="93" spans="2:19" s="8" customFormat="1" ht="45" customHeight="1">
      <c r="B93" s="1891"/>
      <c r="C93" s="15">
        <v>8</v>
      </c>
      <c r="D93" s="15"/>
      <c r="E93" s="2318" t="s">
        <v>2531</v>
      </c>
      <c r="F93" s="2318"/>
      <c r="G93" s="2318"/>
      <c r="H93" s="2318"/>
      <c r="I93" s="2318"/>
      <c r="J93" s="2318"/>
      <c r="K93" s="2318"/>
      <c r="L93" s="2318"/>
      <c r="M93" s="2318"/>
      <c r="N93" s="2402">
        <v>5</v>
      </c>
      <c r="O93" s="2292"/>
      <c r="P93" s="2376"/>
      <c r="Q93" s="2377"/>
      <c r="R93" s="2377"/>
      <c r="S93" s="2454" t="s">
        <v>18</v>
      </c>
    </row>
    <row r="94" spans="2:19" s="8" customFormat="1" ht="20" customHeight="1">
      <c r="B94" s="1890"/>
      <c r="C94" s="449"/>
      <c r="D94" s="449"/>
      <c r="E94" s="2239" t="s">
        <v>868</v>
      </c>
      <c r="F94" s="2239"/>
      <c r="G94" s="2239"/>
      <c r="H94" s="2239"/>
      <c r="I94" s="2239"/>
      <c r="J94" s="2239"/>
      <c r="K94" s="2239"/>
      <c r="L94" s="2239"/>
      <c r="M94" s="2239"/>
      <c r="N94" s="2456"/>
      <c r="O94" s="2292"/>
      <c r="P94" s="2378"/>
      <c r="Q94" s="2379"/>
      <c r="R94" s="2379"/>
      <c r="S94" s="2455"/>
    </row>
    <row r="95" spans="2:19" s="8" customFormat="1" ht="20" customHeight="1">
      <c r="B95" s="1891"/>
      <c r="C95" s="56">
        <v>9</v>
      </c>
      <c r="D95" s="56"/>
      <c r="E95" s="2344" t="s">
        <v>82</v>
      </c>
      <c r="F95" s="2344"/>
      <c r="G95" s="2344"/>
      <c r="H95" s="2344"/>
      <c r="I95" s="2344"/>
      <c r="J95" s="2344"/>
      <c r="K95" s="2344"/>
      <c r="L95" s="2344"/>
      <c r="M95" s="2344"/>
      <c r="N95" s="446">
        <v>3</v>
      </c>
      <c r="O95" s="865"/>
      <c r="P95" s="2369"/>
      <c r="Q95" s="2369"/>
      <c r="R95" s="2369"/>
      <c r="S95" s="901" t="s">
        <v>18</v>
      </c>
    </row>
    <row r="96" spans="2:19" s="8" customFormat="1">
      <c r="B96" s="2264" t="s">
        <v>2234</v>
      </c>
      <c r="C96" s="2264"/>
      <c r="D96" s="2264"/>
      <c r="E96" s="2264"/>
      <c r="F96" s="2264"/>
      <c r="G96" s="2264"/>
      <c r="H96" s="2264"/>
      <c r="I96" s="2264"/>
      <c r="J96" s="2264"/>
      <c r="K96" s="2264"/>
      <c r="L96" s="2264"/>
      <c r="M96" s="2264"/>
      <c r="N96" s="2264"/>
      <c r="O96" s="2264"/>
      <c r="P96" s="2264"/>
      <c r="Q96" s="2264"/>
      <c r="R96" s="2264"/>
      <c r="S96" s="2264"/>
    </row>
    <row r="97" spans="2:21" s="8" customFormat="1" ht="45" customHeight="1" thickBot="1">
      <c r="B97" s="1896">
        <v>11.505000000000001</v>
      </c>
      <c r="C97" s="39"/>
      <c r="D97" s="39"/>
      <c r="E97" s="2348" t="s">
        <v>83</v>
      </c>
      <c r="F97" s="2348"/>
      <c r="G97" s="2348"/>
      <c r="H97" s="2348"/>
      <c r="I97" s="2348"/>
      <c r="J97" s="2348"/>
      <c r="K97" s="2348"/>
      <c r="L97" s="2348"/>
      <c r="M97" s="2348"/>
      <c r="N97" s="857"/>
      <c r="O97" s="433"/>
      <c r="P97" s="2348"/>
      <c r="Q97" s="2348"/>
      <c r="R97" s="2348"/>
      <c r="S97" s="472"/>
    </row>
    <row r="98" spans="2:21" s="8" customFormat="1" ht="30" customHeight="1" thickTop="1">
      <c r="B98" s="1889" t="s">
        <v>2376</v>
      </c>
      <c r="C98" s="27"/>
      <c r="D98" s="27"/>
      <c r="E98" s="2349" t="s">
        <v>84</v>
      </c>
      <c r="F98" s="2349"/>
      <c r="G98" s="2349"/>
      <c r="H98" s="2349"/>
      <c r="I98" s="2349"/>
      <c r="J98" s="2349"/>
      <c r="K98" s="2349"/>
      <c r="L98" s="2349"/>
      <c r="M98" s="2349"/>
      <c r="N98" s="859"/>
      <c r="O98" s="873"/>
      <c r="P98" s="2349"/>
      <c r="Q98" s="2349"/>
      <c r="R98" s="2349"/>
      <c r="S98" s="874"/>
    </row>
    <row r="99" spans="2:21" s="8" customFormat="1" ht="30" customHeight="1">
      <c r="B99" s="1889"/>
      <c r="C99" s="57">
        <v>1</v>
      </c>
      <c r="D99" s="58"/>
      <c r="E99" s="2358" t="s">
        <v>85</v>
      </c>
      <c r="F99" s="2358"/>
      <c r="G99" s="2358"/>
      <c r="H99" s="2358"/>
      <c r="I99" s="2358"/>
      <c r="J99" s="2358"/>
      <c r="K99" s="2358"/>
      <c r="L99" s="2358"/>
      <c r="M99" s="2358"/>
      <c r="N99" s="59">
        <v>5</v>
      </c>
      <c r="O99" s="358"/>
      <c r="P99" s="2241"/>
      <c r="Q99" s="2242"/>
      <c r="R99" s="2242"/>
      <c r="S99" s="897" t="s">
        <v>18</v>
      </c>
    </row>
    <row r="100" spans="2:21" s="8" customFormat="1" ht="20" customHeight="1">
      <c r="B100" s="1889"/>
      <c r="C100" s="478">
        <v>2</v>
      </c>
      <c r="D100" s="479"/>
      <c r="E100" s="2344" t="s">
        <v>86</v>
      </c>
      <c r="F100" s="2344"/>
      <c r="G100" s="2344"/>
      <c r="H100" s="2344"/>
      <c r="I100" s="2344"/>
      <c r="J100" s="2344"/>
      <c r="K100" s="2344"/>
      <c r="L100" s="2344"/>
      <c r="M100" s="2344"/>
      <c r="N100" s="2372">
        <v>5</v>
      </c>
      <c r="O100" s="2374"/>
      <c r="P100" s="2243"/>
      <c r="Q100" s="2244"/>
      <c r="R100" s="2244"/>
      <c r="S100" s="2314" t="s">
        <v>18</v>
      </c>
    </row>
    <row r="101" spans="2:21" s="8" customFormat="1" ht="20" customHeight="1">
      <c r="B101" s="1889"/>
      <c r="C101" s="57"/>
      <c r="D101" s="480"/>
      <c r="E101" s="2371" t="str">
        <f>IF(startSingleorMulti="Single-Family",CONCATENATE("This project is ",startSingleorMulti," &amp; is NOT eligible for points in 505.1(2)."),(IF(startSingleorMulti="Multi-Unit",CONCATENATE("This project is ",startSingleorMulti," &amp; is eligible for points in 505.1(2)."),"To claim points for 11.505.1(2), you must select Multi-Unit on the Start Here! worksheet.")))</f>
        <v>To claim points for 11.505.1(2), you must select Multi-Unit on the Start Here! worksheet.</v>
      </c>
      <c r="F101" s="2371"/>
      <c r="G101" s="2371"/>
      <c r="H101" s="2371"/>
      <c r="I101" s="2371"/>
      <c r="J101" s="2371"/>
      <c r="K101" s="2371"/>
      <c r="L101" s="2371"/>
      <c r="M101" s="2371"/>
      <c r="N101" s="2373"/>
      <c r="O101" s="2375"/>
      <c r="P101" s="2243"/>
      <c r="Q101" s="2244"/>
      <c r="R101" s="2244"/>
      <c r="S101" s="2259"/>
    </row>
    <row r="102" spans="2:21" s="8" customFormat="1" ht="25" customHeight="1">
      <c r="B102" s="2224"/>
      <c r="C102" s="2446">
        <v>3</v>
      </c>
      <c r="D102" s="2365"/>
      <c r="E102" s="2344" t="s">
        <v>87</v>
      </c>
      <c r="F102" s="2344"/>
      <c r="G102" s="2344"/>
      <c r="H102" s="2344"/>
      <c r="I102" s="2344"/>
      <c r="J102" s="2344"/>
      <c r="K102" s="2344"/>
      <c r="L102" s="2344"/>
      <c r="M102" s="2344"/>
      <c r="N102" s="2372" t="s">
        <v>869</v>
      </c>
      <c r="O102" s="1159"/>
      <c r="P102" s="2243"/>
      <c r="Q102" s="2244"/>
      <c r="R102" s="2244"/>
      <c r="S102" s="2314" t="s">
        <v>18</v>
      </c>
    </row>
    <row r="103" spans="2:21" s="8" customFormat="1" ht="25" customHeight="1" thickBot="1">
      <c r="B103" s="2225"/>
      <c r="C103" s="2364"/>
      <c r="D103" s="2366"/>
      <c r="E103" s="2370"/>
      <c r="F103" s="2370"/>
      <c r="G103" s="2370"/>
      <c r="H103" s="2370"/>
      <c r="I103" s="2370"/>
      <c r="J103" s="2370"/>
      <c r="K103" s="2370"/>
      <c r="L103" s="2370"/>
      <c r="M103" s="2370"/>
      <c r="N103" s="2457"/>
      <c r="O103" s="452">
        <f>score505.1_3</f>
        <v>0</v>
      </c>
      <c r="P103" s="2315"/>
      <c r="Q103" s="2316"/>
      <c r="R103" s="2316"/>
      <c r="S103" s="2367"/>
    </row>
    <row r="104" spans="2:21" s="8" customFormat="1" ht="16" thickTop="1">
      <c r="B104" s="1892" t="s">
        <v>2235</v>
      </c>
      <c r="C104" s="60"/>
      <c r="D104" s="60"/>
      <c r="E104" s="2233" t="s">
        <v>2119</v>
      </c>
      <c r="F104" s="2233"/>
      <c r="G104" s="2233"/>
      <c r="H104" s="2233"/>
      <c r="I104" s="2233"/>
      <c r="J104" s="2233"/>
      <c r="K104" s="2233"/>
      <c r="L104" s="2233"/>
      <c r="M104" s="2233"/>
      <c r="N104" s="45"/>
      <c r="O104" s="434"/>
      <c r="P104" s="2261"/>
      <c r="Q104" s="2261"/>
      <c r="R104" s="2261"/>
      <c r="S104" s="473"/>
    </row>
    <row r="105" spans="2:21" s="8" customFormat="1" ht="135" customHeight="1">
      <c r="B105" s="2223"/>
      <c r="C105" s="2359">
        <v>1</v>
      </c>
      <c r="D105" s="2361"/>
      <c r="E105" s="2302" t="s">
        <v>91</v>
      </c>
      <c r="F105" s="2302"/>
      <c r="G105" s="2302"/>
      <c r="H105" s="2302"/>
      <c r="I105" s="2302"/>
      <c r="J105" s="2302"/>
      <c r="K105" s="2302"/>
      <c r="L105" s="2302"/>
      <c r="M105" s="2302"/>
      <c r="N105" s="2230">
        <v>5</v>
      </c>
      <c r="O105" s="2346"/>
      <c r="P105" s="2241"/>
      <c r="Q105" s="2242"/>
      <c r="R105" s="2242"/>
      <c r="S105" s="2258" t="s">
        <v>18</v>
      </c>
    </row>
    <row r="106" spans="2:21" s="8" customFormat="1" ht="30" customHeight="1">
      <c r="B106" s="2223"/>
      <c r="C106" s="2360"/>
      <c r="D106" s="2362"/>
      <c r="E106" s="2239" t="s">
        <v>870</v>
      </c>
      <c r="F106" s="2239"/>
      <c r="G106" s="2239"/>
      <c r="H106" s="2239"/>
      <c r="I106" s="2239"/>
      <c r="J106" s="2239"/>
      <c r="K106" s="2239"/>
      <c r="L106" s="2239"/>
      <c r="M106" s="2239"/>
      <c r="N106" s="2230"/>
      <c r="O106" s="2347"/>
      <c r="P106" s="2243"/>
      <c r="Q106" s="2244"/>
      <c r="R106" s="2244"/>
      <c r="S106" s="2353"/>
    </row>
    <row r="107" spans="2:21" s="8" customFormat="1" ht="114" customHeight="1">
      <c r="B107" s="2224"/>
      <c r="C107" s="2363">
        <v>2</v>
      </c>
      <c r="D107" s="2365"/>
      <c r="E107" s="2344" t="s">
        <v>92</v>
      </c>
      <c r="F107" s="2344"/>
      <c r="G107" s="2344"/>
      <c r="H107" s="2344"/>
      <c r="I107" s="2344"/>
      <c r="J107" s="2344"/>
      <c r="K107" s="2344"/>
      <c r="L107" s="2344"/>
      <c r="M107" s="2344"/>
      <c r="N107" s="2345">
        <v>5</v>
      </c>
      <c r="O107" s="2346"/>
      <c r="P107" s="2245"/>
      <c r="Q107" s="2246"/>
      <c r="R107" s="2246"/>
      <c r="S107" s="2354" t="s">
        <v>18</v>
      </c>
      <c r="U107" s="28"/>
    </row>
    <row r="108" spans="2:21" s="8" customFormat="1" ht="20" customHeight="1" thickBot="1">
      <c r="B108" s="2225"/>
      <c r="C108" s="2364"/>
      <c r="D108" s="2366"/>
      <c r="E108" s="2239" t="s">
        <v>871</v>
      </c>
      <c r="F108" s="2239"/>
      <c r="G108" s="2239"/>
      <c r="H108" s="2239"/>
      <c r="I108" s="2239"/>
      <c r="J108" s="2239"/>
      <c r="K108" s="2239"/>
      <c r="L108" s="2239"/>
      <c r="M108" s="2239"/>
      <c r="N108" s="2230"/>
      <c r="O108" s="2347"/>
      <c r="P108" s="2247"/>
      <c r="Q108" s="2248"/>
      <c r="R108" s="2248"/>
      <c r="S108" s="2355"/>
    </row>
    <row r="109" spans="2:21" s="8" customFormat="1" ht="17" thickTop="1" thickBot="1">
      <c r="B109" s="2231" t="s">
        <v>2377</v>
      </c>
      <c r="C109" s="2233"/>
      <c r="D109" s="2233"/>
      <c r="E109" s="2240" t="s">
        <v>93</v>
      </c>
      <c r="F109" s="2240"/>
      <c r="G109" s="2240"/>
      <c r="H109" s="2240"/>
      <c r="I109" s="2240"/>
      <c r="J109" s="2240"/>
      <c r="K109" s="2240"/>
      <c r="L109" s="2240"/>
      <c r="M109" s="2240"/>
      <c r="N109" s="2229" t="s">
        <v>872</v>
      </c>
      <c r="O109" s="2356"/>
      <c r="P109" s="2254"/>
      <c r="Q109" s="2254"/>
      <c r="R109" s="2254"/>
      <c r="S109" s="2350" t="s">
        <v>18</v>
      </c>
    </row>
    <row r="110" spans="2:21" s="8" customFormat="1" ht="16">
      <c r="B110" s="2232"/>
      <c r="C110" s="2234"/>
      <c r="D110" s="2234"/>
      <c r="E110" s="66">
        <v>1</v>
      </c>
      <c r="F110" s="2236" t="s">
        <v>96</v>
      </c>
      <c r="G110" s="2236"/>
      <c r="H110" s="2236"/>
      <c r="I110" s="2236"/>
      <c r="J110" s="2236"/>
      <c r="K110" s="2236"/>
      <c r="L110" s="67" t="s">
        <v>89</v>
      </c>
      <c r="M110" s="457"/>
      <c r="N110" s="2230"/>
      <c r="O110" s="2357"/>
      <c r="P110" s="2255"/>
      <c r="Q110" s="2255"/>
      <c r="R110" s="2255"/>
      <c r="S110" s="2351"/>
    </row>
    <row r="111" spans="2:21" s="8" customFormat="1" ht="16">
      <c r="B111" s="2232"/>
      <c r="C111" s="2234"/>
      <c r="D111" s="2234"/>
      <c r="E111" s="68">
        <v>2</v>
      </c>
      <c r="F111" s="2237" t="s">
        <v>97</v>
      </c>
      <c r="G111" s="2237"/>
      <c r="H111" s="2237"/>
      <c r="I111" s="2237"/>
      <c r="J111" s="2237"/>
      <c r="K111" s="2237"/>
      <c r="L111" s="69" t="s">
        <v>99</v>
      </c>
      <c r="M111" s="457"/>
      <c r="N111" s="2230"/>
      <c r="O111" s="2249">
        <f>score505.3</f>
        <v>0</v>
      </c>
      <c r="P111" s="2255"/>
      <c r="Q111" s="2255"/>
      <c r="R111" s="2255"/>
      <c r="S111" s="2351"/>
    </row>
    <row r="112" spans="2:21" s="8" customFormat="1" ht="16">
      <c r="B112" s="2232"/>
      <c r="C112" s="2234"/>
      <c r="D112" s="2234"/>
      <c r="E112" s="70">
        <v>3</v>
      </c>
      <c r="F112" s="2238" t="s">
        <v>98</v>
      </c>
      <c r="G112" s="2238"/>
      <c r="H112" s="2238"/>
      <c r="I112" s="2238"/>
      <c r="J112" s="2238"/>
      <c r="K112" s="2238"/>
      <c r="L112" s="71" t="s">
        <v>100</v>
      </c>
      <c r="M112" s="457"/>
      <c r="N112" s="2230"/>
      <c r="O112" s="2250"/>
      <c r="P112" s="2255"/>
      <c r="Q112" s="2255"/>
      <c r="R112" s="2255"/>
      <c r="S112" s="2351"/>
    </row>
    <row r="113" spans="2:19" s="8" customFormat="1" ht="16" thickBot="1">
      <c r="B113" s="1893"/>
      <c r="C113" s="1189"/>
      <c r="D113" s="1189"/>
      <c r="E113" s="2252" t="str">
        <f>IF(AND('Start Here!'!F21="Single-Family",claim505.3&gt;0),"NOTE: In the Notes area, please enter the lot size in the notes column","")</f>
        <v/>
      </c>
      <c r="F113" s="2253"/>
      <c r="G113" s="2253"/>
      <c r="H113" s="2253"/>
      <c r="I113" s="2253"/>
      <c r="J113" s="2253"/>
      <c r="K113" s="2253"/>
      <c r="L113" s="2253"/>
      <c r="M113" s="457"/>
      <c r="N113" s="1188"/>
      <c r="O113" s="2251"/>
      <c r="P113" s="2256"/>
      <c r="Q113" s="2256"/>
      <c r="R113" s="2256"/>
      <c r="S113" s="1191"/>
    </row>
    <row r="114" spans="2:19" s="8" customFormat="1" ht="20" customHeight="1" thickTop="1" thickBot="1">
      <c r="B114" s="1894" t="s">
        <v>2378</v>
      </c>
      <c r="C114" s="63"/>
      <c r="D114" s="63"/>
      <c r="E114" s="2235" t="s">
        <v>94</v>
      </c>
      <c r="F114" s="2235"/>
      <c r="G114" s="2235"/>
      <c r="H114" s="2235"/>
      <c r="I114" s="2235"/>
      <c r="J114" s="2235"/>
      <c r="K114" s="2235"/>
      <c r="L114" s="2235"/>
      <c r="M114" s="2235"/>
      <c r="N114" s="64">
        <v>8</v>
      </c>
      <c r="O114" s="436"/>
      <c r="P114" s="2226"/>
      <c r="Q114" s="2227"/>
      <c r="R114" s="2227"/>
      <c r="S114" s="474" t="s">
        <v>18</v>
      </c>
    </row>
    <row r="115" spans="2:19" s="8" customFormat="1" ht="30" customHeight="1" thickTop="1" thickBot="1">
      <c r="B115" s="1895" t="s">
        <v>2379</v>
      </c>
      <c r="C115" s="65"/>
      <c r="D115" s="65"/>
      <c r="E115" s="2352" t="s">
        <v>95</v>
      </c>
      <c r="F115" s="2352"/>
      <c r="G115" s="2352"/>
      <c r="H115" s="2352"/>
      <c r="I115" s="2352"/>
      <c r="J115" s="2352"/>
      <c r="K115" s="2352"/>
      <c r="L115" s="2352"/>
      <c r="M115" s="2352"/>
      <c r="N115" s="61">
        <v>3</v>
      </c>
      <c r="O115" s="437"/>
      <c r="P115" s="2228"/>
      <c r="Q115" s="2228"/>
      <c r="R115" s="2228"/>
      <c r="S115" s="475" t="s">
        <v>18</v>
      </c>
    </row>
    <row r="116" spans="2:19" ht="16" thickBot="1">
      <c r="B116" s="2339"/>
      <c r="C116" s="2339"/>
      <c r="D116" s="2339"/>
      <c r="E116" s="2339"/>
      <c r="F116" s="2339"/>
      <c r="G116" s="2339"/>
      <c r="H116" s="2339"/>
      <c r="I116" s="2339"/>
      <c r="J116" s="2339"/>
      <c r="K116" s="2339"/>
      <c r="L116" s="2339"/>
      <c r="M116" s="2339"/>
      <c r="N116" s="2339"/>
      <c r="O116" s="2339"/>
      <c r="P116" s="2339"/>
      <c r="Q116" s="2339"/>
      <c r="R116" s="2339"/>
      <c r="S116" s="2339"/>
    </row>
    <row r="117" spans="2:19" ht="20" thickBot="1">
      <c r="B117" s="2340" t="s">
        <v>31</v>
      </c>
      <c r="C117" s="2341"/>
      <c r="D117" s="2341"/>
      <c r="E117" s="2341"/>
      <c r="F117" s="2341"/>
      <c r="G117" s="2341"/>
      <c r="H117" s="2341"/>
      <c r="I117" s="2341"/>
      <c r="J117" s="2341"/>
      <c r="K117" s="2341"/>
      <c r="L117" s="2341"/>
      <c r="M117" s="2341"/>
      <c r="N117" s="2341"/>
      <c r="O117" s="2342" t="s">
        <v>32</v>
      </c>
      <c r="P117" s="2342"/>
      <c r="Q117" s="2342"/>
      <c r="R117" s="2342"/>
      <c r="S117" s="2343"/>
    </row>
    <row r="118" spans="2:19">
      <c r="B118" s="2447"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18" s="2447"/>
      <c r="D118" s="2447"/>
      <c r="E118" s="2447"/>
      <c r="F118" s="2447"/>
      <c r="G118" s="2447"/>
      <c r="H118" s="2447"/>
      <c r="I118" s="2447"/>
      <c r="J118" s="2447"/>
      <c r="K118" s="2447"/>
      <c r="L118" s="2447"/>
      <c r="M118" s="2447"/>
      <c r="N118" s="2447"/>
      <c r="O118" s="2447"/>
      <c r="P118" s="2447"/>
      <c r="Q118" s="2447"/>
      <c r="R118" s="2447"/>
      <c r="S118" s="2447"/>
    </row>
    <row r="119" spans="2:19">
      <c r="B119" s="2448"/>
      <c r="C119" s="2448"/>
      <c r="D119" s="2448"/>
      <c r="E119" s="2448"/>
      <c r="F119" s="2448"/>
      <c r="G119" s="2448"/>
      <c r="H119" s="2448"/>
      <c r="I119" s="2448"/>
      <c r="J119" s="2448"/>
      <c r="K119" s="2448"/>
      <c r="L119" s="2448"/>
      <c r="M119" s="2448"/>
      <c r="N119" s="2448"/>
      <c r="O119" s="2448"/>
      <c r="P119" s="2448"/>
      <c r="Q119" s="2448"/>
      <c r="R119" s="2448"/>
      <c r="S119" s="2448"/>
    </row>
    <row r="120" spans="2:19">
      <c r="B120" s="2448"/>
      <c r="C120" s="2448"/>
      <c r="D120" s="2448"/>
      <c r="E120" s="2448"/>
      <c r="F120" s="2448"/>
      <c r="G120" s="2448"/>
      <c r="H120" s="2448"/>
      <c r="I120" s="2448"/>
      <c r="J120" s="2448"/>
      <c r="K120" s="2448"/>
      <c r="L120" s="2448"/>
      <c r="M120" s="2448"/>
      <c r="N120" s="2448"/>
      <c r="O120" s="2448"/>
      <c r="P120" s="2448"/>
      <c r="Q120" s="2448"/>
      <c r="R120" s="2448"/>
      <c r="S120" s="2448"/>
    </row>
    <row r="121" spans="2:19">
      <c r="B121"/>
      <c r="N121"/>
      <c r="O121" s="346"/>
    </row>
    <row r="122" spans="2:19">
      <c r="B122"/>
      <c r="N122"/>
      <c r="O122" s="346"/>
    </row>
    <row r="123" spans="2:19">
      <c r="B123"/>
      <c r="N123"/>
      <c r="O123" s="346"/>
    </row>
    <row r="124" spans="2:19">
      <c r="B124"/>
      <c r="N124"/>
      <c r="O124" s="346"/>
    </row>
    <row r="125" spans="2:19">
      <c r="B125"/>
      <c r="N125"/>
      <c r="O125" s="346"/>
    </row>
    <row r="126" spans="2:19">
      <c r="B126"/>
      <c r="N126"/>
      <c r="O126" s="346"/>
    </row>
    <row r="127" spans="2:19">
      <c r="B127"/>
      <c r="N127"/>
      <c r="O127" s="346"/>
    </row>
    <row r="128" spans="2:19">
      <c r="B128"/>
      <c r="N128"/>
      <c r="O128" s="346"/>
    </row>
    <row r="129" spans="2:18">
      <c r="B129"/>
      <c r="N129"/>
      <c r="O129" s="346"/>
    </row>
    <row r="130" spans="2:18">
      <c r="B130"/>
      <c r="N130"/>
      <c r="O130" s="346"/>
    </row>
    <row r="131" spans="2:18">
      <c r="B131"/>
      <c r="N131"/>
      <c r="O131" s="346"/>
    </row>
    <row r="132" spans="2:18">
      <c r="B132"/>
      <c r="N132"/>
      <c r="O132" s="346"/>
    </row>
    <row r="133" spans="2:18">
      <c r="B133"/>
      <c r="D133"/>
      <c r="N133"/>
      <c r="O133" s="346"/>
    </row>
    <row r="134" spans="2:18">
      <c r="B134"/>
      <c r="N134"/>
      <c r="O134" s="346"/>
    </row>
    <row r="135" spans="2:18">
      <c r="B135"/>
      <c r="N135"/>
      <c r="O135" s="346"/>
    </row>
    <row r="136" spans="2:18">
      <c r="B136"/>
      <c r="N136"/>
      <c r="O136" s="346"/>
      <c r="R136"/>
    </row>
    <row r="137" spans="2:18">
      <c r="B137"/>
      <c r="N137"/>
      <c r="O137" s="346"/>
      <c r="R137"/>
    </row>
    <row r="138" spans="2:18">
      <c r="B138"/>
      <c r="N138"/>
      <c r="O138" s="346"/>
      <c r="R138"/>
    </row>
    <row r="139" spans="2:18">
      <c r="B139"/>
      <c r="N139"/>
      <c r="O139" s="346"/>
      <c r="R139"/>
    </row>
    <row r="140" spans="2:18">
      <c r="B140"/>
      <c r="N140"/>
      <c r="O140" s="346"/>
      <c r="R140"/>
    </row>
    <row r="141" spans="2:18">
      <c r="B141"/>
      <c r="N141"/>
      <c r="O141" s="346"/>
      <c r="R141"/>
    </row>
    <row r="142" spans="2:18">
      <c r="B142"/>
      <c r="N142"/>
      <c r="O142" s="346"/>
      <c r="R142"/>
    </row>
    <row r="143" spans="2:18">
      <c r="B143"/>
      <c r="N143"/>
      <c r="O143" s="346"/>
      <c r="R143"/>
    </row>
    <row r="144" spans="2:18">
      <c r="B144"/>
      <c r="N144"/>
      <c r="O144" s="346"/>
      <c r="R144"/>
    </row>
    <row r="145" spans="2:18">
      <c r="B145"/>
      <c r="N145"/>
      <c r="O145" s="346"/>
      <c r="R145"/>
    </row>
    <row r="146" spans="2:18">
      <c r="B146"/>
      <c r="N146"/>
      <c r="O146" s="346"/>
      <c r="R146"/>
    </row>
    <row r="147" spans="2:18">
      <c r="B147"/>
      <c r="N147"/>
      <c r="O147" s="346"/>
      <c r="R147"/>
    </row>
    <row r="148" spans="2:18">
      <c r="B148"/>
      <c r="N148"/>
      <c r="O148" s="346"/>
      <c r="R148"/>
    </row>
    <row r="149" spans="2:18">
      <c r="B149"/>
      <c r="N149"/>
      <c r="O149" s="346"/>
      <c r="R149"/>
    </row>
    <row r="150" spans="2:18">
      <c r="B150"/>
      <c r="N150"/>
      <c r="O150" s="346"/>
      <c r="R150"/>
    </row>
    <row r="151" spans="2:18">
      <c r="B151"/>
      <c r="N151"/>
      <c r="O151" s="346"/>
      <c r="R151"/>
    </row>
    <row r="152" spans="2:18">
      <c r="B152"/>
      <c r="N152"/>
      <c r="O152" s="346"/>
      <c r="R152"/>
    </row>
    <row r="153" spans="2:18">
      <c r="B153"/>
      <c r="N153"/>
      <c r="O153" s="346"/>
      <c r="R153"/>
    </row>
    <row r="154" spans="2:18">
      <c r="B154"/>
      <c r="N154"/>
      <c r="O154" s="346"/>
      <c r="R154"/>
    </row>
    <row r="155" spans="2:18">
      <c r="B155"/>
      <c r="N155"/>
      <c r="O155" s="346"/>
      <c r="R155"/>
    </row>
    <row r="156" spans="2:18">
      <c r="B156"/>
      <c r="N156"/>
      <c r="O156" s="346"/>
      <c r="R156"/>
    </row>
    <row r="157" spans="2:18">
      <c r="B157"/>
      <c r="N157"/>
      <c r="O157" s="346"/>
      <c r="R157"/>
    </row>
    <row r="158" spans="2:18">
      <c r="B158"/>
      <c r="N158"/>
      <c r="O158" s="346"/>
      <c r="R158"/>
    </row>
    <row r="159" spans="2:18">
      <c r="B159"/>
      <c r="N159"/>
      <c r="O159" s="346"/>
      <c r="R159"/>
    </row>
    <row r="160" spans="2:18">
      <c r="B160"/>
      <c r="N160"/>
      <c r="O160" s="346"/>
      <c r="R160"/>
    </row>
    <row r="161" spans="2:18">
      <c r="B161"/>
      <c r="N161"/>
      <c r="O161" s="346"/>
      <c r="R161"/>
    </row>
    <row r="162" spans="2:18">
      <c r="B162"/>
      <c r="N162"/>
      <c r="O162" s="346"/>
      <c r="R162"/>
    </row>
    <row r="163" spans="2:18">
      <c r="B163"/>
      <c r="N163"/>
      <c r="O163" s="346"/>
      <c r="R163"/>
    </row>
    <row r="164" spans="2:18">
      <c r="B164"/>
      <c r="N164"/>
      <c r="O164" s="346"/>
      <c r="R164"/>
    </row>
    <row r="165" spans="2:18">
      <c r="B165"/>
      <c r="N165"/>
      <c r="O165" s="346"/>
      <c r="R165"/>
    </row>
    <row r="166" spans="2:18">
      <c r="B166"/>
      <c r="N166"/>
      <c r="O166" s="346"/>
      <c r="R166"/>
    </row>
    <row r="167" spans="2:18">
      <c r="B167"/>
      <c r="N167"/>
      <c r="O167" s="346"/>
      <c r="R167"/>
    </row>
    <row r="168" spans="2:18">
      <c r="B168"/>
      <c r="N168"/>
      <c r="O168" s="346"/>
      <c r="R168"/>
    </row>
    <row r="169" spans="2:18">
      <c r="B169"/>
      <c r="N169"/>
      <c r="O169" s="346"/>
      <c r="R169"/>
    </row>
    <row r="170" spans="2:18">
      <c r="B170"/>
      <c r="N170"/>
      <c r="O170" s="346"/>
      <c r="R170"/>
    </row>
    <row r="171" spans="2:18">
      <c r="B171"/>
      <c r="N171"/>
      <c r="O171" s="346"/>
      <c r="R171"/>
    </row>
    <row r="172" spans="2:18">
      <c r="B172"/>
      <c r="N172"/>
      <c r="O172" s="346"/>
      <c r="R172"/>
    </row>
    <row r="173" spans="2:18">
      <c r="B173"/>
      <c r="N173"/>
      <c r="O173" s="346"/>
      <c r="R173"/>
    </row>
    <row r="174" spans="2:18">
      <c r="B174"/>
      <c r="N174"/>
      <c r="O174" s="346"/>
      <c r="R174"/>
    </row>
  </sheetData>
  <sheetProtection password="CA4F" sheet="1" objects="1" scenarios="1" formatRows="0" selectLockedCells="1"/>
  <mergeCells count="290">
    <mergeCell ref="C102:C103"/>
    <mergeCell ref="B118:S120"/>
    <mergeCell ref="P79:R80"/>
    <mergeCell ref="P81:R81"/>
    <mergeCell ref="E90:M90"/>
    <mergeCell ref="O93:O94"/>
    <mergeCell ref="P90:R90"/>
    <mergeCell ref="O79:O80"/>
    <mergeCell ref="S93:S94"/>
    <mergeCell ref="E94:M94"/>
    <mergeCell ref="B96:S96"/>
    <mergeCell ref="E95:M95"/>
    <mergeCell ref="P89:R89"/>
    <mergeCell ref="E104:M104"/>
    <mergeCell ref="E91:M91"/>
    <mergeCell ref="E92:M92"/>
    <mergeCell ref="E93:M93"/>
    <mergeCell ref="N93:N94"/>
    <mergeCell ref="B102:B103"/>
    <mergeCell ref="P98:R98"/>
    <mergeCell ref="P99:R99"/>
    <mergeCell ref="N102:N103"/>
    <mergeCell ref="P102:R103"/>
    <mergeCell ref="P91:R91"/>
    <mergeCell ref="P92:R92"/>
    <mergeCell ref="B68:B69"/>
    <mergeCell ref="C68:C69"/>
    <mergeCell ref="D68:D69"/>
    <mergeCell ref="N68:N69"/>
    <mergeCell ref="O68:O69"/>
    <mergeCell ref="E83:M83"/>
    <mergeCell ref="E84:M84"/>
    <mergeCell ref="E88:M88"/>
    <mergeCell ref="N79:N80"/>
    <mergeCell ref="E78:M78"/>
    <mergeCell ref="E79:M79"/>
    <mergeCell ref="E89:M89"/>
    <mergeCell ref="E82:M82"/>
    <mergeCell ref="E80:M80"/>
    <mergeCell ref="E81:M81"/>
    <mergeCell ref="B77:S77"/>
    <mergeCell ref="S79:S80"/>
    <mergeCell ref="E75:M75"/>
    <mergeCell ref="E74:M74"/>
    <mergeCell ref="E70:M70"/>
    <mergeCell ref="E71:M71"/>
    <mergeCell ref="E72:M72"/>
    <mergeCell ref="P68:R69"/>
    <mergeCell ref="P74:R74"/>
    <mergeCell ref="P75:R75"/>
    <mergeCell ref="P70:R70"/>
    <mergeCell ref="P71:R71"/>
    <mergeCell ref="P72:R72"/>
    <mergeCell ref="P73:R73"/>
    <mergeCell ref="E69:M69"/>
    <mergeCell ref="E73:M73"/>
    <mergeCell ref="C64:C65"/>
    <mergeCell ref="E67:M67"/>
    <mergeCell ref="E68:M68"/>
    <mergeCell ref="P66:R66"/>
    <mergeCell ref="P67:R67"/>
    <mergeCell ref="P54:R59"/>
    <mergeCell ref="P60:R61"/>
    <mergeCell ref="P62:R63"/>
    <mergeCell ref="S62:S63"/>
    <mergeCell ref="S64:S65"/>
    <mergeCell ref="C60:C61"/>
    <mergeCell ref="D60:D61"/>
    <mergeCell ref="C62:C63"/>
    <mergeCell ref="D62:D63"/>
    <mergeCell ref="D64:D65"/>
    <mergeCell ref="O62:O63"/>
    <mergeCell ref="O64:O65"/>
    <mergeCell ref="N60:N61"/>
    <mergeCell ref="E60:M61"/>
    <mergeCell ref="P64:R65"/>
    <mergeCell ref="N64:N65"/>
    <mergeCell ref="E64:M65"/>
    <mergeCell ref="P52:R53"/>
    <mergeCell ref="S60:S61"/>
    <mergeCell ref="S52:S53"/>
    <mergeCell ref="E62:M63"/>
    <mergeCell ref="N62:N63"/>
    <mergeCell ref="S68:S69"/>
    <mergeCell ref="E52:M53"/>
    <mergeCell ref="N52:N53"/>
    <mergeCell ref="O52:O53"/>
    <mergeCell ref="E55:M55"/>
    <mergeCell ref="F56:K56"/>
    <mergeCell ref="F57:K57"/>
    <mergeCell ref="F58:K58"/>
    <mergeCell ref="F59:K59"/>
    <mergeCell ref="E54:M54"/>
    <mergeCell ref="L56:M56"/>
    <mergeCell ref="L57:M57"/>
    <mergeCell ref="L58:M58"/>
    <mergeCell ref="L59:M59"/>
    <mergeCell ref="E66:M66"/>
    <mergeCell ref="O55:O59"/>
    <mergeCell ref="N54:N59"/>
    <mergeCell ref="O60:O61"/>
    <mergeCell ref="S54:S59"/>
    <mergeCell ref="B45:B46"/>
    <mergeCell ref="C45:C46"/>
    <mergeCell ref="D45:D46"/>
    <mergeCell ref="E45:M46"/>
    <mergeCell ref="S45:S46"/>
    <mergeCell ref="P45:R46"/>
    <mergeCell ref="P43:R43"/>
    <mergeCell ref="P44:R44"/>
    <mergeCell ref="S50:S51"/>
    <mergeCell ref="E48:M48"/>
    <mergeCell ref="N45:N46"/>
    <mergeCell ref="P47:R47"/>
    <mergeCell ref="P48:R48"/>
    <mergeCell ref="E43:M43"/>
    <mergeCell ref="E44:M44"/>
    <mergeCell ref="O50:O51"/>
    <mergeCell ref="E50:M51"/>
    <mergeCell ref="N50:N51"/>
    <mergeCell ref="E47:M47"/>
    <mergeCell ref="P49:R49"/>
    <mergeCell ref="E49:M49"/>
    <mergeCell ref="P50:R51"/>
    <mergeCell ref="B38:B39"/>
    <mergeCell ref="D41:D42"/>
    <mergeCell ref="N41:N42"/>
    <mergeCell ref="O41:O42"/>
    <mergeCell ref="S41:S42"/>
    <mergeCell ref="P41:R42"/>
    <mergeCell ref="E38:M38"/>
    <mergeCell ref="N38:N39"/>
    <mergeCell ref="O38:O39"/>
    <mergeCell ref="S38:S39"/>
    <mergeCell ref="B41:C42"/>
    <mergeCell ref="C38:C39"/>
    <mergeCell ref="D38:D39"/>
    <mergeCell ref="B31:B32"/>
    <mergeCell ref="P28:R28"/>
    <mergeCell ref="P29:R29"/>
    <mergeCell ref="P30:R30"/>
    <mergeCell ref="P33:R33"/>
    <mergeCell ref="P34:R34"/>
    <mergeCell ref="N35:N36"/>
    <mergeCell ref="O35:O36"/>
    <mergeCell ref="P35:R36"/>
    <mergeCell ref="B35:B36"/>
    <mergeCell ref="C35:C36"/>
    <mergeCell ref="D35:D36"/>
    <mergeCell ref="E33:M33"/>
    <mergeCell ref="E34:M34"/>
    <mergeCell ref="E35:M35"/>
    <mergeCell ref="E36:M36"/>
    <mergeCell ref="E28:M28"/>
    <mergeCell ref="C31:C32"/>
    <mergeCell ref="D31:D32"/>
    <mergeCell ref="S102:S103"/>
    <mergeCell ref="P78:R78"/>
    <mergeCell ref="E76:M76"/>
    <mergeCell ref="P76:R76"/>
    <mergeCell ref="E85:M85"/>
    <mergeCell ref="E86:M86"/>
    <mergeCell ref="E87:M87"/>
    <mergeCell ref="D102:D103"/>
    <mergeCell ref="E102:M103"/>
    <mergeCell ref="E101:M101"/>
    <mergeCell ref="N100:N101"/>
    <mergeCell ref="O100:O101"/>
    <mergeCell ref="P100:R101"/>
    <mergeCell ref="S100:S101"/>
    <mergeCell ref="P93:R94"/>
    <mergeCell ref="P95:R95"/>
    <mergeCell ref="P97:R97"/>
    <mergeCell ref="P82:R82"/>
    <mergeCell ref="P83:R83"/>
    <mergeCell ref="P84:R84"/>
    <mergeCell ref="P85:R85"/>
    <mergeCell ref="P86:R86"/>
    <mergeCell ref="P87:R87"/>
    <mergeCell ref="P88:R88"/>
    <mergeCell ref="B116:S116"/>
    <mergeCell ref="B117:N117"/>
    <mergeCell ref="O117:S117"/>
    <mergeCell ref="E107:M107"/>
    <mergeCell ref="N107:N108"/>
    <mergeCell ref="O107:O108"/>
    <mergeCell ref="E97:M97"/>
    <mergeCell ref="E98:M98"/>
    <mergeCell ref="E105:M105"/>
    <mergeCell ref="N105:N106"/>
    <mergeCell ref="O105:O106"/>
    <mergeCell ref="E106:M106"/>
    <mergeCell ref="S109:S112"/>
    <mergeCell ref="E115:M115"/>
    <mergeCell ref="S105:S106"/>
    <mergeCell ref="S107:S108"/>
    <mergeCell ref="O109:O110"/>
    <mergeCell ref="E100:M100"/>
    <mergeCell ref="E99:M99"/>
    <mergeCell ref="P104:R104"/>
    <mergeCell ref="C105:C106"/>
    <mergeCell ref="D105:D106"/>
    <mergeCell ref="C107:C108"/>
    <mergeCell ref="D107:D108"/>
    <mergeCell ref="E37:M37"/>
    <mergeCell ref="E40:M40"/>
    <mergeCell ref="E39:M39"/>
    <mergeCell ref="P37:R37"/>
    <mergeCell ref="P40:R40"/>
    <mergeCell ref="P38:R39"/>
    <mergeCell ref="E42:M42"/>
    <mergeCell ref="E41:M41"/>
    <mergeCell ref="S35:S36"/>
    <mergeCell ref="S31:S32"/>
    <mergeCell ref="P25:R25"/>
    <mergeCell ref="P26:R26"/>
    <mergeCell ref="P27:R27"/>
    <mergeCell ref="N31:N32"/>
    <mergeCell ref="P31:R32"/>
    <mergeCell ref="E31:M32"/>
    <mergeCell ref="E21:M21"/>
    <mergeCell ref="E22:M22"/>
    <mergeCell ref="E23:M23"/>
    <mergeCell ref="E24:M24"/>
    <mergeCell ref="E25:M25"/>
    <mergeCell ref="E30:M30"/>
    <mergeCell ref="E29:M29"/>
    <mergeCell ref="P23:R23"/>
    <mergeCell ref="P24:R24"/>
    <mergeCell ref="E27:M27"/>
    <mergeCell ref="E26:M26"/>
    <mergeCell ref="P20:R20"/>
    <mergeCell ref="P21:R21"/>
    <mergeCell ref="P22:R22"/>
    <mergeCell ref="E20:M20"/>
    <mergeCell ref="B15:S15"/>
    <mergeCell ref="E11:M11"/>
    <mergeCell ref="E12:M12"/>
    <mergeCell ref="N12:N13"/>
    <mergeCell ref="O12:O13"/>
    <mergeCell ref="E14:M14"/>
    <mergeCell ref="P12:R13"/>
    <mergeCell ref="P14:R14"/>
    <mergeCell ref="E16:M16"/>
    <mergeCell ref="B17:S17"/>
    <mergeCell ref="E18:M18"/>
    <mergeCell ref="S18:S19"/>
    <mergeCell ref="E19:M19"/>
    <mergeCell ref="P16:R16"/>
    <mergeCell ref="N18:N19"/>
    <mergeCell ref="O18:O19"/>
    <mergeCell ref="P18:R19"/>
    <mergeCell ref="E10:M10"/>
    <mergeCell ref="S12:S13"/>
    <mergeCell ref="E13:M13"/>
    <mergeCell ref="P10:R10"/>
    <mergeCell ref="P11:R11"/>
    <mergeCell ref="B9:S9"/>
    <mergeCell ref="I1:L3"/>
    <mergeCell ref="I4:L4"/>
    <mergeCell ref="B1:H3"/>
    <mergeCell ref="B7:S7"/>
    <mergeCell ref="M1:M2"/>
    <mergeCell ref="N1:O1"/>
    <mergeCell ref="P1:S1"/>
    <mergeCell ref="I5:S5"/>
    <mergeCell ref="P6:R6"/>
    <mergeCell ref="B6:D6"/>
    <mergeCell ref="E6:M6"/>
    <mergeCell ref="E8:S8"/>
    <mergeCell ref="A4:H5"/>
    <mergeCell ref="B105:B106"/>
    <mergeCell ref="B107:B108"/>
    <mergeCell ref="P114:R114"/>
    <mergeCell ref="P115:R115"/>
    <mergeCell ref="N109:N112"/>
    <mergeCell ref="B109:B112"/>
    <mergeCell ref="C109:C112"/>
    <mergeCell ref="D109:D112"/>
    <mergeCell ref="E114:M114"/>
    <mergeCell ref="F110:K110"/>
    <mergeCell ref="F111:K111"/>
    <mergeCell ref="F112:K112"/>
    <mergeCell ref="E108:M108"/>
    <mergeCell ref="E109:M109"/>
    <mergeCell ref="P105:R106"/>
    <mergeCell ref="P107:R108"/>
    <mergeCell ref="O111:O113"/>
    <mergeCell ref="E113:L113"/>
    <mergeCell ref="P109:R113"/>
  </mergeCells>
  <conditionalFormatting sqref="O79">
    <cfRule type="expression" dxfId="1300" priority="148" stopIfTrue="1">
      <formula>AND(claim504.1&lt;&gt;0, claim503.3_1="",claim503.3_2="",claim503.3_3="")</formula>
    </cfRule>
  </conditionalFormatting>
  <conditionalFormatting sqref="I1">
    <cfRule type="expression" dxfId="1299" priority="146" stopIfTrue="1">
      <formula>levelStatement="This project has not met all the requirements for Bronze, Silver, Gold, or Emerald."</formula>
    </cfRule>
  </conditionalFormatting>
  <conditionalFormatting sqref="O4">
    <cfRule type="expression" dxfId="1298" priority="145" stopIfTrue="1">
      <formula>$O$4="Not Met"</formula>
    </cfRule>
  </conditionalFormatting>
  <conditionalFormatting sqref="P10:R10">
    <cfRule type="beginsWith" dxfId="1297" priority="110" operator="beginsWith" text="*">
      <formula>LEFT(P10,LEN("*"))="*"</formula>
    </cfRule>
  </conditionalFormatting>
  <conditionalFormatting sqref="P11:R11">
    <cfRule type="beginsWith" dxfId="1296" priority="109" operator="beginsWith" text="*">
      <formula>LEFT(P11,LEN("*"))="*"</formula>
    </cfRule>
  </conditionalFormatting>
  <conditionalFormatting sqref="P12:R13">
    <cfRule type="beginsWith" dxfId="1295" priority="17" operator="beginsWith" text="*">
      <formula>LEFT(P12,LEN("*"))="*"</formula>
    </cfRule>
    <cfRule type="containsBlanks" dxfId="1294" priority="157">
      <formula>LEN(TRIM(P12))=0</formula>
    </cfRule>
  </conditionalFormatting>
  <conditionalFormatting sqref="P14:R14">
    <cfRule type="beginsWith" dxfId="1293" priority="106" operator="beginsWith" text="*">
      <formula>LEFT(P14,LEN("*"))="*"</formula>
    </cfRule>
  </conditionalFormatting>
  <conditionalFormatting sqref="P16:R16">
    <cfRule type="beginsWith" dxfId="1292" priority="105" operator="beginsWith" text="*">
      <formula>LEFT(P16,LEN("*"))="*"</formula>
    </cfRule>
  </conditionalFormatting>
  <conditionalFormatting sqref="P20:R20">
    <cfRule type="beginsWith" dxfId="1291" priority="104" operator="beginsWith" text="*">
      <formula>LEFT(P20,LEN("*"))="*"</formula>
    </cfRule>
  </conditionalFormatting>
  <conditionalFormatting sqref="P21:R21">
    <cfRule type="beginsWith" dxfId="1290" priority="103" operator="beginsWith" text="*">
      <formula>LEFT(P21,LEN("*"))="*"</formula>
    </cfRule>
  </conditionalFormatting>
  <conditionalFormatting sqref="P22:R22">
    <cfRule type="beginsWith" dxfId="1289" priority="102" operator="beginsWith" text="*">
      <formula>LEFT(P22,LEN("*"))="*"</formula>
    </cfRule>
  </conditionalFormatting>
  <conditionalFormatting sqref="P23:R23">
    <cfRule type="beginsWith" dxfId="1288" priority="101" operator="beginsWith" text="*">
      <formula>LEFT(P23,LEN("*"))="*"</formula>
    </cfRule>
  </conditionalFormatting>
  <conditionalFormatting sqref="P24:R24">
    <cfRule type="beginsWith" dxfId="1287" priority="100" operator="beginsWith" text="*">
      <formula>LEFT(P24,LEN("*"))="*"</formula>
    </cfRule>
  </conditionalFormatting>
  <conditionalFormatting sqref="P25:R25">
    <cfRule type="beginsWith" dxfId="1286" priority="99" operator="beginsWith" text="*">
      <formula>LEFT(P25,LEN("*"))="*"</formula>
    </cfRule>
  </conditionalFormatting>
  <conditionalFormatting sqref="P26:R26">
    <cfRule type="beginsWith" dxfId="1285" priority="98" operator="beginsWith" text="*">
      <formula>LEFT(P26,LEN("*"))="*"</formula>
    </cfRule>
  </conditionalFormatting>
  <conditionalFormatting sqref="P27:R27">
    <cfRule type="beginsWith" dxfId="1284" priority="97" operator="beginsWith" text="*">
      <formula>LEFT(P27,LEN("*"))="*"</formula>
    </cfRule>
  </conditionalFormatting>
  <conditionalFormatting sqref="P29:R29">
    <cfRule type="beginsWith" dxfId="1283" priority="96" operator="beginsWith" text="*">
      <formula>LEFT(P29,LEN("*"))="*"</formula>
    </cfRule>
  </conditionalFormatting>
  <conditionalFormatting sqref="P28:R28">
    <cfRule type="beginsWith" dxfId="1282" priority="95" operator="beginsWith" text="*">
      <formula>LEFT(P28,LEN("*"))="*"</formula>
    </cfRule>
  </conditionalFormatting>
  <conditionalFormatting sqref="P30:R30">
    <cfRule type="beginsWith" dxfId="1281" priority="94" operator="beginsWith" text="*">
      <formula>LEFT(P30,LEN("*"))="*"</formula>
    </cfRule>
  </conditionalFormatting>
  <conditionalFormatting sqref="P31:R32">
    <cfRule type="beginsWith" dxfId="1280" priority="93" operator="beginsWith" text="*">
      <formula>LEFT(P31,LEN("*"))="*"</formula>
    </cfRule>
  </conditionalFormatting>
  <conditionalFormatting sqref="P33:R33">
    <cfRule type="beginsWith" dxfId="1279" priority="92" operator="beginsWith" text="*">
      <formula>LEFT(P33,LEN("*"))="*"</formula>
    </cfRule>
  </conditionalFormatting>
  <conditionalFormatting sqref="P34:R34">
    <cfRule type="beginsWith" dxfId="1278" priority="91" operator="beginsWith" text="*">
      <formula>LEFT(P34,LEN("*"))="*"</formula>
    </cfRule>
  </conditionalFormatting>
  <conditionalFormatting sqref="P35:R36">
    <cfRule type="beginsWith" dxfId="1277" priority="90" operator="beginsWith" text="*">
      <formula>LEFT(P35,LEN("*"))="*"</formula>
    </cfRule>
  </conditionalFormatting>
  <conditionalFormatting sqref="P37:R37">
    <cfRule type="beginsWith" dxfId="1276" priority="89" operator="beginsWith" text="*">
      <formula>LEFT(P37,LEN("*"))="*"</formula>
    </cfRule>
  </conditionalFormatting>
  <conditionalFormatting sqref="P38:R39">
    <cfRule type="beginsWith" dxfId="1275" priority="2" operator="beginsWith" text="*">
      <formula>LEFT(P38,LEN("*"))="*"</formula>
    </cfRule>
    <cfRule type="containsBlanks" dxfId="1274" priority="16">
      <formula>LEN(TRIM(P38))=0</formula>
    </cfRule>
  </conditionalFormatting>
  <conditionalFormatting sqref="P40:R40">
    <cfRule type="beginsWith" dxfId="1273" priority="87" operator="beginsWith" text="*">
      <formula>LEFT(P40,LEN("*"))="*"</formula>
    </cfRule>
  </conditionalFormatting>
  <conditionalFormatting sqref="P41:R42">
    <cfRule type="beginsWith" dxfId="1272" priority="86" operator="beginsWith" text="*">
      <formula>LEFT(P41,LEN("*"))="*"</formula>
    </cfRule>
  </conditionalFormatting>
  <conditionalFormatting sqref="P43:R43">
    <cfRule type="beginsWith" dxfId="1271" priority="85" operator="beginsWith" text="*">
      <formula>LEFT(P43,LEN("*"))="*"</formula>
    </cfRule>
  </conditionalFormatting>
  <conditionalFormatting sqref="P44:R44">
    <cfRule type="beginsWith" dxfId="1270" priority="84" operator="beginsWith" text="*">
      <formula>LEFT(P44,LEN("*"))="*"</formula>
    </cfRule>
  </conditionalFormatting>
  <conditionalFormatting sqref="P45:R46">
    <cfRule type="beginsWith" dxfId="1269" priority="82" operator="beginsWith" text="*">
      <formula>LEFT(P45,LEN("*"))="*"</formula>
    </cfRule>
    <cfRule type="beginsWith" dxfId="1268" priority="83" operator="beginsWith" text="*">
      <formula>LEFT(P45,LEN("*"))="*"</formula>
    </cfRule>
  </conditionalFormatting>
  <conditionalFormatting sqref="P47:R47">
    <cfRule type="beginsWith" dxfId="1267" priority="81" operator="beginsWith" text="*">
      <formula>LEFT(P47,LEN("*"))="*"</formula>
    </cfRule>
  </conditionalFormatting>
  <conditionalFormatting sqref="P48:R48">
    <cfRule type="beginsWith" dxfId="1266" priority="80" operator="beginsWith" text="*">
      <formula>LEFT(P48,LEN("*"))="*"</formula>
    </cfRule>
  </conditionalFormatting>
  <conditionalFormatting sqref="P49:R49">
    <cfRule type="beginsWith" dxfId="1265" priority="78" operator="beginsWith" text="*">
      <formula>LEFT(P49,LEN("*"))="*"</formula>
    </cfRule>
  </conditionalFormatting>
  <conditionalFormatting sqref="P50:R51">
    <cfRule type="beginsWith" dxfId="1264" priority="77" operator="beginsWith" text="*">
      <formula>LEFT(P50,LEN("*"))="*"</formula>
    </cfRule>
  </conditionalFormatting>
  <conditionalFormatting sqref="P52:R53">
    <cfRule type="beginsWith" dxfId="1263" priority="76" operator="beginsWith" text="*">
      <formula>LEFT(P52,LEN("*"))="*"</formula>
    </cfRule>
  </conditionalFormatting>
  <conditionalFormatting sqref="P54:R59">
    <cfRule type="beginsWith" dxfId="1262" priority="75" operator="beginsWith" text="*">
      <formula>LEFT(P54,LEN("*"))="*"</formula>
    </cfRule>
  </conditionalFormatting>
  <conditionalFormatting sqref="P60:R61">
    <cfRule type="beginsWith" dxfId="1261" priority="74" operator="beginsWith" text="*">
      <formula>LEFT(P60,LEN("*"))="*"</formula>
    </cfRule>
  </conditionalFormatting>
  <conditionalFormatting sqref="P62:R63">
    <cfRule type="beginsWith" dxfId="1260" priority="73" operator="beginsWith" text="*">
      <formula>LEFT(P62,LEN("*"))="*"</formula>
    </cfRule>
  </conditionalFormatting>
  <conditionalFormatting sqref="P64:R65">
    <cfRule type="beginsWith" dxfId="1259" priority="72" operator="beginsWith" text="*">
      <formula>LEFT(P64,LEN("*"))="*"</formula>
    </cfRule>
  </conditionalFormatting>
  <conditionalFormatting sqref="P66:R66">
    <cfRule type="beginsWith" dxfId="1258" priority="71" operator="beginsWith" text="*">
      <formula>LEFT(P66,LEN("*"))="*"</formula>
    </cfRule>
  </conditionalFormatting>
  <conditionalFormatting sqref="P67:R67">
    <cfRule type="beginsWith" dxfId="1257" priority="70" operator="beginsWith" text="*">
      <formula>LEFT(P67,LEN("*"))="*"</formula>
    </cfRule>
  </conditionalFormatting>
  <conditionalFormatting sqref="P68:R68">
    <cfRule type="beginsWith" dxfId="1256" priority="69" operator="beginsWith" text="*">
      <formula>LEFT(P68,LEN("*"))="*"</formula>
    </cfRule>
  </conditionalFormatting>
  <conditionalFormatting sqref="P70:R70">
    <cfRule type="beginsWith" dxfId="1255" priority="68" operator="beginsWith" text="*">
      <formula>LEFT(P70,LEN("*"))="*"</formula>
    </cfRule>
  </conditionalFormatting>
  <conditionalFormatting sqref="P71:R71">
    <cfRule type="beginsWith" dxfId="1254" priority="67" operator="beginsWith" text="*">
      <formula>LEFT(P71,LEN("*"))="*"</formula>
    </cfRule>
  </conditionalFormatting>
  <conditionalFormatting sqref="P72:R72">
    <cfRule type="beginsWith" dxfId="1253" priority="66" operator="beginsWith" text="*">
      <formula>LEFT(P72,LEN("*"))="*"</formula>
    </cfRule>
  </conditionalFormatting>
  <conditionalFormatting sqref="P73:R73">
    <cfRule type="beginsWith" dxfId="1252" priority="65" operator="beginsWith" text="*">
      <formula>LEFT(P73,LEN("*"))="*"</formula>
    </cfRule>
  </conditionalFormatting>
  <conditionalFormatting sqref="E69:M69">
    <cfRule type="expression" dxfId="1251" priority="60">
      <formula>(COUNTBLANK($O$70:$O$73)=3)</formula>
    </cfRule>
  </conditionalFormatting>
  <conditionalFormatting sqref="O71:O73">
    <cfRule type="expression" dxfId="1250" priority="57">
      <formula>AND($O$70=3,COUNTBLANK($O$71:$O$73)=3)</formula>
    </cfRule>
  </conditionalFormatting>
  <conditionalFormatting sqref="O70 O72:O73">
    <cfRule type="expression" dxfId="1249" priority="52">
      <formula>AND($O$71=3,COUNTBLANK($O$70:$O$73)=3)</formula>
    </cfRule>
  </conditionalFormatting>
  <conditionalFormatting sqref="O70:O71 O73">
    <cfRule type="expression" dxfId="1248" priority="51">
      <formula>AND($O$72=3,COUNTBLANK($O$70:$O$73)=3)</formula>
    </cfRule>
  </conditionalFormatting>
  <conditionalFormatting sqref="O70:O72">
    <cfRule type="expression" dxfId="1247" priority="50">
      <formula>AND($O$73=3,COUNTBLANK($O$70:$O$73)=3)</formula>
    </cfRule>
  </conditionalFormatting>
  <conditionalFormatting sqref="P74:R74">
    <cfRule type="beginsWith" dxfId="1246" priority="49" operator="beginsWith" text="*">
      <formula>LEFT(P74,LEN("*"))="*"</formula>
    </cfRule>
  </conditionalFormatting>
  <conditionalFormatting sqref="P75:R75">
    <cfRule type="beginsWith" dxfId="1245" priority="48" operator="beginsWith" text="*">
      <formula>LEFT(P75,LEN("*"))="*"</formula>
    </cfRule>
  </conditionalFormatting>
  <conditionalFormatting sqref="P76:R76">
    <cfRule type="beginsWith" dxfId="1244" priority="47" operator="beginsWith" text="*">
      <formula>LEFT(P76,LEN("*"))="*"</formula>
    </cfRule>
  </conditionalFormatting>
  <conditionalFormatting sqref="P79:R80">
    <cfRule type="beginsWith" dxfId="1243" priority="46" operator="beginsWith" text="*">
      <formula>LEFT(P79,LEN("*"))="*"</formula>
    </cfRule>
  </conditionalFormatting>
  <conditionalFormatting sqref="P81:R81">
    <cfRule type="beginsWith" dxfId="1242" priority="45" operator="beginsWith" text="*">
      <formula>LEFT(P81,LEN("*"))="*"</formula>
    </cfRule>
  </conditionalFormatting>
  <conditionalFormatting sqref="P82:R82">
    <cfRule type="beginsWith" dxfId="1241" priority="44" operator="beginsWith" text="*">
      <formula>LEFT(P82,LEN("*"))="*"</formula>
    </cfRule>
  </conditionalFormatting>
  <conditionalFormatting sqref="P83:R83">
    <cfRule type="beginsWith" dxfId="1240" priority="43" operator="beginsWith" text="*">
      <formula>LEFT(P83,LEN("*"))="*"</formula>
    </cfRule>
  </conditionalFormatting>
  <conditionalFormatting sqref="P84:R84">
    <cfRule type="beginsWith" dxfId="1239" priority="42" operator="beginsWith" text="*">
      <formula>LEFT(P84,LEN("*"))="*"</formula>
    </cfRule>
  </conditionalFormatting>
  <conditionalFormatting sqref="P93:R94">
    <cfRule type="beginsWith" dxfId="1238" priority="40" operator="beginsWith" text="*">
      <formula>LEFT(P93,LEN("*"))="*"</formula>
    </cfRule>
    <cfRule type="containsBlanks" dxfId="1237" priority="159">
      <formula>LEN(TRIM(P93))=0</formula>
    </cfRule>
  </conditionalFormatting>
  <conditionalFormatting sqref="P85:R85">
    <cfRule type="beginsWith" dxfId="1236" priority="39" operator="beginsWith" text="*">
      <formula>LEFT(P85,LEN("*"))="*"</formula>
    </cfRule>
  </conditionalFormatting>
  <conditionalFormatting sqref="P86:R86">
    <cfRule type="beginsWith" dxfId="1235" priority="38" operator="beginsWith" text="*">
      <formula>LEFT(P86,LEN("*"))="*"</formula>
    </cfRule>
  </conditionalFormatting>
  <conditionalFormatting sqref="P87:R87">
    <cfRule type="beginsWith" dxfId="1234" priority="37" operator="beginsWith" text="*">
      <formula>LEFT(P87,LEN("*"))="*"</formula>
    </cfRule>
  </conditionalFormatting>
  <conditionalFormatting sqref="P88:R88">
    <cfRule type="beginsWith" dxfId="1233" priority="36" operator="beginsWith" text="*">
      <formula>LEFT(P88,LEN("*"))="*"</formula>
    </cfRule>
  </conditionalFormatting>
  <conditionalFormatting sqref="P89:R89">
    <cfRule type="beginsWith" dxfId="1232" priority="35" operator="beginsWith" text="*">
      <formula>LEFT(P89,LEN("*"))="*"</formula>
    </cfRule>
  </conditionalFormatting>
  <conditionalFormatting sqref="P90:R90">
    <cfRule type="beginsWith" dxfId="1231" priority="34" operator="beginsWith" text="*">
      <formula>LEFT(P90,LEN("*"))="*"</formula>
    </cfRule>
  </conditionalFormatting>
  <conditionalFormatting sqref="P91:R91">
    <cfRule type="beginsWith" dxfId="1230" priority="33" operator="beginsWith" text="*">
      <formula>LEFT(P91,LEN("*"))="*"</formula>
    </cfRule>
  </conditionalFormatting>
  <conditionalFormatting sqref="P92:R92">
    <cfRule type="beginsWith" dxfId="1229" priority="32" operator="beginsWith" text="*">
      <formula>LEFT(P92,LEN("*"))="*"</formula>
    </cfRule>
  </conditionalFormatting>
  <conditionalFormatting sqref="P95:R95">
    <cfRule type="beginsWith" dxfId="1228" priority="31" operator="beginsWith" text="*">
      <formula>LEFT(P95,LEN("*"))="*"</formula>
    </cfRule>
  </conditionalFormatting>
  <conditionalFormatting sqref="P98:R98">
    <cfRule type="beginsWith" dxfId="1227" priority="30" operator="beginsWith" text="*">
      <formula>LEFT(P98,LEN("*"))="*"</formula>
    </cfRule>
  </conditionalFormatting>
  <conditionalFormatting sqref="P99:R99">
    <cfRule type="beginsWith" dxfId="1226" priority="29" operator="beginsWith" text="*">
      <formula>LEFT(P99,LEN("*"))="*"</formula>
    </cfRule>
  </conditionalFormatting>
  <conditionalFormatting sqref="P100:R100">
    <cfRule type="beginsWith" dxfId="1225" priority="28" operator="beginsWith" text="*">
      <formula>LEFT(P100,LEN("*"))="*"</formula>
    </cfRule>
  </conditionalFormatting>
  <conditionalFormatting sqref="P102:R103">
    <cfRule type="beginsWith" dxfId="1224" priority="27" operator="beginsWith" text="*">
      <formula>LEFT(P102,LEN("*"))="*"</formula>
    </cfRule>
  </conditionalFormatting>
  <conditionalFormatting sqref="P104:R104">
    <cfRule type="beginsWith" dxfId="1223" priority="26" operator="beginsWith" text="*">
      <formula>LEFT(P104,LEN("*"))="*"</formula>
    </cfRule>
  </conditionalFormatting>
  <conditionalFormatting sqref="P105:R106">
    <cfRule type="beginsWith" dxfId="1222" priority="23" operator="beginsWith" text="*">
      <formula>LEFT(P105,LEN("*"))="*"</formula>
    </cfRule>
    <cfRule type="containsBlanks" dxfId="1221" priority="160">
      <formula>LEN(TRIM(P105))=0</formula>
    </cfRule>
  </conditionalFormatting>
  <conditionalFormatting sqref="P107:R108">
    <cfRule type="beginsWith" dxfId="1220" priority="22" operator="beginsWith" text="*">
      <formula>LEFT(P107,LEN("*"))="*"</formula>
    </cfRule>
    <cfRule type="containsBlanks" dxfId="1219" priority="163">
      <formula>LEN(TRIM(P107))=0</formula>
    </cfRule>
  </conditionalFormatting>
  <conditionalFormatting sqref="P109">
    <cfRule type="expression" dxfId="1218" priority="21">
      <formula>AND($E$113&lt;&gt;"",$P$109="")</formula>
    </cfRule>
  </conditionalFormatting>
  <conditionalFormatting sqref="P114:R114">
    <cfRule type="beginsWith" dxfId="1217" priority="19" operator="beginsWith" text="*">
      <formula>LEFT(P114,LEN("*"))="*"</formula>
    </cfRule>
  </conditionalFormatting>
  <conditionalFormatting sqref="P115:R115">
    <cfRule type="beginsWith" dxfId="1216" priority="18" operator="beginsWith" text="*">
      <formula>LEFT(P115,LEN("*"))="*"</formula>
    </cfRule>
  </conditionalFormatting>
  <conditionalFormatting sqref="E101:M101">
    <cfRule type="expression" dxfId="1215" priority="14" stopIfTrue="1">
      <formula>startSingleorMulti&lt;&gt;"Multi-Unit"</formula>
    </cfRule>
    <cfRule type="expression" dxfId="1214" priority="15" stopIfTrue="1">
      <formula>startSingleorMulti="Multi-Unit"</formula>
    </cfRule>
  </conditionalFormatting>
  <conditionalFormatting sqref="O100:O101">
    <cfRule type="expression" dxfId="1213" priority="3">
      <formula>AND(startSingleorMulti&lt;&gt;"Multi-Unit",$O$100&lt;&gt;"")</formula>
    </cfRule>
    <cfRule type="expression" dxfId="1212" priority="13">
      <formula>startSingleorMulti&lt;&gt;"Multi-Unit"</formula>
    </cfRule>
  </conditionalFormatting>
  <conditionalFormatting sqref="O50:O51">
    <cfRule type="expression" dxfId="1211" priority="12">
      <formula>AND(claim503.5_1&lt;&gt;"",claim503.5_1&lt;&gt;$N$50)</formula>
    </cfRule>
  </conditionalFormatting>
  <conditionalFormatting sqref="O52:O53">
    <cfRule type="expression" dxfId="1210" priority="11">
      <formula>AND(claim503.5_2&lt;&gt;"",claim503.5_2&lt;&gt;$N$52)</formula>
    </cfRule>
  </conditionalFormatting>
  <conditionalFormatting sqref="O60:O61">
    <cfRule type="expression" dxfId="1209" priority="10">
      <formula>AND(claim503.5_4&lt;&gt;"",claim503.5_4&lt;&gt;N60)</formula>
    </cfRule>
  </conditionalFormatting>
  <conditionalFormatting sqref="O62:O63">
    <cfRule type="expression" dxfId="1208" priority="9">
      <formula>AND(claim503.5_5&lt;&gt;"",claim503.5_5&lt;&gt;$N$62)</formula>
    </cfRule>
  </conditionalFormatting>
  <conditionalFormatting sqref="O64:O65">
    <cfRule type="expression" dxfId="1207" priority="8">
      <formula>AND(claim503.5_6&lt;&gt;"",claim503.5_6&lt;&gt;$N$64)</formula>
    </cfRule>
  </conditionalFormatting>
  <conditionalFormatting sqref="O54">
    <cfRule type="expression" dxfId="1206" priority="6">
      <formula>OR(AND(choice503.5_3=dd503.5_3_opt1,claim503.5_3&lt;&gt;points503.5_3a),AND(choice503.5_3=dd503.5_3_opt2,claim503.5_3&lt;&gt;points503.5_3b),AND(choice503.5_3=dd503.5_3_opt3,claim503.5_3&lt;&gt;points503.5_3c),AND(choice503.5_3=dd503.5_3_opt4,claim503.5_3&lt;&gt;points503.5_3d))</formula>
    </cfRule>
  </conditionalFormatting>
  <conditionalFormatting sqref="E55:M55">
    <cfRule type="expression" dxfId="1205" priority="4">
      <formula>$E$55="Landscape Type not chosen - No points available"</formula>
    </cfRule>
  </conditionalFormatting>
  <conditionalFormatting sqref="E113:L113">
    <cfRule type="expression" dxfId="1204" priority="1">
      <formula>AND($E$113&lt;&gt;"")</formula>
    </cfRule>
  </conditionalFormatting>
  <dataValidations count="16">
    <dataValidation type="whole" operator="equal" allowBlank="1" showInputMessage="1" showErrorMessage="1" errorTitle="Invalid value" error="Leave cell blank or enter the number 6." sqref="O48 O22 O43" xr:uid="{00000000-0002-0000-0100-000000000000}">
      <formula1>6</formula1>
    </dataValidation>
    <dataValidation type="whole" operator="equal" allowBlank="1" showInputMessage="1" showErrorMessage="1" errorTitle="Invalid value" error="Leave cell blank or enter the number 7." sqref="O44" xr:uid="{00000000-0002-0000-0100-000001000000}">
      <formula1>7</formula1>
    </dataValidation>
    <dataValidation type="whole" operator="equal" allowBlank="1" showInputMessage="1" showErrorMessage="1" errorTitle="Invalid value" error="Leave cell blank or enter the number 3." sqref="O115 O82 O25 O66 O70:O73 O91:O92 O95" xr:uid="{00000000-0002-0000-0100-000002000000}">
      <formula1>3</formula1>
    </dataValidation>
    <dataValidation type="whole" operator="equal" allowBlank="1" showInputMessage="1" showErrorMessage="1" errorTitle="Invalid value" error="Leave cell blank or enter the number 5." sqref="O86:O89 O14 O27 O21 O37:O40 O83 O99:O100 O33:O34 O29 O105:O108 O93:O94" xr:uid="{00000000-0002-0000-0100-000003000000}">
      <formula1>5</formula1>
    </dataValidation>
    <dataValidation type="whole" operator="equal" allowBlank="1" showInputMessage="1" showErrorMessage="1" errorTitle="Invalid value" error="Leave cell blank or enter the number 4." sqref="O75:O76 O26 O30 O23:O24 O79 O84 O16 O67 O11:O13 O90" xr:uid="{00000000-0002-0000-0100-000004000000}">
      <formula1>4</formula1>
    </dataValidation>
    <dataValidation type="list" allowBlank="1" showInputMessage="1" showErrorMessage="1" sqref="O31" xr:uid="{00000000-0002-0000-0100-000005000000}">
      <formula1>dd503.2_3</formula1>
    </dataValidation>
    <dataValidation type="whole" operator="equal" allowBlank="1" showInputMessage="1" showErrorMessage="1" errorTitle="Invalid value" error="Leave cell blank or enter the number 8." sqref="O114" xr:uid="{00000000-0002-0000-0100-000006000000}">
      <formula1>8</formula1>
    </dataValidation>
    <dataValidation type="list" allowBlank="1" showInputMessage="1" showErrorMessage="1" sqref="O45" xr:uid="{00000000-0002-0000-0100-000007000000}">
      <formula1>dd503.4_3</formula1>
    </dataValidation>
    <dataValidation type="whole" operator="equal" allowBlank="1" showInputMessage="1" showErrorMessage="1" errorTitle="Invalid Value" error="Leave cell blank or enter the number 5." sqref="O47" xr:uid="{00000000-0002-0000-0100-000008000000}">
      <formula1>5</formula1>
    </dataValidation>
    <dataValidation type="list" operator="equal" allowBlank="1" showInputMessage="1" showErrorMessage="1" errorTitle="Invalid value" error="Leave cell blank or select a value from the drop down list." sqref="O102" xr:uid="{00000000-0002-0000-0100-000009000000}">
      <formula1>dd505.1_3</formula1>
    </dataValidation>
    <dataValidation type="list" allowBlank="1" showInputMessage="1" showErrorMessage="1" errorTitle="Invalid value" error="Leave cell blank or select a value from the drop down list." sqref="O109" xr:uid="{00000000-0002-0000-0100-00000A000000}">
      <formula1>dd505.3</formula1>
    </dataValidation>
    <dataValidation type="list" allowBlank="1" showInputMessage="1" showErrorMessage="1" errorTitle="Invalid value" error="Leave blank or select a value from the dropdown list." sqref="O54" xr:uid="{00000000-0002-0000-0100-00000B000000}">
      <formula1>dd503.5_3</formula1>
    </dataValidation>
    <dataValidation type="list" allowBlank="1" showInputMessage="1" showErrorMessage="1" sqref="O49" xr:uid="{00000000-0002-0000-0100-00000C000000}">
      <formula1>ddLandscapeTypes</formula1>
    </dataValidation>
    <dataValidation type="whole" operator="equal" allowBlank="1" showInputMessage="1" showErrorMessage="1" errorTitle="Invalid entry" error="Leave cell blank or enter the number of points availble for this practice." sqref="O50:O51" xr:uid="{00000000-0002-0000-0100-00000D000000}">
      <formula1>N50</formula1>
    </dataValidation>
    <dataValidation type="whole" operator="equal" allowBlank="1" showInputMessage="1" showErrorMessage="1" errorTitle="Invalid entry" error="Leave cell blank or enter the number of points available for this practice." sqref="O52:O53 O60:O63" xr:uid="{00000000-0002-0000-0100-00000E000000}">
      <formula1>N52</formula1>
    </dataValidation>
    <dataValidation type="whole" operator="equal" allowBlank="1" showInputMessage="1" showErrorMessage="1" errorTitle="Invalid entry" error="Leave cell blank or enter the number of points available for the practice." sqref="O64:O65" xr:uid="{00000000-0002-0000-0100-00000F000000}">
      <formula1>N64</formula1>
    </dataValidation>
  </dataValidations>
  <hyperlinks>
    <hyperlink ref="O117:S117" location="'Ch6'!A1" display="Proceed to Chapter 6 &gt;&gt;" xr:uid="{00000000-0004-0000-0100-000000000000}"/>
  </hyperlinks>
  <pageMargins left="0.7" right="0.7" top="0.75" bottom="0.75" header="0.3" footer="0.3"/>
  <pageSetup scale="54" fitToHeight="3" orientation="portrait" r:id="rId1"/>
  <headerFooter>
    <oddFooter>&amp;C&amp;9©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216"/>
  <sheetViews>
    <sheetView topLeftCell="C1" zoomScaleNormal="100" workbookViewId="0">
      <pane ySplit="6" topLeftCell="A7" activePane="bottomLeft" state="frozen"/>
      <selection activeCell="O12" sqref="O12:O15"/>
      <selection pane="bottomLeft" activeCell="P16" sqref="P16"/>
    </sheetView>
  </sheetViews>
  <sheetFormatPr baseColWidth="10" defaultColWidth="9.1640625" defaultRowHeight="14"/>
  <cols>
    <col min="1" max="1" width="4.6640625" style="1138" hidden="1" customWidth="1"/>
    <col min="2" max="2" width="5.6640625" style="1138" hidden="1" customWidth="1"/>
    <col min="3" max="3" width="6.6640625" style="138" customWidth="1"/>
    <col min="4" max="4" width="4.33203125" style="139" customWidth="1"/>
    <col min="5" max="5" width="3.6640625" style="140" customWidth="1"/>
    <col min="6" max="13" width="8.6640625" style="107" customWidth="1"/>
    <col min="14" max="14" width="10.6640625" style="107" bestFit="1" customWidth="1"/>
    <col min="15" max="15" width="15.6640625" style="141" customWidth="1"/>
    <col min="16" max="16" width="10.6640625" style="142" customWidth="1"/>
    <col min="17" max="18" width="11.6640625" style="107" customWidth="1"/>
    <col min="19" max="19" width="11.6640625" style="143" customWidth="1"/>
    <col min="20" max="20" width="11.6640625" style="439" customWidth="1"/>
    <col min="21" max="21" width="9.1640625" style="107"/>
    <col min="22" max="22" width="9.1640625" style="107" customWidth="1"/>
    <col min="23" max="23" width="9.1640625" style="107"/>
    <col min="24" max="24" width="9.1640625" style="107" customWidth="1"/>
    <col min="25" max="16384" width="9.1640625" style="107"/>
  </cols>
  <sheetData>
    <row r="1" spans="1:23" ht="15" customHeight="1">
      <c r="C1" s="2147"/>
      <c r="D1" s="2148"/>
      <c r="E1" s="2148"/>
      <c r="F1" s="2148"/>
      <c r="G1" s="2148"/>
      <c r="H1" s="2148"/>
      <c r="I1" s="1469"/>
      <c r="J1" s="2729" t="str">
        <f>levelStatement</f>
        <v>This project has not met all the requirements for Bronze, Silver, Gold, or Emerald.</v>
      </c>
      <c r="K1" s="2729"/>
      <c r="L1" s="2729"/>
      <c r="M1" s="2730"/>
      <c r="N1" s="2123">
        <v>2012</v>
      </c>
      <c r="O1" s="2125" t="s">
        <v>0</v>
      </c>
      <c r="P1" s="2126"/>
      <c r="Q1" s="2125" t="s">
        <v>1</v>
      </c>
      <c r="R1" s="2127"/>
      <c r="S1" s="2127"/>
      <c r="T1" s="2126"/>
    </row>
    <row r="2" spans="1:23" ht="15" customHeight="1">
      <c r="C2" s="2148"/>
      <c r="D2" s="2148"/>
      <c r="E2" s="2148"/>
      <c r="F2" s="2148"/>
      <c r="G2" s="2148"/>
      <c r="H2" s="2148"/>
      <c r="I2" s="1469"/>
      <c r="J2" s="2729"/>
      <c r="K2" s="2729"/>
      <c r="L2" s="2729"/>
      <c r="M2" s="2730"/>
      <c r="N2" s="2124"/>
      <c r="O2" s="1" t="s">
        <v>2</v>
      </c>
      <c r="P2" s="1" t="s">
        <v>3</v>
      </c>
      <c r="Q2" s="2" t="s">
        <v>4</v>
      </c>
      <c r="R2" s="3" t="s">
        <v>5</v>
      </c>
      <c r="S2" s="4" t="s">
        <v>6</v>
      </c>
      <c r="T2" s="5" t="s">
        <v>7</v>
      </c>
    </row>
    <row r="3" spans="1:23" ht="15" customHeight="1">
      <c r="C3" s="2148"/>
      <c r="D3" s="2148"/>
      <c r="E3" s="2148"/>
      <c r="F3" s="2148"/>
      <c r="G3" s="2148"/>
      <c r="H3" s="2148"/>
      <c r="I3" s="1469"/>
      <c r="J3" s="2729"/>
      <c r="K3" s="2729"/>
      <c r="L3" s="2729"/>
      <c r="M3" s="2730"/>
      <c r="N3" s="6" t="s">
        <v>8</v>
      </c>
      <c r="O3" s="773">
        <f>(SUM(P9:P211)-SUM(choice601.7_1,choice601.7_2,choice601.7_3,choice603.2,claim606.1_1,claim606.1_2,claim606.1_3,claim610.1.1,claim610.1.2,claim610.1.2_1,claim611.2_1,claim611.2_2,claim611.2_3,claim611.2_4,claim611.2_5,claim611.2_6,claim611.2_7,enter610.1.2_1_4meas,enter610.1.2_1_5meas,choice610.1.2_2,claim611.2_1,claim611.2_2,claim611.2_3,claim611.2_4,claim611.2_5,claim611.2_6,claim611.2_7))</f>
        <v>0</v>
      </c>
      <c r="P3" s="770" t="str">
        <f>IF(SUM(ch6Mandatory)=12,"Met","Not Met")</f>
        <v>Not Met</v>
      </c>
      <c r="Q3" s="7" t="s">
        <v>2613</v>
      </c>
      <c r="R3" s="7" t="s">
        <v>2613</v>
      </c>
      <c r="S3" s="7" t="s">
        <v>2613</v>
      </c>
      <c r="T3" s="438" t="s">
        <v>2613</v>
      </c>
    </row>
    <row r="4" spans="1:23" ht="15" customHeight="1">
      <c r="C4" s="2885" t="s">
        <v>2599</v>
      </c>
      <c r="D4" s="2885"/>
      <c r="E4" s="2885"/>
      <c r="F4" s="2885"/>
      <c r="G4" s="2885"/>
      <c r="H4" s="2885"/>
      <c r="I4" s="2885"/>
      <c r="J4" s="2731" t="str">
        <f>CONCATENATE("Revised ",TEXT(startRevisionDate,"mmmm dd, yyyy"))</f>
        <v>Revised January 26, 2018</v>
      </c>
      <c r="K4" s="2148"/>
      <c r="L4" s="2148"/>
      <c r="M4" s="2732"/>
      <c r="N4" s="1605" t="s">
        <v>10</v>
      </c>
      <c r="O4" s="1610">
        <f>projectTotal</f>
        <v>0</v>
      </c>
      <c r="P4" s="1607" t="str">
        <f>IF(SUM(projectMandatoryCount)=4,"Met","Not Met")</f>
        <v>Not Met</v>
      </c>
      <c r="Q4" s="1601">
        <f>SUM(bronzeMinimum)</f>
        <v>88</v>
      </c>
      <c r="R4" s="1601">
        <f>SUM(silverMinimum)</f>
        <v>125</v>
      </c>
      <c r="S4" s="1601">
        <f>SUM(goldMinimum)</f>
        <v>181</v>
      </c>
      <c r="T4" s="1611">
        <f>SUM(emeraldMinimum)</f>
        <v>225</v>
      </c>
      <c r="W4" s="28"/>
    </row>
    <row r="5" spans="1:23" s="28" customFormat="1" ht="17.25" customHeight="1" thickBot="1">
      <c r="A5" s="167"/>
      <c r="B5" s="167"/>
      <c r="C5" s="2886"/>
      <c r="D5" s="2886"/>
      <c r="E5" s="2886"/>
      <c r="F5" s="2886"/>
      <c r="G5" s="2886"/>
      <c r="H5" s="2886"/>
      <c r="I5" s="2886"/>
      <c r="J5" s="2272" t="str">
        <f>CONCATENATE(copyright," All rights reserved.  See full notice at bottom of this sheet")</f>
        <v>© 2013 Home Innovation Research Labs, Inc. All rights reserved.  See full notice at bottom of this sheet</v>
      </c>
      <c r="K5" s="2272"/>
      <c r="L5" s="2272"/>
      <c r="M5" s="2272"/>
      <c r="N5" s="2272"/>
      <c r="O5" s="2272"/>
      <c r="P5" s="2272"/>
      <c r="Q5" s="2272"/>
      <c r="R5" s="2272"/>
      <c r="S5" s="2272"/>
      <c r="T5" s="2272"/>
    </row>
    <row r="6" spans="1:23" s="108" customFormat="1" ht="33" thickBot="1">
      <c r="C6" s="2733" t="s">
        <v>11</v>
      </c>
      <c r="D6" s="2734"/>
      <c r="E6" s="2734"/>
      <c r="F6" s="2734" t="s">
        <v>209</v>
      </c>
      <c r="G6" s="2734"/>
      <c r="H6" s="2734"/>
      <c r="I6" s="2734"/>
      <c r="J6" s="2734"/>
      <c r="K6" s="2734"/>
      <c r="L6" s="2734"/>
      <c r="M6" s="2734"/>
      <c r="N6" s="2734"/>
      <c r="O6" s="1505" t="s">
        <v>13</v>
      </c>
      <c r="P6" s="1505" t="s">
        <v>210</v>
      </c>
      <c r="Q6" s="2715" t="s">
        <v>16</v>
      </c>
      <c r="R6" s="2716"/>
      <c r="S6" s="2717"/>
      <c r="T6" s="440" t="s">
        <v>15</v>
      </c>
    </row>
    <row r="7" spans="1:23" s="108" customFormat="1" ht="15">
      <c r="C7" s="2704" t="s">
        <v>2380</v>
      </c>
      <c r="D7" s="2704"/>
      <c r="E7" s="2704"/>
      <c r="F7" s="2704"/>
      <c r="G7" s="2704"/>
      <c r="H7" s="2704"/>
      <c r="I7" s="2704"/>
      <c r="J7" s="2704"/>
      <c r="K7" s="2704"/>
      <c r="L7" s="2704"/>
      <c r="M7" s="2704"/>
      <c r="N7" s="2704"/>
      <c r="O7" s="2704"/>
      <c r="P7" s="2704"/>
      <c r="Q7" s="2704"/>
      <c r="R7" s="2704"/>
      <c r="S7" s="2704"/>
      <c r="T7" s="2704"/>
    </row>
    <row r="8" spans="1:23" s="109" customFormat="1" ht="29.25" customHeight="1" thickBot="1">
      <c r="C8" s="1540">
        <v>11.601000000000001</v>
      </c>
      <c r="D8" s="1525"/>
      <c r="E8" s="2591" t="s">
        <v>860</v>
      </c>
      <c r="F8" s="2727"/>
      <c r="G8" s="2727"/>
      <c r="H8" s="2727"/>
      <c r="I8" s="2727"/>
      <c r="J8" s="2727"/>
      <c r="K8" s="2727"/>
      <c r="L8" s="2727"/>
      <c r="M8" s="2727"/>
      <c r="N8" s="2727"/>
      <c r="O8" s="2727"/>
      <c r="P8" s="2727"/>
      <c r="Q8" s="2727"/>
      <c r="R8" s="2727"/>
      <c r="S8" s="2727"/>
      <c r="T8" s="2728"/>
    </row>
    <row r="9" spans="1:23" s="111" customFormat="1" ht="78" customHeight="1" thickTop="1" thickBot="1">
      <c r="A9" s="1139"/>
      <c r="B9" s="1139"/>
      <c r="C9" s="11" t="s">
        <v>2381</v>
      </c>
      <c r="D9" s="12"/>
      <c r="E9" s="110"/>
      <c r="F9" s="2708" t="s">
        <v>2236</v>
      </c>
      <c r="G9" s="2709"/>
      <c r="H9" s="2709"/>
      <c r="I9" s="2709"/>
      <c r="J9" s="2709"/>
      <c r="K9" s="2709"/>
      <c r="L9" s="2709"/>
      <c r="M9" s="2709"/>
      <c r="N9" s="2709"/>
      <c r="O9" s="2713"/>
      <c r="P9" s="2488">
        <f>score601.1</f>
        <v>0</v>
      </c>
      <c r="Q9" s="2718"/>
      <c r="R9" s="2719"/>
      <c r="S9" s="2719"/>
      <c r="T9" s="2705" t="s">
        <v>18</v>
      </c>
    </row>
    <row r="10" spans="1:23" s="111" customFormat="1" ht="16">
      <c r="A10" s="1139"/>
      <c r="B10" s="1139"/>
      <c r="C10" s="112"/>
      <c r="D10" s="1484"/>
      <c r="E10" s="1484"/>
      <c r="F10" s="348">
        <v>1</v>
      </c>
      <c r="G10" s="2724" t="s">
        <v>212</v>
      </c>
      <c r="H10" s="2724"/>
      <c r="I10" s="2724"/>
      <c r="J10" s="2724"/>
      <c r="K10" s="2724"/>
      <c r="L10" s="349" t="s">
        <v>724</v>
      </c>
      <c r="M10" s="1484"/>
      <c r="N10" s="1484"/>
      <c r="O10" s="2714"/>
      <c r="P10" s="2488"/>
      <c r="Q10" s="2720"/>
      <c r="R10" s="2721"/>
      <c r="S10" s="2721"/>
      <c r="T10" s="2706"/>
    </row>
    <row r="11" spans="1:23" s="111" customFormat="1" ht="16">
      <c r="A11" s="1139"/>
      <c r="B11" s="1139"/>
      <c r="C11" s="112"/>
      <c r="D11" s="1484"/>
      <c r="E11" s="1484"/>
      <c r="F11" s="350">
        <v>2</v>
      </c>
      <c r="G11" s="2725" t="s">
        <v>213</v>
      </c>
      <c r="H11" s="2725"/>
      <c r="I11" s="2725"/>
      <c r="J11" s="2725"/>
      <c r="K11" s="2725"/>
      <c r="L11" s="351" t="s">
        <v>725</v>
      </c>
      <c r="M11" s="1484"/>
      <c r="N11" s="1484"/>
      <c r="O11" s="2714"/>
      <c r="P11" s="2488"/>
      <c r="Q11" s="2720"/>
      <c r="R11" s="2721"/>
      <c r="S11" s="2721"/>
      <c r="T11" s="2706"/>
    </row>
    <row r="12" spans="1:23" s="111" customFormat="1" ht="16">
      <c r="A12" s="1139"/>
      <c r="B12" s="1139"/>
      <c r="C12" s="112"/>
      <c r="D12" s="1484"/>
      <c r="E12" s="1484"/>
      <c r="F12" s="350">
        <v>3</v>
      </c>
      <c r="G12" s="2725" t="s">
        <v>214</v>
      </c>
      <c r="H12" s="2725"/>
      <c r="I12" s="2725"/>
      <c r="J12" s="2725"/>
      <c r="K12" s="2725"/>
      <c r="L12" s="351" t="s">
        <v>726</v>
      </c>
      <c r="M12" s="1484"/>
      <c r="N12" s="1484"/>
      <c r="O12" s="2714"/>
      <c r="P12" s="2488"/>
      <c r="Q12" s="2720"/>
      <c r="R12" s="2721"/>
      <c r="S12" s="2721"/>
      <c r="T12" s="2706"/>
    </row>
    <row r="13" spans="1:23" s="111" customFormat="1" ht="18" customHeight="1" thickBot="1">
      <c r="A13" s="1139"/>
      <c r="B13" s="1139"/>
      <c r="C13" s="112"/>
      <c r="D13" s="1484"/>
      <c r="E13" s="1484"/>
      <c r="F13" s="352">
        <v>4</v>
      </c>
      <c r="G13" s="2726" t="s">
        <v>215</v>
      </c>
      <c r="H13" s="2726"/>
      <c r="I13" s="2726"/>
      <c r="J13" s="2726"/>
      <c r="K13" s="2726"/>
      <c r="L13" s="353" t="s">
        <v>49</v>
      </c>
      <c r="M13" s="463"/>
      <c r="N13" s="463"/>
      <c r="O13" s="2714"/>
      <c r="P13" s="2488"/>
      <c r="Q13" s="2720"/>
      <c r="R13" s="2721"/>
      <c r="S13" s="2721"/>
      <c r="T13" s="2706"/>
    </row>
    <row r="14" spans="1:23" s="111" customFormat="1" ht="29.25" customHeight="1" thickBot="1">
      <c r="A14" s="1139"/>
      <c r="B14" s="1139"/>
      <c r="C14" s="112"/>
      <c r="D14" s="14"/>
      <c r="E14" s="113"/>
      <c r="F14" s="2710" t="str">
        <f>IF(AND(startSquareFootage&lt;=2500, startSquareFootage&gt;0),CONCATENATE("**Your project has ",startSquareFootage," conditioned square feet above grade plane.**"),IF(startSquareFootage&gt;2500,CONCATENATE("**Your project has ",startSquareFootage," conditioned square feet above grade plane, and is not eligible for points in 601.1.**"),CONCATENATE("**Enter the above grade plane conditioned floor area in the Start Here! worksheet.**")))</f>
        <v>**Enter the above grade plane conditioned floor area in the Start Here! worksheet.**</v>
      </c>
      <c r="G14" s="2711"/>
      <c r="H14" s="2711"/>
      <c r="I14" s="2711"/>
      <c r="J14" s="2711"/>
      <c r="K14" s="2711"/>
      <c r="L14" s="2711"/>
      <c r="M14" s="2711"/>
      <c r="N14" s="2712"/>
      <c r="O14" s="2714"/>
      <c r="P14" s="2689"/>
      <c r="Q14" s="2722"/>
      <c r="R14" s="2723"/>
      <c r="S14" s="2723"/>
      <c r="T14" s="2707"/>
    </row>
    <row r="15" spans="1:23" s="114" customFormat="1" ht="45" customHeight="1" thickTop="1">
      <c r="A15" s="1140"/>
      <c r="B15" s="1140"/>
      <c r="C15" s="1947" t="s">
        <v>2382</v>
      </c>
      <c r="D15" s="483"/>
      <c r="E15" s="484"/>
      <c r="F15" s="2574" t="s">
        <v>2259</v>
      </c>
      <c r="G15" s="2575"/>
      <c r="H15" s="2575"/>
      <c r="I15" s="2575"/>
      <c r="J15" s="2575"/>
      <c r="K15" s="2575"/>
      <c r="L15" s="2575"/>
      <c r="M15" s="2575"/>
      <c r="N15" s="2575"/>
      <c r="O15" s="853" t="s">
        <v>1932</v>
      </c>
      <c r="P15" s="1503"/>
      <c r="Q15" s="2735"/>
      <c r="R15" s="2735"/>
      <c r="S15" s="2735"/>
      <c r="T15" s="489"/>
    </row>
    <row r="16" spans="1:23" ht="30" customHeight="1">
      <c r="C16" s="115"/>
      <c r="D16" s="116">
        <v>1</v>
      </c>
      <c r="E16" s="117"/>
      <c r="F16" s="2738" t="s">
        <v>727</v>
      </c>
      <c r="G16" s="2738"/>
      <c r="H16" s="2738"/>
      <c r="I16" s="2738"/>
      <c r="J16" s="2738"/>
      <c r="K16" s="2738"/>
      <c r="L16" s="2738"/>
      <c r="M16" s="2738"/>
      <c r="N16" s="2738"/>
      <c r="O16" s="118">
        <v>3</v>
      </c>
      <c r="P16" s="441"/>
      <c r="Q16" s="2241"/>
      <c r="R16" s="2242"/>
      <c r="S16" s="2242"/>
      <c r="T16" s="520" t="s">
        <v>18</v>
      </c>
    </row>
    <row r="17" spans="3:20" ht="45" customHeight="1">
      <c r="C17" s="115"/>
      <c r="D17" s="1541">
        <v>2</v>
      </c>
      <c r="E17" s="1542"/>
      <c r="F17" s="2585" t="s">
        <v>728</v>
      </c>
      <c r="G17" s="2585"/>
      <c r="H17" s="2585"/>
      <c r="I17" s="2585"/>
      <c r="J17" s="2585"/>
      <c r="K17" s="2585"/>
      <c r="L17" s="2585"/>
      <c r="M17" s="2585"/>
      <c r="N17" s="2585"/>
      <c r="O17" s="1543">
        <v>3</v>
      </c>
      <c r="P17" s="615"/>
      <c r="Q17" s="2243"/>
      <c r="R17" s="2244"/>
      <c r="S17" s="2244"/>
      <c r="T17" s="518" t="s">
        <v>18</v>
      </c>
    </row>
    <row r="18" spans="3:20" ht="30" customHeight="1" thickBot="1">
      <c r="C18" s="485"/>
      <c r="D18" s="486">
        <v>3</v>
      </c>
      <c r="E18" s="487"/>
      <c r="F18" s="2756" t="s">
        <v>729</v>
      </c>
      <c r="G18" s="2756"/>
      <c r="H18" s="2756"/>
      <c r="I18" s="2756"/>
      <c r="J18" s="2756"/>
      <c r="K18" s="2756"/>
      <c r="L18" s="2756"/>
      <c r="M18" s="2756"/>
      <c r="N18" s="2756"/>
      <c r="O18" s="488">
        <v>3</v>
      </c>
      <c r="P18" s="871"/>
      <c r="Q18" s="2315"/>
      <c r="R18" s="2316"/>
      <c r="S18" s="2316"/>
      <c r="T18" s="519" t="s">
        <v>18</v>
      </c>
    </row>
    <row r="19" spans="3:20" ht="51" customHeight="1" thickTop="1">
      <c r="C19" s="354" t="s">
        <v>2383</v>
      </c>
      <c r="D19" s="355"/>
      <c r="E19" s="356"/>
      <c r="F19" s="2574" t="s">
        <v>2260</v>
      </c>
      <c r="G19" s="2574"/>
      <c r="H19" s="2574"/>
      <c r="I19" s="2574"/>
      <c r="J19" s="2574"/>
      <c r="K19" s="2574"/>
      <c r="L19" s="2574"/>
      <c r="M19" s="2574"/>
      <c r="N19" s="2574"/>
      <c r="O19" s="344"/>
      <c r="P19" s="357"/>
      <c r="Q19" s="2739"/>
      <c r="R19" s="2739"/>
      <c r="S19" s="2740"/>
      <c r="T19" s="490"/>
    </row>
    <row r="20" spans="3:20" ht="15" customHeight="1">
      <c r="C20" s="115"/>
      <c r="D20" s="116">
        <v>1</v>
      </c>
      <c r="E20" s="117"/>
      <c r="F20" s="2738" t="s">
        <v>216</v>
      </c>
      <c r="G20" s="2738"/>
      <c r="H20" s="2738"/>
      <c r="I20" s="2738"/>
      <c r="J20" s="2738"/>
      <c r="K20" s="2738"/>
      <c r="L20" s="2738"/>
      <c r="M20" s="2738"/>
      <c r="N20" s="2738"/>
      <c r="O20" s="118">
        <v>3</v>
      </c>
      <c r="P20" s="441"/>
      <c r="Q20" s="2241"/>
      <c r="R20" s="2242"/>
      <c r="S20" s="2242"/>
      <c r="T20" s="520" t="s">
        <v>18</v>
      </c>
    </row>
    <row r="21" spans="3:20" ht="15" customHeight="1">
      <c r="C21" s="115"/>
      <c r="D21" s="1541">
        <v>2</v>
      </c>
      <c r="E21" s="1542"/>
      <c r="F21" s="2585" t="s">
        <v>217</v>
      </c>
      <c r="G21" s="2585"/>
      <c r="H21" s="2585"/>
      <c r="I21" s="2585"/>
      <c r="J21" s="2585"/>
      <c r="K21" s="2585"/>
      <c r="L21" s="2585"/>
      <c r="M21" s="2585"/>
      <c r="N21" s="2585"/>
      <c r="O21" s="1543">
        <v>3</v>
      </c>
      <c r="P21" s="615"/>
      <c r="Q21" s="2243"/>
      <c r="R21" s="2244"/>
      <c r="S21" s="2244"/>
      <c r="T21" s="518" t="s">
        <v>18</v>
      </c>
    </row>
    <row r="22" spans="3:20" ht="15" customHeight="1">
      <c r="C22" s="115"/>
      <c r="D22" s="1541">
        <v>3</v>
      </c>
      <c r="E22" s="1542"/>
      <c r="F22" s="2585" t="s">
        <v>218</v>
      </c>
      <c r="G22" s="2585"/>
      <c r="H22" s="2585"/>
      <c r="I22" s="2585"/>
      <c r="J22" s="2585"/>
      <c r="K22" s="2585"/>
      <c r="L22" s="2585"/>
      <c r="M22" s="2585"/>
      <c r="N22" s="2585"/>
      <c r="O22" s="1543">
        <v>3</v>
      </c>
      <c r="P22" s="615"/>
      <c r="Q22" s="2243"/>
      <c r="R22" s="2244"/>
      <c r="S22" s="2244"/>
      <c r="T22" s="518" t="s">
        <v>18</v>
      </c>
    </row>
    <row r="23" spans="3:20" ht="15" customHeight="1">
      <c r="C23" s="115"/>
      <c r="D23" s="1541">
        <v>4</v>
      </c>
      <c r="E23" s="1542"/>
      <c r="F23" s="2585" t="s">
        <v>219</v>
      </c>
      <c r="G23" s="2585"/>
      <c r="H23" s="2585"/>
      <c r="I23" s="2585"/>
      <c r="J23" s="2585"/>
      <c r="K23" s="2585"/>
      <c r="L23" s="2585"/>
      <c r="M23" s="2585"/>
      <c r="N23" s="2585"/>
      <c r="O23" s="1543">
        <v>3</v>
      </c>
      <c r="P23" s="615"/>
      <c r="Q23" s="2243"/>
      <c r="R23" s="2244"/>
      <c r="S23" s="2244"/>
      <c r="T23" s="518" t="s">
        <v>18</v>
      </c>
    </row>
    <row r="24" spans="3:20" ht="15.75" customHeight="1" thickBot="1">
      <c r="C24" s="115"/>
      <c r="D24" s="1524">
        <v>5</v>
      </c>
      <c r="E24" s="119"/>
      <c r="F24" s="2593" t="s">
        <v>220</v>
      </c>
      <c r="G24" s="2593"/>
      <c r="H24" s="2593"/>
      <c r="I24" s="2593"/>
      <c r="J24" s="2593"/>
      <c r="K24" s="2593"/>
      <c r="L24" s="2593"/>
      <c r="M24" s="2593"/>
      <c r="N24" s="2593"/>
      <c r="O24" s="1495">
        <v>1</v>
      </c>
      <c r="P24" s="868"/>
      <c r="Q24" s="2315"/>
      <c r="R24" s="2316"/>
      <c r="S24" s="2316"/>
      <c r="T24" s="519" t="s">
        <v>18</v>
      </c>
    </row>
    <row r="25" spans="3:20" ht="30" customHeight="1" thickTop="1" thickBot="1">
      <c r="C25" s="120" t="s">
        <v>2384</v>
      </c>
      <c r="D25" s="1544"/>
      <c r="E25" s="1545"/>
      <c r="F25" s="2529" t="s">
        <v>2261</v>
      </c>
      <c r="G25" s="2530"/>
      <c r="H25" s="2530"/>
      <c r="I25" s="2530"/>
      <c r="J25" s="2530"/>
      <c r="K25" s="2530"/>
      <c r="L25" s="2530"/>
      <c r="M25" s="2530"/>
      <c r="N25" s="2530"/>
      <c r="O25" s="1546">
        <v>4</v>
      </c>
      <c r="P25" s="1547"/>
      <c r="Q25" s="2514"/>
      <c r="R25" s="2515"/>
      <c r="S25" s="2515"/>
      <c r="T25" s="521" t="s">
        <v>18</v>
      </c>
    </row>
    <row r="26" spans="3:20" ht="43.5" customHeight="1" thickTop="1">
      <c r="C26" s="1548" t="s">
        <v>2385</v>
      </c>
      <c r="D26" s="121"/>
      <c r="E26" s="1514"/>
      <c r="F26" s="2736" t="s">
        <v>2262</v>
      </c>
      <c r="G26" s="2737"/>
      <c r="H26" s="2737"/>
      <c r="I26" s="2737"/>
      <c r="J26" s="2737"/>
      <c r="K26" s="2737"/>
      <c r="L26" s="2737"/>
      <c r="M26" s="2737"/>
      <c r="N26" s="2737"/>
      <c r="O26" s="2741" t="s">
        <v>2120</v>
      </c>
      <c r="P26" s="2743"/>
      <c r="Q26" s="2753"/>
      <c r="R26" s="2753"/>
      <c r="S26" s="2753"/>
      <c r="T26" s="2751"/>
    </row>
    <row r="27" spans="3:20" ht="15">
      <c r="C27" s="81"/>
      <c r="D27" s="122"/>
      <c r="E27" s="1484"/>
      <c r="F27" s="2757" t="s">
        <v>221</v>
      </c>
      <c r="G27" s="2758"/>
      <c r="H27" s="2758"/>
      <c r="I27" s="2758"/>
      <c r="J27" s="2758"/>
      <c r="K27" s="2758"/>
      <c r="L27" s="2758"/>
      <c r="M27" s="2758"/>
      <c r="N27" s="2759"/>
      <c r="O27" s="2742"/>
      <c r="P27" s="2744"/>
      <c r="Q27" s="2754"/>
      <c r="R27" s="2754"/>
      <c r="S27" s="2754"/>
      <c r="T27" s="2752"/>
    </row>
    <row r="28" spans="3:20" ht="15" customHeight="1">
      <c r="C28" s="115"/>
      <c r="D28" s="1524">
        <v>1</v>
      </c>
      <c r="E28" s="119"/>
      <c r="F28" s="2525" t="s">
        <v>222</v>
      </c>
      <c r="G28" s="2525"/>
      <c r="H28" s="2525"/>
      <c r="I28" s="2525"/>
      <c r="J28" s="2525"/>
      <c r="K28" s="2525"/>
      <c r="L28" s="2525"/>
      <c r="M28" s="2525"/>
      <c r="N28" s="2525"/>
      <c r="O28" s="1513">
        <v>4</v>
      </c>
      <c r="P28" s="358"/>
      <c r="Q28" s="2745"/>
      <c r="R28" s="2746"/>
      <c r="S28" s="2746"/>
      <c r="T28" s="2618" t="s">
        <v>18</v>
      </c>
    </row>
    <row r="29" spans="3:20" ht="15" customHeight="1">
      <c r="C29" s="115"/>
      <c r="D29" s="1524">
        <v>2</v>
      </c>
      <c r="E29" s="119"/>
      <c r="F29" s="2525" t="s">
        <v>223</v>
      </c>
      <c r="G29" s="2525"/>
      <c r="H29" s="2525"/>
      <c r="I29" s="2525"/>
      <c r="J29" s="2525"/>
      <c r="K29" s="2525"/>
      <c r="L29" s="2525"/>
      <c r="M29" s="2525"/>
      <c r="N29" s="2525"/>
      <c r="O29" s="1513">
        <v>4</v>
      </c>
      <c r="P29" s="358"/>
      <c r="Q29" s="2747"/>
      <c r="R29" s="2748"/>
      <c r="S29" s="2748"/>
      <c r="T29" s="2618"/>
    </row>
    <row r="30" spans="3:20" ht="15" customHeight="1">
      <c r="C30" s="115"/>
      <c r="D30" s="116">
        <v>3</v>
      </c>
      <c r="E30" s="117"/>
      <c r="F30" s="2755" t="s">
        <v>224</v>
      </c>
      <c r="G30" s="2755"/>
      <c r="H30" s="2755"/>
      <c r="I30" s="2755"/>
      <c r="J30" s="2755"/>
      <c r="K30" s="2755"/>
      <c r="L30" s="2755"/>
      <c r="M30" s="2755"/>
      <c r="N30" s="2755"/>
      <c r="O30" s="123">
        <v>4</v>
      </c>
      <c r="P30" s="359"/>
      <c r="Q30" s="2494"/>
      <c r="R30" s="2495"/>
      <c r="S30" s="2495"/>
      <c r="T30" s="2760"/>
    </row>
    <row r="31" spans="3:20" ht="15" customHeight="1">
      <c r="C31" s="115"/>
      <c r="D31" s="1541">
        <v>4</v>
      </c>
      <c r="E31" s="1542"/>
      <c r="F31" s="2585" t="s">
        <v>225</v>
      </c>
      <c r="G31" s="2585"/>
      <c r="H31" s="2585"/>
      <c r="I31" s="2585"/>
      <c r="J31" s="2585"/>
      <c r="K31" s="2585"/>
      <c r="L31" s="2585"/>
      <c r="M31" s="2585"/>
      <c r="N31" s="2585"/>
      <c r="O31" s="1549">
        <v>13</v>
      </c>
      <c r="P31" s="615"/>
      <c r="Q31" s="2242"/>
      <c r="R31" s="2242"/>
      <c r="S31" s="2242"/>
      <c r="T31" s="1492" t="s">
        <v>18</v>
      </c>
    </row>
    <row r="32" spans="3:20" ht="15.75" customHeight="1" thickBot="1">
      <c r="C32" s="115"/>
      <c r="D32" s="1524">
        <v>5</v>
      </c>
      <c r="E32" s="119"/>
      <c r="F32" s="2593" t="s">
        <v>226</v>
      </c>
      <c r="G32" s="2593"/>
      <c r="H32" s="2593"/>
      <c r="I32" s="2593"/>
      <c r="J32" s="2593"/>
      <c r="K32" s="2593"/>
      <c r="L32" s="2593"/>
      <c r="M32" s="2593"/>
      <c r="N32" s="2593"/>
      <c r="O32" s="1513">
        <v>13</v>
      </c>
      <c r="P32" s="558"/>
      <c r="Q32" s="2380"/>
      <c r="R32" s="2380"/>
      <c r="S32" s="2380"/>
      <c r="T32" s="922" t="s">
        <v>18</v>
      </c>
    </row>
    <row r="33" spans="2:20" ht="60" customHeight="1" thickTop="1" thickBot="1">
      <c r="C33" s="1550" t="s">
        <v>2386</v>
      </c>
      <c r="D33" s="1485"/>
      <c r="E33" s="1486"/>
      <c r="F33" s="2736" t="s">
        <v>227</v>
      </c>
      <c r="G33" s="2737"/>
      <c r="H33" s="2737"/>
      <c r="I33" s="2737"/>
      <c r="J33" s="2737"/>
      <c r="K33" s="2737"/>
      <c r="L33" s="2737"/>
      <c r="M33" s="2737"/>
      <c r="N33" s="2737"/>
      <c r="O33" s="2761" t="s">
        <v>1760</v>
      </c>
      <c r="P33" s="1163"/>
      <c r="Q33" s="2450"/>
      <c r="R33" s="2450"/>
      <c r="S33" s="2450"/>
      <c r="T33" s="2764" t="s">
        <v>18</v>
      </c>
    </row>
    <row r="34" spans="2:20" ht="15">
      <c r="C34" s="360"/>
      <c r="D34" s="1530"/>
      <c r="E34" s="1530"/>
      <c r="F34" s="361">
        <v>1</v>
      </c>
      <c r="G34" s="2767" t="s">
        <v>228</v>
      </c>
      <c r="H34" s="2767"/>
      <c r="I34" s="362" t="s">
        <v>48</v>
      </c>
      <c r="J34" s="363"/>
      <c r="K34" s="364"/>
      <c r="L34" s="364"/>
      <c r="M34" s="364"/>
      <c r="N34" s="364"/>
      <c r="O34" s="2762"/>
      <c r="P34" s="2488">
        <f>score601.6</f>
        <v>0</v>
      </c>
      <c r="Q34" s="2255"/>
      <c r="R34" s="2255"/>
      <c r="S34" s="2255"/>
      <c r="T34" s="2765"/>
    </row>
    <row r="35" spans="2:20" ht="12.75" customHeight="1">
      <c r="C35" s="360"/>
      <c r="D35" s="1530"/>
      <c r="E35" s="1530"/>
      <c r="F35" s="1551">
        <v>2</v>
      </c>
      <c r="G35" s="2768" t="s">
        <v>229</v>
      </c>
      <c r="H35" s="2768"/>
      <c r="I35" s="1552" t="s">
        <v>49</v>
      </c>
      <c r="J35" s="365"/>
      <c r="K35" s="1490"/>
      <c r="L35" s="1490"/>
      <c r="M35" s="1490"/>
      <c r="N35" s="1490"/>
      <c r="O35" s="2762"/>
      <c r="P35" s="2488"/>
      <c r="Q35" s="2255"/>
      <c r="R35" s="2255"/>
      <c r="S35" s="2255"/>
      <c r="T35" s="2765"/>
    </row>
    <row r="36" spans="2:20" ht="13.5" customHeight="1" thickBot="1">
      <c r="C36" s="360"/>
      <c r="D36" s="1530"/>
      <c r="E36" s="1530"/>
      <c r="F36" s="366">
        <v>3</v>
      </c>
      <c r="G36" s="2769" t="s">
        <v>230</v>
      </c>
      <c r="H36" s="2769"/>
      <c r="I36" s="367" t="s">
        <v>99</v>
      </c>
      <c r="J36" s="1553"/>
      <c r="K36" s="1498"/>
      <c r="L36" s="1498"/>
      <c r="M36" s="1498"/>
      <c r="N36" s="1498"/>
      <c r="O36" s="2763"/>
      <c r="P36" s="2488"/>
      <c r="Q36" s="2521"/>
      <c r="R36" s="2521"/>
      <c r="S36" s="2521"/>
      <c r="T36" s="2766"/>
    </row>
    <row r="37" spans="2:20" ht="190" customHeight="1" thickTop="1">
      <c r="C37" s="1550" t="s">
        <v>2387</v>
      </c>
      <c r="D37" s="1485"/>
      <c r="E37" s="1486"/>
      <c r="F37" s="2736" t="s">
        <v>730</v>
      </c>
      <c r="G37" s="2737"/>
      <c r="H37" s="2737"/>
      <c r="I37" s="2737"/>
      <c r="J37" s="2737"/>
      <c r="K37" s="2737"/>
      <c r="L37" s="2737"/>
      <c r="M37" s="2737"/>
      <c r="N37" s="2737"/>
      <c r="O37" s="494" t="s">
        <v>231</v>
      </c>
      <c r="P37" s="369"/>
      <c r="Q37" s="2749"/>
      <c r="R37" s="2749"/>
      <c r="S37" s="2750"/>
      <c r="T37" s="1554"/>
    </row>
    <row r="38" spans="2:20" ht="18" customHeight="1">
      <c r="C38" s="124"/>
      <c r="D38" s="125"/>
      <c r="E38" s="126"/>
      <c r="F38" s="2782" t="s">
        <v>876</v>
      </c>
      <c r="G38" s="2782"/>
      <c r="H38" s="2782"/>
      <c r="I38" s="2782"/>
      <c r="J38" s="2782"/>
      <c r="K38" s="2782"/>
      <c r="L38" s="2782"/>
      <c r="M38" s="2782"/>
      <c r="N38" s="2782"/>
      <c r="O38" s="492" t="s">
        <v>873</v>
      </c>
      <c r="P38" s="539"/>
      <c r="Q38" s="2783"/>
      <c r="R38" s="2783"/>
      <c r="S38" s="2783"/>
      <c r="T38" s="2561" t="s">
        <v>18</v>
      </c>
    </row>
    <row r="39" spans="2:20" ht="18" customHeight="1">
      <c r="C39" s="124"/>
      <c r="D39" s="125"/>
      <c r="E39" s="126"/>
      <c r="F39" s="2782" t="s">
        <v>877</v>
      </c>
      <c r="G39" s="2782"/>
      <c r="H39" s="2782"/>
      <c r="I39" s="2782"/>
      <c r="J39" s="2782"/>
      <c r="K39" s="2782"/>
      <c r="L39" s="2782"/>
      <c r="M39" s="2782"/>
      <c r="N39" s="2782"/>
      <c r="O39" s="493" t="s">
        <v>874</v>
      </c>
      <c r="P39" s="539"/>
      <c r="Q39" s="2783"/>
      <c r="R39" s="2783"/>
      <c r="S39" s="2783"/>
      <c r="T39" s="2561"/>
    </row>
    <row r="40" spans="2:20" ht="18" customHeight="1">
      <c r="C40" s="124"/>
      <c r="D40" s="125"/>
      <c r="E40" s="126"/>
      <c r="F40" s="2573" t="s">
        <v>878</v>
      </c>
      <c r="G40" s="2573"/>
      <c r="H40" s="2573"/>
      <c r="I40" s="2573"/>
      <c r="J40" s="2573"/>
      <c r="K40" s="2573"/>
      <c r="L40" s="2573"/>
      <c r="M40" s="2573"/>
      <c r="N40" s="2573"/>
      <c r="O40" s="493" t="s">
        <v>875</v>
      </c>
      <c r="P40" s="539"/>
      <c r="Q40" s="2783"/>
      <c r="R40" s="2783"/>
      <c r="S40" s="2783"/>
      <c r="T40" s="2561"/>
    </row>
    <row r="41" spans="2:20" ht="75" customHeight="1" thickBot="1">
      <c r="C41" s="166"/>
      <c r="D41" s="368"/>
      <c r="E41" s="1530"/>
      <c r="F41" s="2792" t="s">
        <v>731</v>
      </c>
      <c r="G41" s="2792"/>
      <c r="H41" s="2792"/>
      <c r="I41" s="2792"/>
      <c r="J41" s="2792"/>
      <c r="K41" s="2792"/>
      <c r="L41" s="2792"/>
      <c r="M41" s="2792"/>
      <c r="N41" s="2792"/>
      <c r="O41" s="464"/>
      <c r="P41" s="482">
        <f>IF(SUM(choice601.7_1*5,choice601.7_2*2,choice601.7_3)&gt;12, 12, SUM(choice601.7_1*5,choice601.7_2*2,choice601.7_3))</f>
        <v>0</v>
      </c>
      <c r="Q41" s="2784"/>
      <c r="R41" s="2784"/>
      <c r="S41" s="2784"/>
      <c r="T41" s="2562"/>
    </row>
    <row r="42" spans="2:20" ht="60" customHeight="1" thickTop="1">
      <c r="B42" s="1138" t="str">
        <f>IF(startFoundation="Basement", "x", "")</f>
        <v/>
      </c>
      <c r="C42" s="2563" t="s">
        <v>2388</v>
      </c>
      <c r="D42" s="2565"/>
      <c r="E42" s="2565"/>
      <c r="F42" s="2770" t="s">
        <v>2237</v>
      </c>
      <c r="G42" s="2771"/>
      <c r="H42" s="2771"/>
      <c r="I42" s="2771"/>
      <c r="J42" s="2771"/>
      <c r="K42" s="2771"/>
      <c r="L42" s="2771"/>
      <c r="M42" s="2771"/>
      <c r="N42" s="2771"/>
      <c r="O42" s="2772">
        <v>3</v>
      </c>
      <c r="P42" s="2779"/>
      <c r="Q42" s="2785"/>
      <c r="R42" s="2786"/>
      <c r="S42" s="2786"/>
      <c r="T42" s="2576" t="s">
        <v>18</v>
      </c>
    </row>
    <row r="43" spans="2:20" ht="39" customHeight="1" thickBot="1">
      <c r="B43" s="1138" t="str">
        <f>IF(startFoundation="Basement", "x", "")</f>
        <v/>
      </c>
      <c r="C43" s="2564"/>
      <c r="D43" s="2566"/>
      <c r="E43" s="2566"/>
      <c r="F43" s="2781" t="s">
        <v>732</v>
      </c>
      <c r="G43" s="2781"/>
      <c r="H43" s="2781"/>
      <c r="I43" s="2781"/>
      <c r="J43" s="2781"/>
      <c r="K43" s="2781"/>
      <c r="L43" s="2781"/>
      <c r="M43" s="2781"/>
      <c r="N43" s="2781"/>
      <c r="O43" s="2773"/>
      <c r="P43" s="2780"/>
      <c r="Q43" s="2787"/>
      <c r="R43" s="2784"/>
      <c r="S43" s="2784"/>
      <c r="T43" s="2561"/>
    </row>
    <row r="44" spans="2:20" ht="90" customHeight="1" thickTop="1">
      <c r="C44" s="2567" t="s">
        <v>2389</v>
      </c>
      <c r="D44" s="2568"/>
      <c r="E44" s="2568"/>
      <c r="F44" s="2574" t="s">
        <v>232</v>
      </c>
      <c r="G44" s="2575"/>
      <c r="H44" s="2575"/>
      <c r="I44" s="2575"/>
      <c r="J44" s="2575"/>
      <c r="K44" s="2575"/>
      <c r="L44" s="2575"/>
      <c r="M44" s="2575"/>
      <c r="N44" s="2575"/>
      <c r="O44" s="2579">
        <v>4</v>
      </c>
      <c r="P44" s="2581"/>
      <c r="Q44" s="2569"/>
      <c r="R44" s="2569"/>
      <c r="S44" s="2570"/>
      <c r="T44" s="2576" t="s">
        <v>18</v>
      </c>
    </row>
    <row r="45" spans="2:20" ht="15" customHeight="1">
      <c r="C45" s="2489"/>
      <c r="D45" s="2519"/>
      <c r="E45" s="2519"/>
      <c r="F45" s="2239" t="s">
        <v>733</v>
      </c>
      <c r="G45" s="2239"/>
      <c r="H45" s="2239"/>
      <c r="I45" s="2239"/>
      <c r="J45" s="2239"/>
      <c r="K45" s="2239"/>
      <c r="L45" s="2239"/>
      <c r="M45" s="2239"/>
      <c r="N45" s="2239"/>
      <c r="O45" s="2580"/>
      <c r="P45" s="2409"/>
      <c r="Q45" s="2571"/>
      <c r="R45" s="2571"/>
      <c r="S45" s="2572"/>
      <c r="T45" s="2561"/>
    </row>
    <row r="46" spans="2:20" ht="15">
      <c r="C46" s="2559" t="s">
        <v>2390</v>
      </c>
      <c r="D46" s="2559"/>
      <c r="E46" s="2559"/>
      <c r="F46" s="2559"/>
      <c r="G46" s="2559"/>
      <c r="H46" s="2559"/>
      <c r="I46" s="2559"/>
      <c r="J46" s="2559"/>
      <c r="K46" s="2559"/>
      <c r="L46" s="2559"/>
      <c r="M46" s="2559"/>
      <c r="N46" s="2559"/>
      <c r="O46" s="2559"/>
      <c r="P46" s="2559"/>
      <c r="Q46" s="2559"/>
      <c r="R46" s="2559"/>
      <c r="S46" s="2559"/>
      <c r="T46" s="2559"/>
    </row>
    <row r="47" spans="2:20" s="109" customFormat="1" ht="18.75" customHeight="1" thickBot="1">
      <c r="C47" s="1555">
        <v>11.602</v>
      </c>
      <c r="D47" s="1531"/>
      <c r="E47" s="2799" t="s">
        <v>734</v>
      </c>
      <c r="F47" s="2800"/>
      <c r="G47" s="2800"/>
      <c r="H47" s="2800"/>
      <c r="I47" s="2800"/>
      <c r="J47" s="2800"/>
      <c r="K47" s="2800"/>
      <c r="L47" s="2800"/>
      <c r="M47" s="2800"/>
      <c r="N47" s="2800"/>
      <c r="O47" s="2800"/>
      <c r="P47" s="2800"/>
      <c r="Q47" s="2800"/>
      <c r="R47" s="2800"/>
      <c r="S47" s="2800"/>
      <c r="T47" s="2801"/>
    </row>
    <row r="48" spans="2:20" s="109" customFormat="1" ht="15" customHeight="1" thickTop="1">
      <c r="C48" s="371" t="s">
        <v>2391</v>
      </c>
      <c r="D48" s="1529"/>
      <c r="E48" s="1529"/>
      <c r="F48" s="2808" t="s">
        <v>735</v>
      </c>
      <c r="G48" s="2808"/>
      <c r="H48" s="2808"/>
      <c r="I48" s="2808"/>
      <c r="J48" s="2808"/>
      <c r="K48" s="2808"/>
      <c r="L48" s="2808"/>
      <c r="M48" s="2808"/>
      <c r="N48" s="2808"/>
      <c r="O48" s="1529"/>
      <c r="P48" s="1529"/>
      <c r="Q48" s="2582"/>
      <c r="R48" s="2582"/>
      <c r="S48" s="2582"/>
      <c r="T48" s="1556"/>
    </row>
    <row r="49" spans="1:22" s="28" customFormat="1" ht="15">
      <c r="A49" s="167"/>
      <c r="B49" s="167"/>
      <c r="C49" s="1557" t="s">
        <v>2392</v>
      </c>
      <c r="D49" s="1558"/>
      <c r="E49" s="1558"/>
      <c r="F49" s="2804" t="s">
        <v>385</v>
      </c>
      <c r="G49" s="2804"/>
      <c r="H49" s="2804"/>
      <c r="I49" s="2804"/>
      <c r="J49" s="2804"/>
      <c r="K49" s="2804"/>
      <c r="L49" s="2804"/>
      <c r="M49" s="2804"/>
      <c r="N49" s="2804"/>
      <c r="O49" s="1559"/>
      <c r="P49" s="1560"/>
      <c r="Q49" s="2539"/>
      <c r="R49" s="2539"/>
      <c r="S49" s="2539"/>
      <c r="T49" s="83"/>
    </row>
    <row r="50" spans="1:22" s="28" customFormat="1" ht="50.25" customHeight="1">
      <c r="A50" s="1138" t="str">
        <f>IF(OR(startFoundation="Basement",startFoundation="Basement &amp; vented crawlspace",startFoundation="Basement &amp; slab on grade"), "x", "")</f>
        <v/>
      </c>
      <c r="B50" s="167" t="str">
        <f>IF(OR(startFoundation="Vented crawlspace",startFoundation="Conditioned crawlspace"),"x","")</f>
        <v/>
      </c>
      <c r="C50" s="2809" t="s">
        <v>2393</v>
      </c>
      <c r="D50" s="2810"/>
      <c r="E50" s="1535"/>
      <c r="F50" s="2336" t="s">
        <v>2269</v>
      </c>
      <c r="G50" s="2336"/>
      <c r="H50" s="2336"/>
      <c r="I50" s="2336"/>
      <c r="J50" s="2336"/>
      <c r="K50" s="2336"/>
      <c r="L50" s="2336"/>
      <c r="M50" s="2336"/>
      <c r="N50" s="2336"/>
      <c r="O50" s="861" t="s">
        <v>295</v>
      </c>
      <c r="P50" s="1914"/>
      <c r="Q50" s="2536"/>
      <c r="R50" s="2536"/>
      <c r="S50" s="2536"/>
      <c r="T50" s="1474" t="s">
        <v>18</v>
      </c>
    </row>
    <row r="51" spans="1:22" s="28" customFormat="1" ht="43.5" customHeight="1" thickBot="1">
      <c r="A51" s="167"/>
      <c r="B51" s="167"/>
      <c r="C51" s="2805" t="s">
        <v>2394</v>
      </c>
      <c r="D51" s="2806"/>
      <c r="E51" s="1561"/>
      <c r="F51" s="2807" t="s">
        <v>2263</v>
      </c>
      <c r="G51" s="2807"/>
      <c r="H51" s="2807"/>
      <c r="I51" s="2807"/>
      <c r="J51" s="2807"/>
      <c r="K51" s="2807"/>
      <c r="L51" s="2807"/>
      <c r="M51" s="2807"/>
      <c r="N51" s="2807"/>
      <c r="O51" s="1562">
        <v>3</v>
      </c>
      <c r="P51" s="923"/>
      <c r="Q51" s="2560"/>
      <c r="R51" s="2560"/>
      <c r="S51" s="2560"/>
      <c r="T51" s="1563" t="s">
        <v>18</v>
      </c>
    </row>
    <row r="52" spans="1:22" ht="45" customHeight="1" thickTop="1">
      <c r="B52" s="1138" t="str">
        <f>IF(startFoundation="Slab on grade", "x", "")</f>
        <v/>
      </c>
      <c r="C52" s="1998" t="s">
        <v>2395</v>
      </c>
      <c r="D52" s="2000"/>
      <c r="E52" s="2890"/>
      <c r="F52" s="2736" t="s">
        <v>2265</v>
      </c>
      <c r="G52" s="2736"/>
      <c r="H52" s="2736"/>
      <c r="I52" s="2736"/>
      <c r="J52" s="2736"/>
      <c r="K52" s="2736"/>
      <c r="L52" s="2736"/>
      <c r="M52" s="2736"/>
      <c r="N52" s="2736"/>
      <c r="O52" s="2793">
        <v>4</v>
      </c>
      <c r="P52" s="1156"/>
      <c r="Q52" s="2791"/>
      <c r="R52" s="2254"/>
      <c r="S52" s="2254"/>
      <c r="T52" s="2577" t="s">
        <v>18</v>
      </c>
    </row>
    <row r="53" spans="1:22" ht="22.5" customHeight="1" thickBot="1">
      <c r="B53" s="1138" t="str">
        <f>IF(startFoundation="Slab on grade", "x", "")</f>
        <v/>
      </c>
      <c r="C53" s="1999"/>
      <c r="D53" s="2001"/>
      <c r="E53" s="2891"/>
      <c r="F53" s="2798"/>
      <c r="G53" s="2798"/>
      <c r="H53" s="2798"/>
      <c r="I53" s="2798"/>
      <c r="J53" s="2798"/>
      <c r="K53" s="2798"/>
      <c r="L53" s="2798"/>
      <c r="M53" s="2798"/>
      <c r="N53" s="2798"/>
      <c r="O53" s="2703"/>
      <c r="P53" s="1502">
        <f>score602.1.2</f>
        <v>0</v>
      </c>
      <c r="Q53" s="2521"/>
      <c r="R53" s="2521"/>
      <c r="S53" s="2521"/>
      <c r="T53" s="2578"/>
    </row>
    <row r="54" spans="1:22" ht="15" customHeight="1" thickTop="1">
      <c r="B54" s="167" t="str">
        <f>IF(OR(startFoundation="Vented crawlspace",startFoundation="Conditioned crawlspace",startFoundation="Slab on grade",startFoundation="Slab + crawlspace"),"x","")</f>
        <v/>
      </c>
      <c r="C54" s="1548" t="s">
        <v>2396</v>
      </c>
      <c r="D54" s="128"/>
      <c r="E54" s="129"/>
      <c r="F54" s="2802" t="s">
        <v>239</v>
      </c>
      <c r="G54" s="2803"/>
      <c r="H54" s="2803"/>
      <c r="I54" s="2803"/>
      <c r="J54" s="2803"/>
      <c r="K54" s="2803"/>
      <c r="L54" s="2803"/>
      <c r="M54" s="2803"/>
      <c r="N54" s="2803"/>
      <c r="O54" s="1538"/>
      <c r="P54" s="1538"/>
      <c r="Q54" s="2584"/>
      <c r="R54" s="2584"/>
      <c r="S54" s="2584"/>
      <c r="T54" s="924"/>
    </row>
    <row r="55" spans="1:22" ht="44.25" customHeight="1">
      <c r="A55" s="1138" t="str">
        <f>IF(OR(startFoundation="Basement",startFoundation="Basement &amp; vented crawlspace",startFoundation="Basement &amp; slab on grade"), "x", "")</f>
        <v/>
      </c>
      <c r="B55" s="167" t="str">
        <f>IF(OR(startFoundation="Vented crawlspace",startFoundation="Conditioned crawlspace",startFoundation="Slab on grade",startFoundation="Slab + crawlspace"),"x","")</f>
        <v/>
      </c>
      <c r="C55" s="2811" t="s">
        <v>2397</v>
      </c>
      <c r="D55" s="2812"/>
      <c r="E55" s="130"/>
      <c r="F55" s="2738" t="s">
        <v>2271</v>
      </c>
      <c r="G55" s="2738"/>
      <c r="H55" s="2738"/>
      <c r="I55" s="2738"/>
      <c r="J55" s="2738"/>
      <c r="K55" s="2738"/>
      <c r="L55" s="2738"/>
      <c r="M55" s="2738"/>
      <c r="N55" s="2738"/>
      <c r="O55" s="466" t="s">
        <v>240</v>
      </c>
      <c r="P55" s="1915"/>
      <c r="Q55" s="2536"/>
      <c r="R55" s="2536"/>
      <c r="S55" s="2536"/>
      <c r="T55" s="522" t="s">
        <v>18</v>
      </c>
    </row>
    <row r="56" spans="1:22" ht="42" customHeight="1" thickBot="1">
      <c r="B56" s="1143"/>
      <c r="C56" s="2813" t="s">
        <v>2398</v>
      </c>
      <c r="D56" s="2814"/>
      <c r="E56" s="1564"/>
      <c r="F56" s="2593" t="s">
        <v>2264</v>
      </c>
      <c r="G56" s="2593"/>
      <c r="H56" s="2593"/>
      <c r="I56" s="2593"/>
      <c r="J56" s="2593"/>
      <c r="K56" s="2593"/>
      <c r="L56" s="2593"/>
      <c r="M56" s="2593"/>
      <c r="N56" s="2593"/>
      <c r="O56" s="1565">
        <v>4</v>
      </c>
      <c r="P56" s="925"/>
      <c r="Q56" s="2693"/>
      <c r="R56" s="2693"/>
      <c r="S56" s="2693"/>
      <c r="T56" s="523" t="s">
        <v>18</v>
      </c>
    </row>
    <row r="57" spans="1:22" s="28" customFormat="1" ht="16" thickTop="1">
      <c r="A57" s="167"/>
      <c r="B57" s="167" t="str">
        <f>IF(OR(startFoundation="Basement",startFoundation="Slab on grade",startFoundation="Basement &amp; slab on grade"), "x", "")</f>
        <v/>
      </c>
      <c r="C57" s="1566" t="s">
        <v>2399</v>
      </c>
      <c r="D57" s="159"/>
      <c r="E57" s="1479"/>
      <c r="F57" s="2788" t="s">
        <v>387</v>
      </c>
      <c r="G57" s="2788"/>
      <c r="H57" s="2788"/>
      <c r="I57" s="2788"/>
      <c r="J57" s="2788"/>
      <c r="K57" s="2788"/>
      <c r="L57" s="2788"/>
      <c r="M57" s="2788"/>
      <c r="N57" s="2788"/>
      <c r="O57" s="1481"/>
      <c r="P57" s="1534"/>
      <c r="Q57" s="2819"/>
      <c r="R57" s="2819"/>
      <c r="S57" s="2819"/>
      <c r="T57" s="924"/>
      <c r="V57" s="1185"/>
    </row>
    <row r="58" spans="1:22" s="28" customFormat="1" ht="42.75" customHeight="1">
      <c r="A58" s="167"/>
      <c r="B58" s="167" t="str">
        <f>IF(OR(startFoundation="Basement",startFoundation="Slab on grade",startFoundation="Basement &amp; slab on grade"), "x", "")</f>
        <v/>
      </c>
      <c r="C58" s="2817" t="s">
        <v>2400</v>
      </c>
      <c r="D58" s="2818"/>
      <c r="E58" s="1480"/>
      <c r="F58" s="2302" t="s">
        <v>2266</v>
      </c>
      <c r="G58" s="2302"/>
      <c r="H58" s="2302"/>
      <c r="I58" s="2302"/>
      <c r="J58" s="2302"/>
      <c r="K58" s="2302"/>
      <c r="L58" s="2302"/>
      <c r="M58" s="2302"/>
      <c r="N58" s="2302"/>
      <c r="O58" s="1482"/>
      <c r="P58" s="1539"/>
      <c r="Q58" s="2302"/>
      <c r="R58" s="2302"/>
      <c r="S58" s="2302"/>
      <c r="T58" s="491"/>
    </row>
    <row r="59" spans="1:22" s="28" customFormat="1" ht="30" customHeight="1">
      <c r="A59" s="167"/>
      <c r="B59" s="167" t="str">
        <f>IF(OR(startFoundation="Basement",startFoundation="Slab on grade",startFoundation="Basement &amp; slab on grade"), "x", "")</f>
        <v/>
      </c>
      <c r="C59" s="1511"/>
      <c r="D59" s="1512">
        <v>1</v>
      </c>
      <c r="E59" s="1512"/>
      <c r="F59" s="2302" t="s">
        <v>741</v>
      </c>
      <c r="G59" s="2302"/>
      <c r="H59" s="2302"/>
      <c r="I59" s="2302"/>
      <c r="J59" s="2302"/>
      <c r="K59" s="2302"/>
      <c r="L59" s="2302"/>
      <c r="M59" s="2302"/>
      <c r="N59" s="2302"/>
      <c r="O59" s="1482">
        <v>6</v>
      </c>
      <c r="P59" s="441"/>
      <c r="Q59" s="2536"/>
      <c r="R59" s="2536"/>
      <c r="S59" s="2536"/>
      <c r="T59" s="1488" t="s">
        <v>18</v>
      </c>
      <c r="V59" s="1185"/>
    </row>
    <row r="60" spans="1:22" s="28" customFormat="1" ht="45" customHeight="1">
      <c r="A60" s="167"/>
      <c r="B60" s="167" t="str">
        <f>IF(OR(startFoundation="Basement",startFoundation="Slab on grade",startFoundation="Basement &amp; slab on grade"), "x", "")</f>
        <v/>
      </c>
      <c r="C60" s="1511"/>
      <c r="D60" s="1567">
        <v>2</v>
      </c>
      <c r="E60" s="1567"/>
      <c r="F60" s="2677" t="s">
        <v>2273</v>
      </c>
      <c r="G60" s="2677"/>
      <c r="H60" s="2677"/>
      <c r="I60" s="2677"/>
      <c r="J60" s="2677"/>
      <c r="K60" s="2677"/>
      <c r="L60" s="2677"/>
      <c r="M60" s="2677"/>
      <c r="N60" s="2677"/>
      <c r="O60" s="2794" t="s">
        <v>388</v>
      </c>
      <c r="P60" s="2533"/>
      <c r="Q60" s="2538"/>
      <c r="R60" s="2538"/>
      <c r="S60" s="2538"/>
      <c r="T60" s="2583" t="s">
        <v>18</v>
      </c>
    </row>
    <row r="61" spans="1:22" s="191" customFormat="1" ht="20" customHeight="1">
      <c r="A61" s="195"/>
      <c r="B61" s="167" t="str">
        <f>IF(OR(startFoundation="Basement",startFoundation="Slab on grade",startFoundation="Basement &amp; slab on grade"), "x", "")</f>
        <v/>
      </c>
      <c r="C61" s="496"/>
      <c r="D61" s="1504"/>
      <c r="E61" s="1504"/>
      <c r="F61" s="2789" t="s">
        <v>880</v>
      </c>
      <c r="G61" s="2789"/>
      <c r="H61" s="2789"/>
      <c r="I61" s="2789"/>
      <c r="J61" s="2789"/>
      <c r="K61" s="2789"/>
      <c r="L61" s="2790" t="str">
        <f>IF(startFoundation="","No foundation type selected yet", startFoundation)</f>
        <v>No foundation type selected yet</v>
      </c>
      <c r="M61" s="2790"/>
      <c r="N61" s="2790"/>
      <c r="O61" s="2795"/>
      <c r="P61" s="2534"/>
      <c r="Q61" s="2774"/>
      <c r="R61" s="2774"/>
      <c r="S61" s="2774"/>
      <c r="T61" s="2353"/>
    </row>
    <row r="62" spans="1:22" s="28" customFormat="1" ht="57.75" customHeight="1">
      <c r="A62" s="167"/>
      <c r="B62" s="167" t="str">
        <f>IF(startFoundation="Basement", "x", "")</f>
        <v/>
      </c>
      <c r="C62" s="2540" t="s">
        <v>2401</v>
      </c>
      <c r="D62" s="2541"/>
      <c r="E62" s="1568"/>
      <c r="F62" s="2677" t="s">
        <v>2267</v>
      </c>
      <c r="G62" s="2677"/>
      <c r="H62" s="2677"/>
      <c r="I62" s="2677"/>
      <c r="J62" s="2677"/>
      <c r="K62" s="2677"/>
      <c r="L62" s="2677"/>
      <c r="M62" s="2677"/>
      <c r="N62" s="2677"/>
      <c r="O62" s="1569"/>
      <c r="P62" s="1560"/>
      <c r="Q62" s="2539"/>
      <c r="R62" s="2539"/>
      <c r="S62" s="2539"/>
      <c r="T62" s="497"/>
    </row>
    <row r="63" spans="1:22" s="28" customFormat="1" ht="30" customHeight="1">
      <c r="A63" s="167"/>
      <c r="B63" s="167" t="str">
        <f>B64</f>
        <v/>
      </c>
      <c r="C63" s="1511"/>
      <c r="D63" s="1477">
        <v>1</v>
      </c>
      <c r="E63" s="1477"/>
      <c r="F63" s="2319" t="s">
        <v>742</v>
      </c>
      <c r="G63" s="2319"/>
      <c r="H63" s="2319"/>
      <c r="I63" s="2319"/>
      <c r="J63" s="2319"/>
      <c r="K63" s="2319"/>
      <c r="L63" s="2319"/>
      <c r="M63" s="2319"/>
      <c r="N63" s="2319"/>
      <c r="O63" s="1475">
        <v>8</v>
      </c>
      <c r="P63" s="359"/>
      <c r="Q63" s="2535"/>
      <c r="R63" s="2536"/>
      <c r="S63" s="2536"/>
      <c r="T63" s="2258" t="s">
        <v>18</v>
      </c>
    </row>
    <row r="64" spans="1:22" s="28" customFormat="1" ht="45" customHeight="1">
      <c r="A64" s="167"/>
      <c r="B64" s="167" t="str">
        <f>IF(OR(startFoundation="Basement",startFoundation="Slab on grade"), "x", "")</f>
        <v/>
      </c>
      <c r="C64" s="1511"/>
      <c r="D64" s="1567">
        <v>2</v>
      </c>
      <c r="E64" s="1567"/>
      <c r="F64" s="2677" t="s">
        <v>2275</v>
      </c>
      <c r="G64" s="2677"/>
      <c r="H64" s="2677"/>
      <c r="I64" s="2677"/>
      <c r="J64" s="2677"/>
      <c r="K64" s="2677"/>
      <c r="L64" s="2677"/>
      <c r="M64" s="2677"/>
      <c r="N64" s="2677"/>
      <c r="O64" s="2775" t="s">
        <v>2003</v>
      </c>
      <c r="P64" s="2777"/>
      <c r="Q64" s="2537"/>
      <c r="R64" s="2538"/>
      <c r="S64" s="2538"/>
      <c r="T64" s="2258"/>
    </row>
    <row r="65" spans="1:20" s="28" customFormat="1" ht="20" customHeight="1">
      <c r="A65" s="167"/>
      <c r="B65" s="167" t="str">
        <f t="shared" ref="B65" si="0">IF(startFoundation="Basement", "x", "")</f>
        <v/>
      </c>
      <c r="C65" s="1511"/>
      <c r="D65" s="1512"/>
      <c r="E65" s="1512"/>
      <c r="F65" s="2789" t="s">
        <v>880</v>
      </c>
      <c r="G65" s="2789"/>
      <c r="H65" s="2789"/>
      <c r="I65" s="2789"/>
      <c r="J65" s="2789"/>
      <c r="K65" s="2789"/>
      <c r="L65" s="2790" t="str">
        <f>IF(startFoundation="","No foundation type selected yet", startFoundation)</f>
        <v>No foundation type selected yet</v>
      </c>
      <c r="M65" s="2790"/>
      <c r="N65" s="2790"/>
      <c r="O65" s="2776"/>
      <c r="P65" s="2778"/>
      <c r="Q65" s="2537"/>
      <c r="R65" s="2538"/>
      <c r="S65" s="2538"/>
      <c r="T65" s="2353"/>
    </row>
    <row r="66" spans="1:20" ht="45" customHeight="1">
      <c r="C66" s="378" t="s">
        <v>2402</v>
      </c>
      <c r="D66" s="379"/>
      <c r="E66" s="380"/>
      <c r="F66" s="2687" t="s">
        <v>242</v>
      </c>
      <c r="G66" s="2688"/>
      <c r="H66" s="2688"/>
      <c r="I66" s="2688"/>
      <c r="J66" s="2688"/>
      <c r="K66" s="2688"/>
      <c r="L66" s="2688"/>
      <c r="M66" s="2688"/>
      <c r="N66" s="2688"/>
      <c r="O66" s="2701">
        <v>4</v>
      </c>
      <c r="P66" s="2698"/>
      <c r="Q66" s="2537"/>
      <c r="R66" s="2538"/>
      <c r="S66" s="2538"/>
      <c r="T66" s="2549" t="s">
        <v>18</v>
      </c>
    </row>
    <row r="67" spans="1:20">
      <c r="C67" s="381"/>
      <c r="D67" s="382"/>
      <c r="E67" s="383"/>
      <c r="F67" s="2822" t="s">
        <v>243</v>
      </c>
      <c r="G67" s="2822"/>
      <c r="H67" s="2822"/>
      <c r="I67" s="2822"/>
      <c r="J67" s="2822"/>
      <c r="K67" s="2822"/>
      <c r="L67" s="2822"/>
      <c r="M67" s="2822"/>
      <c r="N67" s="2822"/>
      <c r="O67" s="2702"/>
      <c r="P67" s="2699"/>
      <c r="Q67" s="2537"/>
      <c r="R67" s="2538"/>
      <c r="S67" s="2538"/>
      <c r="T67" s="2542"/>
    </row>
    <row r="68" spans="1:20" ht="30" customHeight="1" thickBot="1">
      <c r="C68" s="166"/>
      <c r="D68" s="368"/>
      <c r="E68" s="1530"/>
      <c r="F68" s="2823" t="s">
        <v>244</v>
      </c>
      <c r="G68" s="2824"/>
      <c r="H68" s="2824"/>
      <c r="I68" s="2824"/>
      <c r="J68" s="2824"/>
      <c r="K68" s="2824"/>
      <c r="L68" s="2824"/>
      <c r="M68" s="2824"/>
      <c r="N68" s="2825"/>
      <c r="O68" s="2703"/>
      <c r="P68" s="2700"/>
      <c r="Q68" s="2692"/>
      <c r="R68" s="2693"/>
      <c r="S68" s="2693"/>
      <c r="T68" s="2550"/>
    </row>
    <row r="69" spans="1:20" ht="30" customHeight="1" thickTop="1">
      <c r="C69" s="1548" t="s">
        <v>2403</v>
      </c>
      <c r="D69" s="121"/>
      <c r="E69" s="1514"/>
      <c r="F69" s="2627" t="s">
        <v>245</v>
      </c>
      <c r="G69" s="2639"/>
      <c r="H69" s="2639"/>
      <c r="I69" s="2639"/>
      <c r="J69" s="2639"/>
      <c r="K69" s="2639"/>
      <c r="L69" s="2639"/>
      <c r="M69" s="2639"/>
      <c r="N69" s="2639"/>
      <c r="O69" s="2796"/>
      <c r="P69" s="2815"/>
      <c r="Q69" s="2696"/>
      <c r="R69" s="2696"/>
      <c r="S69" s="2696"/>
      <c r="T69" s="2694"/>
    </row>
    <row r="70" spans="1:20" ht="15" customHeight="1" thickBot="1">
      <c r="C70" s="131"/>
      <c r="D70" s="132"/>
      <c r="E70" s="133"/>
      <c r="F70" s="2826" t="s">
        <v>243</v>
      </c>
      <c r="G70" s="2826"/>
      <c r="H70" s="2826"/>
      <c r="I70" s="2826"/>
      <c r="J70" s="2826"/>
      <c r="K70" s="2826"/>
      <c r="L70" s="2826"/>
      <c r="M70" s="2826"/>
      <c r="N70" s="2826"/>
      <c r="O70" s="2797"/>
      <c r="P70" s="2816"/>
      <c r="Q70" s="2697"/>
      <c r="R70" s="2697"/>
      <c r="S70" s="2697"/>
      <c r="T70" s="2695"/>
    </row>
    <row r="71" spans="1:20" ht="60" customHeight="1">
      <c r="C71" s="115"/>
      <c r="D71" s="122"/>
      <c r="E71" s="133"/>
      <c r="F71" s="384">
        <v>1</v>
      </c>
      <c r="G71" s="2827" t="s">
        <v>246</v>
      </c>
      <c r="H71" s="2827"/>
      <c r="I71" s="2827"/>
      <c r="J71" s="2827"/>
      <c r="K71" s="2827"/>
      <c r="L71" s="2827"/>
      <c r="M71" s="2827"/>
      <c r="N71" s="387" t="s">
        <v>55</v>
      </c>
      <c r="O71" s="2487"/>
      <c r="P71" s="2690"/>
      <c r="Q71" s="2255"/>
      <c r="R71" s="2255"/>
      <c r="S71" s="2255"/>
      <c r="T71" s="2618" t="s">
        <v>18</v>
      </c>
    </row>
    <row r="72" spans="1:20" ht="60" customHeight="1">
      <c r="C72" s="115"/>
      <c r="D72" s="122"/>
      <c r="E72" s="133"/>
      <c r="F72" s="385">
        <v>2</v>
      </c>
      <c r="G72" s="2828" t="s">
        <v>247</v>
      </c>
      <c r="H72" s="2828"/>
      <c r="I72" s="2828"/>
      <c r="J72" s="2828"/>
      <c r="K72" s="2828"/>
      <c r="L72" s="2828"/>
      <c r="M72" s="2828"/>
      <c r="N72" s="388" t="s">
        <v>48</v>
      </c>
      <c r="O72" s="2487"/>
      <c r="P72" s="2691"/>
      <c r="Q72" s="2255"/>
      <c r="R72" s="2255"/>
      <c r="S72" s="2255"/>
      <c r="T72" s="2618"/>
    </row>
    <row r="73" spans="1:20" ht="54.75" customHeight="1" thickBot="1">
      <c r="C73" s="115"/>
      <c r="D73" s="122"/>
      <c r="E73" s="133"/>
      <c r="F73" s="386">
        <v>3</v>
      </c>
      <c r="G73" s="2829" t="s">
        <v>248</v>
      </c>
      <c r="H73" s="2829"/>
      <c r="I73" s="2829"/>
      <c r="J73" s="2829"/>
      <c r="K73" s="2829"/>
      <c r="L73" s="2829"/>
      <c r="M73" s="2829"/>
      <c r="N73" s="389" t="s">
        <v>49</v>
      </c>
      <c r="O73" s="2487"/>
      <c r="P73" s="2488">
        <f>score602.1.6</f>
        <v>0</v>
      </c>
      <c r="Q73" s="2255"/>
      <c r="R73" s="2255"/>
      <c r="S73" s="2255"/>
      <c r="T73" s="2618"/>
    </row>
    <row r="74" spans="1:20" ht="30" customHeight="1">
      <c r="C74" s="81"/>
      <c r="D74" s="122"/>
      <c r="E74" s="1484"/>
      <c r="F74" s="2830" t="s">
        <v>244</v>
      </c>
      <c r="G74" s="2831"/>
      <c r="H74" s="2831"/>
      <c r="I74" s="2831"/>
      <c r="J74" s="2831"/>
      <c r="K74" s="2831"/>
      <c r="L74" s="2831"/>
      <c r="M74" s="2831"/>
      <c r="N74" s="2832"/>
      <c r="O74" s="2487"/>
      <c r="P74" s="2689"/>
      <c r="Q74" s="2242"/>
      <c r="R74" s="2242"/>
      <c r="S74" s="2242"/>
      <c r="T74" s="2578"/>
    </row>
    <row r="75" spans="1:20" s="28" customFormat="1" ht="15">
      <c r="A75" s="167"/>
      <c r="B75" s="167"/>
      <c r="C75" s="498" t="s">
        <v>2404</v>
      </c>
      <c r="D75" s="1536"/>
      <c r="E75" s="1536"/>
      <c r="F75" s="2833" t="s">
        <v>389</v>
      </c>
      <c r="G75" s="2833"/>
      <c r="H75" s="2833"/>
      <c r="I75" s="2833"/>
      <c r="J75" s="2833"/>
      <c r="K75" s="2833"/>
      <c r="L75" s="2833"/>
      <c r="M75" s="2833"/>
      <c r="N75" s="2833"/>
      <c r="O75" s="1537"/>
      <c r="P75" s="1521"/>
      <c r="Q75" s="2551"/>
      <c r="R75" s="2551"/>
      <c r="S75" s="2552"/>
      <c r="T75" s="1570"/>
    </row>
    <row r="76" spans="1:20" s="28" customFormat="1" ht="30" customHeight="1">
      <c r="A76" s="167"/>
      <c r="B76" s="167"/>
      <c r="C76" s="2820" t="s">
        <v>2405</v>
      </c>
      <c r="D76" s="2821"/>
      <c r="E76" s="1535"/>
      <c r="F76" s="2336" t="s">
        <v>2121</v>
      </c>
      <c r="G76" s="2336"/>
      <c r="H76" s="2336"/>
      <c r="I76" s="2336"/>
      <c r="J76" s="2336"/>
      <c r="K76" s="2336"/>
      <c r="L76" s="2336"/>
      <c r="M76" s="2336"/>
      <c r="N76" s="2336"/>
      <c r="O76" s="1473"/>
      <c r="P76" s="1509"/>
      <c r="Q76" s="2678"/>
      <c r="R76" s="2678"/>
      <c r="S76" s="2678"/>
      <c r="T76" s="500"/>
    </row>
    <row r="77" spans="1:20" s="28" customFormat="1" ht="30" customHeight="1">
      <c r="A77" s="167"/>
      <c r="B77" s="167"/>
      <c r="C77" s="1511"/>
      <c r="D77" s="1512">
        <v>1</v>
      </c>
      <c r="E77" s="1512"/>
      <c r="F77" s="2302" t="s">
        <v>390</v>
      </c>
      <c r="G77" s="2302"/>
      <c r="H77" s="2302"/>
      <c r="I77" s="2302"/>
      <c r="J77" s="2302"/>
      <c r="K77" s="2302"/>
      <c r="L77" s="2302"/>
      <c r="M77" s="2302"/>
      <c r="N77" s="2302"/>
      <c r="O77" s="1482">
        <v>2</v>
      </c>
      <c r="P77" s="441"/>
      <c r="Q77" s="2536"/>
      <c r="R77" s="2536"/>
      <c r="S77" s="2536"/>
      <c r="T77" s="1470" t="s">
        <v>18</v>
      </c>
    </row>
    <row r="78" spans="1:20" s="28" customFormat="1" ht="38.25" customHeight="1">
      <c r="A78" s="167"/>
      <c r="B78" s="167"/>
      <c r="C78" s="2834"/>
      <c r="D78" s="2686">
        <v>2</v>
      </c>
      <c r="E78" s="2686"/>
      <c r="F78" s="2679" t="s">
        <v>2523</v>
      </c>
      <c r="G78" s="2679"/>
      <c r="H78" s="2679"/>
      <c r="I78" s="2679"/>
      <c r="J78" s="2679"/>
      <c r="K78" s="2679"/>
      <c r="L78" s="2679"/>
      <c r="M78" s="2679"/>
      <c r="N78" s="2679"/>
      <c r="O78" s="1571" t="s">
        <v>3</v>
      </c>
      <c r="P78" s="1981"/>
      <c r="Q78" s="2538"/>
      <c r="R78" s="2538"/>
      <c r="S78" s="2538"/>
      <c r="T78" s="2548" t="s">
        <v>18</v>
      </c>
    </row>
    <row r="79" spans="1:20" s="28" customFormat="1" ht="15">
      <c r="A79" s="167"/>
      <c r="B79" s="167"/>
      <c r="C79" s="2834"/>
      <c r="D79" s="2835"/>
      <c r="E79" s="2397"/>
      <c r="F79" s="2680" t="s">
        <v>897</v>
      </c>
      <c r="G79" s="2680"/>
      <c r="H79" s="2680"/>
      <c r="I79" s="2680"/>
      <c r="J79" s="2680"/>
      <c r="K79" s="2680"/>
      <c r="L79" s="2680"/>
      <c r="M79" s="2680"/>
      <c r="N79" s="2680"/>
      <c r="O79" s="1475">
        <v>2</v>
      </c>
      <c r="P79" s="1506">
        <f>score602.1.7.1_2</f>
        <v>0</v>
      </c>
      <c r="Q79" s="2538"/>
      <c r="R79" s="2538"/>
      <c r="S79" s="2538"/>
      <c r="T79" s="2548"/>
    </row>
    <row r="80" spans="1:20" s="28" customFormat="1" ht="30" customHeight="1">
      <c r="A80" s="167"/>
      <c r="B80" s="167"/>
      <c r="C80" s="1511"/>
      <c r="D80" s="1567">
        <v>3</v>
      </c>
      <c r="E80" s="1567"/>
      <c r="F80" s="2677" t="s">
        <v>2544</v>
      </c>
      <c r="G80" s="2677"/>
      <c r="H80" s="2677"/>
      <c r="I80" s="2677"/>
      <c r="J80" s="2677"/>
      <c r="K80" s="2677"/>
      <c r="L80" s="2677"/>
      <c r="M80" s="2677"/>
      <c r="N80" s="2677"/>
      <c r="O80" s="1569">
        <v>4</v>
      </c>
      <c r="P80" s="615"/>
      <c r="Q80" s="2538"/>
      <c r="R80" s="2538"/>
      <c r="S80" s="2538"/>
      <c r="T80" s="1572" t="s">
        <v>18</v>
      </c>
    </row>
    <row r="81" spans="1:38" s="28" customFormat="1" ht="30" customHeight="1">
      <c r="A81" s="167"/>
      <c r="B81" s="167"/>
      <c r="C81" s="2540" t="s">
        <v>2406</v>
      </c>
      <c r="D81" s="2541"/>
      <c r="E81" s="1568"/>
      <c r="F81" s="2677" t="s">
        <v>2546</v>
      </c>
      <c r="G81" s="2677"/>
      <c r="H81" s="2677"/>
      <c r="I81" s="2677"/>
      <c r="J81" s="2677"/>
      <c r="K81" s="2677"/>
      <c r="L81" s="2677"/>
      <c r="M81" s="2677"/>
      <c r="N81" s="2677"/>
      <c r="O81" s="1569">
        <v>2</v>
      </c>
      <c r="P81" s="615"/>
      <c r="Q81" s="2538"/>
      <c r="R81" s="2538"/>
      <c r="S81" s="2538"/>
      <c r="T81" s="1573" t="s">
        <v>18</v>
      </c>
    </row>
    <row r="82" spans="1:38" ht="43.5" customHeight="1">
      <c r="C82" s="1989" t="s">
        <v>2407</v>
      </c>
      <c r="D82" s="1990"/>
      <c r="E82" s="2554"/>
      <c r="F82" s="2527" t="s">
        <v>2268</v>
      </c>
      <c r="G82" s="2528"/>
      <c r="H82" s="2528"/>
      <c r="I82" s="2528"/>
      <c r="J82" s="2528"/>
      <c r="K82" s="2528"/>
      <c r="L82" s="2528"/>
      <c r="M82" s="2528"/>
      <c r="N82" s="2528"/>
      <c r="O82" s="2682" t="s">
        <v>240</v>
      </c>
      <c r="P82" s="2684"/>
      <c r="Q82" s="2538"/>
      <c r="R82" s="2538"/>
      <c r="S82" s="2538"/>
      <c r="T82" s="2544" t="s">
        <v>18</v>
      </c>
    </row>
    <row r="83" spans="1:38" ht="21" customHeight="1">
      <c r="C83" s="1991"/>
      <c r="D83" s="1992"/>
      <c r="E83" s="2681"/>
      <c r="F83" s="2680" t="s">
        <v>897</v>
      </c>
      <c r="G83" s="2680"/>
      <c r="H83" s="2680"/>
      <c r="I83" s="2680"/>
      <c r="J83" s="2680"/>
      <c r="K83" s="2680"/>
      <c r="L83" s="2680"/>
      <c r="M83" s="2680"/>
      <c r="N83" s="2680"/>
      <c r="O83" s="2683"/>
      <c r="P83" s="2685"/>
      <c r="Q83" s="2538"/>
      <c r="R83" s="2538"/>
      <c r="S83" s="2538"/>
      <c r="T83" s="2545"/>
    </row>
    <row r="84" spans="1:38" ht="101.25" customHeight="1">
      <c r="C84" s="498" t="s">
        <v>2408</v>
      </c>
      <c r="D84" s="926"/>
      <c r="E84" s="380"/>
      <c r="F84" s="2687" t="s">
        <v>2610</v>
      </c>
      <c r="G84" s="2688"/>
      <c r="H84" s="2688"/>
      <c r="I84" s="2688"/>
      <c r="J84" s="2688"/>
      <c r="K84" s="2688"/>
      <c r="L84" s="2688"/>
      <c r="M84" s="2688"/>
      <c r="N84" s="2688"/>
      <c r="O84" s="1507"/>
      <c r="P84" s="1530"/>
      <c r="Q84" s="2546"/>
      <c r="R84" s="2546"/>
      <c r="S84" s="2546"/>
      <c r="T84" s="967"/>
    </row>
    <row r="85" spans="1:38" s="28" customFormat="1" ht="146.25" customHeight="1">
      <c r="A85" s="167"/>
      <c r="B85" s="167"/>
      <c r="C85" s="1511"/>
      <c r="D85" s="1512">
        <v>1</v>
      </c>
      <c r="E85" s="1512"/>
      <c r="F85" s="2302" t="s">
        <v>2238</v>
      </c>
      <c r="G85" s="2302"/>
      <c r="H85" s="2302"/>
      <c r="I85" s="2302"/>
      <c r="J85" s="2302"/>
      <c r="K85" s="2302"/>
      <c r="L85" s="2302"/>
      <c r="M85" s="2302"/>
      <c r="N85" s="2302"/>
      <c r="O85" s="1416" t="s">
        <v>3</v>
      </c>
      <c r="P85" s="1476"/>
      <c r="Q85" s="2547"/>
      <c r="R85" s="2547"/>
      <c r="S85" s="2547"/>
      <c r="T85" s="1474" t="s">
        <v>18</v>
      </c>
    </row>
    <row r="86" spans="1:38" s="28" customFormat="1" ht="15" customHeight="1">
      <c r="A86" s="167"/>
      <c r="B86" s="167"/>
      <c r="C86" s="1511"/>
      <c r="D86" s="1567">
        <v>2</v>
      </c>
      <c r="E86" s="1567"/>
      <c r="F86" s="2677" t="s">
        <v>752</v>
      </c>
      <c r="G86" s="2677"/>
      <c r="H86" s="2677"/>
      <c r="I86" s="2677"/>
      <c r="J86" s="2677"/>
      <c r="K86" s="2677"/>
      <c r="L86" s="2677"/>
      <c r="M86" s="2677"/>
      <c r="N86" s="2677"/>
      <c r="O86" s="1574">
        <v>2</v>
      </c>
      <c r="P86" s="616"/>
      <c r="Q86" s="2538"/>
      <c r="R86" s="2538"/>
      <c r="S86" s="2538"/>
      <c r="T86" s="1472" t="s">
        <v>18</v>
      </c>
    </row>
    <row r="87" spans="1:38" s="28" customFormat="1" ht="15" customHeight="1">
      <c r="A87" s="167"/>
      <c r="B87" s="167"/>
      <c r="C87" s="1511"/>
      <c r="D87" s="390">
        <v>3</v>
      </c>
      <c r="E87" s="390"/>
      <c r="F87" s="2670" t="s">
        <v>753</v>
      </c>
      <c r="G87" s="2670"/>
      <c r="H87" s="2670"/>
      <c r="I87" s="2670"/>
      <c r="J87" s="2670"/>
      <c r="K87" s="2670"/>
      <c r="L87" s="2670"/>
      <c r="M87" s="2670"/>
      <c r="N87" s="2670"/>
      <c r="O87" s="391">
        <v>3</v>
      </c>
      <c r="P87" s="616"/>
      <c r="Q87" s="2538"/>
      <c r="R87" s="2538"/>
      <c r="S87" s="2538"/>
      <c r="T87" s="1471" t="s">
        <v>18</v>
      </c>
    </row>
    <row r="88" spans="1:38" s="28" customFormat="1" ht="60" customHeight="1">
      <c r="A88" s="167"/>
      <c r="B88" s="167"/>
      <c r="C88" s="1511"/>
      <c r="D88" s="1512">
        <v>4</v>
      </c>
      <c r="E88" s="1512"/>
      <c r="F88" s="2302" t="s">
        <v>754</v>
      </c>
      <c r="G88" s="2302"/>
      <c r="H88" s="2302"/>
      <c r="I88" s="2302"/>
      <c r="J88" s="2302"/>
      <c r="K88" s="2302"/>
      <c r="L88" s="2302"/>
      <c r="M88" s="2302"/>
      <c r="N88" s="2302"/>
      <c r="O88" s="1575">
        <v>3</v>
      </c>
      <c r="P88" s="616"/>
      <c r="Q88" s="2538"/>
      <c r="R88" s="2538"/>
      <c r="S88" s="2538"/>
      <c r="T88" s="1474" t="s">
        <v>18</v>
      </c>
    </row>
    <row r="89" spans="1:38" s="28" customFormat="1" ht="30" customHeight="1" thickBot="1">
      <c r="A89" s="167"/>
      <c r="B89" s="167"/>
      <c r="C89" s="1511"/>
      <c r="D89" s="1567">
        <v>5</v>
      </c>
      <c r="E89" s="1567"/>
      <c r="F89" s="2677" t="s">
        <v>757</v>
      </c>
      <c r="G89" s="2677"/>
      <c r="H89" s="2677"/>
      <c r="I89" s="2677"/>
      <c r="J89" s="2677"/>
      <c r="K89" s="2677"/>
      <c r="L89" s="2677"/>
      <c r="M89" s="2677"/>
      <c r="N89" s="2677"/>
      <c r="O89" s="2673"/>
      <c r="P89" s="2666"/>
      <c r="Q89" s="2244"/>
      <c r="R89" s="2244"/>
      <c r="S89" s="2244"/>
      <c r="T89" s="2455" t="s">
        <v>18</v>
      </c>
    </row>
    <row r="90" spans="1:38" s="28" customFormat="1" ht="45" customHeight="1">
      <c r="A90" s="167"/>
      <c r="B90" s="167"/>
      <c r="C90" s="1511"/>
      <c r="D90" s="1512"/>
      <c r="E90" s="398"/>
      <c r="F90" s="392" t="s">
        <v>43</v>
      </c>
      <c r="G90" s="2671" t="s">
        <v>758</v>
      </c>
      <c r="H90" s="2671"/>
      <c r="I90" s="2671"/>
      <c r="J90" s="2671"/>
      <c r="K90" s="2671"/>
      <c r="L90" s="2671"/>
      <c r="M90" s="2671"/>
      <c r="N90" s="393" t="s">
        <v>48</v>
      </c>
      <c r="O90" s="2674"/>
      <c r="P90" s="2667"/>
      <c r="Q90" s="2244"/>
      <c r="R90" s="2244"/>
      <c r="S90" s="2244"/>
      <c r="T90" s="2258"/>
    </row>
    <row r="91" spans="1:38" s="28" customFormat="1" ht="36" customHeight="1" thickBot="1">
      <c r="A91" s="167"/>
      <c r="B91" s="167"/>
      <c r="C91" s="1511"/>
      <c r="D91" s="396"/>
      <c r="E91" s="397"/>
      <c r="F91" s="394" t="s">
        <v>44</v>
      </c>
      <c r="G91" s="2672" t="s">
        <v>759</v>
      </c>
      <c r="H91" s="2672"/>
      <c r="I91" s="2672"/>
      <c r="J91" s="2672"/>
      <c r="K91" s="2672"/>
      <c r="L91" s="2672"/>
      <c r="M91" s="2672"/>
      <c r="N91" s="395" t="s">
        <v>55</v>
      </c>
      <c r="O91" s="2675"/>
      <c r="P91" s="1506">
        <f>score602.1.9_5</f>
        <v>0</v>
      </c>
      <c r="Q91" s="2244"/>
      <c r="R91" s="2244"/>
      <c r="S91" s="2244"/>
      <c r="T91" s="2353"/>
    </row>
    <row r="92" spans="1:38" s="28" customFormat="1" ht="30" customHeight="1">
      <c r="A92" s="167"/>
      <c r="B92" s="167"/>
      <c r="C92" s="1511"/>
      <c r="D92" s="390">
        <v>6</v>
      </c>
      <c r="E92" s="390"/>
      <c r="F92" s="2358" t="s">
        <v>756</v>
      </c>
      <c r="G92" s="2358"/>
      <c r="H92" s="2358"/>
      <c r="I92" s="2358"/>
      <c r="J92" s="2358"/>
      <c r="K92" s="2358"/>
      <c r="L92" s="2358"/>
      <c r="M92" s="2358"/>
      <c r="N92" s="2358"/>
      <c r="O92" s="391">
        <v>2</v>
      </c>
      <c r="P92" s="616"/>
      <c r="Q92" s="2243"/>
      <c r="R92" s="2244"/>
      <c r="S92" s="2244"/>
      <c r="T92" s="1471" t="s">
        <v>18</v>
      </c>
    </row>
    <row r="93" spans="1:38" s="28" customFormat="1" ht="15" customHeight="1">
      <c r="A93" s="167"/>
      <c r="B93" s="167"/>
      <c r="C93" s="1511"/>
      <c r="D93" s="390">
        <v>7</v>
      </c>
      <c r="E93" s="390"/>
      <c r="F93" s="2670" t="s">
        <v>755</v>
      </c>
      <c r="G93" s="2670"/>
      <c r="H93" s="2670"/>
      <c r="I93" s="2670"/>
      <c r="J93" s="2670"/>
      <c r="K93" s="2670"/>
      <c r="L93" s="2670"/>
      <c r="M93" s="2670"/>
      <c r="N93" s="2670"/>
      <c r="O93" s="391">
        <v>2</v>
      </c>
      <c r="P93" s="616"/>
      <c r="Q93" s="2243"/>
      <c r="R93" s="2244"/>
      <c r="S93" s="2244"/>
      <c r="T93" s="1471" t="s">
        <v>18</v>
      </c>
    </row>
    <row r="94" spans="1:38" ht="135" customHeight="1">
      <c r="C94" s="2553" t="s">
        <v>2409</v>
      </c>
      <c r="D94" s="2554"/>
      <c r="E94" s="1519"/>
      <c r="F94" s="2525" t="s">
        <v>764</v>
      </c>
      <c r="G94" s="2526"/>
      <c r="H94" s="2526"/>
      <c r="I94" s="2526"/>
      <c r="J94" s="2526"/>
      <c r="K94" s="2526"/>
      <c r="L94" s="2526"/>
      <c r="M94" s="2526"/>
      <c r="N94" s="2526"/>
      <c r="O94" s="501"/>
      <c r="P94" s="502"/>
      <c r="Q94" s="2842"/>
      <c r="R94" s="2842"/>
      <c r="S94" s="2842"/>
      <c r="T94" s="500"/>
    </row>
    <row r="95" spans="1:38" s="343" customFormat="1" ht="15" customHeight="1" thickBot="1">
      <c r="A95" s="157"/>
      <c r="B95" s="157"/>
      <c r="C95" s="81"/>
      <c r="D95" s="1480"/>
      <c r="E95" s="1484"/>
      <c r="F95" s="2668" t="str">
        <f>IF(startClimateZone="", "No zone chosen for this project. See the Start Here! worksheet.", CONCATENATE("Climate zone ",startClimateZone," chosen for this project. See the Start Here! worksheet."))</f>
        <v>No zone chosen for this project. See the Start Here! worksheet.</v>
      </c>
      <c r="G95" s="2668"/>
      <c r="H95" s="2668"/>
      <c r="I95" s="2668"/>
      <c r="J95" s="2668"/>
      <c r="K95" s="2669"/>
      <c r="L95" s="2669"/>
      <c r="M95" s="2669"/>
      <c r="N95" s="2669"/>
      <c r="O95" s="2580"/>
      <c r="P95" s="2555"/>
      <c r="Q95" s="2255"/>
      <c r="R95" s="2255"/>
      <c r="S95" s="2255"/>
      <c r="T95" s="2542" t="s">
        <v>18</v>
      </c>
      <c r="Y95" s="8"/>
      <c r="Z95" s="8"/>
      <c r="AA95" s="8"/>
      <c r="AB95" s="8"/>
      <c r="AC95" s="8"/>
      <c r="AD95" s="8"/>
      <c r="AE95" s="8"/>
      <c r="AF95" s="8"/>
      <c r="AG95" s="8"/>
      <c r="AH95" s="8"/>
      <c r="AI95" s="8"/>
      <c r="AJ95" s="8"/>
      <c r="AK95" s="8"/>
      <c r="AL95" s="8"/>
    </row>
    <row r="96" spans="1:38" ht="15" customHeight="1">
      <c r="C96" s="115"/>
      <c r="D96" s="122"/>
      <c r="E96" s="119"/>
      <c r="F96" s="400">
        <v>1</v>
      </c>
      <c r="G96" s="2663" t="s">
        <v>765</v>
      </c>
      <c r="H96" s="2663"/>
      <c r="I96" s="2663"/>
      <c r="J96" s="401" t="s">
        <v>55</v>
      </c>
      <c r="K96" s="406"/>
      <c r="L96" s="407"/>
      <c r="M96" s="407"/>
      <c r="N96" s="407"/>
      <c r="O96" s="2580"/>
      <c r="P96" s="2556"/>
      <c r="Q96" s="2255"/>
      <c r="R96" s="2255"/>
      <c r="S96" s="2255"/>
      <c r="T96" s="2542"/>
    </row>
    <row r="97" spans="1:20" ht="15" customHeight="1">
      <c r="C97" s="115"/>
      <c r="D97" s="122"/>
      <c r="E97" s="119"/>
      <c r="F97" s="402">
        <v>2</v>
      </c>
      <c r="G97" s="2664" t="s">
        <v>766</v>
      </c>
      <c r="H97" s="2664"/>
      <c r="I97" s="2664"/>
      <c r="J97" s="403" t="s">
        <v>48</v>
      </c>
      <c r="K97" s="408"/>
      <c r="L97" s="1487"/>
      <c r="M97" s="1487"/>
      <c r="N97" s="1487"/>
      <c r="O97" s="2580"/>
      <c r="P97" s="2557">
        <f>score602.1.10</f>
        <v>0</v>
      </c>
      <c r="Q97" s="2255"/>
      <c r="R97" s="2255"/>
      <c r="S97" s="2255"/>
      <c r="T97" s="2542"/>
    </row>
    <row r="98" spans="1:20" ht="15" customHeight="1" thickBot="1">
      <c r="C98" s="115"/>
      <c r="D98" s="122"/>
      <c r="E98" s="119"/>
      <c r="F98" s="404">
        <v>3</v>
      </c>
      <c r="G98" s="2665" t="s">
        <v>768</v>
      </c>
      <c r="H98" s="2665"/>
      <c r="I98" s="2665"/>
      <c r="J98" s="405" t="s">
        <v>49</v>
      </c>
      <c r="K98" s="409"/>
      <c r="L98" s="410"/>
      <c r="M98" s="410"/>
      <c r="N98" s="410"/>
      <c r="O98" s="2676"/>
      <c r="P98" s="2558"/>
      <c r="Q98" s="2255"/>
      <c r="R98" s="2255"/>
      <c r="S98" s="2255"/>
      <c r="T98" s="2543"/>
    </row>
    <row r="99" spans="1:20" s="28" customFormat="1" ht="40.5" customHeight="1" thickBot="1">
      <c r="A99" s="167"/>
      <c r="B99" s="167"/>
      <c r="C99" s="2661" t="s">
        <v>2410</v>
      </c>
      <c r="D99" s="2662"/>
      <c r="E99" s="411"/>
      <c r="F99" s="2651" t="s">
        <v>2239</v>
      </c>
      <c r="G99" s="2651"/>
      <c r="H99" s="2651"/>
      <c r="I99" s="2651"/>
      <c r="J99" s="2651"/>
      <c r="K99" s="2651"/>
      <c r="L99" s="2651"/>
      <c r="M99" s="2651"/>
      <c r="N99" s="2651"/>
      <c r="O99" s="673" t="s">
        <v>295</v>
      </c>
      <c r="P99" s="774"/>
      <c r="Q99" s="2315"/>
      <c r="R99" s="2316"/>
      <c r="S99" s="2316"/>
      <c r="T99" s="518" t="s">
        <v>18</v>
      </c>
    </row>
    <row r="100" spans="1:20" ht="30" customHeight="1" thickTop="1">
      <c r="C100" s="2640" t="s">
        <v>2411</v>
      </c>
      <c r="D100" s="2641"/>
      <c r="E100" s="1514"/>
      <c r="F100" s="2627" t="s">
        <v>770</v>
      </c>
      <c r="G100" s="2639"/>
      <c r="H100" s="2639"/>
      <c r="I100" s="2639"/>
      <c r="J100" s="2639"/>
      <c r="K100" s="2639"/>
      <c r="L100" s="2639"/>
      <c r="M100" s="2639"/>
      <c r="N100" s="2639"/>
      <c r="O100" s="2516">
        <v>4</v>
      </c>
      <c r="P100" s="2843"/>
      <c r="Q100" s="2255"/>
      <c r="R100" s="2255"/>
      <c r="S100" s="2255"/>
      <c r="T100" s="2844" t="s">
        <v>18</v>
      </c>
    </row>
    <row r="101" spans="1:20" ht="14" customHeight="1">
      <c r="C101" s="124"/>
      <c r="D101" s="125"/>
      <c r="E101" s="126"/>
      <c r="F101" s="2845" t="s">
        <v>233</v>
      </c>
      <c r="G101" s="2845"/>
      <c r="H101" s="2845"/>
      <c r="I101" s="2845"/>
      <c r="J101" s="2845"/>
      <c r="K101" s="2845"/>
      <c r="L101" s="2845"/>
      <c r="M101" s="2845"/>
      <c r="N101" s="2845"/>
      <c r="O101" s="2487"/>
      <c r="P101" s="2699"/>
      <c r="Q101" s="2255"/>
      <c r="R101" s="2255"/>
      <c r="S101" s="2255"/>
      <c r="T101" s="2542"/>
    </row>
    <row r="102" spans="1:20" ht="27" customHeight="1">
      <c r="C102" s="124"/>
      <c r="D102" s="125"/>
      <c r="E102" s="126"/>
      <c r="F102" s="2655" t="s">
        <v>771</v>
      </c>
      <c r="G102" s="2656"/>
      <c r="H102" s="2656"/>
      <c r="I102" s="2656"/>
      <c r="J102" s="2656"/>
      <c r="K102" s="2656"/>
      <c r="L102" s="2656"/>
      <c r="M102" s="2657"/>
      <c r="N102" s="2642"/>
      <c r="O102" s="2643"/>
      <c r="P102" s="2643"/>
      <c r="Q102" s="2643"/>
      <c r="R102" s="2643"/>
      <c r="S102" s="2643"/>
      <c r="T102" s="2644"/>
    </row>
    <row r="103" spans="1:20" ht="38.25" customHeight="1">
      <c r="C103" s="124"/>
      <c r="D103" s="125"/>
      <c r="E103" s="126"/>
      <c r="F103" s="2658" t="s">
        <v>234</v>
      </c>
      <c r="G103" s="2659"/>
      <c r="H103" s="2659" t="s">
        <v>235</v>
      </c>
      <c r="I103" s="2659"/>
      <c r="J103" s="2659"/>
      <c r="K103" s="2659" t="s">
        <v>236</v>
      </c>
      <c r="L103" s="2659"/>
      <c r="M103" s="2660"/>
      <c r="N103" s="2642"/>
      <c r="O103" s="2643"/>
      <c r="P103" s="2643"/>
      <c r="Q103" s="2643"/>
      <c r="R103" s="2643"/>
      <c r="S103" s="2643"/>
      <c r="T103" s="2644"/>
    </row>
    <row r="104" spans="1:20" ht="15" customHeight="1">
      <c r="C104" s="124"/>
      <c r="D104" s="125"/>
      <c r="E104" s="126"/>
      <c r="F104" s="2652" t="s">
        <v>772</v>
      </c>
      <c r="G104" s="2653"/>
      <c r="H104" s="2653">
        <v>12</v>
      </c>
      <c r="I104" s="2653"/>
      <c r="J104" s="2653"/>
      <c r="K104" s="2653">
        <v>12</v>
      </c>
      <c r="L104" s="2653"/>
      <c r="M104" s="2654"/>
      <c r="N104" s="2642"/>
      <c r="O104" s="2643"/>
      <c r="P104" s="2643"/>
      <c r="Q104" s="2643"/>
      <c r="R104" s="2643"/>
      <c r="S104" s="2643"/>
      <c r="T104" s="2644"/>
    </row>
    <row r="105" spans="1:20" ht="15" customHeight="1">
      <c r="C105" s="124"/>
      <c r="D105" s="125"/>
      <c r="E105" s="126"/>
      <c r="F105" s="2652" t="s">
        <v>237</v>
      </c>
      <c r="G105" s="2653"/>
      <c r="H105" s="2653">
        <v>18</v>
      </c>
      <c r="I105" s="2653"/>
      <c r="J105" s="2653"/>
      <c r="K105" s="2653">
        <v>12</v>
      </c>
      <c r="L105" s="2653"/>
      <c r="M105" s="2654"/>
      <c r="N105" s="2642"/>
      <c r="O105" s="2643"/>
      <c r="P105" s="2643"/>
      <c r="Q105" s="2643"/>
      <c r="R105" s="2643"/>
      <c r="S105" s="2643"/>
      <c r="T105" s="2644"/>
    </row>
    <row r="106" spans="1:20" ht="15" customHeight="1">
      <c r="C106" s="124"/>
      <c r="D106" s="125"/>
      <c r="E106" s="126"/>
      <c r="F106" s="2652" t="s">
        <v>238</v>
      </c>
      <c r="G106" s="2653"/>
      <c r="H106" s="2653">
        <v>24</v>
      </c>
      <c r="I106" s="2653"/>
      <c r="J106" s="2653"/>
      <c r="K106" s="2653">
        <v>12</v>
      </c>
      <c r="L106" s="2653"/>
      <c r="M106" s="2654"/>
      <c r="N106" s="2642"/>
      <c r="O106" s="2643"/>
      <c r="P106" s="2643"/>
      <c r="Q106" s="2643"/>
      <c r="R106" s="2643"/>
      <c r="S106" s="2643"/>
      <c r="T106" s="2644"/>
    </row>
    <row r="107" spans="1:20" ht="28.5" customHeight="1">
      <c r="C107" s="124"/>
      <c r="D107" s="125"/>
      <c r="E107" s="126"/>
      <c r="F107" s="2648" t="s">
        <v>773</v>
      </c>
      <c r="G107" s="2649"/>
      <c r="H107" s="2649"/>
      <c r="I107" s="2649"/>
      <c r="J107" s="2649"/>
      <c r="K107" s="2649"/>
      <c r="L107" s="2649"/>
      <c r="M107" s="2650"/>
      <c r="N107" s="2642"/>
      <c r="O107" s="2643"/>
      <c r="P107" s="2643"/>
      <c r="Q107" s="2643"/>
      <c r="R107" s="2643"/>
      <c r="S107" s="2643"/>
      <c r="T107" s="2644"/>
    </row>
    <row r="108" spans="1:20" s="8" customFormat="1" ht="15" customHeight="1" thickBot="1">
      <c r="A108" s="1141"/>
      <c r="B108" s="1141"/>
      <c r="C108" s="2645"/>
      <c r="D108" s="2646"/>
      <c r="E108" s="2646"/>
      <c r="F108" s="2646"/>
      <c r="G108" s="2646"/>
      <c r="H108" s="2646"/>
      <c r="I108" s="2646"/>
      <c r="J108" s="2646"/>
      <c r="K108" s="2646"/>
      <c r="L108" s="2646"/>
      <c r="M108" s="2646"/>
      <c r="N108" s="2646"/>
      <c r="O108" s="2646"/>
      <c r="P108" s="2646"/>
      <c r="Q108" s="2646"/>
      <c r="R108" s="2646"/>
      <c r="S108" s="2646"/>
      <c r="T108" s="2647"/>
    </row>
    <row r="109" spans="1:20" ht="60" customHeight="1" thickTop="1" thickBot="1">
      <c r="C109" s="2621" t="s">
        <v>2412</v>
      </c>
      <c r="D109" s="2622"/>
      <c r="E109" s="1516"/>
      <c r="F109" s="2846" t="s">
        <v>249</v>
      </c>
      <c r="G109" s="2847"/>
      <c r="H109" s="2847"/>
      <c r="I109" s="2847"/>
      <c r="J109" s="2847"/>
      <c r="K109" s="2847"/>
      <c r="L109" s="2847"/>
      <c r="M109" s="2847"/>
      <c r="N109" s="2847"/>
      <c r="O109" s="503" t="s">
        <v>240</v>
      </c>
      <c r="P109" s="540"/>
      <c r="Q109" s="2226"/>
      <c r="R109" s="2227"/>
      <c r="S109" s="2227"/>
      <c r="T109" s="524" t="s">
        <v>18</v>
      </c>
    </row>
    <row r="110" spans="1:20" ht="45" customHeight="1" thickTop="1">
      <c r="C110" s="2623" t="s">
        <v>2413</v>
      </c>
      <c r="D110" s="2624"/>
      <c r="E110" s="134"/>
      <c r="F110" s="2848" t="s">
        <v>775</v>
      </c>
      <c r="G110" s="2848"/>
      <c r="H110" s="2848"/>
      <c r="I110" s="2848"/>
      <c r="J110" s="2848"/>
      <c r="K110" s="2848"/>
      <c r="L110" s="2848"/>
      <c r="M110" s="2848"/>
      <c r="N110" s="2848"/>
      <c r="O110" s="1493"/>
      <c r="P110" s="465"/>
      <c r="Q110" s="2626"/>
      <c r="R110" s="2626"/>
      <c r="S110" s="2626"/>
      <c r="T110" s="1500"/>
    </row>
    <row r="111" spans="1:20" ht="15" customHeight="1">
      <c r="C111" s="115"/>
      <c r="D111" s="116">
        <v>1</v>
      </c>
      <c r="E111" s="117"/>
      <c r="F111" s="2738" t="s">
        <v>776</v>
      </c>
      <c r="G111" s="2738"/>
      <c r="H111" s="2738"/>
      <c r="I111" s="2738"/>
      <c r="J111" s="2738"/>
      <c r="K111" s="2738"/>
      <c r="L111" s="2738"/>
      <c r="M111" s="2738"/>
      <c r="N111" s="2738"/>
      <c r="O111" s="118">
        <v>2</v>
      </c>
      <c r="P111" s="537"/>
      <c r="Q111" s="2849"/>
      <c r="R111" s="2849"/>
      <c r="S111" s="2849"/>
      <c r="T111" s="525" t="s">
        <v>18</v>
      </c>
    </row>
    <row r="112" spans="1:20" ht="15" customHeight="1">
      <c r="C112" s="115"/>
      <c r="D112" s="1524">
        <v>2</v>
      </c>
      <c r="E112" s="119"/>
      <c r="F112" s="2593" t="s">
        <v>777</v>
      </c>
      <c r="G112" s="2593"/>
      <c r="H112" s="2593"/>
      <c r="I112" s="2593"/>
      <c r="J112" s="2593"/>
      <c r="K112" s="2593"/>
      <c r="L112" s="2593"/>
      <c r="M112" s="2593"/>
      <c r="N112" s="2593"/>
      <c r="O112" s="1495">
        <v>2</v>
      </c>
      <c r="P112" s="775"/>
      <c r="Q112" s="2511"/>
      <c r="R112" s="2511"/>
      <c r="S112" s="2511"/>
      <c r="T112" s="1576" t="s">
        <v>18</v>
      </c>
    </row>
    <row r="113" spans="3:20" ht="30" customHeight="1">
      <c r="C113" s="115"/>
      <c r="D113" s="412">
        <v>3</v>
      </c>
      <c r="E113" s="413"/>
      <c r="F113" s="2528" t="s">
        <v>778</v>
      </c>
      <c r="G113" s="2528"/>
      <c r="H113" s="2528"/>
      <c r="I113" s="2528"/>
      <c r="J113" s="2528"/>
      <c r="K113" s="2528"/>
      <c r="L113" s="2528"/>
      <c r="M113" s="2528"/>
      <c r="N113" s="2528"/>
      <c r="O113" s="414" t="s">
        <v>240</v>
      </c>
      <c r="P113" s="1186"/>
      <c r="Q113" s="2511"/>
      <c r="R113" s="2511"/>
      <c r="S113" s="2511"/>
      <c r="T113" s="2625" t="s">
        <v>18</v>
      </c>
    </row>
    <row r="114" spans="3:20" ht="15" customHeight="1" thickBot="1">
      <c r="C114" s="115"/>
      <c r="D114" s="1524"/>
      <c r="E114" s="119"/>
      <c r="F114" s="2526"/>
      <c r="G114" s="2526"/>
      <c r="H114" s="2526"/>
      <c r="I114" s="2526"/>
      <c r="J114" s="2526"/>
      <c r="K114" s="2526"/>
      <c r="L114" s="2526"/>
      <c r="M114" s="2526"/>
      <c r="N114" s="2526"/>
      <c r="O114" s="158">
        <v>1</v>
      </c>
      <c r="P114" s="1502">
        <f>score602.1.15_3</f>
        <v>0</v>
      </c>
      <c r="Q114" s="2512"/>
      <c r="R114" s="2512"/>
      <c r="S114" s="2512"/>
      <c r="T114" s="2542"/>
    </row>
    <row r="115" spans="3:20" ht="60" customHeight="1" thickTop="1">
      <c r="C115" s="1577" t="s">
        <v>2414</v>
      </c>
      <c r="D115" s="121"/>
      <c r="E115" s="1514"/>
      <c r="F115" s="2627" t="s">
        <v>780</v>
      </c>
      <c r="G115" s="2627"/>
      <c r="H115" s="2627"/>
      <c r="I115" s="2627"/>
      <c r="J115" s="2627"/>
      <c r="K115" s="2627"/>
      <c r="L115" s="2627"/>
      <c r="M115" s="2627"/>
      <c r="N115" s="2627"/>
      <c r="O115" s="2516">
        <v>3</v>
      </c>
      <c r="P115" s="1578"/>
      <c r="Q115" s="2513"/>
      <c r="R115" s="2450"/>
      <c r="S115" s="2450"/>
      <c r="T115" s="2577" t="s">
        <v>18</v>
      </c>
    </row>
    <row r="116" spans="3:20" ht="30" customHeight="1" thickBot="1">
      <c r="C116" s="81"/>
      <c r="D116" s="122"/>
      <c r="E116" s="1484"/>
      <c r="F116" s="2525"/>
      <c r="G116" s="2525"/>
      <c r="H116" s="2525"/>
      <c r="I116" s="2525"/>
      <c r="J116" s="2525"/>
      <c r="K116" s="2525"/>
      <c r="L116" s="2525"/>
      <c r="M116" s="2525"/>
      <c r="N116" s="2525"/>
      <c r="O116" s="2487"/>
      <c r="P116" s="1523">
        <f>score602.2</f>
        <v>0</v>
      </c>
      <c r="Q116" s="2256"/>
      <c r="R116" s="2256"/>
      <c r="S116" s="2256"/>
      <c r="T116" s="2618"/>
    </row>
    <row r="117" spans="3:20" ht="39" customHeight="1" thickTop="1" thickBot="1">
      <c r="C117" s="1548" t="s">
        <v>2415</v>
      </c>
      <c r="D117" s="121"/>
      <c r="E117" s="1545"/>
      <c r="F117" s="2529" t="s">
        <v>241</v>
      </c>
      <c r="G117" s="2530"/>
      <c r="H117" s="2530"/>
      <c r="I117" s="2530"/>
      <c r="J117" s="2530"/>
      <c r="K117" s="2530"/>
      <c r="L117" s="2530"/>
      <c r="M117" s="2530"/>
      <c r="N117" s="2530"/>
      <c r="O117" s="1546">
        <v>4</v>
      </c>
      <c r="P117" s="1547"/>
      <c r="Q117" s="2514"/>
      <c r="R117" s="2515"/>
      <c r="S117" s="2515"/>
      <c r="T117" s="1579" t="s">
        <v>18</v>
      </c>
    </row>
    <row r="118" spans="3:20" ht="15" customHeight="1" thickTop="1">
      <c r="C118" s="1517" t="s">
        <v>2416</v>
      </c>
      <c r="D118" s="370"/>
      <c r="E118" s="1486"/>
      <c r="F118" s="2531" t="s">
        <v>784</v>
      </c>
      <c r="G118" s="2531"/>
      <c r="H118" s="2531"/>
      <c r="I118" s="2531"/>
      <c r="J118" s="2531"/>
      <c r="K118" s="2531"/>
      <c r="L118" s="2531"/>
      <c r="M118" s="2531"/>
      <c r="N118" s="2531"/>
      <c r="O118" s="1497"/>
      <c r="P118" s="1501"/>
      <c r="Q118" s="2838"/>
      <c r="R118" s="2838"/>
      <c r="S118" s="2839"/>
      <c r="T118" s="1580"/>
    </row>
    <row r="119" spans="3:20" ht="60.75" customHeight="1">
      <c r="C119" s="1478" t="s">
        <v>2417</v>
      </c>
      <c r="D119" s="1499"/>
      <c r="E119" s="1519"/>
      <c r="F119" s="2525" t="s">
        <v>786</v>
      </c>
      <c r="G119" s="2526"/>
      <c r="H119" s="2526"/>
      <c r="I119" s="2526"/>
      <c r="J119" s="2526"/>
      <c r="K119" s="2526"/>
      <c r="L119" s="2526"/>
      <c r="M119" s="2526"/>
      <c r="N119" s="2526"/>
      <c r="O119" s="673" t="s">
        <v>3</v>
      </c>
      <c r="P119" s="1496"/>
      <c r="Q119" s="2241"/>
      <c r="R119" s="2242"/>
      <c r="S119" s="2242"/>
      <c r="T119" s="1489" t="s">
        <v>18</v>
      </c>
    </row>
    <row r="120" spans="3:20" ht="15" customHeight="1">
      <c r="C120" s="416" t="s">
        <v>2418</v>
      </c>
      <c r="D120" s="417"/>
      <c r="E120" s="417"/>
      <c r="F120" s="2532" t="s">
        <v>1773</v>
      </c>
      <c r="G120" s="2532"/>
      <c r="H120" s="2532"/>
      <c r="I120" s="2532"/>
      <c r="J120" s="2532"/>
      <c r="K120" s="2532"/>
      <c r="L120" s="2532"/>
      <c r="M120" s="2532"/>
      <c r="N120" s="2532"/>
      <c r="O120" s="415">
        <v>1</v>
      </c>
      <c r="P120" s="358"/>
      <c r="Q120" s="2243"/>
      <c r="R120" s="2244"/>
      <c r="S120" s="2244"/>
      <c r="T120" s="526" t="s">
        <v>18</v>
      </c>
    </row>
    <row r="121" spans="3:20" ht="15" customHeight="1">
      <c r="C121" s="418" t="s">
        <v>2419</v>
      </c>
      <c r="D121" s="419"/>
      <c r="E121" s="419"/>
      <c r="F121" s="2850" t="s">
        <v>787</v>
      </c>
      <c r="G121" s="2850"/>
      <c r="H121" s="2850"/>
      <c r="I121" s="2850"/>
      <c r="J121" s="2850"/>
      <c r="K121" s="2850"/>
      <c r="L121" s="2850"/>
      <c r="M121" s="2850"/>
      <c r="N121" s="2850"/>
      <c r="O121" s="377">
        <v>1</v>
      </c>
      <c r="P121" s="358"/>
      <c r="Q121" s="2836"/>
      <c r="R121" s="2380"/>
      <c r="S121" s="2380"/>
      <c r="T121" s="1520" t="s">
        <v>18</v>
      </c>
    </row>
    <row r="122" spans="3:20" ht="15">
      <c r="C122" s="2559" t="s">
        <v>2420</v>
      </c>
      <c r="D122" s="2559"/>
      <c r="E122" s="2559"/>
      <c r="F122" s="2559"/>
      <c r="G122" s="2559"/>
      <c r="H122" s="2559"/>
      <c r="I122" s="2559"/>
      <c r="J122" s="2559"/>
      <c r="K122" s="2559"/>
      <c r="L122" s="2559"/>
      <c r="M122" s="2559"/>
      <c r="N122" s="2559"/>
      <c r="O122" s="2559"/>
      <c r="P122" s="2559"/>
      <c r="Q122" s="2559"/>
      <c r="R122" s="2559"/>
      <c r="S122" s="2559"/>
      <c r="T122" s="2559"/>
    </row>
    <row r="123" spans="3:20" s="109" customFormat="1" ht="18.75" customHeight="1" thickBot="1">
      <c r="C123" s="1540">
        <v>11.603</v>
      </c>
      <c r="D123" s="1525"/>
      <c r="E123" s="2889" t="s">
        <v>788</v>
      </c>
      <c r="F123" s="2800"/>
      <c r="G123" s="2800"/>
      <c r="H123" s="2800"/>
      <c r="I123" s="2800"/>
      <c r="J123" s="2800"/>
      <c r="K123" s="2800"/>
      <c r="L123" s="2800"/>
      <c r="M123" s="2800"/>
      <c r="N123" s="2800"/>
      <c r="O123" s="2800"/>
      <c r="P123" s="2800"/>
      <c r="Q123" s="2800"/>
      <c r="R123" s="2800"/>
      <c r="S123" s="2800"/>
      <c r="T123" s="2801"/>
    </row>
    <row r="124" spans="3:20" ht="45" customHeight="1" thickTop="1" thickBot="1">
      <c r="C124" s="1518" t="s">
        <v>2421</v>
      </c>
      <c r="D124" s="1527"/>
      <c r="E124" s="1519"/>
      <c r="F124" s="2526" t="s">
        <v>801</v>
      </c>
      <c r="G124" s="2526"/>
      <c r="H124" s="2526"/>
      <c r="I124" s="2526"/>
      <c r="J124" s="2526"/>
      <c r="K124" s="2526"/>
      <c r="L124" s="2526"/>
      <c r="M124" s="2526"/>
      <c r="N124" s="2526"/>
      <c r="O124" s="1495" t="s">
        <v>253</v>
      </c>
      <c r="P124" s="1164"/>
      <c r="Q124" s="2837"/>
      <c r="R124" s="2837"/>
      <c r="S124" s="2837"/>
      <c r="T124" s="2844" t="s">
        <v>18</v>
      </c>
    </row>
    <row r="125" spans="3:20" ht="15" customHeight="1">
      <c r="C125" s="1518"/>
      <c r="D125" s="1527"/>
      <c r="E125" s="1519"/>
      <c r="F125" s="2860" t="s">
        <v>254</v>
      </c>
      <c r="G125" s="2861"/>
      <c r="H125" s="2861"/>
      <c r="I125" s="2861"/>
      <c r="J125" s="2861"/>
      <c r="K125" s="2861"/>
      <c r="L125" s="2861"/>
      <c r="M125" s="2861"/>
      <c r="N125" s="2862"/>
      <c r="O125" s="1495"/>
      <c r="P125" s="2488">
        <f>score603.1</f>
        <v>0</v>
      </c>
      <c r="Q125" s="2837"/>
      <c r="R125" s="2837"/>
      <c r="S125" s="2837"/>
      <c r="T125" s="2542"/>
    </row>
    <row r="126" spans="3:20" ht="15" customHeight="1">
      <c r="C126" s="1518"/>
      <c r="D126" s="1527"/>
      <c r="E126" s="1519"/>
      <c r="F126" s="2636" t="s">
        <v>255</v>
      </c>
      <c r="G126" s="2637"/>
      <c r="H126" s="420" t="s">
        <v>256</v>
      </c>
      <c r="I126" s="2851" t="s">
        <v>255</v>
      </c>
      <c r="J126" s="2852"/>
      <c r="K126" s="420" t="s">
        <v>256</v>
      </c>
      <c r="L126" s="2851" t="s">
        <v>255</v>
      </c>
      <c r="M126" s="2852"/>
      <c r="N126" s="421" t="s">
        <v>256</v>
      </c>
      <c r="O126" s="345"/>
      <c r="P126" s="2488"/>
      <c r="Q126" s="2837"/>
      <c r="R126" s="2837"/>
      <c r="S126" s="2837"/>
      <c r="T126" s="2542"/>
    </row>
    <row r="127" spans="3:20" ht="15" customHeight="1">
      <c r="C127" s="1518"/>
      <c r="D127" s="1527"/>
      <c r="E127" s="1519"/>
      <c r="F127" s="2638" t="s">
        <v>257</v>
      </c>
      <c r="G127" s="2629"/>
      <c r="H127" s="1581">
        <v>1</v>
      </c>
      <c r="I127" s="2632" t="s">
        <v>261</v>
      </c>
      <c r="J127" s="2633"/>
      <c r="K127" s="1581">
        <v>5</v>
      </c>
      <c r="L127" s="2853" t="s">
        <v>265</v>
      </c>
      <c r="M127" s="2854"/>
      <c r="N127" s="1582">
        <v>9</v>
      </c>
      <c r="O127" s="345"/>
      <c r="P127" s="1484"/>
      <c r="Q127" s="2837"/>
      <c r="R127" s="2837"/>
      <c r="S127" s="2837"/>
      <c r="T127" s="2542"/>
    </row>
    <row r="128" spans="3:20" ht="15" customHeight="1">
      <c r="C128" s="1518"/>
      <c r="D128" s="1527"/>
      <c r="E128" s="1519"/>
      <c r="F128" s="2628" t="s">
        <v>258</v>
      </c>
      <c r="G128" s="2629"/>
      <c r="H128" s="1581">
        <v>2</v>
      </c>
      <c r="I128" s="2634" t="s">
        <v>262</v>
      </c>
      <c r="J128" s="2635"/>
      <c r="K128" s="1583">
        <v>6</v>
      </c>
      <c r="L128" s="2853" t="s">
        <v>266</v>
      </c>
      <c r="M128" s="2854"/>
      <c r="N128" s="1582">
        <v>10</v>
      </c>
      <c r="O128" s="345"/>
      <c r="P128" s="1484"/>
      <c r="Q128" s="2837"/>
      <c r="R128" s="2837"/>
      <c r="S128" s="2837"/>
      <c r="T128" s="2542"/>
    </row>
    <row r="129" spans="1:20" ht="15" customHeight="1">
      <c r="C129" s="1518"/>
      <c r="D129" s="1527"/>
      <c r="E129" s="1519"/>
      <c r="F129" s="2628" t="s">
        <v>259</v>
      </c>
      <c r="G129" s="2629"/>
      <c r="H129" s="1581">
        <v>3</v>
      </c>
      <c r="I129" s="2853" t="s">
        <v>263</v>
      </c>
      <c r="J129" s="2854"/>
      <c r="K129" s="1581">
        <v>7</v>
      </c>
      <c r="L129" s="2853" t="s">
        <v>267</v>
      </c>
      <c r="M129" s="2854"/>
      <c r="N129" s="1582">
        <v>11</v>
      </c>
      <c r="O129" s="345"/>
      <c r="P129" s="1484"/>
      <c r="Q129" s="2837"/>
      <c r="R129" s="2837"/>
      <c r="S129" s="2837"/>
      <c r="T129" s="2542"/>
    </row>
    <row r="130" spans="1:20" ht="15" customHeight="1" thickBot="1">
      <c r="C130" s="1518"/>
      <c r="D130" s="1527"/>
      <c r="E130" s="1519"/>
      <c r="F130" s="2630" t="s">
        <v>260</v>
      </c>
      <c r="G130" s="2631"/>
      <c r="H130" s="1584">
        <v>4</v>
      </c>
      <c r="I130" s="2855" t="s">
        <v>264</v>
      </c>
      <c r="J130" s="2856"/>
      <c r="K130" s="1584">
        <v>8</v>
      </c>
      <c r="L130" s="2855" t="s">
        <v>268</v>
      </c>
      <c r="M130" s="2856"/>
      <c r="N130" s="1585">
        <v>12</v>
      </c>
      <c r="O130" s="345"/>
      <c r="P130" s="1484"/>
      <c r="Q130" s="2837"/>
      <c r="R130" s="2837"/>
      <c r="S130" s="2837"/>
      <c r="T130" s="2542"/>
    </row>
    <row r="131" spans="1:20" s="8" customFormat="1" ht="30" customHeight="1" thickBot="1">
      <c r="A131" s="1141"/>
      <c r="B131" s="1141"/>
      <c r="C131" s="81"/>
      <c r="D131" s="1484"/>
      <c r="E131" s="1484"/>
      <c r="F131" s="2863" t="s">
        <v>902</v>
      </c>
      <c r="G131" s="2863"/>
      <c r="H131" s="2863"/>
      <c r="I131" s="2863"/>
      <c r="J131" s="2863"/>
      <c r="K131" s="2863"/>
      <c r="L131" s="2863"/>
      <c r="M131" s="2863"/>
      <c r="N131" s="2863"/>
      <c r="O131" s="1484"/>
      <c r="P131" s="1484"/>
      <c r="Q131" s="2837"/>
      <c r="R131" s="2837"/>
      <c r="S131" s="2837"/>
      <c r="T131" s="2550"/>
    </row>
    <row r="132" spans="1:20" ht="79.5" customHeight="1" thickTop="1">
      <c r="C132" s="1548" t="s">
        <v>2422</v>
      </c>
      <c r="D132" s="121"/>
      <c r="E132" s="1514"/>
      <c r="F132" s="2639" t="s">
        <v>2240</v>
      </c>
      <c r="G132" s="2639"/>
      <c r="H132" s="2639"/>
      <c r="I132" s="2639"/>
      <c r="J132" s="2639"/>
      <c r="K132" s="2639"/>
      <c r="L132" s="2639"/>
      <c r="M132" s="2639"/>
      <c r="N132" s="2639"/>
      <c r="O132" s="2516" t="s">
        <v>881</v>
      </c>
      <c r="P132" s="1165"/>
      <c r="Q132" s="2450"/>
      <c r="R132" s="2450"/>
      <c r="S132" s="2450"/>
      <c r="T132" s="2840" t="s">
        <v>18</v>
      </c>
    </row>
    <row r="133" spans="1:20" s="8" customFormat="1" ht="40" customHeight="1" thickBot="1">
      <c r="A133" s="1141"/>
      <c r="B133" s="1141"/>
      <c r="C133" s="81"/>
      <c r="D133" s="1484"/>
      <c r="E133" s="1484"/>
      <c r="F133" s="2680" t="s">
        <v>903</v>
      </c>
      <c r="G133" s="2680"/>
      <c r="H133" s="2680"/>
      <c r="I133" s="2680"/>
      <c r="J133" s="2680"/>
      <c r="K133" s="2680"/>
      <c r="L133" s="2680"/>
      <c r="M133" s="2680"/>
      <c r="N133" s="2680"/>
      <c r="O133" s="2857"/>
      <c r="P133" s="481">
        <f>score603.2</f>
        <v>0</v>
      </c>
      <c r="Q133" s="2521"/>
      <c r="R133" s="2521"/>
      <c r="S133" s="2521"/>
      <c r="T133" s="2841"/>
    </row>
    <row r="134" spans="1:20" ht="30" customHeight="1" thickTop="1">
      <c r="C134" s="1548" t="s">
        <v>2423</v>
      </c>
      <c r="D134" s="121"/>
      <c r="E134" s="1514"/>
      <c r="F134" s="2639" t="s">
        <v>269</v>
      </c>
      <c r="G134" s="2639"/>
      <c r="H134" s="2639"/>
      <c r="I134" s="2639"/>
      <c r="J134" s="2639"/>
      <c r="K134" s="2639"/>
      <c r="L134" s="2639"/>
      <c r="M134" s="2639"/>
      <c r="N134" s="2639"/>
      <c r="O134" s="1493">
        <v>4</v>
      </c>
      <c r="P134" s="1586"/>
      <c r="Q134" s="2858"/>
      <c r="R134" s="2859"/>
      <c r="S134" s="2859"/>
      <c r="T134" s="1494" t="s">
        <v>18</v>
      </c>
    </row>
    <row r="135" spans="1:20" ht="15">
      <c r="C135" s="2559" t="s">
        <v>2424</v>
      </c>
      <c r="D135" s="2559"/>
      <c r="E135" s="2559"/>
      <c r="F135" s="2559"/>
      <c r="G135" s="2559"/>
      <c r="H135" s="2559"/>
      <c r="I135" s="2559"/>
      <c r="J135" s="2559"/>
      <c r="K135" s="2559"/>
      <c r="L135" s="2559"/>
      <c r="M135" s="2559"/>
      <c r="N135" s="2559"/>
      <c r="O135" s="2559"/>
      <c r="P135" s="2559"/>
      <c r="Q135" s="2559"/>
      <c r="R135" s="2559"/>
      <c r="S135" s="2559"/>
      <c r="T135" s="2559"/>
    </row>
    <row r="136" spans="1:20">
      <c r="C136" s="467" t="s">
        <v>2425</v>
      </c>
      <c r="D136" s="1491"/>
      <c r="E136" s="1491"/>
      <c r="F136" s="2502" t="s">
        <v>804</v>
      </c>
      <c r="G136" s="2503"/>
      <c r="H136" s="2503"/>
      <c r="I136" s="2503"/>
      <c r="J136" s="2503"/>
      <c r="K136" s="2503"/>
      <c r="L136" s="2503"/>
      <c r="M136" s="2503"/>
      <c r="N136" s="2503"/>
      <c r="O136" s="1491"/>
      <c r="P136" s="1491"/>
      <c r="Q136" s="2503"/>
      <c r="R136" s="2503"/>
      <c r="S136" s="2503"/>
      <c r="T136" s="468"/>
    </row>
    <row r="137" spans="1:20" ht="30" customHeight="1">
      <c r="C137" s="124" t="s">
        <v>2426</v>
      </c>
      <c r="D137" s="125"/>
      <c r="E137" s="126"/>
      <c r="F137" s="2525" t="s">
        <v>805</v>
      </c>
      <c r="G137" s="2526"/>
      <c r="H137" s="2526"/>
      <c r="I137" s="2526"/>
      <c r="J137" s="2526"/>
      <c r="K137" s="2526"/>
      <c r="L137" s="2526"/>
      <c r="M137" s="2526"/>
      <c r="N137" s="2526"/>
      <c r="O137" s="2487" t="s">
        <v>270</v>
      </c>
      <c r="P137" s="1164"/>
      <c r="Q137" s="2383"/>
      <c r="R137" s="2383"/>
      <c r="S137" s="2383"/>
      <c r="T137" s="2618" t="s">
        <v>18</v>
      </c>
    </row>
    <row r="138" spans="1:20" ht="15">
      <c r="C138" s="81"/>
      <c r="D138" s="122"/>
      <c r="E138" s="1484"/>
      <c r="F138" s="2440" t="s">
        <v>802</v>
      </c>
      <c r="G138" s="2441"/>
      <c r="H138" s="2441"/>
      <c r="I138" s="2441"/>
      <c r="J138" s="2441"/>
      <c r="K138" s="2441"/>
      <c r="L138" s="2441"/>
      <c r="M138" s="2441"/>
      <c r="N138" s="2442"/>
      <c r="O138" s="2504"/>
      <c r="P138" s="1506">
        <f>score604.1.1</f>
        <v>0</v>
      </c>
      <c r="Q138" s="2619"/>
      <c r="R138" s="2619"/>
      <c r="S138" s="2619"/>
      <c r="T138" s="2578"/>
    </row>
    <row r="139" spans="1:20" ht="30" customHeight="1">
      <c r="C139" s="422" t="s">
        <v>2427</v>
      </c>
      <c r="D139" s="423"/>
      <c r="E139" s="424"/>
      <c r="F139" s="2527" t="s">
        <v>271</v>
      </c>
      <c r="G139" s="2528"/>
      <c r="H139" s="2528"/>
      <c r="I139" s="2528"/>
      <c r="J139" s="2528"/>
      <c r="K139" s="2528"/>
      <c r="L139" s="2528"/>
      <c r="M139" s="2528"/>
      <c r="N139" s="2528"/>
      <c r="O139" s="2486" t="s">
        <v>272</v>
      </c>
      <c r="P139" s="1166"/>
      <c r="Q139" s="2619"/>
      <c r="R139" s="2619"/>
      <c r="S139" s="2619"/>
      <c r="T139" s="2617" t="s">
        <v>18</v>
      </c>
    </row>
    <row r="140" spans="1:20" ht="15">
      <c r="C140" s="81"/>
      <c r="D140" s="122"/>
      <c r="E140" s="1484"/>
      <c r="F140" s="2440" t="s">
        <v>803</v>
      </c>
      <c r="G140" s="2441"/>
      <c r="H140" s="2441"/>
      <c r="I140" s="2441"/>
      <c r="J140" s="2441"/>
      <c r="K140" s="2441"/>
      <c r="L140" s="2441"/>
      <c r="M140" s="2441"/>
      <c r="N140" s="2442"/>
      <c r="O140" s="2487"/>
      <c r="P140" s="1502">
        <f>score604.1.2</f>
        <v>0</v>
      </c>
      <c r="Q140" s="2620"/>
      <c r="R140" s="2620"/>
      <c r="S140" s="2620"/>
      <c r="T140" s="2618"/>
    </row>
    <row r="141" spans="1:20" ht="15">
      <c r="C141" s="2559" t="s">
        <v>2428</v>
      </c>
      <c r="D141" s="2559"/>
      <c r="E141" s="2559"/>
      <c r="F141" s="2559"/>
      <c r="G141" s="2559"/>
      <c r="H141" s="2559"/>
      <c r="I141" s="2559"/>
      <c r="J141" s="2559"/>
      <c r="K141" s="2559"/>
      <c r="L141" s="2559"/>
      <c r="M141" s="2559"/>
      <c r="N141" s="2559"/>
      <c r="O141" s="2559"/>
      <c r="P141" s="2559"/>
      <c r="Q141" s="2559"/>
      <c r="R141" s="2559"/>
      <c r="S141" s="2559"/>
      <c r="T141" s="2559"/>
    </row>
    <row r="142" spans="1:20" s="109" customFormat="1" ht="27" customHeight="1" thickBot="1">
      <c r="C142" s="1540">
        <v>11.605</v>
      </c>
      <c r="D142" s="1525"/>
      <c r="E142" s="2889" t="s">
        <v>2241</v>
      </c>
      <c r="F142" s="2800"/>
      <c r="G142" s="2800"/>
      <c r="H142" s="2800"/>
      <c r="I142" s="2800"/>
      <c r="J142" s="2800"/>
      <c r="K142" s="2800"/>
      <c r="L142" s="2800"/>
      <c r="M142" s="2800"/>
      <c r="N142" s="2800"/>
      <c r="O142" s="2800"/>
      <c r="P142" s="2800"/>
      <c r="Q142" s="2800"/>
      <c r="R142" s="2800"/>
      <c r="S142" s="2800"/>
      <c r="T142" s="2801"/>
    </row>
    <row r="143" spans="1:20" s="109" customFormat="1" ht="50.25" customHeight="1" thickTop="1" thickBot="1">
      <c r="C143" s="1899" t="s">
        <v>2429</v>
      </c>
      <c r="D143" s="457"/>
      <c r="E143" s="1898"/>
      <c r="F143" s="2887" t="s">
        <v>2242</v>
      </c>
      <c r="G143" s="2888"/>
      <c r="H143" s="2888"/>
      <c r="I143" s="2888"/>
      <c r="J143" s="2888"/>
      <c r="K143" s="2888"/>
      <c r="L143" s="2888"/>
      <c r="M143" s="2888"/>
      <c r="N143" s="2888"/>
      <c r="O143" s="1909" t="s">
        <v>3</v>
      </c>
      <c r="P143" s="495"/>
      <c r="Q143" s="2520"/>
      <c r="R143" s="2521"/>
      <c r="S143" s="2521"/>
      <c r="T143" s="1897"/>
    </row>
    <row r="144" spans="1:20" ht="52.5" customHeight="1" thickTop="1" thickBot="1">
      <c r="C144" s="1518" t="s">
        <v>2430</v>
      </c>
      <c r="D144" s="1527"/>
      <c r="E144" s="1519"/>
      <c r="F144" s="2525" t="s">
        <v>812</v>
      </c>
      <c r="G144" s="2526"/>
      <c r="H144" s="2526"/>
      <c r="I144" s="2526"/>
      <c r="J144" s="2526"/>
      <c r="K144" s="2526"/>
      <c r="L144" s="2526"/>
      <c r="M144" s="2526"/>
      <c r="N144" s="2526"/>
      <c r="O144" s="1495">
        <v>6</v>
      </c>
      <c r="P144" s="431"/>
      <c r="Q144" s="2520"/>
      <c r="R144" s="2521"/>
      <c r="S144" s="2521"/>
      <c r="T144" s="1240" t="s">
        <v>18</v>
      </c>
    </row>
    <row r="145" spans="3:20" ht="117" customHeight="1" thickTop="1" thickBot="1">
      <c r="C145" s="120" t="s">
        <v>2431</v>
      </c>
      <c r="D145" s="1544"/>
      <c r="E145" s="1545"/>
      <c r="F145" s="2529" t="s">
        <v>813</v>
      </c>
      <c r="G145" s="2530"/>
      <c r="H145" s="2530"/>
      <c r="I145" s="2530"/>
      <c r="J145" s="2530"/>
      <c r="K145" s="2530"/>
      <c r="L145" s="2530"/>
      <c r="M145" s="2530"/>
      <c r="N145" s="2530"/>
      <c r="O145" s="1546">
        <v>7</v>
      </c>
      <c r="P145" s="1587"/>
      <c r="Q145" s="2522"/>
      <c r="R145" s="2522"/>
      <c r="S145" s="2522"/>
      <c r="T145" s="527" t="s">
        <v>18</v>
      </c>
    </row>
    <row r="146" spans="3:20" ht="30" customHeight="1" thickTop="1" thickBot="1">
      <c r="C146" s="1518" t="s">
        <v>2432</v>
      </c>
      <c r="D146" s="1527"/>
      <c r="E146" s="1519"/>
      <c r="F146" s="2588" t="s">
        <v>814</v>
      </c>
      <c r="G146" s="2589"/>
      <c r="H146" s="2589"/>
      <c r="I146" s="2589"/>
      <c r="J146" s="2589"/>
      <c r="K146" s="2589"/>
      <c r="L146" s="2589"/>
      <c r="M146" s="2589"/>
      <c r="N146" s="2589"/>
      <c r="O146" s="2590" t="s">
        <v>273</v>
      </c>
      <c r="P146" s="1167"/>
      <c r="Q146" s="2522"/>
      <c r="R146" s="2522"/>
      <c r="S146" s="2522"/>
      <c r="T146" s="2542" t="s">
        <v>18</v>
      </c>
    </row>
    <row r="147" spans="3:20" ht="30" customHeight="1" thickTop="1">
      <c r="C147" s="81"/>
      <c r="D147" s="122"/>
      <c r="E147" s="1484"/>
      <c r="F147" s="2680" t="s">
        <v>819</v>
      </c>
      <c r="G147" s="2680"/>
      <c r="H147" s="2680"/>
      <c r="I147" s="2680"/>
      <c r="J147" s="2680"/>
      <c r="K147" s="2680"/>
      <c r="L147" s="2680"/>
      <c r="M147" s="2680"/>
      <c r="N147" s="2680"/>
      <c r="O147" s="2590"/>
      <c r="P147" s="1506">
        <f>score605.4</f>
        <v>0</v>
      </c>
      <c r="Q147" s="2450"/>
      <c r="R147" s="2450"/>
      <c r="S147" s="2450"/>
      <c r="T147" s="2542"/>
    </row>
    <row r="148" spans="3:20" ht="15">
      <c r="C148" s="2559" t="s">
        <v>2433</v>
      </c>
      <c r="D148" s="2559"/>
      <c r="E148" s="2559"/>
      <c r="F148" s="2559"/>
      <c r="G148" s="2559"/>
      <c r="H148" s="2559"/>
      <c r="I148" s="2559"/>
      <c r="J148" s="2559"/>
      <c r="K148" s="2559"/>
      <c r="L148" s="2559"/>
      <c r="M148" s="2559"/>
      <c r="N148" s="2559"/>
      <c r="O148" s="2559"/>
      <c r="P148" s="2559"/>
      <c r="Q148" s="2559"/>
      <c r="R148" s="2559"/>
      <c r="S148" s="2559"/>
      <c r="T148" s="2559"/>
    </row>
    <row r="149" spans="3:20" s="109" customFormat="1" ht="15" customHeight="1" thickBot="1">
      <c r="C149" s="1948">
        <v>11.606</v>
      </c>
      <c r="D149" s="1525"/>
      <c r="E149" s="1525"/>
      <c r="F149" s="2591" t="s">
        <v>811</v>
      </c>
      <c r="G149" s="2591"/>
      <c r="H149" s="2591"/>
      <c r="I149" s="2591"/>
      <c r="J149" s="2591"/>
      <c r="K149" s="2591"/>
      <c r="L149" s="2591"/>
      <c r="M149" s="2591"/>
      <c r="N149" s="2591"/>
      <c r="O149" s="1525"/>
      <c r="P149" s="1525"/>
      <c r="Q149" s="2523"/>
      <c r="R149" s="2523"/>
      <c r="S149" s="2524"/>
      <c r="T149" s="83"/>
    </row>
    <row r="150" spans="3:20" ht="152.25" customHeight="1" thickTop="1">
      <c r="C150" s="1518" t="s">
        <v>2434</v>
      </c>
      <c r="D150" s="1527"/>
      <c r="E150" s="1519"/>
      <c r="F150" s="2525" t="s">
        <v>274</v>
      </c>
      <c r="G150" s="2526"/>
      <c r="H150" s="2526"/>
      <c r="I150" s="2526"/>
      <c r="J150" s="2526"/>
      <c r="K150" s="2526"/>
      <c r="L150" s="2526"/>
      <c r="M150" s="2526"/>
      <c r="N150" s="2526"/>
      <c r="O150" s="464" t="s">
        <v>275</v>
      </c>
      <c r="P150" s="1502">
        <f>IF(SUM(claim606.1_1,claim606.1_2,claim606.1_3)&gt;8, 8, SUM(claim606.1_1,claim606.1_2,claim606.1_3))</f>
        <v>0</v>
      </c>
      <c r="Q150" s="2450"/>
      <c r="R150" s="2450"/>
      <c r="S150" s="2450"/>
      <c r="T150" s="2864" t="s">
        <v>18</v>
      </c>
    </row>
    <row r="151" spans="3:20" ht="30" customHeight="1">
      <c r="C151" s="115"/>
      <c r="D151" s="116">
        <v>1</v>
      </c>
      <c r="E151" s="135"/>
      <c r="F151" s="2592" t="s">
        <v>276</v>
      </c>
      <c r="G151" s="2592"/>
      <c r="H151" s="2592"/>
      <c r="I151" s="2592"/>
      <c r="J151" s="2592"/>
      <c r="K151" s="2592"/>
      <c r="L151" s="2592"/>
      <c r="M151" s="2592"/>
      <c r="N151" s="2592"/>
      <c r="O151" s="118">
        <v>3</v>
      </c>
      <c r="P151" s="927"/>
      <c r="Q151" s="2255"/>
      <c r="R151" s="2255"/>
      <c r="S151" s="2255"/>
      <c r="T151" s="2618"/>
    </row>
    <row r="152" spans="3:20" ht="30" customHeight="1">
      <c r="C152" s="115"/>
      <c r="D152" s="1541">
        <v>2</v>
      </c>
      <c r="E152" s="1588"/>
      <c r="F152" s="2866" t="s">
        <v>277</v>
      </c>
      <c r="G152" s="2866"/>
      <c r="H152" s="2866"/>
      <c r="I152" s="2866"/>
      <c r="J152" s="2866"/>
      <c r="K152" s="2866"/>
      <c r="L152" s="2866"/>
      <c r="M152" s="2866"/>
      <c r="N152" s="2866"/>
      <c r="O152" s="1543">
        <v>6</v>
      </c>
      <c r="P152" s="928"/>
      <c r="Q152" s="2255"/>
      <c r="R152" s="2255"/>
      <c r="S152" s="2255"/>
      <c r="T152" s="2618"/>
    </row>
    <row r="153" spans="3:20" ht="36" customHeight="1">
      <c r="C153" s="115"/>
      <c r="D153" s="1524">
        <v>3</v>
      </c>
      <c r="E153" s="136"/>
      <c r="F153" s="2867" t="s">
        <v>278</v>
      </c>
      <c r="G153" s="2867"/>
      <c r="H153" s="2867"/>
      <c r="I153" s="2867"/>
      <c r="J153" s="2867"/>
      <c r="K153" s="2867"/>
      <c r="L153" s="2867"/>
      <c r="M153" s="2867"/>
      <c r="N153" s="2867"/>
      <c r="O153" s="1589" t="s">
        <v>279</v>
      </c>
      <c r="P153" s="1168"/>
      <c r="Q153" s="2255"/>
      <c r="R153" s="2255"/>
      <c r="S153" s="2255"/>
      <c r="T153" s="2618"/>
    </row>
    <row r="154" spans="3:20" ht="75" customHeight="1">
      <c r="C154" s="81"/>
      <c r="D154" s="1484"/>
      <c r="E154" s="1484"/>
      <c r="F154" s="2499" t="s">
        <v>820</v>
      </c>
      <c r="G154" s="2500"/>
      <c r="H154" s="2500"/>
      <c r="I154" s="2500"/>
      <c r="J154" s="2500"/>
      <c r="K154" s="2500"/>
      <c r="L154" s="2500"/>
      <c r="M154" s="2500"/>
      <c r="N154" s="2501"/>
      <c r="O154" s="1484"/>
      <c r="P154" s="1484"/>
      <c r="Q154" s="2242"/>
      <c r="R154" s="2242"/>
      <c r="S154" s="2242"/>
      <c r="T154" s="2618"/>
    </row>
    <row r="155" spans="3:20" ht="129.75" customHeight="1">
      <c r="C155" s="425" t="s">
        <v>2435</v>
      </c>
      <c r="D155" s="426"/>
      <c r="E155" s="427"/>
      <c r="F155" s="2865" t="s">
        <v>280</v>
      </c>
      <c r="G155" s="2865"/>
      <c r="H155" s="2865"/>
      <c r="I155" s="2865"/>
      <c r="J155" s="2865"/>
      <c r="K155" s="2865"/>
      <c r="L155" s="2865"/>
      <c r="M155" s="2865"/>
      <c r="N155" s="2865"/>
      <c r="O155" s="504"/>
      <c r="P155" s="505"/>
      <c r="Q155" s="2842"/>
      <c r="R155" s="2842"/>
      <c r="S155" s="2842"/>
      <c r="T155" s="2872"/>
    </row>
    <row r="156" spans="3:20" ht="79.5" customHeight="1">
      <c r="C156" s="81"/>
      <c r="D156" s="1484"/>
      <c r="E156" s="1484"/>
      <c r="F156" s="2868" t="s">
        <v>821</v>
      </c>
      <c r="G156" s="2868"/>
      <c r="H156" s="2868"/>
      <c r="I156" s="2868"/>
      <c r="J156" s="2868"/>
      <c r="K156" s="2868"/>
      <c r="L156" s="2868"/>
      <c r="M156" s="2868"/>
      <c r="N156" s="2868"/>
      <c r="O156" s="184"/>
      <c r="P156" s="1530"/>
      <c r="Q156" s="2503"/>
      <c r="R156" s="2503"/>
      <c r="S156" s="2503"/>
      <c r="T156" s="2752"/>
    </row>
    <row r="157" spans="3:20" ht="30" customHeight="1">
      <c r="C157" s="115"/>
      <c r="D157" s="116">
        <v>1</v>
      </c>
      <c r="E157" s="117"/>
      <c r="F157" s="2738" t="s">
        <v>281</v>
      </c>
      <c r="G157" s="2738"/>
      <c r="H157" s="2738"/>
      <c r="I157" s="2738"/>
      <c r="J157" s="2738"/>
      <c r="K157" s="2738"/>
      <c r="L157" s="2738"/>
      <c r="M157" s="2738"/>
      <c r="N157" s="2738"/>
      <c r="O157" s="118">
        <v>3</v>
      </c>
      <c r="P157" s="441"/>
      <c r="Q157" s="2869"/>
      <c r="R157" s="2721"/>
      <c r="S157" s="2721"/>
      <c r="T157" s="1492" t="s">
        <v>18</v>
      </c>
    </row>
    <row r="158" spans="3:20" ht="30" customHeight="1">
      <c r="C158" s="115"/>
      <c r="D158" s="1524">
        <v>2</v>
      </c>
      <c r="E158" s="119"/>
      <c r="F158" s="2593" t="s">
        <v>282</v>
      </c>
      <c r="G158" s="2593"/>
      <c r="H158" s="2593"/>
      <c r="I158" s="2593"/>
      <c r="J158" s="2593"/>
      <c r="K158" s="2593"/>
      <c r="L158" s="2593"/>
      <c r="M158" s="2593"/>
      <c r="N158" s="2593"/>
      <c r="O158" s="1495">
        <v>4</v>
      </c>
      <c r="P158" s="616"/>
      <c r="Q158" s="2870"/>
      <c r="R158" s="2871"/>
      <c r="S158" s="2871"/>
      <c r="T158" s="1488" t="s">
        <v>18</v>
      </c>
    </row>
    <row r="159" spans="3:20" ht="48" customHeight="1">
      <c r="C159" s="1522">
        <v>606.29999999999995</v>
      </c>
      <c r="D159" s="372"/>
      <c r="E159" s="1510"/>
      <c r="F159" s="2527" t="s">
        <v>823</v>
      </c>
      <c r="G159" s="2528"/>
      <c r="H159" s="2528"/>
      <c r="I159" s="2528"/>
      <c r="J159" s="2528"/>
      <c r="K159" s="2528"/>
      <c r="L159" s="2528"/>
      <c r="M159" s="2528"/>
      <c r="N159" s="2528"/>
      <c r="O159" s="2594" t="s">
        <v>283</v>
      </c>
      <c r="P159" s="1169"/>
      <c r="Q159" s="2619"/>
      <c r="R159" s="2619"/>
      <c r="S159" s="2619"/>
      <c r="T159" s="2617" t="s">
        <v>18</v>
      </c>
    </row>
    <row r="160" spans="3:20" ht="15" customHeight="1">
      <c r="C160" s="81"/>
      <c r="D160" s="1484"/>
      <c r="E160" s="1484"/>
      <c r="F160" s="2680" t="s">
        <v>822</v>
      </c>
      <c r="G160" s="2680"/>
      <c r="H160" s="2680"/>
      <c r="I160" s="2680"/>
      <c r="J160" s="2680"/>
      <c r="K160" s="2680"/>
      <c r="L160" s="2680"/>
      <c r="M160" s="2680"/>
      <c r="N160" s="2680"/>
      <c r="O160" s="2595"/>
      <c r="P160" s="1523">
        <f>score606.3</f>
        <v>0</v>
      </c>
      <c r="Q160" s="2620"/>
      <c r="R160" s="2620"/>
      <c r="S160" s="2620"/>
      <c r="T160" s="2618"/>
    </row>
    <row r="161" spans="1:20" s="137" customFormat="1" ht="15">
      <c r="A161" s="1142"/>
      <c r="B161" s="1142"/>
      <c r="C161" s="2559" t="s">
        <v>1809</v>
      </c>
      <c r="D161" s="2559"/>
      <c r="E161" s="2559"/>
      <c r="F161" s="2559"/>
      <c r="G161" s="2559"/>
      <c r="H161" s="2559"/>
      <c r="I161" s="2559"/>
      <c r="J161" s="2559"/>
      <c r="K161" s="2559"/>
      <c r="L161" s="2559"/>
      <c r="M161" s="2559"/>
      <c r="N161" s="2559"/>
      <c r="O161" s="2559"/>
      <c r="P161" s="2559"/>
      <c r="Q161" s="2559"/>
      <c r="R161" s="2559"/>
      <c r="S161" s="2559"/>
      <c r="T161" s="2559"/>
    </row>
    <row r="162" spans="1:20" ht="30" customHeight="1">
      <c r="C162" s="506" t="s">
        <v>2436</v>
      </c>
      <c r="D162" s="507"/>
      <c r="E162" s="508"/>
      <c r="F162" s="2882" t="s">
        <v>250</v>
      </c>
      <c r="G162" s="2882"/>
      <c r="H162" s="2882"/>
      <c r="I162" s="2882"/>
      <c r="J162" s="2882"/>
      <c r="K162" s="2882"/>
      <c r="L162" s="2882"/>
      <c r="M162" s="2882"/>
      <c r="N162" s="2882"/>
      <c r="O162" s="1508"/>
      <c r="P162" s="502"/>
      <c r="Q162" s="2626"/>
      <c r="R162" s="2626"/>
      <c r="S162" s="2626"/>
      <c r="T162" s="509"/>
    </row>
    <row r="163" spans="1:20" ht="30" customHeight="1">
      <c r="C163" s="115"/>
      <c r="D163" s="116">
        <v>1</v>
      </c>
      <c r="E163" s="117"/>
      <c r="F163" s="2738" t="s">
        <v>251</v>
      </c>
      <c r="G163" s="2738"/>
      <c r="H163" s="2738"/>
      <c r="I163" s="2738"/>
      <c r="J163" s="2738"/>
      <c r="K163" s="2738"/>
      <c r="L163" s="2738"/>
      <c r="M163" s="2738"/>
      <c r="N163" s="2738"/>
      <c r="O163" s="118">
        <v>3</v>
      </c>
      <c r="P163" s="441"/>
      <c r="Q163" s="2242"/>
      <c r="R163" s="2242"/>
      <c r="S163" s="2242"/>
      <c r="T163" s="525" t="s">
        <v>18</v>
      </c>
    </row>
    <row r="164" spans="1:20" ht="15" customHeight="1">
      <c r="C164" s="115"/>
      <c r="D164" s="1524">
        <v>2</v>
      </c>
      <c r="E164" s="119"/>
      <c r="F164" s="2593" t="s">
        <v>252</v>
      </c>
      <c r="G164" s="2593"/>
      <c r="H164" s="2593"/>
      <c r="I164" s="2593"/>
      <c r="J164" s="2593"/>
      <c r="K164" s="2593"/>
      <c r="L164" s="2593"/>
      <c r="M164" s="2593"/>
      <c r="N164" s="2593"/>
      <c r="O164" s="1495">
        <v>3</v>
      </c>
      <c r="P164" s="1483"/>
      <c r="Q164" s="2244"/>
      <c r="R164" s="2244"/>
      <c r="S164" s="2244"/>
      <c r="T164" s="1576" t="s">
        <v>18</v>
      </c>
    </row>
    <row r="165" spans="1:20" ht="30" customHeight="1">
      <c r="C165" s="425" t="s">
        <v>2437</v>
      </c>
      <c r="D165" s="412"/>
      <c r="E165" s="413"/>
      <c r="F165" s="2850" t="s">
        <v>326</v>
      </c>
      <c r="G165" s="2850"/>
      <c r="H165" s="2850"/>
      <c r="I165" s="2850"/>
      <c r="J165" s="2850"/>
      <c r="K165" s="2850"/>
      <c r="L165" s="2850"/>
      <c r="M165" s="2850"/>
      <c r="N165" s="2850"/>
      <c r="O165" s="1526">
        <v>1</v>
      </c>
      <c r="P165" s="929"/>
      <c r="Q165" s="2380"/>
      <c r="R165" s="2380"/>
      <c r="S165" s="2380"/>
      <c r="T165" s="528" t="s">
        <v>18</v>
      </c>
    </row>
    <row r="166" spans="1:20" ht="15">
      <c r="C166" s="2559" t="s">
        <v>2438</v>
      </c>
      <c r="D166" s="2559"/>
      <c r="E166" s="2559"/>
      <c r="F166" s="2559"/>
      <c r="G166" s="2559"/>
      <c r="H166" s="2559"/>
      <c r="I166" s="2559"/>
      <c r="J166" s="2559"/>
      <c r="K166" s="2559"/>
      <c r="L166" s="2559"/>
      <c r="M166" s="2559"/>
      <c r="N166" s="2559"/>
      <c r="O166" s="2559"/>
      <c r="P166" s="2559"/>
      <c r="Q166" s="2559"/>
      <c r="R166" s="2559"/>
      <c r="S166" s="2559"/>
      <c r="T166" s="2559"/>
    </row>
    <row r="167" spans="1:20" ht="78" customHeight="1">
      <c r="C167" s="1518" t="s">
        <v>2439</v>
      </c>
      <c r="D167" s="1527"/>
      <c r="E167" s="1519"/>
      <c r="F167" s="2525" t="s">
        <v>284</v>
      </c>
      <c r="G167" s="2526"/>
      <c r="H167" s="2526"/>
      <c r="I167" s="2526"/>
      <c r="J167" s="2526"/>
      <c r="K167" s="2526"/>
      <c r="L167" s="2526"/>
      <c r="M167" s="2526"/>
      <c r="N167" s="2526"/>
      <c r="O167" s="2595" t="s">
        <v>285</v>
      </c>
      <c r="P167" s="1164"/>
      <c r="Q167" s="2496"/>
      <c r="R167" s="2496"/>
      <c r="S167" s="2496"/>
      <c r="T167" s="2618" t="s">
        <v>18</v>
      </c>
    </row>
    <row r="168" spans="1:20" ht="15" customHeight="1">
      <c r="C168" s="81"/>
      <c r="D168" s="1484"/>
      <c r="E168" s="1484"/>
      <c r="F168" s="2876" t="s">
        <v>883</v>
      </c>
      <c r="G168" s="2877"/>
      <c r="H168" s="2877"/>
      <c r="I168" s="2877"/>
      <c r="J168" s="2877"/>
      <c r="K168" s="2877"/>
      <c r="L168" s="2877"/>
      <c r="M168" s="2877"/>
      <c r="N168" s="2878"/>
      <c r="O168" s="2595"/>
      <c r="P168" s="1502">
        <f>score608.1</f>
        <v>0</v>
      </c>
      <c r="Q168" s="2467"/>
      <c r="R168" s="2467"/>
      <c r="S168" s="2467"/>
      <c r="T168" s="2618"/>
    </row>
    <row r="169" spans="1:20" ht="15">
      <c r="C169" s="2559" t="s">
        <v>2440</v>
      </c>
      <c r="D169" s="2559"/>
      <c r="E169" s="2559"/>
      <c r="F169" s="2559"/>
      <c r="G169" s="2559"/>
      <c r="H169" s="2559"/>
      <c r="I169" s="2559"/>
      <c r="J169" s="2559"/>
      <c r="K169" s="2559"/>
      <c r="L169" s="2559"/>
      <c r="M169" s="2559"/>
      <c r="N169" s="2559"/>
      <c r="O169" s="2559"/>
      <c r="P169" s="2559"/>
      <c r="Q169" s="2559"/>
      <c r="R169" s="2559"/>
      <c r="S169" s="2559"/>
      <c r="T169" s="2559"/>
    </row>
    <row r="170" spans="1:20" ht="45" customHeight="1">
      <c r="C170" s="1518" t="s">
        <v>2441</v>
      </c>
      <c r="D170" s="1527"/>
      <c r="E170" s="1519"/>
      <c r="F170" s="2873" t="s">
        <v>828</v>
      </c>
      <c r="G170" s="2874"/>
      <c r="H170" s="2874"/>
      <c r="I170" s="2874"/>
      <c r="J170" s="2874"/>
      <c r="K170" s="2874"/>
      <c r="L170" s="2874"/>
      <c r="M170" s="2874"/>
      <c r="N170" s="2874"/>
      <c r="O170" s="2875" t="s">
        <v>286</v>
      </c>
      <c r="P170" s="1157"/>
      <c r="Q170" s="2496"/>
      <c r="R170" s="2496"/>
      <c r="S170" s="2496"/>
      <c r="T170" s="2542" t="s">
        <v>18</v>
      </c>
    </row>
    <row r="171" spans="1:20" ht="15" customHeight="1">
      <c r="C171" s="81"/>
      <c r="D171" s="1484"/>
      <c r="E171" s="1484"/>
      <c r="F171" s="2876" t="s">
        <v>884</v>
      </c>
      <c r="G171" s="2877"/>
      <c r="H171" s="2877"/>
      <c r="I171" s="2877"/>
      <c r="J171" s="2877"/>
      <c r="K171" s="2877"/>
      <c r="L171" s="2877"/>
      <c r="M171" s="2877"/>
      <c r="N171" s="2878"/>
      <c r="O171" s="2875"/>
      <c r="P171" s="1502">
        <f>score609.1</f>
        <v>0</v>
      </c>
      <c r="Q171" s="2467"/>
      <c r="R171" s="2467"/>
      <c r="S171" s="2467"/>
      <c r="T171" s="2542"/>
    </row>
    <row r="172" spans="1:20" ht="15">
      <c r="C172" s="2559" t="s">
        <v>2442</v>
      </c>
      <c r="D172" s="2559"/>
      <c r="E172" s="2559"/>
      <c r="F172" s="2559"/>
      <c r="G172" s="2559"/>
      <c r="H172" s="2559"/>
      <c r="I172" s="2559"/>
      <c r="J172" s="2559"/>
      <c r="K172" s="2559"/>
      <c r="L172" s="2559"/>
      <c r="M172" s="2559"/>
      <c r="N172" s="2559"/>
      <c r="O172" s="2559"/>
      <c r="P172" s="2559"/>
      <c r="Q172" s="2559"/>
      <c r="R172" s="2559"/>
      <c r="S172" s="2559"/>
      <c r="T172" s="2559"/>
    </row>
    <row r="173" spans="1:20" ht="75" customHeight="1">
      <c r="C173" s="1518" t="s">
        <v>2443</v>
      </c>
      <c r="D173" s="1527"/>
      <c r="E173" s="1519"/>
      <c r="F173" s="2505" t="s">
        <v>886</v>
      </c>
      <c r="G173" s="2879"/>
      <c r="H173" s="2879"/>
      <c r="I173" s="2879"/>
      <c r="J173" s="2879"/>
      <c r="K173" s="2879"/>
      <c r="L173" s="2879"/>
      <c r="M173" s="2879"/>
      <c r="N173" s="2879"/>
      <c r="O173" s="510" t="s">
        <v>1608</v>
      </c>
      <c r="P173" s="1502">
        <f>score610.1</f>
        <v>0</v>
      </c>
      <c r="Q173" s="2880"/>
      <c r="R173" s="2881"/>
      <c r="S173" s="2881"/>
      <c r="T173" s="966"/>
    </row>
    <row r="174" spans="1:20" ht="30" customHeight="1">
      <c r="C174" s="1936" t="s">
        <v>2444</v>
      </c>
      <c r="D174" s="1527"/>
      <c r="E174" s="1519"/>
      <c r="F174" s="2505" t="s">
        <v>887</v>
      </c>
      <c r="G174" s="2505"/>
      <c r="H174" s="2505"/>
      <c r="I174" s="2505"/>
      <c r="J174" s="2505"/>
      <c r="K174" s="2505"/>
      <c r="L174" s="2505"/>
      <c r="M174" s="2505"/>
      <c r="N174" s="2505"/>
      <c r="O174" s="1495">
        <v>15</v>
      </c>
      <c r="P174" s="1533"/>
      <c r="Q174" s="2495"/>
      <c r="R174" s="2495"/>
      <c r="S174" s="2495"/>
      <c r="T174" s="1488" t="s">
        <v>18</v>
      </c>
    </row>
    <row r="175" spans="1:20" ht="60" customHeight="1">
      <c r="C175" s="1522" t="s">
        <v>2445</v>
      </c>
      <c r="D175" s="372"/>
      <c r="E175" s="1510"/>
      <c r="F175" s="2897" t="s">
        <v>888</v>
      </c>
      <c r="G175" s="2897"/>
      <c r="H175" s="2897"/>
      <c r="I175" s="2897"/>
      <c r="J175" s="2897"/>
      <c r="K175" s="2897"/>
      <c r="L175" s="2897"/>
      <c r="M175" s="2897"/>
      <c r="N175" s="2897"/>
      <c r="O175" s="517" t="s">
        <v>1994</v>
      </c>
      <c r="P175" s="1096">
        <f>score610.1.2_1+choice610.1.2_2</f>
        <v>0</v>
      </c>
      <c r="Q175" s="2380"/>
      <c r="R175" s="2380"/>
      <c r="S175" s="2380"/>
      <c r="T175" s="516"/>
    </row>
    <row r="176" spans="1:20" ht="60" customHeight="1">
      <c r="C176" s="2458"/>
      <c r="D176" s="2459">
        <v>1</v>
      </c>
      <c r="E176" s="2460"/>
      <c r="F176" s="2461" t="s">
        <v>1606</v>
      </c>
      <c r="G176" s="2461"/>
      <c r="H176" s="2461"/>
      <c r="I176" s="2461"/>
      <c r="J176" s="2461"/>
      <c r="K176" s="2461"/>
      <c r="L176" s="2461"/>
      <c r="M176" s="2461"/>
      <c r="N176" s="2461"/>
      <c r="O176" s="510" t="s">
        <v>1995</v>
      </c>
      <c r="P176" s="1096">
        <f>score610.1.2_1</f>
        <v>0</v>
      </c>
      <c r="Q176" s="2255"/>
      <c r="R176" s="2255"/>
      <c r="S176" s="2255"/>
      <c r="T176" s="966"/>
    </row>
    <row r="177" spans="3:20" ht="43.5" customHeight="1" thickBot="1">
      <c r="C177" s="2458"/>
      <c r="D177" s="2459"/>
      <c r="E177" s="2460"/>
      <c r="F177" s="2461"/>
      <c r="G177" s="2461"/>
      <c r="H177" s="2461"/>
      <c r="I177" s="2461"/>
      <c r="J177" s="2461"/>
      <c r="K177" s="2461"/>
      <c r="L177" s="2461"/>
      <c r="M177" s="2461"/>
      <c r="N177" s="2461"/>
      <c r="O177" s="1528" t="s">
        <v>1730</v>
      </c>
      <c r="P177" s="1476"/>
      <c r="Q177" s="2255"/>
      <c r="R177" s="2255"/>
      <c r="S177" s="2255"/>
      <c r="T177" s="2462" t="s">
        <v>18</v>
      </c>
    </row>
    <row r="178" spans="3:20" ht="15" customHeight="1">
      <c r="C178" s="1518"/>
      <c r="D178" s="1524"/>
      <c r="E178" s="1519"/>
      <c r="F178" s="2602" t="s">
        <v>1610</v>
      </c>
      <c r="G178" s="2603"/>
      <c r="H178" s="2603"/>
      <c r="I178" s="970">
        <v>1</v>
      </c>
      <c r="J178" s="971">
        <v>2</v>
      </c>
      <c r="K178" s="971">
        <v>3</v>
      </c>
      <c r="L178" s="971">
        <v>4</v>
      </c>
      <c r="M178" s="972" t="s">
        <v>1611</v>
      </c>
      <c r="N178" s="969"/>
      <c r="O178" s="2468" t="s">
        <v>1731</v>
      </c>
      <c r="P178" s="2409"/>
      <c r="Q178" s="2255"/>
      <c r="R178" s="2255"/>
      <c r="S178" s="2255"/>
      <c r="T178" s="2462"/>
    </row>
    <row r="179" spans="3:20" ht="15" customHeight="1">
      <c r="C179" s="1518"/>
      <c r="D179" s="1524"/>
      <c r="E179" s="1519"/>
      <c r="F179" s="2604" t="s">
        <v>832</v>
      </c>
      <c r="G179" s="2605"/>
      <c r="H179" s="2605"/>
      <c r="I179" s="1590" t="s">
        <v>1600</v>
      </c>
      <c r="J179" s="1591" t="s">
        <v>1605</v>
      </c>
      <c r="K179" s="1591" t="s">
        <v>1601</v>
      </c>
      <c r="L179" s="1591" t="s">
        <v>1604</v>
      </c>
      <c r="M179" s="1592" t="s">
        <v>1603</v>
      </c>
      <c r="N179" s="1515"/>
      <c r="O179" s="2468"/>
      <c r="P179" s="2409"/>
      <c r="Q179" s="2255"/>
      <c r="R179" s="2255"/>
      <c r="S179" s="2255"/>
      <c r="T179" s="2462"/>
    </row>
    <row r="180" spans="3:20" ht="15.75" customHeight="1" thickBot="1">
      <c r="C180" s="1518"/>
      <c r="D180" s="1524"/>
      <c r="E180" s="1519"/>
      <c r="F180" s="2606" t="s">
        <v>835</v>
      </c>
      <c r="G180" s="2607"/>
      <c r="H180" s="2607"/>
      <c r="I180" s="1593" t="s">
        <v>1609</v>
      </c>
      <c r="J180" s="1594" t="s">
        <v>1601</v>
      </c>
      <c r="K180" s="1594" t="s">
        <v>1602</v>
      </c>
      <c r="L180" s="1594" t="s">
        <v>1603</v>
      </c>
      <c r="M180" s="1595" t="s">
        <v>1603</v>
      </c>
      <c r="N180" s="973"/>
      <c r="O180" s="2468"/>
      <c r="P180" s="2409"/>
      <c r="Q180" s="2255"/>
      <c r="R180" s="2255"/>
      <c r="S180" s="2255"/>
      <c r="T180" s="2462"/>
    </row>
    <row r="181" spans="3:20" ht="27.75" customHeight="1">
      <c r="C181" s="1518"/>
      <c r="D181" s="1524"/>
      <c r="E181" s="1519"/>
      <c r="F181" s="2613" t="s">
        <v>1612</v>
      </c>
      <c r="G181" s="2614"/>
      <c r="H181" s="2614"/>
      <c r="I181" s="2614"/>
      <c r="J181" s="2614"/>
      <c r="K181" s="2614"/>
      <c r="L181" s="2614"/>
      <c r="M181" s="2614"/>
      <c r="N181" s="2615"/>
      <c r="O181" s="2469"/>
      <c r="P181" s="2470"/>
      <c r="Q181" s="2474"/>
      <c r="R181" s="2474"/>
      <c r="S181" s="2474"/>
      <c r="T181" s="2463"/>
    </row>
    <row r="182" spans="3:20" ht="45" customHeight="1">
      <c r="C182" s="2489"/>
      <c r="D182" s="2517">
        <v>2</v>
      </c>
      <c r="E182" s="2518"/>
      <c r="F182" s="2481" t="s">
        <v>1619</v>
      </c>
      <c r="G182" s="2481"/>
      <c r="H182" s="2481"/>
      <c r="I182" s="2481"/>
      <c r="J182" s="2481"/>
      <c r="K182" s="2481"/>
      <c r="L182" s="2481"/>
      <c r="M182" s="2481"/>
      <c r="N182" s="2481"/>
      <c r="O182" s="2471" t="s">
        <v>1607</v>
      </c>
      <c r="P182" s="2472">
        <f>score610.1.2_2</f>
        <v>0</v>
      </c>
      <c r="Q182" s="2466"/>
      <c r="R182" s="2466"/>
      <c r="S182" s="2466"/>
      <c r="T182" s="2464" t="s">
        <v>18</v>
      </c>
    </row>
    <row r="183" spans="3:20" ht="37.5" customHeight="1">
      <c r="C183" s="2489"/>
      <c r="D183" s="2459"/>
      <c r="E183" s="2519"/>
      <c r="F183" s="2461"/>
      <c r="G183" s="2461"/>
      <c r="H183" s="2461"/>
      <c r="I183" s="2461"/>
      <c r="J183" s="2461"/>
      <c r="K183" s="2461"/>
      <c r="L183" s="2461"/>
      <c r="M183" s="2461"/>
      <c r="N183" s="2461"/>
      <c r="O183" s="2230"/>
      <c r="P183" s="2473"/>
      <c r="Q183" s="2255"/>
      <c r="R183" s="2255"/>
      <c r="S183" s="2255"/>
      <c r="T183" s="2462"/>
    </row>
    <row r="184" spans="3:20" ht="22.5" customHeight="1">
      <c r="C184" s="1518"/>
      <c r="D184" s="1524"/>
      <c r="E184" s="1519"/>
      <c r="F184" s="2461"/>
      <c r="G184" s="2461"/>
      <c r="H184" s="2461"/>
      <c r="I184" s="2461"/>
      <c r="J184" s="2461"/>
      <c r="K184" s="2461"/>
      <c r="L184" s="2461"/>
      <c r="M184" s="2461"/>
      <c r="N184" s="2461"/>
      <c r="O184" s="2468" t="s">
        <v>1827</v>
      </c>
      <c r="P184" s="2484"/>
      <c r="Q184" s="2255"/>
      <c r="R184" s="2255"/>
      <c r="S184" s="2255"/>
      <c r="T184" s="2462"/>
    </row>
    <row r="185" spans="3:20" ht="22.5" customHeight="1">
      <c r="C185" s="1518"/>
      <c r="D185" s="1524"/>
      <c r="E185" s="1519"/>
      <c r="F185" s="2461"/>
      <c r="G185" s="2461"/>
      <c r="H185" s="2461"/>
      <c r="I185" s="2461"/>
      <c r="J185" s="2461"/>
      <c r="K185" s="2461"/>
      <c r="L185" s="2461"/>
      <c r="M185" s="2461"/>
      <c r="N185" s="2461"/>
      <c r="O185" s="2468"/>
      <c r="P185" s="2484"/>
      <c r="Q185" s="2255"/>
      <c r="R185" s="2255"/>
      <c r="S185" s="2255"/>
      <c r="T185" s="2462"/>
    </row>
    <row r="186" spans="3:20" ht="22.5" customHeight="1">
      <c r="C186" s="1518"/>
      <c r="D186" s="1524"/>
      <c r="E186" s="1519"/>
      <c r="F186" s="2461"/>
      <c r="G186" s="2461"/>
      <c r="H186" s="2461"/>
      <c r="I186" s="2461"/>
      <c r="J186" s="2461"/>
      <c r="K186" s="2461"/>
      <c r="L186" s="2461"/>
      <c r="M186" s="2461"/>
      <c r="N186" s="2461"/>
      <c r="O186" s="2468"/>
      <c r="P186" s="2484"/>
      <c r="Q186" s="2255"/>
      <c r="R186" s="2255"/>
      <c r="S186" s="2255"/>
      <c r="T186" s="2462"/>
    </row>
    <row r="187" spans="3:20" ht="22.5" customHeight="1">
      <c r="C187" s="1518"/>
      <c r="D187" s="1524"/>
      <c r="E187" s="1519"/>
      <c r="F187" s="2461"/>
      <c r="G187" s="2461"/>
      <c r="H187" s="2461"/>
      <c r="I187" s="2461"/>
      <c r="J187" s="2461"/>
      <c r="K187" s="2461"/>
      <c r="L187" s="2461"/>
      <c r="M187" s="2461"/>
      <c r="N187" s="2461"/>
      <c r="O187" s="2468" t="s">
        <v>1828</v>
      </c>
      <c r="P187" s="2484"/>
      <c r="Q187" s="2255"/>
      <c r="R187" s="2255"/>
      <c r="S187" s="2255"/>
      <c r="T187" s="2462"/>
    </row>
    <row r="188" spans="3:20" ht="22.5" customHeight="1">
      <c r="C188" s="1518"/>
      <c r="D188" s="1524"/>
      <c r="E188" s="1519"/>
      <c r="F188" s="2461"/>
      <c r="G188" s="2461"/>
      <c r="H188" s="2461"/>
      <c r="I188" s="2461"/>
      <c r="J188" s="2461"/>
      <c r="K188" s="2461"/>
      <c r="L188" s="2461"/>
      <c r="M188" s="2461"/>
      <c r="N188" s="2461"/>
      <c r="O188" s="2468"/>
      <c r="P188" s="2484"/>
      <c r="Q188" s="2255"/>
      <c r="R188" s="2255"/>
      <c r="S188" s="2255"/>
      <c r="T188" s="2462"/>
    </row>
    <row r="189" spans="3:20" ht="22.5" customHeight="1">
      <c r="C189" s="1518"/>
      <c r="D189" s="1524"/>
      <c r="E189" s="1519"/>
      <c r="F189" s="2461"/>
      <c r="G189" s="2461"/>
      <c r="H189" s="2461"/>
      <c r="I189" s="2461"/>
      <c r="J189" s="2461"/>
      <c r="K189" s="2461"/>
      <c r="L189" s="2461"/>
      <c r="M189" s="2461"/>
      <c r="N189" s="2461"/>
      <c r="O189" s="2468"/>
      <c r="P189" s="2484"/>
      <c r="Q189" s="2255"/>
      <c r="R189" s="2255"/>
      <c r="S189" s="2255"/>
      <c r="T189" s="2462"/>
    </row>
    <row r="190" spans="3:20" ht="22.5" customHeight="1" thickBot="1">
      <c r="C190" s="1518"/>
      <c r="D190" s="1524"/>
      <c r="E190" s="1519"/>
      <c r="F190" s="2482"/>
      <c r="G190" s="2482"/>
      <c r="H190" s="2482"/>
      <c r="I190" s="2482"/>
      <c r="J190" s="2482"/>
      <c r="K190" s="2482"/>
      <c r="L190" s="2482"/>
      <c r="M190" s="2482"/>
      <c r="N190" s="2482"/>
      <c r="O190" s="2468" t="s">
        <v>1830</v>
      </c>
      <c r="P190" s="2485"/>
      <c r="Q190" s="2255"/>
      <c r="R190" s="2255"/>
      <c r="S190" s="2255"/>
      <c r="T190" s="2462"/>
    </row>
    <row r="191" spans="3:20" ht="15" customHeight="1">
      <c r="C191" s="1518"/>
      <c r="D191" s="1524"/>
      <c r="E191" s="1519"/>
      <c r="F191" s="2608" t="s">
        <v>1620</v>
      </c>
      <c r="G191" s="2597"/>
      <c r="H191" s="2598"/>
      <c r="I191" s="2596" t="s">
        <v>1621</v>
      </c>
      <c r="J191" s="2597"/>
      <c r="K191" s="2598"/>
      <c r="L191" s="2596" t="s">
        <v>1622</v>
      </c>
      <c r="M191" s="2597"/>
      <c r="N191" s="2616"/>
      <c r="O191" s="2468"/>
      <c r="P191" s="2485"/>
      <c r="Q191" s="2255"/>
      <c r="R191" s="2255"/>
      <c r="S191" s="2255"/>
      <c r="T191" s="2462"/>
    </row>
    <row r="192" spans="3:20" ht="20" customHeight="1">
      <c r="C192" s="1518"/>
      <c r="D192" s="1524"/>
      <c r="E192" s="1519"/>
      <c r="F192" s="2506" t="s">
        <v>818</v>
      </c>
      <c r="G192" s="2507"/>
      <c r="H192" s="2508"/>
      <c r="I192" s="2475" t="s">
        <v>1623</v>
      </c>
      <c r="J192" s="2476"/>
      <c r="K192" s="2509"/>
      <c r="L192" s="2475" t="s">
        <v>49</v>
      </c>
      <c r="M192" s="2476"/>
      <c r="N192" s="2477"/>
      <c r="O192" s="2468"/>
      <c r="P192" s="2485"/>
      <c r="Q192" s="2255"/>
      <c r="R192" s="2255"/>
      <c r="S192" s="2255"/>
      <c r="T192" s="2462"/>
    </row>
    <row r="193" spans="3:20" ht="20" customHeight="1">
      <c r="C193" s="1518"/>
      <c r="D193" s="1524"/>
      <c r="E193" s="1519"/>
      <c r="F193" s="2609" t="s">
        <v>817</v>
      </c>
      <c r="G193" s="2610"/>
      <c r="H193" s="2610"/>
      <c r="I193" s="2475" t="s">
        <v>48</v>
      </c>
      <c r="J193" s="2476"/>
      <c r="K193" s="2509"/>
      <c r="L193" s="2475" t="s">
        <v>99</v>
      </c>
      <c r="M193" s="2476"/>
      <c r="N193" s="2477"/>
      <c r="O193" s="2468" t="s">
        <v>1829</v>
      </c>
      <c r="P193" s="2485"/>
      <c r="Q193" s="2255"/>
      <c r="R193" s="2255"/>
      <c r="S193" s="2255"/>
      <c r="T193" s="2462"/>
    </row>
    <row r="194" spans="3:20" ht="20" customHeight="1" thickBot="1">
      <c r="C194" s="1518"/>
      <c r="D194" s="1524"/>
      <c r="E194" s="1519"/>
      <c r="F194" s="2611" t="s">
        <v>816</v>
      </c>
      <c r="G194" s="2612"/>
      <c r="H194" s="2612"/>
      <c r="I194" s="2478" t="s">
        <v>89</v>
      </c>
      <c r="J194" s="2479"/>
      <c r="K194" s="2510"/>
      <c r="L194" s="2478" t="s">
        <v>933</v>
      </c>
      <c r="M194" s="2479"/>
      <c r="N194" s="2480"/>
      <c r="O194" s="2468"/>
      <c r="P194" s="2485"/>
      <c r="Q194" s="2255"/>
      <c r="R194" s="2255"/>
      <c r="S194" s="2255"/>
      <c r="T194" s="2462"/>
    </row>
    <row r="195" spans="3:20" ht="20" customHeight="1">
      <c r="C195" s="1518"/>
      <c r="D195" s="1524"/>
      <c r="E195" s="1519"/>
      <c r="F195" s="2599" t="s">
        <v>1613</v>
      </c>
      <c r="G195" s="2600"/>
      <c r="H195" s="2600"/>
      <c r="I195" s="2600"/>
      <c r="J195" s="2600"/>
      <c r="K195" s="2600"/>
      <c r="L195" s="2600"/>
      <c r="M195" s="2600"/>
      <c r="N195" s="2601"/>
      <c r="O195" s="2483"/>
      <c r="P195" s="2485"/>
      <c r="Q195" s="2467"/>
      <c r="R195" s="2467"/>
      <c r="S195" s="2467"/>
      <c r="T195" s="2465"/>
    </row>
    <row r="196" spans="3:20" ht="15">
      <c r="C196" s="2559" t="s">
        <v>2446</v>
      </c>
      <c r="D196" s="2559"/>
      <c r="E196" s="2559"/>
      <c r="F196" s="2559"/>
      <c r="G196" s="2559"/>
      <c r="H196" s="2559"/>
      <c r="I196" s="2559"/>
      <c r="J196" s="2559"/>
      <c r="K196" s="2559"/>
      <c r="L196" s="2559"/>
      <c r="M196" s="2559"/>
      <c r="N196" s="2559"/>
      <c r="O196" s="2559"/>
      <c r="P196" s="2559"/>
      <c r="Q196" s="2559"/>
      <c r="R196" s="2559"/>
      <c r="S196" s="2559"/>
      <c r="T196" s="2559"/>
    </row>
    <row r="197" spans="3:20" ht="105" customHeight="1">
      <c r="C197" s="1518" t="s">
        <v>2447</v>
      </c>
      <c r="D197" s="1527"/>
      <c r="E197" s="1519"/>
      <c r="F197" s="2525" t="s">
        <v>287</v>
      </c>
      <c r="G197" s="2526"/>
      <c r="H197" s="2526"/>
      <c r="I197" s="2526"/>
      <c r="J197" s="2526"/>
      <c r="K197" s="2526"/>
      <c r="L197" s="2526"/>
      <c r="M197" s="2526"/>
      <c r="N197" s="2526"/>
      <c r="O197" s="2895" t="s">
        <v>288</v>
      </c>
      <c r="P197" s="1164"/>
      <c r="Q197" s="2496"/>
      <c r="R197" s="2496"/>
      <c r="S197" s="2496"/>
      <c r="T197" s="2618" t="s">
        <v>18</v>
      </c>
    </row>
    <row r="198" spans="3:20" ht="30" customHeight="1">
      <c r="C198" s="81"/>
      <c r="D198" s="1484"/>
      <c r="E198" s="1484"/>
      <c r="F198" s="2499" t="s">
        <v>885</v>
      </c>
      <c r="G198" s="2500"/>
      <c r="H198" s="2500"/>
      <c r="I198" s="2500"/>
      <c r="J198" s="2500"/>
      <c r="K198" s="2500"/>
      <c r="L198" s="2500"/>
      <c r="M198" s="2500"/>
      <c r="N198" s="2501"/>
      <c r="O198" s="2895"/>
      <c r="P198" s="1506">
        <f>score611.1</f>
        <v>0</v>
      </c>
      <c r="Q198" s="2242"/>
      <c r="R198" s="2242"/>
      <c r="S198" s="2242"/>
      <c r="T198" s="2618"/>
    </row>
    <row r="199" spans="3:20" ht="69" customHeight="1">
      <c r="C199" s="378" t="s">
        <v>2448</v>
      </c>
      <c r="D199" s="379"/>
      <c r="E199" s="380"/>
      <c r="F199" s="2687" t="s">
        <v>846</v>
      </c>
      <c r="G199" s="2688"/>
      <c r="H199" s="2688"/>
      <c r="I199" s="2688"/>
      <c r="J199" s="2688"/>
      <c r="K199" s="2688"/>
      <c r="L199" s="2688"/>
      <c r="M199" s="2688"/>
      <c r="N199" s="2688"/>
      <c r="O199" s="504" t="s">
        <v>847</v>
      </c>
      <c r="P199" s="515">
        <f>score611.2</f>
        <v>0</v>
      </c>
      <c r="Q199" s="2492"/>
      <c r="R199" s="2493"/>
      <c r="S199" s="2493"/>
      <c r="T199" s="516"/>
    </row>
    <row r="200" spans="3:20" ht="30" customHeight="1">
      <c r="C200" s="115"/>
      <c r="D200" s="116">
        <v>1</v>
      </c>
      <c r="E200" s="135"/>
      <c r="F200" s="2592" t="s">
        <v>848</v>
      </c>
      <c r="G200" s="2592"/>
      <c r="H200" s="2592"/>
      <c r="I200" s="2592"/>
      <c r="J200" s="2592"/>
      <c r="K200" s="2592"/>
      <c r="L200" s="2592"/>
      <c r="M200" s="2592"/>
      <c r="N200" s="2592"/>
      <c r="O200" s="118">
        <v>3</v>
      </c>
      <c r="P200" s="930"/>
      <c r="Q200" s="2494"/>
      <c r="R200" s="2495"/>
      <c r="S200" s="2495"/>
      <c r="T200" s="1492" t="s">
        <v>18</v>
      </c>
    </row>
    <row r="201" spans="3:20" ht="30" customHeight="1">
      <c r="C201" s="115"/>
      <c r="D201" s="1541">
        <v>2</v>
      </c>
      <c r="E201" s="1588"/>
      <c r="F201" s="2866" t="s">
        <v>849</v>
      </c>
      <c r="G201" s="2866"/>
      <c r="H201" s="2866"/>
      <c r="I201" s="2866"/>
      <c r="J201" s="2866"/>
      <c r="K201" s="2866"/>
      <c r="L201" s="2866"/>
      <c r="M201" s="2866"/>
      <c r="N201" s="2866"/>
      <c r="O201" s="1543">
        <v>3</v>
      </c>
      <c r="P201" s="931"/>
      <c r="Q201" s="2243"/>
      <c r="R201" s="2244"/>
      <c r="S201" s="2244"/>
      <c r="T201" s="523" t="s">
        <v>18</v>
      </c>
    </row>
    <row r="202" spans="3:20" ht="30" customHeight="1">
      <c r="C202" s="115"/>
      <c r="D202" s="1541">
        <v>3</v>
      </c>
      <c r="E202" s="1588"/>
      <c r="F202" s="2866" t="s">
        <v>850</v>
      </c>
      <c r="G202" s="2866"/>
      <c r="H202" s="2866"/>
      <c r="I202" s="2866"/>
      <c r="J202" s="2866"/>
      <c r="K202" s="2866"/>
      <c r="L202" s="2866"/>
      <c r="M202" s="2866"/>
      <c r="N202" s="2866"/>
      <c r="O202" s="1543">
        <v>3</v>
      </c>
      <c r="P202" s="931"/>
      <c r="Q202" s="2243"/>
      <c r="R202" s="2244"/>
      <c r="S202" s="2244"/>
      <c r="T202" s="523" t="s">
        <v>18</v>
      </c>
    </row>
    <row r="203" spans="3:20" ht="30" customHeight="1">
      <c r="C203" s="115"/>
      <c r="D203" s="1541">
        <v>4</v>
      </c>
      <c r="E203" s="1588"/>
      <c r="F203" s="2866" t="s">
        <v>851</v>
      </c>
      <c r="G203" s="2866"/>
      <c r="H203" s="2866"/>
      <c r="I203" s="2866"/>
      <c r="J203" s="2866"/>
      <c r="K203" s="2866"/>
      <c r="L203" s="2866"/>
      <c r="M203" s="2866"/>
      <c r="N203" s="2866"/>
      <c r="O203" s="1543">
        <v>3</v>
      </c>
      <c r="P203" s="931"/>
      <c r="Q203" s="2243"/>
      <c r="R203" s="2244"/>
      <c r="S203" s="2244"/>
      <c r="T203" s="523" t="s">
        <v>18</v>
      </c>
    </row>
    <row r="204" spans="3:20" ht="30" customHeight="1">
      <c r="C204" s="115"/>
      <c r="D204" s="1541">
        <v>5</v>
      </c>
      <c r="E204" s="1588"/>
      <c r="F204" s="2866" t="s">
        <v>852</v>
      </c>
      <c r="G204" s="2866"/>
      <c r="H204" s="2866"/>
      <c r="I204" s="2866"/>
      <c r="J204" s="2866"/>
      <c r="K204" s="2866"/>
      <c r="L204" s="2866"/>
      <c r="M204" s="2866"/>
      <c r="N204" s="2866"/>
      <c r="O204" s="1543">
        <v>3</v>
      </c>
      <c r="P204" s="931"/>
      <c r="Q204" s="2243"/>
      <c r="R204" s="2244"/>
      <c r="S204" s="2244"/>
      <c r="T204" s="523" t="s">
        <v>18</v>
      </c>
    </row>
    <row r="205" spans="3:20" ht="30" customHeight="1">
      <c r="C205" s="115"/>
      <c r="D205" s="1541">
        <v>6</v>
      </c>
      <c r="E205" s="1588"/>
      <c r="F205" s="2866" t="s">
        <v>853</v>
      </c>
      <c r="G205" s="2866"/>
      <c r="H205" s="2866"/>
      <c r="I205" s="2866"/>
      <c r="J205" s="2866"/>
      <c r="K205" s="2866"/>
      <c r="L205" s="2866"/>
      <c r="M205" s="2866"/>
      <c r="N205" s="2866"/>
      <c r="O205" s="1543">
        <v>3</v>
      </c>
      <c r="P205" s="931"/>
      <c r="Q205" s="2243"/>
      <c r="R205" s="2244"/>
      <c r="S205" s="2244"/>
      <c r="T205" s="523" t="s">
        <v>18</v>
      </c>
    </row>
    <row r="206" spans="3:20" ht="30" customHeight="1">
      <c r="C206" s="115"/>
      <c r="D206" s="1524">
        <v>7</v>
      </c>
      <c r="E206" s="136"/>
      <c r="F206" s="2896" t="s">
        <v>854</v>
      </c>
      <c r="G206" s="2896"/>
      <c r="H206" s="2896"/>
      <c r="I206" s="2896"/>
      <c r="J206" s="2896"/>
      <c r="K206" s="2896"/>
      <c r="L206" s="2896"/>
      <c r="M206" s="2896"/>
      <c r="N206" s="2896"/>
      <c r="O206" s="1596">
        <v>3</v>
      </c>
      <c r="P206" s="616"/>
      <c r="Q206" s="2243"/>
      <c r="R206" s="2244"/>
      <c r="S206" s="2244"/>
      <c r="T206" s="523" t="s">
        <v>18</v>
      </c>
    </row>
    <row r="207" spans="3:20" ht="39" customHeight="1">
      <c r="C207" s="511" t="s">
        <v>2449</v>
      </c>
      <c r="D207" s="512"/>
      <c r="E207" s="513"/>
      <c r="F207" s="2587" t="s">
        <v>855</v>
      </c>
      <c r="G207" s="2587"/>
      <c r="H207" s="2587"/>
      <c r="I207" s="2587"/>
      <c r="J207" s="2587"/>
      <c r="K207" s="2587"/>
      <c r="L207" s="2587"/>
      <c r="M207" s="2587"/>
      <c r="N207" s="2587"/>
      <c r="O207" s="514"/>
      <c r="P207" s="505"/>
      <c r="Q207" s="2497"/>
      <c r="R207" s="2497"/>
      <c r="S207" s="2498"/>
      <c r="T207" s="428"/>
    </row>
    <row r="208" spans="3:20" ht="60" customHeight="1">
      <c r="C208" s="115"/>
      <c r="D208" s="116">
        <v>1</v>
      </c>
      <c r="E208" s="117"/>
      <c r="F208" s="2738" t="s">
        <v>856</v>
      </c>
      <c r="G208" s="2738"/>
      <c r="H208" s="2738"/>
      <c r="I208" s="2738"/>
      <c r="J208" s="2738"/>
      <c r="K208" s="2738"/>
      <c r="L208" s="2738"/>
      <c r="M208" s="2738"/>
      <c r="N208" s="2738"/>
      <c r="O208" s="118">
        <v>3</v>
      </c>
      <c r="P208" s="441"/>
      <c r="Q208" s="2241"/>
      <c r="R208" s="2242"/>
      <c r="S208" s="2242"/>
      <c r="T208" s="520" t="s">
        <v>18</v>
      </c>
    </row>
    <row r="209" spans="1:20" ht="48" customHeight="1">
      <c r="C209" s="115"/>
      <c r="D209" s="1541">
        <v>2</v>
      </c>
      <c r="E209" s="1542"/>
      <c r="F209" s="2585" t="s">
        <v>857</v>
      </c>
      <c r="G209" s="2585"/>
      <c r="H209" s="2585"/>
      <c r="I209" s="2585"/>
      <c r="J209" s="2585"/>
      <c r="K209" s="2585"/>
      <c r="L209" s="2585"/>
      <c r="M209" s="2585"/>
      <c r="N209" s="2585"/>
      <c r="O209" s="1543">
        <v>3</v>
      </c>
      <c r="P209" s="615"/>
      <c r="Q209" s="2243"/>
      <c r="R209" s="2244"/>
      <c r="S209" s="2244"/>
      <c r="T209" s="518" t="s">
        <v>18</v>
      </c>
    </row>
    <row r="210" spans="1:20" ht="30" customHeight="1">
      <c r="C210" s="115"/>
      <c r="D210" s="1541">
        <v>3</v>
      </c>
      <c r="E210" s="1542"/>
      <c r="F210" s="2585" t="s">
        <v>858</v>
      </c>
      <c r="G210" s="2585"/>
      <c r="H210" s="2585"/>
      <c r="I210" s="2585"/>
      <c r="J210" s="2585"/>
      <c r="K210" s="2585"/>
      <c r="L210" s="2585"/>
      <c r="M210" s="2585"/>
      <c r="N210" s="2585"/>
      <c r="O210" s="1543">
        <v>3</v>
      </c>
      <c r="P210" s="615"/>
      <c r="Q210" s="2243"/>
      <c r="R210" s="2244"/>
      <c r="S210" s="2244"/>
      <c r="T210" s="518" t="s">
        <v>18</v>
      </c>
    </row>
    <row r="211" spans="1:20" ht="30" customHeight="1" thickBot="1">
      <c r="C211" s="429"/>
      <c r="D211" s="1597">
        <v>4</v>
      </c>
      <c r="E211" s="1598"/>
      <c r="F211" s="2586" t="s">
        <v>859</v>
      </c>
      <c r="G211" s="2586"/>
      <c r="H211" s="2586"/>
      <c r="I211" s="2586"/>
      <c r="J211" s="2586"/>
      <c r="K211" s="2586"/>
      <c r="L211" s="2586"/>
      <c r="M211" s="2586"/>
      <c r="N211" s="2586"/>
      <c r="O211" s="1599">
        <v>1</v>
      </c>
      <c r="P211" s="831"/>
      <c r="Q211" s="2490"/>
      <c r="R211" s="2491"/>
      <c r="S211" s="2491"/>
      <c r="T211" s="529" t="s">
        <v>18</v>
      </c>
    </row>
    <row r="212" spans="1:20" customFormat="1" ht="16" thickBot="1">
      <c r="A212" s="1143"/>
      <c r="B212" s="1143"/>
      <c r="C212" s="2892"/>
      <c r="D212" s="2893"/>
      <c r="E212" s="2893"/>
      <c r="F212" s="2893"/>
      <c r="G212" s="2893"/>
      <c r="H212" s="2893"/>
      <c r="I212" s="2893"/>
      <c r="J212" s="2893"/>
      <c r="K212" s="2893"/>
      <c r="L212" s="2893"/>
      <c r="M212" s="2893"/>
      <c r="N212" s="2893"/>
      <c r="O212" s="2893"/>
      <c r="P212" s="2893"/>
      <c r="Q212" s="2893"/>
      <c r="R212" s="2893"/>
      <c r="S212" s="2893"/>
      <c r="T212" s="2894"/>
    </row>
    <row r="213" spans="1:20" customFormat="1" ht="20" thickBot="1">
      <c r="A213" s="1143"/>
      <c r="B213" s="1143"/>
      <c r="C213" s="2340" t="s">
        <v>289</v>
      </c>
      <c r="D213" s="2341"/>
      <c r="E213" s="2341"/>
      <c r="F213" s="2341"/>
      <c r="G213" s="2341"/>
      <c r="H213" s="2341"/>
      <c r="I213" s="2341"/>
      <c r="J213" s="2341"/>
      <c r="K213" s="2341"/>
      <c r="L213" s="2341"/>
      <c r="M213" s="2341"/>
      <c r="N213" s="2341"/>
      <c r="O213" s="2341"/>
      <c r="P213" s="2342" t="s">
        <v>290</v>
      </c>
      <c r="Q213" s="2342"/>
      <c r="R213" s="2342"/>
      <c r="S213" s="2342"/>
      <c r="T213" s="2343"/>
    </row>
    <row r="214" spans="1:20">
      <c r="C214" s="2883"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214" s="2883"/>
      <c r="E214" s="2883"/>
      <c r="F214" s="2883"/>
      <c r="G214" s="2883"/>
      <c r="H214" s="2883"/>
      <c r="I214" s="2883"/>
      <c r="J214" s="2883"/>
      <c r="K214" s="2883"/>
      <c r="L214" s="2883"/>
      <c r="M214" s="2883"/>
      <c r="N214" s="2883"/>
      <c r="O214" s="2883"/>
      <c r="P214" s="2883"/>
      <c r="Q214" s="2883"/>
      <c r="R214" s="2883"/>
      <c r="S214" s="2883"/>
      <c r="T214" s="2883"/>
    </row>
    <row r="215" spans="1:20">
      <c r="C215" s="2884"/>
      <c r="D215" s="2884"/>
      <c r="E215" s="2884"/>
      <c r="F215" s="2884"/>
      <c r="G215" s="2884"/>
      <c r="H215" s="2884"/>
      <c r="I215" s="2884"/>
      <c r="J215" s="2884"/>
      <c r="K215" s="2884"/>
      <c r="L215" s="2884"/>
      <c r="M215" s="2884"/>
      <c r="N215" s="2884"/>
      <c r="O215" s="2884"/>
      <c r="P215" s="2884"/>
      <c r="Q215" s="2884"/>
      <c r="R215" s="2884"/>
      <c r="S215" s="2884"/>
      <c r="T215" s="2884"/>
    </row>
    <row r="216" spans="1:20">
      <c r="C216" s="2884"/>
      <c r="D216" s="2884"/>
      <c r="E216" s="2884"/>
      <c r="F216" s="2884"/>
      <c r="G216" s="2884"/>
      <c r="H216" s="2884"/>
      <c r="I216" s="2884"/>
      <c r="J216" s="2884"/>
      <c r="K216" s="2884"/>
      <c r="L216" s="2884"/>
      <c r="M216" s="2884"/>
      <c r="N216" s="2884"/>
      <c r="O216" s="2884"/>
      <c r="P216" s="2884"/>
      <c r="Q216" s="2884"/>
      <c r="R216" s="2884"/>
      <c r="S216" s="2884"/>
      <c r="T216" s="2884"/>
    </row>
  </sheetData>
  <sheetProtection password="CA4F" sheet="1" objects="1" scenarios="1" formatRows="0" selectLockedCells="1"/>
  <autoFilter ref="B6:B211" xr:uid="{00000000-0009-0000-0000-000002000000}"/>
  <mergeCells count="464">
    <mergeCell ref="C214:T216"/>
    <mergeCell ref="C4:I5"/>
    <mergeCell ref="F143:N143"/>
    <mergeCell ref="Q143:S143"/>
    <mergeCell ref="E123:T123"/>
    <mergeCell ref="E142:T142"/>
    <mergeCell ref="E52:E53"/>
    <mergeCell ref="C212:T212"/>
    <mergeCell ref="C213:O213"/>
    <mergeCell ref="P213:T213"/>
    <mergeCell ref="C196:T196"/>
    <mergeCell ref="F197:N197"/>
    <mergeCell ref="O197:O198"/>
    <mergeCell ref="T197:T198"/>
    <mergeCell ref="F199:N199"/>
    <mergeCell ref="F200:N200"/>
    <mergeCell ref="F202:N202"/>
    <mergeCell ref="F206:N206"/>
    <mergeCell ref="F201:N201"/>
    <mergeCell ref="F203:N203"/>
    <mergeCell ref="F205:N205"/>
    <mergeCell ref="F204:N204"/>
    <mergeCell ref="F208:N208"/>
    <mergeCell ref="F175:N175"/>
    <mergeCell ref="C169:T169"/>
    <mergeCell ref="F170:N170"/>
    <mergeCell ref="O170:O171"/>
    <mergeCell ref="T170:T171"/>
    <mergeCell ref="F171:N171"/>
    <mergeCell ref="C172:T172"/>
    <mergeCell ref="F173:N173"/>
    <mergeCell ref="Q173:S173"/>
    <mergeCell ref="T159:T160"/>
    <mergeCell ref="F160:N160"/>
    <mergeCell ref="C161:T161"/>
    <mergeCell ref="F167:N167"/>
    <mergeCell ref="O167:O168"/>
    <mergeCell ref="T167:T168"/>
    <mergeCell ref="F168:N168"/>
    <mergeCell ref="F162:N162"/>
    <mergeCell ref="F163:N163"/>
    <mergeCell ref="F164:N164"/>
    <mergeCell ref="F165:N165"/>
    <mergeCell ref="C166:T166"/>
    <mergeCell ref="Q159:S160"/>
    <mergeCell ref="Q162:S162"/>
    <mergeCell ref="T146:T147"/>
    <mergeCell ref="F147:N147"/>
    <mergeCell ref="T150:T154"/>
    <mergeCell ref="C148:T148"/>
    <mergeCell ref="F155:N155"/>
    <mergeCell ref="F157:N157"/>
    <mergeCell ref="F152:N152"/>
    <mergeCell ref="F153:N153"/>
    <mergeCell ref="F154:N154"/>
    <mergeCell ref="F156:N156"/>
    <mergeCell ref="Q157:S158"/>
    <mergeCell ref="Q155:S156"/>
    <mergeCell ref="T155:T156"/>
    <mergeCell ref="T137:T138"/>
    <mergeCell ref="I126:J126"/>
    <mergeCell ref="I129:J129"/>
    <mergeCell ref="I130:J130"/>
    <mergeCell ref="L126:M126"/>
    <mergeCell ref="L127:M127"/>
    <mergeCell ref="L128:M128"/>
    <mergeCell ref="L129:M129"/>
    <mergeCell ref="L130:M130"/>
    <mergeCell ref="Q132:S133"/>
    <mergeCell ref="O132:O133"/>
    <mergeCell ref="Q134:S134"/>
    <mergeCell ref="T124:T131"/>
    <mergeCell ref="F125:N125"/>
    <mergeCell ref="F131:N131"/>
    <mergeCell ref="F133:N133"/>
    <mergeCell ref="F134:N134"/>
    <mergeCell ref="Q121:S121"/>
    <mergeCell ref="Q124:S131"/>
    <mergeCell ref="Q118:S118"/>
    <mergeCell ref="Q119:S119"/>
    <mergeCell ref="Q120:S120"/>
    <mergeCell ref="T132:T133"/>
    <mergeCell ref="F87:N87"/>
    <mergeCell ref="F88:N88"/>
    <mergeCell ref="T89:T91"/>
    <mergeCell ref="Q94:S94"/>
    <mergeCell ref="F100:N100"/>
    <mergeCell ref="O100:O101"/>
    <mergeCell ref="P100:P101"/>
    <mergeCell ref="T100:T101"/>
    <mergeCell ref="F101:N101"/>
    <mergeCell ref="F109:N109"/>
    <mergeCell ref="F110:N110"/>
    <mergeCell ref="F111:N111"/>
    <mergeCell ref="F112:N112"/>
    <mergeCell ref="F113:N113"/>
    <mergeCell ref="F114:N114"/>
    <mergeCell ref="Q111:S111"/>
    <mergeCell ref="Q112:S112"/>
    <mergeCell ref="F121:N121"/>
    <mergeCell ref="F63:N63"/>
    <mergeCell ref="F64:N64"/>
    <mergeCell ref="C76:D76"/>
    <mergeCell ref="C81:D81"/>
    <mergeCell ref="F66:N66"/>
    <mergeCell ref="F67:N67"/>
    <mergeCell ref="F68:N68"/>
    <mergeCell ref="F69:N69"/>
    <mergeCell ref="F70:N70"/>
    <mergeCell ref="G71:M71"/>
    <mergeCell ref="G72:M72"/>
    <mergeCell ref="G73:M73"/>
    <mergeCell ref="F80:N80"/>
    <mergeCell ref="F77:N77"/>
    <mergeCell ref="F76:N76"/>
    <mergeCell ref="F74:N74"/>
    <mergeCell ref="F75:N75"/>
    <mergeCell ref="C78:C79"/>
    <mergeCell ref="D78:D79"/>
    <mergeCell ref="F41:N41"/>
    <mergeCell ref="O52:O53"/>
    <mergeCell ref="L61:N61"/>
    <mergeCell ref="O60:O61"/>
    <mergeCell ref="O69:O70"/>
    <mergeCell ref="F52:N53"/>
    <mergeCell ref="E47:T47"/>
    <mergeCell ref="F54:N54"/>
    <mergeCell ref="C46:T46"/>
    <mergeCell ref="F49:N49"/>
    <mergeCell ref="F50:N50"/>
    <mergeCell ref="C51:D51"/>
    <mergeCell ref="F51:N51"/>
    <mergeCell ref="F48:N48"/>
    <mergeCell ref="C50:D50"/>
    <mergeCell ref="C55:D55"/>
    <mergeCell ref="F55:N55"/>
    <mergeCell ref="C56:D56"/>
    <mergeCell ref="P69:P70"/>
    <mergeCell ref="C58:D58"/>
    <mergeCell ref="Q57:S57"/>
    <mergeCell ref="Q58:S58"/>
    <mergeCell ref="Q59:S59"/>
    <mergeCell ref="F61:K61"/>
    <mergeCell ref="G34:H34"/>
    <mergeCell ref="G35:H35"/>
    <mergeCell ref="G36:H36"/>
    <mergeCell ref="F42:N42"/>
    <mergeCell ref="O42:O43"/>
    <mergeCell ref="Q60:S61"/>
    <mergeCell ref="O64:O65"/>
    <mergeCell ref="P64:P65"/>
    <mergeCell ref="P42:P43"/>
    <mergeCell ref="F43:N43"/>
    <mergeCell ref="F38:N38"/>
    <mergeCell ref="F39:N39"/>
    <mergeCell ref="Q38:S41"/>
    <mergeCell ref="Q42:S43"/>
    <mergeCell ref="F56:N56"/>
    <mergeCell ref="F57:N57"/>
    <mergeCell ref="F58:N58"/>
    <mergeCell ref="F59:N59"/>
    <mergeCell ref="F65:K65"/>
    <mergeCell ref="L65:N65"/>
    <mergeCell ref="Q52:S53"/>
    <mergeCell ref="Q56:S56"/>
    <mergeCell ref="F60:N60"/>
    <mergeCell ref="F62:N62"/>
    <mergeCell ref="Q28:S28"/>
    <mergeCell ref="Q29:S29"/>
    <mergeCell ref="Q37:S37"/>
    <mergeCell ref="T26:T27"/>
    <mergeCell ref="Q26:S27"/>
    <mergeCell ref="F30:N30"/>
    <mergeCell ref="F16:N16"/>
    <mergeCell ref="F17:N17"/>
    <mergeCell ref="F18:N18"/>
    <mergeCell ref="Q30:S30"/>
    <mergeCell ref="F27:N27"/>
    <mergeCell ref="F28:N28"/>
    <mergeCell ref="T28:T30"/>
    <mergeCell ref="F29:N29"/>
    <mergeCell ref="F33:N33"/>
    <mergeCell ref="O33:O36"/>
    <mergeCell ref="T33:T36"/>
    <mergeCell ref="F31:N31"/>
    <mergeCell ref="F32:N32"/>
    <mergeCell ref="F37:N37"/>
    <mergeCell ref="P34:P36"/>
    <mergeCell ref="Q33:S36"/>
    <mergeCell ref="Q31:S31"/>
    <mergeCell ref="Q32:S32"/>
    <mergeCell ref="F15:N15"/>
    <mergeCell ref="Q15:S15"/>
    <mergeCell ref="Q16:S16"/>
    <mergeCell ref="Q17:S17"/>
    <mergeCell ref="F25:N25"/>
    <mergeCell ref="F26:N26"/>
    <mergeCell ref="F19:N19"/>
    <mergeCell ref="F20:N20"/>
    <mergeCell ref="F21:N21"/>
    <mergeCell ref="F22:N22"/>
    <mergeCell ref="F23:N23"/>
    <mergeCell ref="F24:N24"/>
    <mergeCell ref="Q21:S21"/>
    <mergeCell ref="Q22:S22"/>
    <mergeCell ref="Q23:S23"/>
    <mergeCell ref="Q24:S24"/>
    <mergeCell ref="Q20:S20"/>
    <mergeCell ref="Q18:S18"/>
    <mergeCell ref="Q19:S19"/>
    <mergeCell ref="Q25:S25"/>
    <mergeCell ref="O26:O27"/>
    <mergeCell ref="P26:P27"/>
    <mergeCell ref="N1:N2"/>
    <mergeCell ref="O1:P1"/>
    <mergeCell ref="Q1:T1"/>
    <mergeCell ref="J5:T5"/>
    <mergeCell ref="C1:H3"/>
    <mergeCell ref="J1:M3"/>
    <mergeCell ref="J4:M4"/>
    <mergeCell ref="C6:E6"/>
    <mergeCell ref="F6:N6"/>
    <mergeCell ref="C7:T7"/>
    <mergeCell ref="T9:T14"/>
    <mergeCell ref="F9:N9"/>
    <mergeCell ref="F14:N14"/>
    <mergeCell ref="P9:P14"/>
    <mergeCell ref="O9:O14"/>
    <mergeCell ref="Q6:S6"/>
    <mergeCell ref="Q9:S14"/>
    <mergeCell ref="G10:K10"/>
    <mergeCell ref="G11:K11"/>
    <mergeCell ref="G12:K12"/>
    <mergeCell ref="G13:K13"/>
    <mergeCell ref="E8:T8"/>
    <mergeCell ref="P73:P74"/>
    <mergeCell ref="P71:P72"/>
    <mergeCell ref="O71:O74"/>
    <mergeCell ref="Q66:S68"/>
    <mergeCell ref="T71:T74"/>
    <mergeCell ref="Q71:S74"/>
    <mergeCell ref="T69:T70"/>
    <mergeCell ref="Q69:S70"/>
    <mergeCell ref="P66:P68"/>
    <mergeCell ref="O66:O68"/>
    <mergeCell ref="F85:N85"/>
    <mergeCell ref="F86:N86"/>
    <mergeCell ref="Q76:S76"/>
    <mergeCell ref="F78:N78"/>
    <mergeCell ref="F79:N79"/>
    <mergeCell ref="E82:E83"/>
    <mergeCell ref="O82:O83"/>
    <mergeCell ref="P82:P83"/>
    <mergeCell ref="F83:N83"/>
    <mergeCell ref="F81:N81"/>
    <mergeCell ref="Q77:S77"/>
    <mergeCell ref="Q78:S79"/>
    <mergeCell ref="Q80:S80"/>
    <mergeCell ref="Q81:S81"/>
    <mergeCell ref="E78:E79"/>
    <mergeCell ref="F84:N84"/>
    <mergeCell ref="F82:N82"/>
    <mergeCell ref="G96:I96"/>
    <mergeCell ref="G97:I97"/>
    <mergeCell ref="G98:I98"/>
    <mergeCell ref="P89:P90"/>
    <mergeCell ref="F94:N94"/>
    <mergeCell ref="F95:N95"/>
    <mergeCell ref="F93:N93"/>
    <mergeCell ref="G90:M90"/>
    <mergeCell ref="G91:M91"/>
    <mergeCell ref="O89:O91"/>
    <mergeCell ref="O95:O98"/>
    <mergeCell ref="F89:N89"/>
    <mergeCell ref="F92:N92"/>
    <mergeCell ref="C100:D100"/>
    <mergeCell ref="N102:T107"/>
    <mergeCell ref="C108:T108"/>
    <mergeCell ref="F107:M107"/>
    <mergeCell ref="F99:N99"/>
    <mergeCell ref="Q100:S101"/>
    <mergeCell ref="Q99:S99"/>
    <mergeCell ref="F106:G106"/>
    <mergeCell ref="H106:J106"/>
    <mergeCell ref="K106:M106"/>
    <mergeCell ref="F102:M102"/>
    <mergeCell ref="F103:G103"/>
    <mergeCell ref="H103:J103"/>
    <mergeCell ref="K103:M103"/>
    <mergeCell ref="F104:G104"/>
    <mergeCell ref="H104:J104"/>
    <mergeCell ref="K104:M104"/>
    <mergeCell ref="F105:G105"/>
    <mergeCell ref="H105:J105"/>
    <mergeCell ref="K105:M105"/>
    <mergeCell ref="C99:D99"/>
    <mergeCell ref="T139:T140"/>
    <mergeCell ref="C135:T135"/>
    <mergeCell ref="F137:N137"/>
    <mergeCell ref="F138:N138"/>
    <mergeCell ref="Q136:S136"/>
    <mergeCell ref="Q137:S138"/>
    <mergeCell ref="Q139:S140"/>
    <mergeCell ref="C109:D109"/>
    <mergeCell ref="C110:D110"/>
    <mergeCell ref="T113:T114"/>
    <mergeCell ref="Q109:S109"/>
    <mergeCell ref="Q110:S110"/>
    <mergeCell ref="T115:T116"/>
    <mergeCell ref="F115:N116"/>
    <mergeCell ref="F129:G129"/>
    <mergeCell ref="F130:G130"/>
    <mergeCell ref="I127:J127"/>
    <mergeCell ref="I128:J128"/>
    <mergeCell ref="C122:T122"/>
    <mergeCell ref="F124:N124"/>
    <mergeCell ref="F126:G126"/>
    <mergeCell ref="F127:G127"/>
    <mergeCell ref="F128:G128"/>
    <mergeCell ref="F132:N132"/>
    <mergeCell ref="F209:N209"/>
    <mergeCell ref="F210:N210"/>
    <mergeCell ref="F211:N211"/>
    <mergeCell ref="F207:N207"/>
    <mergeCell ref="Q209:S209"/>
    <mergeCell ref="F145:N145"/>
    <mergeCell ref="F146:N146"/>
    <mergeCell ref="O146:O147"/>
    <mergeCell ref="F149:N149"/>
    <mergeCell ref="F150:N150"/>
    <mergeCell ref="F151:N151"/>
    <mergeCell ref="F158:N158"/>
    <mergeCell ref="F159:N159"/>
    <mergeCell ref="O159:O160"/>
    <mergeCell ref="I191:K191"/>
    <mergeCell ref="F195:N195"/>
    <mergeCell ref="F178:H178"/>
    <mergeCell ref="F179:H179"/>
    <mergeCell ref="F180:H180"/>
    <mergeCell ref="F191:H191"/>
    <mergeCell ref="F193:H193"/>
    <mergeCell ref="F194:H194"/>
    <mergeCell ref="F181:N181"/>
    <mergeCell ref="L191:N191"/>
    <mergeCell ref="C141:T141"/>
    <mergeCell ref="Q51:S51"/>
    <mergeCell ref="T38:T41"/>
    <mergeCell ref="C42:C43"/>
    <mergeCell ref="D42:D43"/>
    <mergeCell ref="E42:E43"/>
    <mergeCell ref="C44:C45"/>
    <mergeCell ref="D44:D45"/>
    <mergeCell ref="E44:E45"/>
    <mergeCell ref="Q44:S45"/>
    <mergeCell ref="F40:N40"/>
    <mergeCell ref="F44:N44"/>
    <mergeCell ref="T44:T45"/>
    <mergeCell ref="F45:N45"/>
    <mergeCell ref="T52:T53"/>
    <mergeCell ref="T42:T43"/>
    <mergeCell ref="O44:O45"/>
    <mergeCell ref="P44:P45"/>
    <mergeCell ref="Q48:S48"/>
    <mergeCell ref="Q49:S49"/>
    <mergeCell ref="Q50:S50"/>
    <mergeCell ref="T60:T61"/>
    <mergeCell ref="Q54:S54"/>
    <mergeCell ref="Q55:S55"/>
    <mergeCell ref="P60:P61"/>
    <mergeCell ref="T63:T65"/>
    <mergeCell ref="Q63:S63"/>
    <mergeCell ref="Q64:S65"/>
    <mergeCell ref="Q62:S62"/>
    <mergeCell ref="C62:D62"/>
    <mergeCell ref="T95:T98"/>
    <mergeCell ref="Q89:S91"/>
    <mergeCell ref="Q88:S88"/>
    <mergeCell ref="Q92:S92"/>
    <mergeCell ref="Q93:S93"/>
    <mergeCell ref="Q86:S86"/>
    <mergeCell ref="Q87:S87"/>
    <mergeCell ref="Q82:S83"/>
    <mergeCell ref="T82:T83"/>
    <mergeCell ref="Q84:S84"/>
    <mergeCell ref="Q95:S98"/>
    <mergeCell ref="Q85:S85"/>
    <mergeCell ref="T78:T79"/>
    <mergeCell ref="T66:T68"/>
    <mergeCell ref="Q75:S75"/>
    <mergeCell ref="C94:D94"/>
    <mergeCell ref="P95:P96"/>
    <mergeCell ref="P97:P98"/>
    <mergeCell ref="Q113:S114"/>
    <mergeCell ref="Q115:S116"/>
    <mergeCell ref="Q117:S117"/>
    <mergeCell ref="O115:O116"/>
    <mergeCell ref="D182:D183"/>
    <mergeCell ref="E182:E183"/>
    <mergeCell ref="Q174:S174"/>
    <mergeCell ref="Q163:S163"/>
    <mergeCell ref="Q164:S164"/>
    <mergeCell ref="Q165:S165"/>
    <mergeCell ref="Q167:S168"/>
    <mergeCell ref="Q170:S171"/>
    <mergeCell ref="Q144:S144"/>
    <mergeCell ref="Q145:S145"/>
    <mergeCell ref="Q146:S147"/>
    <mergeCell ref="Q149:S149"/>
    <mergeCell ref="Q150:S154"/>
    <mergeCell ref="F144:N144"/>
    <mergeCell ref="F139:N139"/>
    <mergeCell ref="F117:N117"/>
    <mergeCell ref="F119:N119"/>
    <mergeCell ref="F118:N118"/>
    <mergeCell ref="F120:N120"/>
    <mergeCell ref="F140:N140"/>
    <mergeCell ref="O139:O140"/>
    <mergeCell ref="P125:P126"/>
    <mergeCell ref="C182:C183"/>
    <mergeCell ref="Q210:S210"/>
    <mergeCell ref="Q211:S211"/>
    <mergeCell ref="Q199:S199"/>
    <mergeCell ref="Q200:S200"/>
    <mergeCell ref="Q201:S201"/>
    <mergeCell ref="Q202:S202"/>
    <mergeCell ref="Q203:S203"/>
    <mergeCell ref="Q204:S204"/>
    <mergeCell ref="Q205:S205"/>
    <mergeCell ref="Q206:S206"/>
    <mergeCell ref="Q197:S198"/>
    <mergeCell ref="Q207:S207"/>
    <mergeCell ref="Q208:S208"/>
    <mergeCell ref="F198:N198"/>
    <mergeCell ref="F136:N136"/>
    <mergeCell ref="O137:O138"/>
    <mergeCell ref="F174:N174"/>
    <mergeCell ref="F192:H192"/>
    <mergeCell ref="I192:K192"/>
    <mergeCell ref="I193:K193"/>
    <mergeCell ref="I194:K194"/>
    <mergeCell ref="C176:C177"/>
    <mergeCell ref="D176:D177"/>
    <mergeCell ref="E176:E177"/>
    <mergeCell ref="F176:N177"/>
    <mergeCell ref="T177:T181"/>
    <mergeCell ref="T182:T195"/>
    <mergeCell ref="Q182:S195"/>
    <mergeCell ref="O178:O181"/>
    <mergeCell ref="P178:P181"/>
    <mergeCell ref="O182:O183"/>
    <mergeCell ref="P182:P183"/>
    <mergeCell ref="Q175:S181"/>
    <mergeCell ref="O184:O186"/>
    <mergeCell ref="L192:N192"/>
    <mergeCell ref="L193:N193"/>
    <mergeCell ref="L194:N194"/>
    <mergeCell ref="F182:N190"/>
    <mergeCell ref="O187:O189"/>
    <mergeCell ref="O190:O192"/>
    <mergeCell ref="O193:O195"/>
    <mergeCell ref="P184:P186"/>
    <mergeCell ref="P187:P189"/>
    <mergeCell ref="P190:P192"/>
    <mergeCell ref="P193:P195"/>
  </mergeCells>
  <conditionalFormatting sqref="P28">
    <cfRule type="expression" dxfId="1203" priority="317" stopIfTrue="1">
      <formula>AND(SUM($P$28:$P$32)&gt;13.01,claim601.5_1&gt;0)</formula>
    </cfRule>
  </conditionalFormatting>
  <conditionalFormatting sqref="P29">
    <cfRule type="expression" dxfId="1202" priority="316" stopIfTrue="1">
      <formula>AND(SUM($P$28:$P$32)&gt;13.01,claim601.5_2&gt;0)</formula>
    </cfRule>
  </conditionalFormatting>
  <conditionalFormatting sqref="P32">
    <cfRule type="expression" dxfId="1201" priority="315" stopIfTrue="1">
      <formula>AND(SUM($P$28:$P$32)&gt;13.01,claim601.5_5&gt;0)</formula>
    </cfRule>
  </conditionalFormatting>
  <conditionalFormatting sqref="P82">
    <cfRule type="expression" dxfId="1200" priority="305" stopIfTrue="1">
      <formula>OR(claim602.1.8="Not Met", claim602.1.8="")</formula>
    </cfRule>
  </conditionalFormatting>
  <conditionalFormatting sqref="P153">
    <cfRule type="expression" dxfId="1199" priority="304" stopIfTrue="1">
      <formula>AND(P153&gt;0,COUNTBLANK(P151:P152)&gt;1)</formula>
    </cfRule>
  </conditionalFormatting>
  <conditionalFormatting sqref="P4">
    <cfRule type="expression" dxfId="1198" priority="298" stopIfTrue="1">
      <formula>$P$4="Not Met"</formula>
    </cfRule>
  </conditionalFormatting>
  <conditionalFormatting sqref="P3">
    <cfRule type="expression" dxfId="1197" priority="297" stopIfTrue="1">
      <formula>$P$3="Not Met"</formula>
    </cfRule>
  </conditionalFormatting>
  <conditionalFormatting sqref="T118 T110 T155 T175:T176 T162 T199 T207 T173 T15 T19 T26 T37 T58 T62 T76 T69 T84">
    <cfRule type="notContainsBlanks" dxfId="1196" priority="318">
      <formula>LEN(TRIM(T15))&gt;0</formula>
    </cfRule>
  </conditionalFormatting>
  <conditionalFormatting sqref="P50">
    <cfRule type="expression" dxfId="1195" priority="12" stopIfTrue="1">
      <formula>AND($A$50="x",$P$50="No Slabs")</formula>
    </cfRule>
    <cfRule type="expression" dxfId="1194" priority="24">
      <formula>AND($B$50="x",AND($P$50&lt;&gt;"",$P$50&lt;&gt;"No Slabs"))</formula>
    </cfRule>
    <cfRule type="expression" dxfId="1193" priority="285" stopIfTrue="1">
      <formula>OR(claim602.1.1.1="Not Met",claim602.1.1.1="")</formula>
    </cfRule>
  </conditionalFormatting>
  <conditionalFormatting sqref="P55">
    <cfRule type="expression" dxfId="1192" priority="13" stopIfTrue="1">
      <formula>AND($A$55="x",$P$55="No habitable or usable space below grade")</formula>
    </cfRule>
    <cfRule type="expression" dxfId="1191" priority="22" stopIfTrue="1">
      <formula>AND($B$55="x",AND($P$55&lt;&gt;"",$P$55&lt;&gt;"No habitable or usable space below grade"))</formula>
    </cfRule>
    <cfRule type="expression" dxfId="1190" priority="279" stopIfTrue="1">
      <formula>OR(claim602.1.3.1="Not Met",claim602.1.3.1="")</formula>
    </cfRule>
  </conditionalFormatting>
  <conditionalFormatting sqref="P60">
    <cfRule type="expression" dxfId="1189" priority="271" stopIfTrue="1">
      <formula>OR(claim602.1.4.1_2="Not Met",claim602.1.4.1_2="")</formula>
    </cfRule>
  </conditionalFormatting>
  <conditionalFormatting sqref="P64">
    <cfRule type="expression" dxfId="1188" priority="16">
      <formula>AND($B$64&lt;&gt;"x",OR(claim602.1.4.2_2="Not Met",claim602.1.4.2_2=""))</formula>
    </cfRule>
  </conditionalFormatting>
  <conditionalFormatting sqref="P78">
    <cfRule type="expression" dxfId="1187" priority="263" stopIfTrue="1">
      <formula>OR(choice602.1.7.1_2="Not Met",choice602.1.7.1_2="")</formula>
    </cfRule>
  </conditionalFormatting>
  <conditionalFormatting sqref="P85">
    <cfRule type="expression" dxfId="1186" priority="257" stopIfTrue="1">
      <formula>OR(claim602.1.9_1="Not Met",claim602.1.9_1="")</formula>
    </cfRule>
  </conditionalFormatting>
  <conditionalFormatting sqref="P119">
    <cfRule type="expression" dxfId="1185" priority="233" stopIfTrue="1">
      <formula>OR(P119="Not Met", P119="")</formula>
    </cfRule>
  </conditionalFormatting>
  <conditionalFormatting sqref="P31">
    <cfRule type="expression" dxfId="1184" priority="194">
      <formula>AND(SUM($P$28:$P$32)&gt;13.01,claim601.5_4&gt;0)</formula>
    </cfRule>
  </conditionalFormatting>
  <conditionalFormatting sqref="P30">
    <cfRule type="expression" dxfId="1183" priority="193">
      <formula>AND(SUM($P$28:$P$32)&gt;13.01,claim601.5_3&gt;0)</formula>
    </cfRule>
  </conditionalFormatting>
  <conditionalFormatting sqref="Q9:S14 Q16:S18">
    <cfRule type="beginsWith" dxfId="1182" priority="187" operator="beginsWith" text="*">
      <formula>LEFT(Q9,LEN("*"))="*"</formula>
    </cfRule>
  </conditionalFormatting>
  <conditionalFormatting sqref="Q19:S19 Q28:S28">
    <cfRule type="beginsWith" dxfId="1181" priority="182" operator="beginsWith" text="*">
      <formula>LEFT(Q19,LEN("*"))="*"</formula>
    </cfRule>
  </conditionalFormatting>
  <conditionalFormatting sqref="Q209:S211 Q201:S201 Q204:S206 Q20:S20 Q22:S25 Q31:S36 Q50:S51 Q55:S56 Q59:S61 Q63:S68 Q71:S74 Q77 Q80:Q81">
    <cfRule type="beginsWith" dxfId="1180" priority="181" operator="beginsWith" text="*">
      <formula>LEFT(Q20,LEN("*"))="*"</formula>
    </cfRule>
  </conditionalFormatting>
  <conditionalFormatting sqref="Q208:S208 Q200:S200 Q202:S203 Q21:S21">
    <cfRule type="beginsWith" dxfId="1179" priority="180" operator="beginsWith" text="*">
      <formula>LEFT(Q21,LEN("*"))="*"</formula>
    </cfRule>
  </conditionalFormatting>
  <conditionalFormatting sqref="Q29:S29">
    <cfRule type="beginsWith" dxfId="1178" priority="173" operator="beginsWith" text="*">
      <formula>LEFT(Q29,LEN("*"))="*"</formula>
    </cfRule>
  </conditionalFormatting>
  <conditionalFormatting sqref="Q30:S30">
    <cfRule type="beginsWith" dxfId="1177" priority="172" operator="beginsWith" text="*">
      <formula>LEFT(Q30,LEN("*"))="*"</formula>
    </cfRule>
  </conditionalFormatting>
  <conditionalFormatting sqref="Q38:S41">
    <cfRule type="beginsWith" dxfId="1176" priority="167" operator="beginsWith" text="*">
      <formula>LEFT(Q38,LEN("*"))="*"</formula>
    </cfRule>
    <cfRule type="containsBlanks" dxfId="1175" priority="327">
      <formula>LEN(TRIM(Q38))=0</formula>
    </cfRule>
  </conditionalFormatting>
  <conditionalFormatting sqref="Q42:S43">
    <cfRule type="beginsWith" dxfId="1174" priority="165" operator="beginsWith" text="*">
      <formula>LEFT(Q42,LEN("*"))="*"</formula>
    </cfRule>
    <cfRule type="containsBlanks" dxfId="1173" priority="328">
      <formula>LEN(TRIM(Q42))=0</formula>
    </cfRule>
  </conditionalFormatting>
  <conditionalFormatting sqref="Q44:S45">
    <cfRule type="beginsWith" dxfId="1172" priority="164" operator="beginsWith" text="*">
      <formula>LEFT(Q44,LEN("*"))="*"</formula>
    </cfRule>
    <cfRule type="containsBlanks" dxfId="1171" priority="336">
      <formula>LEN(TRIM(Q44))=0</formula>
    </cfRule>
  </conditionalFormatting>
  <conditionalFormatting sqref="Q52:S53">
    <cfRule type="beginsWith" dxfId="1170" priority="157" operator="beginsWith" text="*">
      <formula>LEFT(Q52,LEN("*"))="*"</formula>
    </cfRule>
  </conditionalFormatting>
  <conditionalFormatting sqref="Q175:Q176 Q86:S93 Q99:S101 Q111:S114 Q109:S109 Q117:S117 Q119:S121 Q134:S134 Q144:S145 Q163:S164 Q182 Q157:S158">
    <cfRule type="beginsWith" dxfId="1169" priority="144" operator="beginsWith" text="*">
      <formula>LEFT(Q86,LEN("*"))="*"</formula>
    </cfRule>
  </conditionalFormatting>
  <conditionalFormatting sqref="Q115:S116 Q146:S147 Q165:S165 Q95:S98">
    <cfRule type="beginsWith" dxfId="1168" priority="131" operator="beginsWith" text="*">
      <formula>LEFT(Q95,LEN("*"))="*"</formula>
    </cfRule>
  </conditionalFormatting>
  <conditionalFormatting sqref="Q124:S133 Q159:S160 Q170:S171">
    <cfRule type="containsBlanks" dxfId="1167" priority="47">
      <formula>LEN(TRIM(Q124))=0</formula>
    </cfRule>
    <cfRule type="beginsWith" dxfId="1166" priority="48" operator="beginsWith" text="*">
      <formula>LEFT(Q124,LEN("*"))="*"</formula>
    </cfRule>
  </conditionalFormatting>
  <conditionalFormatting sqref="Q137:S140">
    <cfRule type="containsBlanks" dxfId="1165" priority="53">
      <formula>LEN(TRIM(Q137))=0</formula>
    </cfRule>
    <cfRule type="beginsWith" dxfId="1164" priority="54" operator="beginsWith" text="*">
      <formula>LEFT(Q137,LEN("*"))="*"</formula>
    </cfRule>
  </conditionalFormatting>
  <conditionalFormatting sqref="Q150:S154">
    <cfRule type="beginsWith" dxfId="1163" priority="72" operator="beginsWith" text="*">
      <formula>LEFT(Q150,LEN("*"))="*"</formula>
    </cfRule>
    <cfRule type="containsBlanks" dxfId="1162" priority="331">
      <formula>LEN(TRIM(Q150))=0</formula>
    </cfRule>
  </conditionalFormatting>
  <conditionalFormatting sqref="Q167:S168 Q197:S198">
    <cfRule type="beginsWith" dxfId="1161" priority="57" operator="beginsWith" text="*">
      <formula>LEFT(Q167,LEN("*"))="*"</formula>
    </cfRule>
    <cfRule type="containsBlanks" dxfId="1160" priority="108">
      <formula>LEN(TRIM(Q167))=0</formula>
    </cfRule>
  </conditionalFormatting>
  <conditionalFormatting sqref="Q85:S85">
    <cfRule type="expression" dxfId="1159" priority="44">
      <formula>AND($Q$85&lt;&gt;"",claim602.1.9_1="N/A")</formula>
    </cfRule>
    <cfRule type="expression" dxfId="1158" priority="45">
      <formula>claim602.1.9_1="N/A"</formula>
    </cfRule>
    <cfRule type="beginsWith" dxfId="1157" priority="46" operator="beginsWith" text="*">
      <formula>LEFT(Q85,LEN("*"))="*"</formula>
    </cfRule>
  </conditionalFormatting>
  <conditionalFormatting sqref="P99">
    <cfRule type="expression" dxfId="1156" priority="70">
      <formula>OR(claim602.1.11="",claim602.1.11="Not Met")</formula>
    </cfRule>
  </conditionalFormatting>
  <conditionalFormatting sqref="P109">
    <cfRule type="expression" dxfId="1155" priority="69">
      <formula>OR(claim602.1.13="Not Met", claim602.1.13="")</formula>
    </cfRule>
  </conditionalFormatting>
  <conditionalFormatting sqref="P113">
    <cfRule type="expression" dxfId="1154" priority="68">
      <formula>OR(choice602.1.14_3="Not Met", choice602.1.14_3="")</formula>
    </cfRule>
  </conditionalFormatting>
  <conditionalFormatting sqref="Q173:S174">
    <cfRule type="beginsWith" dxfId="1153" priority="61" operator="beginsWith" text="*">
      <formula>LEFT(Q173,LEN("*"))="*"</formula>
    </cfRule>
  </conditionalFormatting>
  <conditionalFormatting sqref="P59">
    <cfRule type="expression" dxfId="1152" priority="18">
      <formula>AND(AND($B$57:$B$61="x",$P$59&gt;0))</formula>
    </cfRule>
    <cfRule type="expression" dxfId="1151" priority="67">
      <formula>AND($P$59&lt;&gt;"",OR($P$60="No crawlspace",$P$60="No below grade crawlspace walls"))</formula>
    </cfRule>
  </conditionalFormatting>
  <conditionalFormatting sqref="P63">
    <cfRule type="expression" dxfId="1150" priority="66">
      <formula>AND($P$63&lt;&gt;"",$B$63="x")</formula>
    </cfRule>
  </conditionalFormatting>
  <conditionalFormatting sqref="Q175:Q176 Q182:S194">
    <cfRule type="containsBlanks" dxfId="1149" priority="43">
      <formula>LEN(TRIM(Q175))=0</formula>
    </cfRule>
  </conditionalFormatting>
  <conditionalFormatting sqref="Q78">
    <cfRule type="beginsWith" dxfId="1148" priority="40" operator="beginsWith" text="*">
      <formula>LEFT(Q78,LEN("*"))="*"</formula>
    </cfRule>
    <cfRule type="expression" dxfId="1147" priority="41">
      <formula>AND(choice602.1.7.1_2="N/A",note602.1.7.1_2="")</formula>
    </cfRule>
  </conditionalFormatting>
  <conditionalFormatting sqref="Q82">
    <cfRule type="expression" dxfId="1146" priority="38">
      <formula>AND(claim602.1.8="N/A",note602.1.8="")</formula>
    </cfRule>
    <cfRule type="beginsWith" dxfId="1145" priority="39" operator="beginsWith" text="*">
      <formula>LEFT(Q82,LEN("*"))="*"</formula>
    </cfRule>
  </conditionalFormatting>
  <conditionalFormatting sqref="P42:P43">
    <cfRule type="expression" dxfId="1144" priority="37">
      <formula>AND($B$42="x")</formula>
    </cfRule>
  </conditionalFormatting>
  <conditionalFormatting sqref="P57:P61">
    <cfRule type="expression" dxfId="1143" priority="36" stopIfTrue="1">
      <formula>AND($B$57:$B$61="x")</formula>
    </cfRule>
  </conditionalFormatting>
  <conditionalFormatting sqref="P62:P65">
    <cfRule type="expression" dxfId="1142" priority="270" stopIfTrue="1">
      <formula>AND($B$64="x")</formula>
    </cfRule>
  </conditionalFormatting>
  <conditionalFormatting sqref="P50">
    <cfRule type="expression" dxfId="1141" priority="34" stopIfTrue="1">
      <formula>AND($B$50="x")</formula>
    </cfRule>
  </conditionalFormatting>
  <conditionalFormatting sqref="P55">
    <cfRule type="expression" dxfId="1140" priority="33" stopIfTrue="1">
      <formula>AND($B$55="x")</formula>
    </cfRule>
  </conditionalFormatting>
  <conditionalFormatting sqref="F52:P53">
    <cfRule type="expression" dxfId="1139" priority="32">
      <formula>AND($B$52="x")</formula>
    </cfRule>
  </conditionalFormatting>
  <conditionalFormatting sqref="P54">
    <cfRule type="expression" priority="30">
      <formula>AND($B$54="x")</formula>
    </cfRule>
  </conditionalFormatting>
  <conditionalFormatting sqref="P54">
    <cfRule type="expression" dxfId="1138" priority="29">
      <formula>AND($B$54="x")</formula>
    </cfRule>
  </conditionalFormatting>
  <conditionalFormatting sqref="P42:P43">
    <cfRule type="expression" dxfId="1137" priority="28">
      <formula>AND(AND($B$42:$B$43="x",$P$42&gt;0))</formula>
    </cfRule>
  </conditionalFormatting>
  <conditionalFormatting sqref="C56:P56">
    <cfRule type="expression" dxfId="1136" priority="26">
      <formula>AND($B$56="x")</formula>
    </cfRule>
  </conditionalFormatting>
  <conditionalFormatting sqref="P56">
    <cfRule type="expression" dxfId="1135" priority="27">
      <formula>AND(AND($B$56="x",$P$56&gt;0))</formula>
    </cfRule>
  </conditionalFormatting>
  <conditionalFormatting sqref="P52">
    <cfRule type="expression" dxfId="1134" priority="23">
      <formula>AND(AND($B$52:$B$53="x",$P$52&lt;&gt;""))</formula>
    </cfRule>
  </conditionalFormatting>
  <conditionalFormatting sqref="P60:P61">
    <cfRule type="expression" dxfId="1133" priority="17">
      <formula>AND($B$60="x",$P$60="Met")</formula>
    </cfRule>
  </conditionalFormatting>
  <conditionalFormatting sqref="P64:P65">
    <cfRule type="expression" dxfId="1132" priority="35">
      <formula>AND($P$64="Met",$B$64="x")</formula>
    </cfRule>
  </conditionalFormatting>
  <conditionalFormatting sqref="P16">
    <cfRule type="expression" dxfId="1131" priority="9">
      <formula>AND($P$16&lt;&gt;"",$P$16&lt;&gt;3,$P$16&lt;&gt;6,$P$16&lt;&gt;9)</formula>
    </cfRule>
    <cfRule type="expression" dxfId="1130" priority="10">
      <formula>AND(SUM($P$16:$P$18)&gt;9,$P$16&lt;&gt;"")</formula>
    </cfRule>
  </conditionalFormatting>
  <conditionalFormatting sqref="P17">
    <cfRule type="expression" dxfId="1129" priority="7">
      <formula>AND($P$17&lt;&gt;"",$P$17&lt;&gt;3,$P$17&lt;&gt;6,$P$17&lt;&gt;9)</formula>
    </cfRule>
    <cfRule type="expression" dxfId="1128" priority="8">
      <formula>AND($P$17&lt;&gt;"",SUM($P$16:$P$18)&gt;9)</formula>
    </cfRule>
  </conditionalFormatting>
  <conditionalFormatting sqref="P18">
    <cfRule type="expression" dxfId="1127" priority="5">
      <formula>AND($P$18&lt;&gt;"",$P$18&lt;&gt;3,$P$18&lt;&gt;6,$P$18&lt;&gt;9)</formula>
    </cfRule>
    <cfRule type="expression" dxfId="1126" priority="6">
      <formula>AND($P$18&lt;&gt;"",SUM($P$16:$P$18)&gt;9)</formula>
    </cfRule>
  </conditionalFormatting>
  <conditionalFormatting sqref="O15">
    <cfRule type="expression" dxfId="1125" priority="4">
      <formula>SUM($P$16:$P$18)&gt;9</formula>
    </cfRule>
  </conditionalFormatting>
  <conditionalFormatting sqref="J1">
    <cfRule type="expression" dxfId="1124" priority="3" stopIfTrue="1">
      <formula>levelStatement="This project has not met all the requirements for Bronze, Silver, Gold, or Emerald."</formula>
    </cfRule>
  </conditionalFormatting>
  <conditionalFormatting sqref="Q143:S143">
    <cfRule type="beginsWith" dxfId="1123" priority="2" operator="beginsWith" text="*">
      <formula>LEFT(Q143,LEN("*"))="*"</formula>
    </cfRule>
  </conditionalFormatting>
  <conditionalFormatting sqref="P143">
    <cfRule type="expression" dxfId="1122" priority="1" stopIfTrue="1">
      <formula>OR(P143="Not Met", P143="")</formula>
    </cfRule>
  </conditionalFormatting>
  <dataValidations count="44">
    <dataValidation type="whole" operator="equal" allowBlank="1" showInputMessage="1" showErrorMessage="1" errorTitle="Invalid value" error="Leave cell blank or enter the number 1." sqref="P120:P121 P165 P211 P24" xr:uid="{00000000-0002-0000-0200-000000000000}">
      <formula1>1</formula1>
    </dataValidation>
    <dataValidation type="list" allowBlank="1" showInputMessage="1" showErrorMessage="1" errorTitle="Invalid Entry" error="Leave cell blank or select a value from the dropdown list provided." sqref="P124" xr:uid="{00000000-0002-0000-0200-000001000000}">
      <formula1>dd603.1</formula1>
    </dataValidation>
    <dataValidation type="whole" operator="equal" allowBlank="1" showInputMessage="1" showErrorMessage="1" errorTitle="Invalid value" error="Leave cell blank or enter the number 7." sqref="P145" xr:uid="{00000000-0002-0000-0200-000002000000}">
      <formula1>7</formula1>
    </dataValidation>
    <dataValidation type="whole" operator="equal" allowBlank="1" showInputMessage="1" showErrorMessage="1" errorTitle="Invalid value" error="Leave cell blank or enter the number 3." sqref="P157 P87:P88 P200:P206 P151 P163:P164 P208:P210 P51 P42:P43 P20:P23" xr:uid="{00000000-0002-0000-0200-000003000000}">
      <formula1>3</formula1>
    </dataValidation>
    <dataValidation type="whole" operator="equal" allowBlank="1" showInputMessage="1" showErrorMessage="1" errorTitle="Invalid value" error="Leave cell blank or enter the number 6." sqref="P152 P144 P59" xr:uid="{00000000-0002-0000-0200-000004000000}">
      <formula1>6</formula1>
    </dataValidation>
    <dataValidation type="whole" operator="equal" allowBlank="1" showInputMessage="1" showErrorMessage="1" errorTitle="Invalid value" error="Leave cell blank or enter the number 4." sqref="P158 P134 P117 P100:P101 P80 P66 P56 P44:P45 P28:P30 P25" xr:uid="{00000000-0002-0000-0200-000005000000}">
      <formula1>4</formula1>
    </dataValidation>
    <dataValidation type="list" allowBlank="1" showInputMessage="1" showErrorMessage="1" errorTitle="Invalid Entry" error="Leave cell blank or select a value from the dropdown list provided." sqref="P153" xr:uid="{00000000-0002-0000-0200-000006000000}">
      <formula1>dd606.1_3</formula1>
    </dataValidation>
    <dataValidation type="whole" operator="equal" allowBlank="1" showInputMessage="1" showErrorMessage="1" errorTitle="Invalid value" error="Leave cell blank or enter the number 2." sqref="P91:P93 P111:P112 P81 P77" xr:uid="{00000000-0002-0000-0200-000007000000}">
      <formula1>2</formula1>
    </dataValidation>
    <dataValidation type="whole" operator="equal" allowBlank="1" showInputMessage="1" showErrorMessage="1" errorTitle="Invalid value" error="Leave blank or enter the number 2." sqref="P86" xr:uid="{00000000-0002-0000-0200-000008000000}">
      <formula1>2</formula1>
    </dataValidation>
    <dataValidation type="list" operator="equal" allowBlank="1" showInputMessage="1" showErrorMessage="1" errorTitle="Invalid value" error="Leave cell blank or select a value from the dropdown list." sqref="P89:P90" xr:uid="{00000000-0002-0000-0200-000009000000}">
      <formula1>dd602.1.9_5</formula1>
    </dataValidation>
    <dataValidation type="list" allowBlank="1" showInputMessage="1" showErrorMessage="1" errorTitle="Invalid value" error="Leave cell blank or select a value from the dropdown list." sqref="P95" xr:uid="{00000000-0002-0000-0200-00000A000000}">
      <formula1>dd602.1.10</formula1>
    </dataValidation>
    <dataValidation type="list" allowBlank="1" showInputMessage="1" showErrorMessage="1" errorTitle="Invalid value" error="Select a value from the dropdown list." sqref="P99" xr:uid="{00000000-0002-0000-0200-00000B000000}">
      <formula1>dd602.1.11</formula1>
    </dataValidation>
    <dataValidation type="list" allowBlank="1" showInputMessage="1" showErrorMessage="1" errorTitle="Invalid value" error="Select an option from the dropdown list provided." sqref="P109" xr:uid="{00000000-0002-0000-0200-00000C000000}">
      <formula1>dd602.1.14</formula1>
    </dataValidation>
    <dataValidation type="list" operator="equal" allowBlank="1" showInputMessage="1" showErrorMessage="1" errorTitle="Invalid value" error="Select an option from the dropdown list provided." sqref="P113" xr:uid="{00000000-0002-0000-0200-00000D000000}">
      <formula1>dd602.1.15_3</formula1>
    </dataValidation>
    <dataValidation type="list" operator="equal" allowBlank="1" showInputMessage="1" showErrorMessage="1" errorTitle="Invalid value" error="Leave cell blank or select an option from the dropdown list provided." sqref="P115" xr:uid="{00000000-0002-0000-0200-00000E000000}">
      <formula1>dd602.2</formula1>
    </dataValidation>
    <dataValidation type="list" allowBlank="1" showInputMessage="1" showErrorMessage="1" errorTitle="Invalid entry" error="Select option from dropdown list provided." sqref="P119" xr:uid="{00000000-0002-0000-0200-00000F000000}">
      <formula1>dd602.4.1</formula1>
    </dataValidation>
    <dataValidation type="list" operator="equal" allowBlank="1" showInputMessage="1" showErrorMessage="1" errorTitle="Invalid value" error="Leave cell blank or select an option from the dropdown list provided." sqref="P132" xr:uid="{00000000-0002-0000-0200-000010000000}">
      <formula1>dd603.2</formula1>
    </dataValidation>
    <dataValidation type="list" allowBlank="1" showInputMessage="1" showErrorMessage="1" errorTitle="Invalid value" error="Leave cell blank or select an option from the dropdown list provided." sqref="P137" xr:uid="{00000000-0002-0000-0200-000011000000}">
      <formula1>dd604.1.1</formula1>
    </dataValidation>
    <dataValidation type="list" allowBlank="1" showInputMessage="1" showErrorMessage="1" errorTitle="Invalid value" error="Leave cell blank or select an option from the dropdown list provided." sqref="P139" xr:uid="{00000000-0002-0000-0200-000012000000}">
      <formula1>dd604.1.2</formula1>
    </dataValidation>
    <dataValidation type="list" allowBlank="1" showInputMessage="1" showErrorMessage="1" errorTitle="Invalid value" error="Leave cell blank or select an option from the dropdown list provided." sqref="P146" xr:uid="{00000000-0002-0000-0200-000013000000}">
      <formula1>dd605.3</formula1>
    </dataValidation>
    <dataValidation type="list" allowBlank="1" showInputMessage="1" showErrorMessage="1" errorTitle="Invalid value" error="Leave cell blank or select an option from the dropdown list provided." sqref="P159" xr:uid="{00000000-0002-0000-0200-000014000000}">
      <formula1>dd606.3</formula1>
    </dataValidation>
    <dataValidation type="list" allowBlank="1" showInputMessage="1" showErrorMessage="1" errorTitle="Invalid value" error="Leave cell blank or select an option from the dropdown list provided." sqref="P167" xr:uid="{00000000-0002-0000-0200-000015000000}">
      <formula1>dd608.1</formula1>
    </dataValidation>
    <dataValidation type="list" allowBlank="1" showInputMessage="1" showErrorMessage="1" errorTitle="Invalid value" error="Leave cell blank or select an option from the dropdown list provided." sqref="P170" xr:uid="{00000000-0002-0000-0200-000016000000}">
      <formula1>dd609.1</formula1>
    </dataValidation>
    <dataValidation type="whole" operator="equal" allowBlank="1" showInputMessage="1" showErrorMessage="1" errorTitle="Invalid value" error="Leave cell blank or enter the number 15." sqref="P174" xr:uid="{00000000-0002-0000-0200-000017000000}">
      <formula1>15</formula1>
    </dataValidation>
    <dataValidation type="list" allowBlank="1" showInputMessage="1" showErrorMessage="1" errorTitle="Invalid value" error="Leave cell blank or select an option from the dropdown list provided." sqref="P197" xr:uid="{00000000-0002-0000-0200-000018000000}">
      <formula1>dd611.1</formula1>
    </dataValidation>
    <dataValidation type="list" allowBlank="1" showInputMessage="1" showErrorMessage="1" sqref="P184:P195" xr:uid="{00000000-0002-0000-0200-000019000000}">
      <formula1>dd610.1.2_2</formula1>
    </dataValidation>
    <dataValidation type="whole" operator="equal" allowBlank="1" showInputMessage="1" showErrorMessage="1" errorTitle="Invalid value" error="Leave cell blank or enter the number 13." sqref="P31:P32" xr:uid="{00000000-0002-0000-0200-00001A000000}">
      <formula1>13</formula1>
    </dataValidation>
    <dataValidation type="whole" operator="greaterThan" allowBlank="1" showInputMessage="1" showErrorMessage="1" errorTitle="Invalid value" error="Leave cell blank or enter a whole number between 1 and 4." sqref="P40" xr:uid="{00000000-0002-0000-0200-00001B000000}">
      <formula1>0</formula1>
    </dataValidation>
    <dataValidation type="list" allowBlank="1" showInputMessage="1" showErrorMessage="1" sqref="P33" xr:uid="{00000000-0002-0000-0200-00001C000000}">
      <formula1>dd601.6</formula1>
    </dataValidation>
    <dataValidation type="list" allowBlank="1" showInputMessage="1" showErrorMessage="1" errorTitle="Invalid Entry" error="Select an option from the dropdown list provided." sqref="P50" xr:uid="{00000000-0002-0000-0200-00001D000000}">
      <formula1>dd602.1.1.1</formula1>
    </dataValidation>
    <dataValidation type="list" allowBlank="1" showInputMessage="1" showErrorMessage="1" errorTitle="Invalid Entry" error="Select an option from the dropdown list provided." sqref="P55" xr:uid="{00000000-0002-0000-0200-00001E000000}">
      <formula1>dd602.1.3.1</formula1>
    </dataValidation>
    <dataValidation type="whole" operator="equal" allowBlank="1" showInputMessage="1" showErrorMessage="1" errorTitle="Invalid value" error="Leave cell blank or enter the number 8." sqref="P63" xr:uid="{00000000-0002-0000-0200-00001F000000}">
      <formula1>8</formula1>
    </dataValidation>
    <dataValidation type="list" allowBlank="1" showInputMessage="1" showErrorMessage="1" errorTitle="Invalid Entry" error="Select an option from the dropdown list provided." sqref="P60" xr:uid="{00000000-0002-0000-0200-000020000000}">
      <formula1>dd602.1.4.1_2</formula1>
    </dataValidation>
    <dataValidation type="list" allowBlank="1" showInputMessage="1" showErrorMessage="1" errorTitle="Invalid Entry" error="Select an option from the dropdown list provided." sqref="P64" xr:uid="{00000000-0002-0000-0200-000021000000}">
      <formula1>dd602.1.4.2_2</formula1>
    </dataValidation>
    <dataValidation type="list" operator="equal" allowBlank="1" showInputMessage="1" showErrorMessage="1" errorTitle="Invalid value" error="Leave cell blank or select a value from the dropdown list" sqref="P71:P72" xr:uid="{00000000-0002-0000-0200-000022000000}">
      <formula1>dd602.1.6</formula1>
    </dataValidation>
    <dataValidation type="list" allowBlank="1" showInputMessage="1" showErrorMessage="1" errorTitle="Invalid Entry" error="Select an option from the dropdown list provided." sqref="P78" xr:uid="{00000000-0002-0000-0200-000023000000}">
      <formula1>"Met, No new insulation"</formula1>
    </dataValidation>
    <dataValidation type="list" allowBlank="1" showInputMessage="1" showErrorMessage="1" errorTitle="Invalid Entry" error="Select an option from the dropdown list provided." sqref="P82" xr:uid="{00000000-0002-0000-0200-000024000000}">
      <formula1>dd602.1.8</formula1>
    </dataValidation>
    <dataValidation type="list" allowBlank="1" showInputMessage="1" showErrorMessage="1" errorTitle="Invalid value" error="Select a value from the dropdown list." sqref="P85" xr:uid="{00000000-0002-0000-0200-000025000000}">
      <formula1>dd602.1.9_1</formula1>
    </dataValidation>
    <dataValidation type="whole" operator="greaterThan" allowBlank="1" showInputMessage="1" showErrorMessage="1" errorTitle="Invalid value" error="Leave cell blank or enter a whole number." sqref="P38:P39" xr:uid="{00000000-0002-0000-0200-000026000000}">
      <formula1>0</formula1>
    </dataValidation>
    <dataValidation type="list" allowBlank="1" showInputMessage="1" showErrorMessage="1" errorTitle="Invalid entry" error="Leave cell blank or select an option from the dropdown list provided." sqref="P52" xr:uid="{00000000-0002-0000-0200-000027000000}">
      <formula1>dd602.1.2</formula1>
    </dataValidation>
    <dataValidation type="whole" allowBlank="1" showInputMessage="1" showErrorMessage="1" errorTitle="Invalid value" error="Leave cell blank or enter the 3,6, or 9." sqref="P16" xr:uid="{00000000-0002-0000-0200-000028000000}">
      <formula1>3</formula1>
      <formula2>9</formula2>
    </dataValidation>
    <dataValidation type="whole" allowBlank="1" showInputMessage="1" showErrorMessage="1" errorTitle="Invalid value" error="Leave cell blank or enter 3, 6, or 9." sqref="P17" xr:uid="{00000000-0002-0000-0200-000029000000}">
      <formula1>3</formula1>
      <formula2>9</formula2>
    </dataValidation>
    <dataValidation type="whole" allowBlank="1" showInputMessage="1" showErrorMessage="1" errorTitle="Invalid value" error="Leave cell blank or enter 3,6, or 9." sqref="P18" xr:uid="{00000000-0002-0000-0200-00002A000000}">
      <formula1>3</formula1>
      <formula2>9</formula2>
    </dataValidation>
    <dataValidation type="list" allowBlank="1" showInputMessage="1" showErrorMessage="1" sqref="P143" xr:uid="{00000000-0002-0000-0200-00002B000000}">
      <formula1>"Met, No Hazardous Waste on job"</formula1>
    </dataValidation>
  </dataValidations>
  <hyperlinks>
    <hyperlink ref="P213:T213" location="'Ch7'!A1" display="Proceed to Chapter 7 &gt;&gt;" xr:uid="{00000000-0004-0000-0200-000000000000}"/>
    <hyperlink ref="F67" location="figure6_3" display="See Figure 6(3)." xr:uid="{00000000-0004-0000-0200-000001000000}"/>
    <hyperlink ref="F67:N67" location="figure6_3" display="See Figure 6(3)." xr:uid="{00000000-0004-0000-0200-000002000000}"/>
    <hyperlink ref="F70" location="figure6_3" display="See Figure 6(3)." xr:uid="{00000000-0004-0000-0200-000003000000}"/>
    <hyperlink ref="F101:N101" location="figure6_2" display="See Figure 6(2)" xr:uid="{00000000-0004-0000-0200-000004000000}"/>
  </hyperlinks>
  <pageMargins left="0.7" right="0.7" top="0.75" bottom="0.75" header="0.3" footer="0.3"/>
  <pageSetup scale="50" fitToHeight="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7"/>
  <sheetViews>
    <sheetView topLeftCell="C1" zoomScaleNormal="100" zoomScaleSheetLayoutView="84" workbookViewId="0">
      <pane ySplit="7" topLeftCell="A8" activePane="bottomLeft" state="frozen"/>
      <selection activeCell="O12" sqref="O12:O15"/>
      <selection pane="bottomLeft" activeCell="P11" sqref="P11"/>
    </sheetView>
  </sheetViews>
  <sheetFormatPr baseColWidth="10" defaultColWidth="9.1640625" defaultRowHeight="15"/>
  <cols>
    <col min="1" max="1" width="5.1640625" style="796" hidden="1" customWidth="1"/>
    <col min="2" max="2" width="4.6640625" style="157" hidden="1" customWidth="1"/>
    <col min="3" max="3" width="6.6640625" style="62" customWidth="1"/>
    <col min="4" max="4" width="4.33203125" style="17" customWidth="1"/>
    <col min="5" max="5" width="3.6640625" style="62" customWidth="1"/>
    <col min="6" max="13" width="8.6640625" style="104" customWidth="1"/>
    <col min="14" max="14" width="10.6640625" style="104" bestFit="1" customWidth="1"/>
    <col min="15" max="15" width="15.6640625" style="157" customWidth="1"/>
    <col min="16" max="16" width="10.6640625" style="156" customWidth="1"/>
    <col min="17" max="18" width="11.6640625" style="104" customWidth="1"/>
    <col min="19" max="19" width="11.6640625" style="22" customWidth="1"/>
    <col min="20" max="20" width="11.6640625" style="104" customWidth="1"/>
    <col min="21" max="21" width="9.1640625" style="104"/>
    <col min="22" max="27" width="9.1640625" style="796"/>
    <col min="28" max="28" width="9.1640625" style="104" customWidth="1"/>
    <col min="29" max="29" width="9.1640625" style="104"/>
    <col min="30" max="30" width="9.1640625" style="796"/>
    <col min="31" max="44" width="9.1640625" style="8"/>
    <col min="45" max="16384" width="9.1640625" style="104"/>
  </cols>
  <sheetData>
    <row r="1" spans="1:45" s="832" customFormat="1" ht="15" customHeight="1">
      <c r="A1" s="2992"/>
      <c r="B1" s="2992"/>
      <c r="C1" s="2992"/>
      <c r="D1" s="2992"/>
      <c r="E1" s="2992"/>
      <c r="F1" s="2992"/>
      <c r="G1" s="2992"/>
      <c r="H1" s="2992"/>
      <c r="I1" s="2992"/>
      <c r="J1" s="2989" t="str">
        <f>levelStatement</f>
        <v>This project has not met all the requirements for Bronze, Silver, Gold, or Emerald.</v>
      </c>
      <c r="K1" s="2148"/>
      <c r="L1" s="2148"/>
      <c r="M1" s="2732"/>
      <c r="N1" s="2123">
        <v>2012</v>
      </c>
      <c r="O1" s="2981" t="s">
        <v>0</v>
      </c>
      <c r="P1" s="2981"/>
      <c r="Q1" s="2981" t="s">
        <v>1</v>
      </c>
      <c r="R1" s="2981"/>
      <c r="S1" s="2981"/>
      <c r="T1" s="2981"/>
      <c r="AB1" s="833"/>
      <c r="AC1" s="833"/>
      <c r="AD1" s="833"/>
    </row>
    <row r="2" spans="1:45" s="832" customFormat="1" ht="15" customHeight="1">
      <c r="A2" s="2992"/>
      <c r="B2" s="2992"/>
      <c r="C2" s="2992"/>
      <c r="D2" s="2992"/>
      <c r="E2" s="2992"/>
      <c r="F2" s="2992"/>
      <c r="G2" s="2992"/>
      <c r="H2" s="2992"/>
      <c r="I2" s="2992"/>
      <c r="J2" s="2148"/>
      <c r="K2" s="2148"/>
      <c r="L2" s="2148"/>
      <c r="M2" s="2732"/>
      <c r="N2" s="2124"/>
      <c r="O2" s="834" t="s">
        <v>2</v>
      </c>
      <c r="P2" s="834" t="s">
        <v>3</v>
      </c>
      <c r="Q2" s="835" t="s">
        <v>4</v>
      </c>
      <c r="R2" s="836" t="s">
        <v>5</v>
      </c>
      <c r="S2" s="837" t="s">
        <v>6</v>
      </c>
      <c r="T2" s="838" t="s">
        <v>7</v>
      </c>
      <c r="AB2" s="833"/>
      <c r="AC2" s="833"/>
      <c r="AD2" s="833"/>
      <c r="AS2" s="833"/>
    </row>
    <row r="3" spans="1:45" s="832" customFormat="1" ht="15" customHeight="1">
      <c r="A3" s="2992"/>
      <c r="B3" s="2992"/>
      <c r="C3" s="2992"/>
      <c r="D3" s="2992"/>
      <c r="E3" s="2992"/>
      <c r="F3" s="2992"/>
      <c r="G3" s="2992"/>
      <c r="H3" s="2992"/>
      <c r="I3" s="2992"/>
      <c r="J3" s="2148"/>
      <c r="K3" s="2148"/>
      <c r="L3" s="2148"/>
      <c r="M3" s="2732"/>
      <c r="N3" s="839" t="s">
        <v>8</v>
      </c>
      <c r="O3" s="1930" t="str">
        <f>P82</f>
        <v>none</v>
      </c>
      <c r="P3" s="840" t="str">
        <f>IF(SUM(ch7Mandatory)=12,"Met","Not Met")</f>
        <v>Not Met</v>
      </c>
      <c r="Q3" s="1925">
        <v>0.15</v>
      </c>
      <c r="R3" s="1925">
        <v>0.25</v>
      </c>
      <c r="S3" s="1925">
        <v>0.35</v>
      </c>
      <c r="T3" s="1925">
        <v>0.45</v>
      </c>
      <c r="AB3" s="833"/>
      <c r="AC3" s="833"/>
      <c r="AD3" s="833"/>
      <c r="AS3" s="833"/>
    </row>
    <row r="4" spans="1:45" s="832" customFormat="1" ht="15" customHeight="1">
      <c r="A4" s="2992"/>
      <c r="B4" s="2992"/>
      <c r="C4" s="2992"/>
      <c r="D4" s="2992"/>
      <c r="E4" s="2992"/>
      <c r="F4" s="2992"/>
      <c r="G4" s="2992"/>
      <c r="H4" s="2992"/>
      <c r="I4" s="2992"/>
      <c r="J4" s="2990" t="str">
        <f>CONCATENATE("Revised ",TEXT(startRevisionDate,"mmmm dd, yyyy"))</f>
        <v>Revised January 26, 2018</v>
      </c>
      <c r="K4" s="2990"/>
      <c r="L4" s="2990"/>
      <c r="M4" s="2991"/>
      <c r="N4" s="841" t="s">
        <v>10</v>
      </c>
      <c r="O4" s="906">
        <f>projectTotal</f>
        <v>0</v>
      </c>
      <c r="P4" s="842" t="str">
        <f>IF(SUM(projectMandatoryCount)=4,"Met","Not Met")</f>
        <v>Not Met</v>
      </c>
      <c r="Q4" s="843">
        <f>SUM(bronzeMinimum)</f>
        <v>88</v>
      </c>
      <c r="R4" s="843">
        <f>SUM(silverMinimum)</f>
        <v>125</v>
      </c>
      <c r="S4" s="843">
        <f>SUM(goldMinimum)</f>
        <v>181</v>
      </c>
      <c r="T4" s="843">
        <f>SUM(emeraldMinimum)</f>
        <v>225</v>
      </c>
      <c r="AB4" s="833"/>
      <c r="AC4" s="833"/>
      <c r="AD4" s="833"/>
      <c r="AS4" s="833"/>
    </row>
    <row r="5" spans="1:45" s="832" customFormat="1" ht="8.25" customHeight="1">
      <c r="B5" s="1146"/>
      <c r="C5" s="2976" t="s">
        <v>2600</v>
      </c>
      <c r="D5" s="2976"/>
      <c r="E5" s="2976"/>
      <c r="F5" s="2976"/>
      <c r="G5" s="2976"/>
      <c r="H5" s="2976"/>
      <c r="I5" s="2976"/>
      <c r="J5" s="1604"/>
      <c r="K5" s="1604"/>
      <c r="L5" s="1604"/>
      <c r="M5" s="1604"/>
      <c r="N5" s="2982"/>
      <c r="O5" s="2983"/>
      <c r="P5" s="2984"/>
      <c r="Q5" s="2984"/>
      <c r="R5" s="2984"/>
      <c r="S5" s="2984"/>
      <c r="T5" s="2985"/>
      <c r="AB5" s="833"/>
      <c r="AC5" s="833"/>
      <c r="AD5" s="833"/>
      <c r="AS5" s="833"/>
    </row>
    <row r="6" spans="1:45" s="844" customFormat="1" ht="19.5" customHeight="1" thickBot="1">
      <c r="B6" s="1147"/>
      <c r="C6" s="2977"/>
      <c r="D6" s="2977"/>
      <c r="E6" s="2977"/>
      <c r="F6" s="2977"/>
      <c r="G6" s="2977"/>
      <c r="H6" s="2977"/>
      <c r="I6" s="2977"/>
      <c r="J6" s="2978" t="str">
        <f>CONCATENATE(copyright," All rights reserved.  See full notice at bottom of this sheet")</f>
        <v>© 2013 Home Innovation Research Labs, Inc. All rights reserved.  See full notice at bottom of this sheet</v>
      </c>
      <c r="K6" s="2978"/>
      <c r="L6" s="2978"/>
      <c r="M6" s="2978"/>
      <c r="N6" s="2978"/>
      <c r="O6" s="2978"/>
      <c r="P6" s="2978"/>
      <c r="Q6" s="2978"/>
      <c r="R6" s="2978"/>
      <c r="S6" s="2978"/>
      <c r="T6" s="2978"/>
    </row>
    <row r="7" spans="1:45" s="826" customFormat="1" ht="30.75" customHeight="1" thickBot="1">
      <c r="C7" s="2979" t="s">
        <v>11</v>
      </c>
      <c r="D7" s="2980"/>
      <c r="E7" s="2980"/>
      <c r="F7" s="2980" t="s">
        <v>292</v>
      </c>
      <c r="G7" s="2980"/>
      <c r="H7" s="2980"/>
      <c r="I7" s="2980"/>
      <c r="J7" s="2980"/>
      <c r="K7" s="2980"/>
      <c r="L7" s="2980"/>
      <c r="M7" s="2980"/>
      <c r="N7" s="2980"/>
      <c r="O7" s="845" t="s">
        <v>1962</v>
      </c>
      <c r="P7" s="845" t="s">
        <v>2346</v>
      </c>
      <c r="Q7" s="2986" t="s">
        <v>16</v>
      </c>
      <c r="R7" s="2987"/>
      <c r="S7" s="2988"/>
      <c r="T7" s="846" t="s">
        <v>1283</v>
      </c>
      <c r="AB7" s="847"/>
      <c r="AC7" s="847"/>
      <c r="AD7" s="847"/>
      <c r="AS7" s="847"/>
    </row>
    <row r="8" spans="1:45" ht="17.25" customHeight="1" thickBot="1">
      <c r="C8" s="2264" t="s">
        <v>2329</v>
      </c>
      <c r="D8" s="2264"/>
      <c r="E8" s="2264"/>
      <c r="F8" s="2264"/>
      <c r="G8" s="2264"/>
      <c r="H8" s="2264"/>
      <c r="I8" s="2264"/>
      <c r="J8" s="2264"/>
      <c r="K8" s="2264"/>
      <c r="L8" s="2264"/>
      <c r="M8" s="2264"/>
      <c r="N8" s="2264"/>
      <c r="O8" s="2264"/>
      <c r="P8" s="2264"/>
      <c r="Q8" s="2264"/>
      <c r="R8" s="2264"/>
      <c r="S8" s="2264"/>
      <c r="T8" s="2264"/>
      <c r="U8" s="144"/>
      <c r="V8" s="144"/>
      <c r="W8" s="144"/>
      <c r="X8" s="144"/>
      <c r="Y8" s="144"/>
      <c r="Z8" s="144"/>
      <c r="AA8" s="144"/>
      <c r="AB8" s="145"/>
      <c r="AC8" s="145"/>
      <c r="AD8" s="145"/>
      <c r="AS8" s="146"/>
    </row>
    <row r="9" spans="1:45" ht="15" customHeight="1" thickTop="1">
      <c r="C9" s="807" t="s">
        <v>2330</v>
      </c>
      <c r="D9" s="808"/>
      <c r="E9" s="809"/>
      <c r="F9" s="2962" t="s">
        <v>293</v>
      </c>
      <c r="G9" s="2962"/>
      <c r="H9" s="2962"/>
      <c r="I9" s="2962"/>
      <c r="J9" s="2962"/>
      <c r="K9" s="2962"/>
      <c r="L9" s="2962"/>
      <c r="M9" s="2962"/>
      <c r="N9" s="2962"/>
      <c r="O9" s="810"/>
      <c r="P9" s="801"/>
      <c r="Q9" s="2993"/>
      <c r="R9" s="2993"/>
      <c r="S9" s="2994"/>
      <c r="T9" s="732"/>
    </row>
    <row r="10" spans="1:45" s="23" customFormat="1" ht="15" customHeight="1">
      <c r="B10" s="1148"/>
      <c r="C10" s="811" t="s">
        <v>2331</v>
      </c>
      <c r="D10" s="812"/>
      <c r="E10" s="813"/>
      <c r="F10" s="2996" t="s">
        <v>294</v>
      </c>
      <c r="G10" s="2997"/>
      <c r="H10" s="2997"/>
      <c r="I10" s="2997"/>
      <c r="J10" s="2997"/>
      <c r="K10" s="2997"/>
      <c r="L10" s="2997"/>
      <c r="M10" s="2997"/>
      <c r="N10" s="2997"/>
      <c r="O10" s="364"/>
      <c r="P10" s="536"/>
      <c r="Q10" s="2969"/>
      <c r="R10" s="2969"/>
      <c r="S10" s="2970"/>
      <c r="T10" s="798"/>
    </row>
    <row r="11" spans="1:45" ht="45" customHeight="1">
      <c r="C11" s="2998" t="s">
        <v>2332</v>
      </c>
      <c r="D11" s="2999"/>
      <c r="E11" s="814"/>
      <c r="F11" s="2916" t="s">
        <v>2296</v>
      </c>
      <c r="G11" s="2916"/>
      <c r="H11" s="2916"/>
      <c r="I11" s="2916"/>
      <c r="J11" s="2916"/>
      <c r="K11" s="2916"/>
      <c r="L11" s="2916"/>
      <c r="M11" s="2916"/>
      <c r="N11" s="2916"/>
      <c r="O11" s="794" t="s">
        <v>3</v>
      </c>
      <c r="P11" s="1917"/>
      <c r="Q11" s="2870"/>
      <c r="R11" s="2871"/>
      <c r="S11" s="2871"/>
      <c r="T11" s="792" t="s">
        <v>18</v>
      </c>
    </row>
    <row r="12" spans="1:45" ht="60" customHeight="1">
      <c r="A12" s="796" t="str">
        <f>IF(startRadiant_Hydronic="Yes","x","")</f>
        <v/>
      </c>
      <c r="B12" s="157" t="str">
        <f>IF(startRadiant_Hydronic="No","x","")</f>
        <v/>
      </c>
      <c r="C12" s="2967" t="s">
        <v>2333</v>
      </c>
      <c r="D12" s="2968"/>
      <c r="E12" s="151"/>
      <c r="F12" s="2914" t="s">
        <v>2298</v>
      </c>
      <c r="G12" s="2914"/>
      <c r="H12" s="2914"/>
      <c r="I12" s="2914"/>
      <c r="J12" s="2914"/>
      <c r="K12" s="2914"/>
      <c r="L12" s="2914"/>
      <c r="M12" s="2914"/>
      <c r="N12" s="2914"/>
      <c r="O12" s="181" t="s">
        <v>295</v>
      </c>
      <c r="P12" s="1237"/>
      <c r="Q12" s="2949"/>
      <c r="R12" s="2950"/>
      <c r="S12" s="2950"/>
      <c r="T12" s="795" t="s">
        <v>18</v>
      </c>
    </row>
    <row r="13" spans="1:45">
      <c r="C13" s="150" t="s">
        <v>2334</v>
      </c>
      <c r="D13" s="686"/>
      <c r="E13" s="793"/>
      <c r="F13" s="2995" t="s">
        <v>296</v>
      </c>
      <c r="G13" s="2995"/>
      <c r="H13" s="2995"/>
      <c r="I13" s="2995"/>
      <c r="J13" s="2995"/>
      <c r="K13" s="2995"/>
      <c r="L13" s="2995"/>
      <c r="M13" s="2995"/>
      <c r="N13" s="2995"/>
      <c r="O13" s="815"/>
      <c r="P13" s="149"/>
      <c r="Q13" s="2973"/>
      <c r="R13" s="2973"/>
      <c r="S13" s="2974"/>
      <c r="T13" s="557"/>
    </row>
    <row r="14" spans="1:45" ht="45" customHeight="1">
      <c r="C14" s="2971" t="s">
        <v>2335</v>
      </c>
      <c r="D14" s="2972"/>
      <c r="E14" s="814"/>
      <c r="F14" s="2916" t="s">
        <v>2300</v>
      </c>
      <c r="G14" s="2916"/>
      <c r="H14" s="2916"/>
      <c r="I14" s="2916"/>
      <c r="J14" s="2916"/>
      <c r="K14" s="2916"/>
      <c r="L14" s="2916"/>
      <c r="M14" s="2916"/>
      <c r="N14" s="2916"/>
      <c r="O14" s="794" t="s">
        <v>298</v>
      </c>
      <c r="P14" s="1198"/>
      <c r="Q14" s="2870"/>
      <c r="R14" s="2871"/>
      <c r="S14" s="2871"/>
      <c r="T14" s="791" t="s">
        <v>18</v>
      </c>
    </row>
    <row r="15" spans="1:45" ht="35.25" customHeight="1">
      <c r="B15" s="157" t="str">
        <f>IF(startDuctless="yes","x","")</f>
        <v/>
      </c>
      <c r="C15" s="2947" t="s">
        <v>2336</v>
      </c>
      <c r="D15" s="2948"/>
      <c r="E15" s="793"/>
      <c r="F15" s="2935" t="s">
        <v>2302</v>
      </c>
      <c r="G15" s="2935"/>
      <c r="H15" s="2935"/>
      <c r="I15" s="2935"/>
      <c r="J15" s="2935"/>
      <c r="K15" s="2935"/>
      <c r="L15" s="2935"/>
      <c r="M15" s="2935"/>
      <c r="N15" s="2935"/>
      <c r="O15" s="154" t="s">
        <v>3</v>
      </c>
      <c r="P15" s="1919"/>
      <c r="Q15" s="2949"/>
      <c r="R15" s="2950"/>
      <c r="S15" s="2950"/>
      <c r="T15" s="787" t="s">
        <v>18</v>
      </c>
    </row>
    <row r="16" spans="1:45" s="694" customFormat="1" ht="30" customHeight="1">
      <c r="A16" s="796"/>
      <c r="B16" s="157" t="str">
        <f>IF(startDuctless="Yes","x","")</f>
        <v/>
      </c>
      <c r="C16" s="2947" t="s">
        <v>2337</v>
      </c>
      <c r="D16" s="2948"/>
      <c r="E16" s="793"/>
      <c r="F16" s="2935" t="s">
        <v>2304</v>
      </c>
      <c r="G16" s="2935"/>
      <c r="H16" s="2935"/>
      <c r="I16" s="2935"/>
      <c r="J16" s="2935"/>
      <c r="K16" s="2935"/>
      <c r="L16" s="2935"/>
      <c r="M16" s="2935"/>
      <c r="N16" s="2935"/>
      <c r="O16" s="154" t="s">
        <v>3</v>
      </c>
      <c r="P16" s="1918"/>
      <c r="Q16" s="2949"/>
      <c r="R16" s="2950"/>
      <c r="S16" s="2950"/>
      <c r="T16" s="787" t="s">
        <v>18</v>
      </c>
      <c r="V16" s="796"/>
      <c r="W16" s="796"/>
      <c r="X16" s="796"/>
      <c r="Y16" s="796"/>
      <c r="Z16" s="796"/>
      <c r="AA16" s="796"/>
      <c r="AD16" s="796"/>
      <c r="AE16" s="8"/>
      <c r="AF16" s="8"/>
      <c r="AG16" s="8"/>
      <c r="AH16" s="8"/>
      <c r="AI16" s="8"/>
      <c r="AJ16" s="8"/>
      <c r="AK16" s="8"/>
      <c r="AL16" s="8"/>
      <c r="AM16" s="8"/>
      <c r="AN16" s="8"/>
      <c r="AO16" s="8"/>
      <c r="AP16" s="8"/>
      <c r="AQ16" s="8"/>
      <c r="AR16" s="8"/>
    </row>
    <row r="17" spans="1:44">
      <c r="C17" s="150" t="s">
        <v>2338</v>
      </c>
      <c r="D17" s="686"/>
      <c r="E17" s="793"/>
      <c r="F17" s="2956" t="s">
        <v>300</v>
      </c>
      <c r="G17" s="2956"/>
      <c r="H17" s="2956"/>
      <c r="I17" s="2956"/>
      <c r="J17" s="2956"/>
      <c r="K17" s="2956"/>
      <c r="L17" s="2956"/>
      <c r="M17" s="2956"/>
      <c r="N17" s="2956"/>
      <c r="O17" s="797"/>
      <c r="P17" s="149"/>
      <c r="Q17" s="2958"/>
      <c r="R17" s="2958"/>
      <c r="S17" s="2959"/>
      <c r="T17" s="557"/>
    </row>
    <row r="18" spans="1:44" ht="60" customHeight="1">
      <c r="C18" s="2931" t="s">
        <v>2339</v>
      </c>
      <c r="D18" s="2932"/>
      <c r="E18" s="151"/>
      <c r="F18" s="2957" t="s">
        <v>2306</v>
      </c>
      <c r="G18" s="2957"/>
      <c r="H18" s="2957"/>
      <c r="I18" s="2957"/>
      <c r="J18" s="2957"/>
      <c r="K18" s="2957"/>
      <c r="L18" s="2957"/>
      <c r="M18" s="2957"/>
      <c r="N18" s="2957"/>
      <c r="O18" s="2952" t="s">
        <v>3</v>
      </c>
      <c r="P18" s="2954"/>
      <c r="Q18" s="2721"/>
      <c r="R18" s="2721"/>
      <c r="S18" s="2721"/>
      <c r="T18" s="2929" t="s">
        <v>18</v>
      </c>
    </row>
    <row r="19" spans="1:44" ht="15" customHeight="1">
      <c r="C19" s="2931"/>
      <c r="D19" s="2932"/>
      <c r="E19" s="153" t="s">
        <v>317</v>
      </c>
      <c r="F19" s="2951" t="s">
        <v>1292</v>
      </c>
      <c r="G19" s="2951"/>
      <c r="H19" s="2951"/>
      <c r="I19" s="2951"/>
      <c r="J19" s="2951"/>
      <c r="K19" s="2951"/>
      <c r="L19" s="2951"/>
      <c r="M19" s="2951"/>
      <c r="N19" s="2951"/>
      <c r="O19" s="2952"/>
      <c r="P19" s="2955"/>
      <c r="Q19" s="2721"/>
      <c r="R19" s="2721"/>
      <c r="S19" s="2721"/>
      <c r="T19" s="2929"/>
    </row>
    <row r="20" spans="1:44" s="694" customFormat="1" ht="15" customHeight="1">
      <c r="A20" s="796"/>
      <c r="B20" s="157"/>
      <c r="C20" s="2931"/>
      <c r="D20" s="2932"/>
      <c r="E20" s="153" t="s">
        <v>318</v>
      </c>
      <c r="F20" s="2951" t="s">
        <v>1293</v>
      </c>
      <c r="G20" s="2951"/>
      <c r="H20" s="2951"/>
      <c r="I20" s="2951"/>
      <c r="J20" s="2951"/>
      <c r="K20" s="2951"/>
      <c r="L20" s="2951"/>
      <c r="M20" s="2951"/>
      <c r="N20" s="2951"/>
      <c r="O20" s="2952"/>
      <c r="P20" s="2955"/>
      <c r="Q20" s="2721"/>
      <c r="R20" s="2721"/>
      <c r="S20" s="2721"/>
      <c r="T20" s="2929"/>
      <c r="V20" s="796"/>
      <c r="W20" s="796"/>
      <c r="X20" s="796"/>
      <c r="Y20" s="796"/>
      <c r="Z20" s="796"/>
      <c r="AA20" s="796"/>
      <c r="AD20" s="796"/>
      <c r="AE20" s="8"/>
      <c r="AF20" s="8"/>
      <c r="AG20" s="8"/>
      <c r="AH20" s="8"/>
      <c r="AI20" s="8"/>
      <c r="AJ20" s="8"/>
      <c r="AK20" s="8"/>
      <c r="AL20" s="8"/>
      <c r="AM20" s="8"/>
      <c r="AN20" s="8"/>
      <c r="AO20" s="8"/>
      <c r="AP20" s="8"/>
      <c r="AQ20" s="8"/>
      <c r="AR20" s="8"/>
    </row>
    <row r="21" spans="1:44" s="694" customFormat="1" ht="15" customHeight="1">
      <c r="A21" s="796"/>
      <c r="B21" s="157"/>
      <c r="C21" s="2931"/>
      <c r="D21" s="2932"/>
      <c r="E21" s="153" t="s">
        <v>319</v>
      </c>
      <c r="F21" s="2951" t="s">
        <v>1294</v>
      </c>
      <c r="G21" s="2951"/>
      <c r="H21" s="2951"/>
      <c r="I21" s="2951"/>
      <c r="J21" s="2951"/>
      <c r="K21" s="2951"/>
      <c r="L21" s="2951"/>
      <c r="M21" s="2951"/>
      <c r="N21" s="2951"/>
      <c r="O21" s="2952"/>
      <c r="P21" s="2955"/>
      <c r="Q21" s="2721"/>
      <c r="R21" s="2721"/>
      <c r="S21" s="2721"/>
      <c r="T21" s="2929"/>
      <c r="V21" s="796"/>
      <c r="W21" s="796"/>
      <c r="X21" s="796"/>
      <c r="Y21" s="796"/>
      <c r="Z21" s="796"/>
      <c r="AA21" s="796"/>
      <c r="AD21" s="796"/>
      <c r="AE21" s="8"/>
      <c r="AF21" s="8"/>
      <c r="AG21" s="8"/>
      <c r="AH21" s="8"/>
      <c r="AI21" s="8"/>
      <c r="AJ21" s="8"/>
      <c r="AK21" s="8"/>
      <c r="AL21" s="8"/>
      <c r="AM21" s="8"/>
      <c r="AN21" s="8"/>
      <c r="AO21" s="8"/>
      <c r="AP21" s="8"/>
      <c r="AQ21" s="8"/>
      <c r="AR21" s="8"/>
    </row>
    <row r="22" spans="1:44" s="694" customFormat="1" ht="15" customHeight="1">
      <c r="A22" s="796"/>
      <c r="B22" s="157"/>
      <c r="C22" s="2931"/>
      <c r="D22" s="2932"/>
      <c r="E22" s="153" t="s">
        <v>320</v>
      </c>
      <c r="F22" s="2951" t="s">
        <v>1295</v>
      </c>
      <c r="G22" s="2951"/>
      <c r="H22" s="2951"/>
      <c r="I22" s="2951"/>
      <c r="J22" s="2951"/>
      <c r="K22" s="2951"/>
      <c r="L22" s="2951"/>
      <c r="M22" s="2951"/>
      <c r="N22" s="2951"/>
      <c r="O22" s="2952"/>
      <c r="P22" s="2955"/>
      <c r="Q22" s="2721"/>
      <c r="R22" s="2721"/>
      <c r="S22" s="2721"/>
      <c r="T22" s="2929"/>
      <c r="V22" s="796"/>
      <c r="W22" s="796"/>
      <c r="X22" s="796"/>
      <c r="Y22" s="796"/>
      <c r="Z22" s="796"/>
      <c r="AA22" s="796"/>
      <c r="AD22" s="796"/>
      <c r="AE22" s="8"/>
      <c r="AF22" s="8"/>
      <c r="AG22" s="8"/>
      <c r="AH22" s="8"/>
      <c r="AI22" s="8"/>
      <c r="AJ22" s="8"/>
      <c r="AK22" s="8"/>
      <c r="AL22" s="8"/>
      <c r="AM22" s="8"/>
      <c r="AN22" s="8"/>
      <c r="AO22" s="8"/>
      <c r="AP22" s="8"/>
      <c r="AQ22" s="8"/>
      <c r="AR22" s="8"/>
    </row>
    <row r="23" spans="1:44" s="694" customFormat="1" ht="15" customHeight="1">
      <c r="A23" s="796"/>
      <c r="B23" s="157"/>
      <c r="C23" s="2931"/>
      <c r="D23" s="2932"/>
      <c r="E23" s="153" t="s">
        <v>321</v>
      </c>
      <c r="F23" s="2951" t="s">
        <v>1299</v>
      </c>
      <c r="G23" s="2951"/>
      <c r="H23" s="2951"/>
      <c r="I23" s="2951"/>
      <c r="J23" s="2951"/>
      <c r="K23" s="2951"/>
      <c r="L23" s="2951"/>
      <c r="M23" s="2951"/>
      <c r="N23" s="2951"/>
      <c r="O23" s="2952"/>
      <c r="P23" s="2955"/>
      <c r="Q23" s="2721"/>
      <c r="R23" s="2721"/>
      <c r="S23" s="2721"/>
      <c r="T23" s="2929"/>
      <c r="V23" s="796"/>
      <c r="W23" s="796"/>
      <c r="X23" s="796"/>
      <c r="Y23" s="796"/>
      <c r="Z23" s="796"/>
      <c r="AA23" s="796"/>
      <c r="AD23" s="796"/>
      <c r="AE23" s="8"/>
      <c r="AF23" s="8"/>
      <c r="AG23" s="8"/>
      <c r="AH23" s="8"/>
      <c r="AI23" s="8"/>
      <c r="AJ23" s="8"/>
      <c r="AK23" s="8"/>
      <c r="AL23" s="8"/>
      <c r="AM23" s="8"/>
      <c r="AN23" s="8"/>
      <c r="AO23" s="8"/>
      <c r="AP23" s="8"/>
      <c r="AQ23" s="8"/>
      <c r="AR23" s="8"/>
    </row>
    <row r="24" spans="1:44" s="694" customFormat="1" ht="15" customHeight="1">
      <c r="A24" s="796"/>
      <c r="B24" s="157"/>
      <c r="C24" s="2931"/>
      <c r="D24" s="2932"/>
      <c r="E24" s="153" t="s">
        <v>1296</v>
      </c>
      <c r="F24" s="2951" t="s">
        <v>1300</v>
      </c>
      <c r="G24" s="2951"/>
      <c r="H24" s="2951"/>
      <c r="I24" s="2951"/>
      <c r="J24" s="2951"/>
      <c r="K24" s="2951"/>
      <c r="L24" s="2951"/>
      <c r="M24" s="2951"/>
      <c r="N24" s="2951"/>
      <c r="O24" s="2952"/>
      <c r="P24" s="2955"/>
      <c r="Q24" s="2721"/>
      <c r="R24" s="2721"/>
      <c r="S24" s="2721"/>
      <c r="T24" s="2929"/>
      <c r="V24" s="796"/>
      <c r="W24" s="796"/>
      <c r="X24" s="796"/>
      <c r="Y24" s="796"/>
      <c r="Z24" s="796"/>
      <c r="AA24" s="796"/>
      <c r="AD24" s="796"/>
      <c r="AE24" s="8"/>
      <c r="AF24" s="8"/>
      <c r="AG24" s="8"/>
      <c r="AH24" s="8"/>
      <c r="AI24" s="8"/>
      <c r="AJ24" s="8"/>
      <c r="AK24" s="8"/>
      <c r="AL24" s="8"/>
      <c r="AM24" s="8"/>
      <c r="AN24" s="8"/>
      <c r="AO24" s="8"/>
      <c r="AP24" s="8"/>
      <c r="AQ24" s="8"/>
      <c r="AR24" s="8"/>
    </row>
    <row r="25" spans="1:44" s="694" customFormat="1" ht="15" customHeight="1">
      <c r="A25" s="796"/>
      <c r="B25" s="157"/>
      <c r="C25" s="2931"/>
      <c r="D25" s="2932"/>
      <c r="E25" s="153" t="s">
        <v>1297</v>
      </c>
      <c r="F25" s="2951" t="s">
        <v>1301</v>
      </c>
      <c r="G25" s="2951"/>
      <c r="H25" s="2951"/>
      <c r="I25" s="2951"/>
      <c r="J25" s="2951"/>
      <c r="K25" s="2951"/>
      <c r="L25" s="2951"/>
      <c r="M25" s="2951"/>
      <c r="N25" s="2951"/>
      <c r="O25" s="2952"/>
      <c r="P25" s="2955"/>
      <c r="Q25" s="2721"/>
      <c r="R25" s="2721"/>
      <c r="S25" s="2721"/>
      <c r="T25" s="2929"/>
      <c r="V25" s="796"/>
      <c r="W25" s="796"/>
      <c r="X25" s="796"/>
      <c r="Y25" s="796"/>
      <c r="Z25" s="796"/>
      <c r="AA25" s="796"/>
      <c r="AD25" s="796"/>
      <c r="AE25" s="8"/>
      <c r="AF25" s="8"/>
      <c r="AG25" s="8"/>
      <c r="AH25" s="8"/>
      <c r="AI25" s="8"/>
      <c r="AJ25" s="8"/>
      <c r="AK25" s="8"/>
      <c r="AL25" s="8"/>
      <c r="AM25" s="8"/>
      <c r="AN25" s="8"/>
      <c r="AO25" s="8"/>
      <c r="AP25" s="8"/>
      <c r="AQ25" s="8"/>
      <c r="AR25" s="8"/>
    </row>
    <row r="26" spans="1:44" s="694" customFormat="1" ht="15" customHeight="1">
      <c r="A26" s="796"/>
      <c r="B26" s="157"/>
      <c r="C26" s="2931"/>
      <c r="D26" s="2932"/>
      <c r="E26" s="153" t="s">
        <v>1298</v>
      </c>
      <c r="F26" s="2951" t="s">
        <v>1302</v>
      </c>
      <c r="G26" s="2951"/>
      <c r="H26" s="2951"/>
      <c r="I26" s="2951"/>
      <c r="J26" s="2951"/>
      <c r="K26" s="2951"/>
      <c r="L26" s="2951"/>
      <c r="M26" s="2951"/>
      <c r="N26" s="2951"/>
      <c r="O26" s="2952"/>
      <c r="P26" s="2955"/>
      <c r="Q26" s="2721"/>
      <c r="R26" s="2721"/>
      <c r="S26" s="2721"/>
      <c r="T26" s="2929"/>
      <c r="V26" s="796"/>
      <c r="W26" s="796"/>
      <c r="X26" s="796"/>
      <c r="Y26" s="796"/>
      <c r="Z26" s="796"/>
      <c r="AA26" s="796"/>
      <c r="AD26" s="796"/>
      <c r="AE26" s="8"/>
      <c r="AF26" s="8"/>
      <c r="AG26" s="8"/>
      <c r="AH26" s="8"/>
      <c r="AI26" s="8"/>
      <c r="AJ26" s="8"/>
      <c r="AK26" s="8"/>
      <c r="AL26" s="8"/>
      <c r="AM26" s="8"/>
      <c r="AN26" s="8"/>
      <c r="AO26" s="8"/>
      <c r="AP26" s="8"/>
      <c r="AQ26" s="8"/>
      <c r="AR26" s="8"/>
    </row>
    <row r="27" spans="1:44" s="694" customFormat="1" ht="15" customHeight="1">
      <c r="A27" s="796"/>
      <c r="B27" s="157"/>
      <c r="C27" s="2931"/>
      <c r="D27" s="2932"/>
      <c r="E27" s="153" t="s">
        <v>1303</v>
      </c>
      <c r="F27" s="2951" t="s">
        <v>1307</v>
      </c>
      <c r="G27" s="2951"/>
      <c r="H27" s="2951"/>
      <c r="I27" s="2951"/>
      <c r="J27" s="2951"/>
      <c r="K27" s="2951"/>
      <c r="L27" s="2951"/>
      <c r="M27" s="2951"/>
      <c r="N27" s="2951"/>
      <c r="O27" s="2952"/>
      <c r="P27" s="2955"/>
      <c r="Q27" s="2721"/>
      <c r="R27" s="2721"/>
      <c r="S27" s="2721"/>
      <c r="T27" s="2929"/>
      <c r="V27" s="796"/>
      <c r="W27" s="796"/>
      <c r="X27" s="796"/>
      <c r="Y27" s="796"/>
      <c r="Z27" s="796"/>
      <c r="AA27" s="796"/>
      <c r="AD27" s="796"/>
      <c r="AE27" s="8"/>
      <c r="AF27" s="8"/>
      <c r="AG27" s="8"/>
      <c r="AH27" s="8"/>
      <c r="AI27" s="8"/>
      <c r="AJ27" s="8"/>
      <c r="AK27" s="8"/>
      <c r="AL27" s="8"/>
      <c r="AM27" s="8"/>
      <c r="AN27" s="8"/>
      <c r="AO27" s="8"/>
      <c r="AP27" s="8"/>
      <c r="AQ27" s="8"/>
      <c r="AR27" s="8"/>
    </row>
    <row r="28" spans="1:44" s="694" customFormat="1" ht="15" customHeight="1">
      <c r="A28" s="796"/>
      <c r="B28" s="157"/>
      <c r="C28" s="2931"/>
      <c r="D28" s="2932"/>
      <c r="E28" s="153" t="s">
        <v>1304</v>
      </c>
      <c r="F28" s="2951" t="s">
        <v>1308</v>
      </c>
      <c r="G28" s="2951"/>
      <c r="H28" s="2951"/>
      <c r="I28" s="2951"/>
      <c r="J28" s="2951"/>
      <c r="K28" s="2951"/>
      <c r="L28" s="2951"/>
      <c r="M28" s="2951"/>
      <c r="N28" s="2951"/>
      <c r="O28" s="2952"/>
      <c r="P28" s="2955"/>
      <c r="Q28" s="2721"/>
      <c r="R28" s="2721"/>
      <c r="S28" s="2721"/>
      <c r="T28" s="2929"/>
      <c r="V28" s="796"/>
      <c r="W28" s="796"/>
      <c r="X28" s="796"/>
      <c r="Y28" s="796"/>
      <c r="Z28" s="796"/>
      <c r="AA28" s="796"/>
      <c r="AD28" s="796"/>
      <c r="AE28" s="8"/>
      <c r="AF28" s="8"/>
      <c r="AG28" s="8"/>
      <c r="AH28" s="8"/>
      <c r="AI28" s="8"/>
      <c r="AJ28" s="8"/>
      <c r="AK28" s="8"/>
      <c r="AL28" s="8"/>
      <c r="AM28" s="8"/>
      <c r="AN28" s="8"/>
      <c r="AO28" s="8"/>
      <c r="AP28" s="8"/>
      <c r="AQ28" s="8"/>
      <c r="AR28" s="8"/>
    </row>
    <row r="29" spans="1:44" s="694" customFormat="1" ht="15" customHeight="1">
      <c r="A29" s="796"/>
      <c r="B29" s="157"/>
      <c r="C29" s="2931"/>
      <c r="D29" s="2932"/>
      <c r="E29" s="153" t="s">
        <v>1305</v>
      </c>
      <c r="F29" s="2951" t="s">
        <v>1309</v>
      </c>
      <c r="G29" s="2951"/>
      <c r="H29" s="2951"/>
      <c r="I29" s="2951"/>
      <c r="J29" s="2951"/>
      <c r="K29" s="2951"/>
      <c r="L29" s="2951"/>
      <c r="M29" s="2951"/>
      <c r="N29" s="2951"/>
      <c r="O29" s="2952"/>
      <c r="P29" s="2955"/>
      <c r="Q29" s="2721"/>
      <c r="R29" s="2721"/>
      <c r="S29" s="2721"/>
      <c r="T29" s="2929"/>
      <c r="V29" s="796"/>
      <c r="W29" s="796"/>
      <c r="X29" s="796"/>
      <c r="Y29" s="796"/>
      <c r="Z29" s="796"/>
      <c r="AA29" s="796"/>
      <c r="AD29" s="796"/>
      <c r="AE29" s="8"/>
      <c r="AF29" s="8"/>
      <c r="AG29" s="8"/>
      <c r="AH29" s="8"/>
      <c r="AI29" s="8"/>
      <c r="AJ29" s="8"/>
      <c r="AK29" s="8"/>
      <c r="AL29" s="8"/>
      <c r="AM29" s="8"/>
      <c r="AN29" s="8"/>
      <c r="AO29" s="8"/>
      <c r="AP29" s="8"/>
      <c r="AQ29" s="8"/>
      <c r="AR29" s="8"/>
    </row>
    <row r="30" spans="1:44" s="694" customFormat="1" ht="15" customHeight="1">
      <c r="A30" s="796"/>
      <c r="B30" s="157"/>
      <c r="C30" s="2931"/>
      <c r="D30" s="2932"/>
      <c r="E30" s="152" t="s">
        <v>1306</v>
      </c>
      <c r="F30" s="2928" t="s">
        <v>1310</v>
      </c>
      <c r="G30" s="2928"/>
      <c r="H30" s="2928"/>
      <c r="I30" s="2928"/>
      <c r="J30" s="2928"/>
      <c r="K30" s="2928"/>
      <c r="L30" s="2928"/>
      <c r="M30" s="2928"/>
      <c r="N30" s="2928"/>
      <c r="O30" s="2953"/>
      <c r="P30" s="2778"/>
      <c r="Q30" s="2871"/>
      <c r="R30" s="2871"/>
      <c r="S30" s="2871"/>
      <c r="T30" s="2930"/>
      <c r="V30" s="796"/>
      <c r="W30" s="796"/>
      <c r="X30" s="796"/>
      <c r="Y30" s="796"/>
      <c r="Z30" s="796"/>
      <c r="AA30" s="796"/>
      <c r="AD30" s="796"/>
      <c r="AE30" s="8"/>
      <c r="AF30" s="8"/>
      <c r="AG30" s="8"/>
      <c r="AH30" s="8"/>
      <c r="AI30" s="8"/>
      <c r="AJ30" s="8"/>
      <c r="AK30" s="8"/>
      <c r="AL30" s="8"/>
      <c r="AM30" s="8"/>
      <c r="AN30" s="8"/>
      <c r="AO30" s="8"/>
      <c r="AP30" s="8"/>
      <c r="AQ30" s="8"/>
      <c r="AR30" s="8"/>
    </row>
    <row r="31" spans="1:44" ht="45" customHeight="1">
      <c r="C31" s="2933" t="s">
        <v>2340</v>
      </c>
      <c r="D31" s="2934"/>
      <c r="E31" s="816"/>
      <c r="F31" s="2935" t="s">
        <v>2561</v>
      </c>
      <c r="G31" s="2935"/>
      <c r="H31" s="2935"/>
      <c r="I31" s="2935"/>
      <c r="J31" s="2935"/>
      <c r="K31" s="2935"/>
      <c r="L31" s="2935"/>
      <c r="M31" s="2935"/>
      <c r="N31" s="2935"/>
      <c r="O31" s="912" t="s">
        <v>3</v>
      </c>
      <c r="P31" s="942" t="str">
        <f>score701.4.3.2</f>
        <v>Not Met</v>
      </c>
      <c r="Q31" s="2938"/>
      <c r="R31" s="2938"/>
      <c r="S31" s="2938"/>
      <c r="T31" s="941"/>
    </row>
    <row r="32" spans="1:44" ht="208.5" customHeight="1">
      <c r="C32" s="817"/>
      <c r="D32" s="800">
        <v>1</v>
      </c>
      <c r="E32" s="153"/>
      <c r="F32" s="2936" t="s">
        <v>2619</v>
      </c>
      <c r="G32" s="2936"/>
      <c r="H32" s="2936"/>
      <c r="I32" s="2936"/>
      <c r="J32" s="2936"/>
      <c r="K32" s="2936"/>
      <c r="L32" s="2936"/>
      <c r="M32" s="2936"/>
      <c r="N32" s="2936"/>
      <c r="O32" s="909" t="s">
        <v>1568</v>
      </c>
      <c r="P32" s="495"/>
      <c r="Q32" s="2937"/>
      <c r="R32" s="2937"/>
      <c r="S32" s="2937"/>
      <c r="T32" s="914" t="s">
        <v>18</v>
      </c>
    </row>
    <row r="33" spans="1:44" s="796" customFormat="1" ht="30" customHeight="1">
      <c r="B33" s="157"/>
      <c r="C33" s="817"/>
      <c r="D33" s="800"/>
      <c r="E33" s="153"/>
      <c r="F33" s="2944" t="str">
        <f>IF(choice701.4.3.2=Formulas!I60,"Enter the expected ACH50 in the yellow cell to the right. A number greater than zero and less than 7 is required to meet the mandatory conditions of this practice.","")</f>
        <v/>
      </c>
      <c r="G33" s="2944"/>
      <c r="H33" s="2944"/>
      <c r="I33" s="2944"/>
      <c r="J33" s="2944"/>
      <c r="K33" s="2944"/>
      <c r="L33" s="2944"/>
      <c r="M33" s="2944"/>
      <c r="N33" s="2944"/>
      <c r="O33" s="2945"/>
      <c r="P33" s="1203"/>
      <c r="Q33" s="2336"/>
      <c r="R33" s="2336"/>
      <c r="S33" s="2336"/>
      <c r="T33" s="818"/>
      <c r="AE33" s="8"/>
      <c r="AF33" s="8"/>
      <c r="AG33" s="8"/>
      <c r="AH33" s="8"/>
      <c r="AI33" s="8"/>
      <c r="AJ33" s="8"/>
      <c r="AK33" s="8"/>
      <c r="AL33" s="8"/>
      <c r="AM33" s="8"/>
      <c r="AN33" s="8"/>
      <c r="AO33" s="8"/>
      <c r="AP33" s="8"/>
      <c r="AQ33" s="8"/>
      <c r="AR33" s="8"/>
    </row>
    <row r="34" spans="1:44" ht="45" customHeight="1" thickBot="1">
      <c r="C34" s="817"/>
      <c r="D34" s="943">
        <v>2</v>
      </c>
      <c r="E34" s="944"/>
      <c r="F34" s="2943" t="s">
        <v>1335</v>
      </c>
      <c r="G34" s="2943"/>
      <c r="H34" s="2943"/>
      <c r="I34" s="2943"/>
      <c r="J34" s="2943"/>
      <c r="K34" s="2943"/>
      <c r="L34" s="2943"/>
      <c r="M34" s="2943"/>
      <c r="N34" s="2943"/>
      <c r="O34" s="945"/>
      <c r="P34" s="946"/>
      <c r="Q34" s="2939"/>
      <c r="R34" s="2939"/>
      <c r="S34" s="2939"/>
      <c r="T34" s="947" t="s">
        <v>18</v>
      </c>
    </row>
    <row r="35" spans="1:44" s="694" customFormat="1" ht="90" customHeight="1">
      <c r="A35" s="796"/>
      <c r="B35" s="157"/>
      <c r="C35" s="817"/>
      <c r="D35" s="800"/>
      <c r="E35" s="819"/>
      <c r="F35" s="2940" t="s">
        <v>1311</v>
      </c>
      <c r="G35" s="2941"/>
      <c r="H35" s="2941"/>
      <c r="I35" s="2941" t="s">
        <v>1312</v>
      </c>
      <c r="J35" s="2941"/>
      <c r="K35" s="2941"/>
      <c r="L35" s="2941"/>
      <c r="M35" s="2941"/>
      <c r="N35" s="2942"/>
      <c r="O35" s="820"/>
      <c r="P35" s="536"/>
      <c r="Q35" s="2821"/>
      <c r="R35" s="2821"/>
      <c r="S35" s="2922"/>
      <c r="T35" s="806"/>
      <c r="V35" s="796"/>
      <c r="W35" s="796"/>
      <c r="X35" s="796"/>
      <c r="Y35" s="796"/>
      <c r="Z35" s="796"/>
      <c r="AA35" s="796"/>
      <c r="AD35" s="796"/>
      <c r="AE35" s="8"/>
      <c r="AF35" s="8"/>
      <c r="AG35" s="8"/>
      <c r="AH35" s="8"/>
      <c r="AI35" s="8"/>
      <c r="AJ35" s="8"/>
      <c r="AK35" s="8"/>
      <c r="AL35" s="8"/>
      <c r="AM35" s="8"/>
      <c r="AN35" s="8"/>
      <c r="AO35" s="8"/>
      <c r="AP35" s="8"/>
      <c r="AQ35" s="8"/>
      <c r="AR35" s="8"/>
    </row>
    <row r="36" spans="1:44" s="694" customFormat="1" ht="60" customHeight="1">
      <c r="A36" s="796"/>
      <c r="B36" s="157"/>
      <c r="C36" s="817"/>
      <c r="D36" s="800"/>
      <c r="E36" s="819"/>
      <c r="F36" s="2919" t="s">
        <v>1313</v>
      </c>
      <c r="G36" s="2920"/>
      <c r="H36" s="2920"/>
      <c r="I36" s="2920" t="s">
        <v>1344</v>
      </c>
      <c r="J36" s="2920"/>
      <c r="K36" s="2920"/>
      <c r="L36" s="2920"/>
      <c r="M36" s="2920"/>
      <c r="N36" s="2921"/>
      <c r="O36" s="820"/>
      <c r="P36" s="536"/>
      <c r="Q36" s="2821"/>
      <c r="R36" s="2821"/>
      <c r="S36" s="2922"/>
      <c r="T36" s="806"/>
      <c r="V36" s="796"/>
      <c r="W36" s="796"/>
      <c r="X36" s="796"/>
      <c r="Y36" s="796"/>
      <c r="Z36" s="796"/>
      <c r="AA36" s="796"/>
      <c r="AD36" s="796"/>
      <c r="AE36" s="8"/>
      <c r="AF36" s="8"/>
      <c r="AG36" s="8"/>
      <c r="AH36" s="8"/>
      <c r="AI36" s="8"/>
      <c r="AJ36" s="8"/>
      <c r="AK36" s="8"/>
      <c r="AL36" s="8"/>
      <c r="AM36" s="8"/>
      <c r="AN36" s="8"/>
      <c r="AO36" s="8"/>
      <c r="AP36" s="8"/>
      <c r="AQ36" s="8"/>
      <c r="AR36" s="8"/>
    </row>
    <row r="37" spans="1:44" s="694" customFormat="1" ht="30" customHeight="1">
      <c r="A37" s="796"/>
      <c r="B37" s="157"/>
      <c r="C37" s="817"/>
      <c r="D37" s="800"/>
      <c r="E37" s="819"/>
      <c r="F37" s="2919" t="s">
        <v>1345</v>
      </c>
      <c r="G37" s="2920"/>
      <c r="H37" s="2920"/>
      <c r="I37" s="2920" t="s">
        <v>1314</v>
      </c>
      <c r="J37" s="2920"/>
      <c r="K37" s="2920"/>
      <c r="L37" s="2920"/>
      <c r="M37" s="2920"/>
      <c r="N37" s="2921"/>
      <c r="O37" s="820"/>
      <c r="P37" s="536"/>
      <c r="Q37" s="2821"/>
      <c r="R37" s="2821"/>
      <c r="S37" s="2922"/>
      <c r="T37" s="806"/>
      <c r="V37" s="796"/>
      <c r="W37" s="796"/>
      <c r="X37" s="796"/>
      <c r="Y37" s="796"/>
      <c r="Z37" s="796"/>
      <c r="AA37" s="796"/>
      <c r="AD37" s="796"/>
      <c r="AE37" s="8"/>
      <c r="AF37" s="8"/>
      <c r="AG37" s="8"/>
      <c r="AH37" s="8"/>
      <c r="AI37" s="8"/>
      <c r="AJ37" s="8"/>
      <c r="AK37" s="8"/>
      <c r="AL37" s="8"/>
      <c r="AM37" s="8"/>
      <c r="AN37" s="8"/>
      <c r="AO37" s="8"/>
      <c r="AP37" s="8"/>
      <c r="AQ37" s="8"/>
      <c r="AR37" s="8"/>
    </row>
    <row r="38" spans="1:44" s="694" customFormat="1" ht="15" customHeight="1">
      <c r="A38" s="796"/>
      <c r="B38" s="157"/>
      <c r="C38" s="817"/>
      <c r="D38" s="800"/>
      <c r="E38" s="819"/>
      <c r="F38" s="2919" t="s">
        <v>1315</v>
      </c>
      <c r="G38" s="2920"/>
      <c r="H38" s="2920"/>
      <c r="I38" s="2920" t="s">
        <v>1316</v>
      </c>
      <c r="J38" s="2920"/>
      <c r="K38" s="2920"/>
      <c r="L38" s="2920"/>
      <c r="M38" s="2920"/>
      <c r="N38" s="2921"/>
      <c r="O38" s="820"/>
      <c r="P38" s="536"/>
      <c r="Q38" s="2821"/>
      <c r="R38" s="2821"/>
      <c r="S38" s="2922"/>
      <c r="T38" s="806"/>
      <c r="V38" s="796"/>
      <c r="W38" s="796"/>
      <c r="X38" s="796"/>
      <c r="Y38" s="796"/>
      <c r="Z38" s="796"/>
      <c r="AA38" s="796"/>
      <c r="AD38" s="796"/>
      <c r="AE38" s="8"/>
      <c r="AF38" s="8"/>
      <c r="AG38" s="8"/>
      <c r="AH38" s="8"/>
      <c r="AI38" s="8"/>
      <c r="AJ38" s="8"/>
      <c r="AK38" s="8"/>
      <c r="AL38" s="8"/>
      <c r="AM38" s="8"/>
      <c r="AN38" s="8"/>
      <c r="AO38" s="8"/>
      <c r="AP38" s="8"/>
      <c r="AQ38" s="8"/>
      <c r="AR38" s="8"/>
    </row>
    <row r="39" spans="1:44" s="694" customFormat="1" ht="15" customHeight="1">
      <c r="A39" s="796"/>
      <c r="B39" s="157"/>
      <c r="C39" s="817"/>
      <c r="D39" s="800"/>
      <c r="E39" s="819"/>
      <c r="F39" s="2919" t="s">
        <v>1317</v>
      </c>
      <c r="G39" s="2920"/>
      <c r="H39" s="2920"/>
      <c r="I39" s="2920" t="s">
        <v>1318</v>
      </c>
      <c r="J39" s="2920"/>
      <c r="K39" s="2920"/>
      <c r="L39" s="2920"/>
      <c r="M39" s="2920"/>
      <c r="N39" s="2921"/>
      <c r="O39" s="820"/>
      <c r="P39" s="536"/>
      <c r="Q39" s="2821"/>
      <c r="R39" s="2821"/>
      <c r="S39" s="2922"/>
      <c r="T39" s="806"/>
      <c r="V39" s="796"/>
      <c r="W39" s="796"/>
      <c r="X39" s="796"/>
      <c r="Y39" s="796"/>
      <c r="Z39" s="796"/>
      <c r="AA39" s="796"/>
      <c r="AD39" s="796"/>
      <c r="AE39" s="8"/>
      <c r="AF39" s="8"/>
      <c r="AG39" s="8"/>
      <c r="AH39" s="8"/>
      <c r="AI39" s="8"/>
      <c r="AJ39" s="8"/>
      <c r="AK39" s="8"/>
      <c r="AL39" s="8"/>
      <c r="AM39" s="8"/>
      <c r="AN39" s="8"/>
      <c r="AO39" s="8"/>
      <c r="AP39" s="8"/>
      <c r="AQ39" s="8"/>
      <c r="AR39" s="8"/>
    </row>
    <row r="40" spans="1:44" s="694" customFormat="1" ht="45" customHeight="1">
      <c r="A40" s="796"/>
      <c r="B40" s="157"/>
      <c r="C40" s="817"/>
      <c r="D40" s="800"/>
      <c r="E40" s="819"/>
      <c r="F40" s="2919" t="s">
        <v>1319</v>
      </c>
      <c r="G40" s="2920"/>
      <c r="H40" s="2920"/>
      <c r="I40" s="2920" t="s">
        <v>1320</v>
      </c>
      <c r="J40" s="2920"/>
      <c r="K40" s="2920"/>
      <c r="L40" s="2920"/>
      <c r="M40" s="2920"/>
      <c r="N40" s="2921"/>
      <c r="O40" s="820"/>
      <c r="P40" s="536"/>
      <c r="Q40" s="2821"/>
      <c r="R40" s="2821"/>
      <c r="S40" s="2922"/>
      <c r="T40" s="806"/>
      <c r="V40" s="796"/>
      <c r="W40" s="796"/>
      <c r="X40" s="796"/>
      <c r="Y40" s="796"/>
      <c r="Z40" s="796"/>
      <c r="AA40" s="796"/>
      <c r="AD40" s="796"/>
      <c r="AE40" s="8"/>
      <c r="AF40" s="8"/>
      <c r="AG40" s="8"/>
      <c r="AH40" s="8"/>
      <c r="AI40" s="8"/>
      <c r="AJ40" s="8"/>
      <c r="AK40" s="8"/>
      <c r="AL40" s="8"/>
      <c r="AM40" s="8"/>
      <c r="AN40" s="8"/>
      <c r="AO40" s="8"/>
      <c r="AP40" s="8"/>
      <c r="AQ40" s="8"/>
      <c r="AR40" s="8"/>
    </row>
    <row r="41" spans="1:44" s="694" customFormat="1" ht="45" customHeight="1">
      <c r="A41" s="796"/>
      <c r="B41" s="157"/>
      <c r="C41" s="817"/>
      <c r="D41" s="800"/>
      <c r="E41" s="819"/>
      <c r="F41" s="2919" t="s">
        <v>1321</v>
      </c>
      <c r="G41" s="2920"/>
      <c r="H41" s="2920"/>
      <c r="I41" s="2920" t="s">
        <v>1346</v>
      </c>
      <c r="J41" s="2920"/>
      <c r="K41" s="2920"/>
      <c r="L41" s="2920"/>
      <c r="M41" s="2920"/>
      <c r="N41" s="2921"/>
      <c r="O41" s="820"/>
      <c r="P41" s="536"/>
      <c r="Q41" s="2821"/>
      <c r="R41" s="2821"/>
      <c r="S41" s="2922"/>
      <c r="T41" s="806"/>
      <c r="V41" s="796"/>
      <c r="W41" s="796"/>
      <c r="X41" s="796"/>
      <c r="Y41" s="796"/>
      <c r="Z41" s="796"/>
      <c r="AA41" s="796"/>
      <c r="AD41" s="796"/>
      <c r="AE41" s="8"/>
      <c r="AF41" s="8"/>
      <c r="AG41" s="8"/>
      <c r="AH41" s="8"/>
      <c r="AI41" s="8"/>
      <c r="AJ41" s="8"/>
      <c r="AK41" s="8"/>
      <c r="AL41" s="8"/>
      <c r="AM41" s="8"/>
      <c r="AN41" s="8"/>
      <c r="AO41" s="8"/>
      <c r="AP41" s="8"/>
      <c r="AQ41" s="8"/>
      <c r="AR41" s="8"/>
    </row>
    <row r="42" spans="1:44" s="694" customFormat="1" ht="30" customHeight="1">
      <c r="A42" s="796"/>
      <c r="B42" s="157"/>
      <c r="C42" s="817"/>
      <c r="D42" s="800"/>
      <c r="E42" s="819"/>
      <c r="F42" s="2919" t="s">
        <v>1322</v>
      </c>
      <c r="G42" s="2920"/>
      <c r="H42" s="2920"/>
      <c r="I42" s="2920" t="s">
        <v>1347</v>
      </c>
      <c r="J42" s="2920"/>
      <c r="K42" s="2920"/>
      <c r="L42" s="2920"/>
      <c r="M42" s="2920"/>
      <c r="N42" s="2921"/>
      <c r="O42" s="820"/>
      <c r="P42" s="536"/>
      <c r="Q42" s="2821"/>
      <c r="R42" s="2821"/>
      <c r="S42" s="2922"/>
      <c r="T42" s="806"/>
      <c r="V42" s="796"/>
      <c r="W42" s="796"/>
      <c r="X42" s="796"/>
      <c r="Y42" s="796"/>
      <c r="Z42" s="796"/>
      <c r="AA42" s="796"/>
      <c r="AD42" s="796"/>
      <c r="AE42" s="8"/>
      <c r="AF42" s="8"/>
      <c r="AG42" s="8"/>
      <c r="AH42" s="8"/>
      <c r="AI42" s="8"/>
      <c r="AJ42" s="8"/>
      <c r="AK42" s="8"/>
      <c r="AL42" s="8"/>
      <c r="AM42" s="8"/>
      <c r="AN42" s="8"/>
      <c r="AO42" s="8"/>
      <c r="AP42" s="8"/>
      <c r="AQ42" s="8"/>
      <c r="AR42" s="8"/>
    </row>
    <row r="43" spans="1:44" s="694" customFormat="1" ht="30" customHeight="1">
      <c r="A43" s="796"/>
      <c r="B43" s="157"/>
      <c r="C43" s="817"/>
      <c r="D43" s="800"/>
      <c r="E43" s="819"/>
      <c r="F43" s="2919" t="s">
        <v>1323</v>
      </c>
      <c r="G43" s="2920"/>
      <c r="H43" s="2920"/>
      <c r="I43" s="2920" t="s">
        <v>1324</v>
      </c>
      <c r="J43" s="2920"/>
      <c r="K43" s="2920"/>
      <c r="L43" s="2920"/>
      <c r="M43" s="2920"/>
      <c r="N43" s="2921"/>
      <c r="O43" s="820"/>
      <c r="P43" s="536"/>
      <c r="Q43" s="2821"/>
      <c r="R43" s="2821"/>
      <c r="S43" s="2922"/>
      <c r="T43" s="806"/>
      <c r="V43" s="796"/>
      <c r="W43" s="796"/>
      <c r="X43" s="796"/>
      <c r="Y43" s="796"/>
      <c r="Z43" s="796"/>
      <c r="AA43" s="796"/>
      <c r="AD43" s="796"/>
      <c r="AE43" s="8"/>
      <c r="AF43" s="8"/>
      <c r="AG43" s="8"/>
      <c r="AH43" s="8"/>
      <c r="AI43" s="8"/>
      <c r="AJ43" s="8"/>
      <c r="AK43" s="8"/>
      <c r="AL43" s="8"/>
      <c r="AM43" s="8"/>
      <c r="AN43" s="8"/>
      <c r="AO43" s="8"/>
      <c r="AP43" s="8"/>
      <c r="AQ43" s="8"/>
      <c r="AR43" s="8"/>
    </row>
    <row r="44" spans="1:44" s="694" customFormat="1" ht="16.5" customHeight="1">
      <c r="A44" s="796"/>
      <c r="B44" s="157"/>
      <c r="C44" s="817"/>
      <c r="D44" s="800"/>
      <c r="E44" s="819"/>
      <c r="F44" s="2919" t="s">
        <v>1325</v>
      </c>
      <c r="G44" s="2920"/>
      <c r="H44" s="2920"/>
      <c r="I44" s="2920" t="s">
        <v>1326</v>
      </c>
      <c r="J44" s="2920"/>
      <c r="K44" s="2920"/>
      <c r="L44" s="2920"/>
      <c r="M44" s="2920"/>
      <c r="N44" s="2921"/>
      <c r="O44" s="820"/>
      <c r="P44" s="536"/>
      <c r="Q44" s="2821"/>
      <c r="R44" s="2821"/>
      <c r="S44" s="2922"/>
      <c r="T44" s="806"/>
      <c r="V44" s="796"/>
      <c r="W44" s="796"/>
      <c r="X44" s="796"/>
      <c r="Y44" s="796"/>
      <c r="Z44" s="796"/>
      <c r="AA44" s="796"/>
      <c r="AD44" s="796"/>
      <c r="AE44" s="8"/>
      <c r="AF44" s="8"/>
      <c r="AG44" s="8"/>
      <c r="AH44" s="8"/>
      <c r="AI44" s="8"/>
      <c r="AJ44" s="8"/>
      <c r="AK44" s="8"/>
      <c r="AL44" s="8"/>
      <c r="AM44" s="8"/>
      <c r="AN44" s="8"/>
      <c r="AO44" s="8"/>
      <c r="AP44" s="8"/>
      <c r="AQ44" s="8"/>
      <c r="AR44" s="8"/>
    </row>
    <row r="45" spans="1:44" s="694" customFormat="1" ht="30" customHeight="1">
      <c r="A45" s="796"/>
      <c r="B45" s="157"/>
      <c r="C45" s="817"/>
      <c r="D45" s="800"/>
      <c r="E45" s="819"/>
      <c r="F45" s="2919" t="s">
        <v>1327</v>
      </c>
      <c r="G45" s="2920"/>
      <c r="H45" s="2920"/>
      <c r="I45" s="2920" t="s">
        <v>1348</v>
      </c>
      <c r="J45" s="2920"/>
      <c r="K45" s="2920"/>
      <c r="L45" s="2920"/>
      <c r="M45" s="2920"/>
      <c r="N45" s="2921"/>
      <c r="O45" s="820"/>
      <c r="P45" s="536"/>
      <c r="Q45" s="2821"/>
      <c r="R45" s="2821"/>
      <c r="S45" s="2922"/>
      <c r="T45" s="806"/>
      <c r="V45" s="796"/>
      <c r="W45" s="796"/>
      <c r="X45" s="796"/>
      <c r="Y45" s="796"/>
      <c r="Z45" s="796"/>
      <c r="AA45" s="796"/>
      <c r="AD45" s="796"/>
      <c r="AE45" s="8"/>
      <c r="AF45" s="8"/>
      <c r="AG45" s="8"/>
      <c r="AH45" s="8"/>
      <c r="AI45" s="8"/>
      <c r="AJ45" s="8"/>
      <c r="AK45" s="8"/>
      <c r="AL45" s="8"/>
      <c r="AM45" s="8"/>
      <c r="AN45" s="8"/>
      <c r="AO45" s="8"/>
      <c r="AP45" s="8"/>
      <c r="AQ45" s="8"/>
      <c r="AR45" s="8"/>
    </row>
    <row r="46" spans="1:44" s="694" customFormat="1" ht="45" customHeight="1">
      <c r="A46" s="796"/>
      <c r="B46" s="157"/>
      <c r="C46" s="817"/>
      <c r="D46" s="800"/>
      <c r="E46" s="819"/>
      <c r="F46" s="2919" t="s">
        <v>1328</v>
      </c>
      <c r="G46" s="2920"/>
      <c r="H46" s="2920"/>
      <c r="I46" s="2920" t="s">
        <v>1349</v>
      </c>
      <c r="J46" s="2920"/>
      <c r="K46" s="2920"/>
      <c r="L46" s="2920"/>
      <c r="M46" s="2920"/>
      <c r="N46" s="2921"/>
      <c r="O46" s="820"/>
      <c r="P46" s="536"/>
      <c r="Q46" s="2821"/>
      <c r="R46" s="2821"/>
      <c r="S46" s="2922"/>
      <c r="T46" s="806"/>
      <c r="V46" s="796"/>
      <c r="W46" s="796"/>
      <c r="X46" s="796"/>
      <c r="Y46" s="796"/>
      <c r="Z46" s="796"/>
      <c r="AA46" s="796"/>
      <c r="AD46" s="796"/>
      <c r="AE46" s="8"/>
      <c r="AF46" s="8"/>
      <c r="AG46" s="8"/>
      <c r="AH46" s="8"/>
      <c r="AI46" s="8"/>
      <c r="AJ46" s="8"/>
      <c r="AK46" s="8"/>
      <c r="AL46" s="8"/>
      <c r="AM46" s="8"/>
      <c r="AN46" s="8"/>
      <c r="AO46" s="8"/>
      <c r="AP46" s="8"/>
      <c r="AQ46" s="8"/>
      <c r="AR46" s="8"/>
    </row>
    <row r="47" spans="1:44" s="694" customFormat="1" ht="30" customHeight="1">
      <c r="A47" s="796"/>
      <c r="B47" s="157"/>
      <c r="C47" s="817"/>
      <c r="D47" s="800"/>
      <c r="E47" s="819"/>
      <c r="F47" s="2919" t="s">
        <v>1350</v>
      </c>
      <c r="G47" s="2920"/>
      <c r="H47" s="2920"/>
      <c r="I47" s="2920" t="s">
        <v>1351</v>
      </c>
      <c r="J47" s="2920"/>
      <c r="K47" s="2920"/>
      <c r="L47" s="2920"/>
      <c r="M47" s="2920"/>
      <c r="N47" s="2921"/>
      <c r="O47" s="820"/>
      <c r="P47" s="536"/>
      <c r="Q47" s="2821"/>
      <c r="R47" s="2821"/>
      <c r="S47" s="2922"/>
      <c r="T47" s="806"/>
      <c r="V47" s="796"/>
      <c r="W47" s="796"/>
      <c r="X47" s="796"/>
      <c r="Y47" s="796"/>
      <c r="Z47" s="796"/>
      <c r="AA47" s="796"/>
      <c r="AD47" s="796"/>
      <c r="AE47" s="8"/>
      <c r="AF47" s="8"/>
      <c r="AG47" s="8"/>
      <c r="AH47" s="8"/>
      <c r="AI47" s="8"/>
      <c r="AJ47" s="8"/>
      <c r="AK47" s="8"/>
      <c r="AL47" s="8"/>
      <c r="AM47" s="8"/>
      <c r="AN47" s="8"/>
      <c r="AO47" s="8"/>
      <c r="AP47" s="8"/>
      <c r="AQ47" s="8"/>
      <c r="AR47" s="8"/>
    </row>
    <row r="48" spans="1:44" s="694" customFormat="1" ht="30" customHeight="1">
      <c r="A48" s="796"/>
      <c r="B48" s="157"/>
      <c r="C48" s="817"/>
      <c r="D48" s="800"/>
      <c r="E48" s="819"/>
      <c r="F48" s="2919" t="s">
        <v>1352</v>
      </c>
      <c r="G48" s="2920"/>
      <c r="H48" s="2920"/>
      <c r="I48" s="2920" t="s">
        <v>1329</v>
      </c>
      <c r="J48" s="2920"/>
      <c r="K48" s="2920"/>
      <c r="L48" s="2920"/>
      <c r="M48" s="2920"/>
      <c r="N48" s="2921"/>
      <c r="O48" s="820"/>
      <c r="P48" s="536"/>
      <c r="Q48" s="2821"/>
      <c r="R48" s="2821"/>
      <c r="S48" s="2922"/>
      <c r="T48" s="806"/>
      <c r="V48" s="796"/>
      <c r="W48" s="796"/>
      <c r="X48" s="796"/>
      <c r="Y48" s="796"/>
      <c r="Z48" s="796"/>
      <c r="AA48" s="796"/>
      <c r="AD48" s="796"/>
      <c r="AE48" s="8"/>
      <c r="AF48" s="8"/>
      <c r="AG48" s="8"/>
      <c r="AH48" s="8"/>
      <c r="AI48" s="8"/>
      <c r="AJ48" s="8"/>
      <c r="AK48" s="8"/>
      <c r="AL48" s="8"/>
      <c r="AM48" s="8"/>
      <c r="AN48" s="8"/>
      <c r="AO48" s="8"/>
      <c r="AP48" s="8"/>
      <c r="AQ48" s="8"/>
      <c r="AR48" s="8"/>
    </row>
    <row r="49" spans="1:44" s="694" customFormat="1" ht="30" customHeight="1">
      <c r="A49" s="796"/>
      <c r="B49" s="157"/>
      <c r="C49" s="817"/>
      <c r="D49" s="800"/>
      <c r="E49" s="819"/>
      <c r="F49" s="2919" t="s">
        <v>1330</v>
      </c>
      <c r="G49" s="2920"/>
      <c r="H49" s="2920"/>
      <c r="I49" s="2920" t="s">
        <v>1353</v>
      </c>
      <c r="J49" s="2920"/>
      <c r="K49" s="2920"/>
      <c r="L49" s="2920"/>
      <c r="M49" s="2920"/>
      <c r="N49" s="2921"/>
      <c r="O49" s="820"/>
      <c r="P49" s="536"/>
      <c r="Q49" s="2821"/>
      <c r="R49" s="2821"/>
      <c r="S49" s="2922"/>
      <c r="T49" s="806"/>
      <c r="V49" s="796"/>
      <c r="W49" s="796"/>
      <c r="X49" s="796"/>
      <c r="Y49" s="796"/>
      <c r="Z49" s="796"/>
      <c r="AA49" s="796"/>
      <c r="AD49" s="796"/>
      <c r="AE49" s="8"/>
      <c r="AF49" s="8"/>
      <c r="AG49" s="8"/>
      <c r="AH49" s="8"/>
      <c r="AI49" s="8"/>
      <c r="AJ49" s="8"/>
      <c r="AK49" s="8"/>
      <c r="AL49" s="8"/>
      <c r="AM49" s="8"/>
      <c r="AN49" s="8"/>
      <c r="AO49" s="8"/>
      <c r="AP49" s="8"/>
      <c r="AQ49" s="8"/>
      <c r="AR49" s="8"/>
    </row>
    <row r="50" spans="1:44" s="694" customFormat="1" ht="30" customHeight="1">
      <c r="A50" s="796"/>
      <c r="B50" s="157"/>
      <c r="C50" s="817"/>
      <c r="D50" s="800"/>
      <c r="E50" s="819"/>
      <c r="F50" s="2919" t="s">
        <v>1331</v>
      </c>
      <c r="G50" s="2920"/>
      <c r="H50" s="2920"/>
      <c r="I50" s="2920" t="s">
        <v>1332</v>
      </c>
      <c r="J50" s="2920"/>
      <c r="K50" s="2920"/>
      <c r="L50" s="2920"/>
      <c r="M50" s="2920"/>
      <c r="N50" s="2921"/>
      <c r="O50" s="820"/>
      <c r="P50" s="536"/>
      <c r="Q50" s="2821"/>
      <c r="R50" s="2821"/>
      <c r="S50" s="2922"/>
      <c r="T50" s="806"/>
      <c r="V50" s="796"/>
      <c r="W50" s="796"/>
      <c r="X50" s="796"/>
      <c r="Y50" s="796"/>
      <c r="Z50" s="796"/>
      <c r="AA50" s="796"/>
      <c r="AD50" s="796"/>
      <c r="AE50" s="8"/>
      <c r="AF50" s="8"/>
      <c r="AG50" s="8"/>
      <c r="AH50" s="8"/>
      <c r="AI50" s="8"/>
      <c r="AJ50" s="8"/>
      <c r="AK50" s="8"/>
      <c r="AL50" s="8"/>
      <c r="AM50" s="8"/>
      <c r="AN50" s="8"/>
      <c r="AO50" s="8"/>
      <c r="AP50" s="8"/>
      <c r="AQ50" s="8"/>
      <c r="AR50" s="8"/>
    </row>
    <row r="51" spans="1:44" s="694" customFormat="1" ht="30" customHeight="1" thickBot="1">
      <c r="A51" s="796"/>
      <c r="B51" s="157"/>
      <c r="C51" s="817"/>
      <c r="D51" s="799"/>
      <c r="E51" s="821"/>
      <c r="F51" s="2923" t="s">
        <v>1333</v>
      </c>
      <c r="G51" s="2924"/>
      <c r="H51" s="2924"/>
      <c r="I51" s="2924" t="s">
        <v>1334</v>
      </c>
      <c r="J51" s="2924"/>
      <c r="K51" s="2924"/>
      <c r="L51" s="2924"/>
      <c r="M51" s="2924"/>
      <c r="N51" s="2925"/>
      <c r="O51" s="822"/>
      <c r="P51" s="373"/>
      <c r="Q51" s="2926"/>
      <c r="R51" s="2926"/>
      <c r="S51" s="2927"/>
      <c r="T51" s="806"/>
      <c r="V51" s="796"/>
      <c r="W51" s="796"/>
      <c r="X51" s="796"/>
      <c r="Y51" s="796"/>
      <c r="Z51" s="796"/>
      <c r="AA51" s="796"/>
      <c r="AD51" s="796"/>
      <c r="AE51" s="8"/>
      <c r="AF51" s="8"/>
      <c r="AG51" s="8"/>
      <c r="AH51" s="8"/>
      <c r="AI51" s="8"/>
      <c r="AJ51" s="8"/>
      <c r="AK51" s="8"/>
      <c r="AL51" s="8"/>
      <c r="AM51" s="8"/>
      <c r="AN51" s="8"/>
      <c r="AO51" s="8"/>
      <c r="AP51" s="8"/>
      <c r="AQ51" s="8"/>
      <c r="AR51" s="8"/>
    </row>
    <row r="52" spans="1:44" ht="75" customHeight="1">
      <c r="C52" s="2900" t="s">
        <v>2341</v>
      </c>
      <c r="D52" s="2901"/>
      <c r="E52" s="823"/>
      <c r="F52" s="2917" t="s">
        <v>2308</v>
      </c>
      <c r="G52" s="2918"/>
      <c r="H52" s="2918"/>
      <c r="I52" s="2918"/>
      <c r="J52" s="2918"/>
      <c r="K52" s="2918"/>
      <c r="L52" s="2918"/>
      <c r="M52" s="2918"/>
      <c r="N52" s="2918"/>
      <c r="O52" s="824" t="s">
        <v>3</v>
      </c>
      <c r="P52" s="925"/>
      <c r="Q52" s="2902"/>
      <c r="R52" s="2903"/>
      <c r="S52" s="2903"/>
      <c r="T52" s="828" t="s">
        <v>18</v>
      </c>
    </row>
    <row r="53" spans="1:44" ht="90" customHeight="1">
      <c r="C53" s="2904" t="s">
        <v>2342</v>
      </c>
      <c r="D53" s="2905"/>
      <c r="E53" s="152"/>
      <c r="F53" s="2916" t="s">
        <v>2310</v>
      </c>
      <c r="G53" s="2916"/>
      <c r="H53" s="2916"/>
      <c r="I53" s="2916"/>
      <c r="J53" s="2916"/>
      <c r="K53" s="2916"/>
      <c r="L53" s="2916"/>
      <c r="M53" s="2916"/>
      <c r="N53" s="2916"/>
      <c r="O53" s="794" t="s">
        <v>3</v>
      </c>
      <c r="P53" s="728"/>
      <c r="Q53" s="2906"/>
      <c r="R53" s="2907"/>
      <c r="S53" s="2907"/>
      <c r="T53" s="791" t="s">
        <v>18</v>
      </c>
    </row>
    <row r="54" spans="1:44" ht="47.25" customHeight="1">
      <c r="C54" s="2910" t="s">
        <v>2343</v>
      </c>
      <c r="D54" s="2905"/>
      <c r="E54" s="151"/>
      <c r="F54" s="2914" t="s">
        <v>2312</v>
      </c>
      <c r="G54" s="2914"/>
      <c r="H54" s="2914"/>
      <c r="I54" s="2914"/>
      <c r="J54" s="2914"/>
      <c r="K54" s="2914"/>
      <c r="L54" s="2914"/>
      <c r="M54" s="2914"/>
      <c r="N54" s="2914"/>
      <c r="O54" s="181" t="s">
        <v>3</v>
      </c>
      <c r="P54" s="1920"/>
      <c r="Q54" s="2908"/>
      <c r="R54" s="2909"/>
      <c r="S54" s="2909"/>
      <c r="T54" s="829" t="s">
        <v>18</v>
      </c>
    </row>
    <row r="55" spans="1:44" s="694" customFormat="1" ht="52.5" customHeight="1">
      <c r="A55" s="796"/>
      <c r="B55" s="1143" t="str">
        <f>IF(OR(startHVAC1="Boiler",startHVAC2="Boiler",startHVAC3="Boiler",startHVAC1=""),"","x")</f>
        <v/>
      </c>
      <c r="C55" s="2910" t="s">
        <v>2344</v>
      </c>
      <c r="D55" s="2905"/>
      <c r="E55" s="825"/>
      <c r="F55" s="2915" t="s">
        <v>2314</v>
      </c>
      <c r="G55" s="2915"/>
      <c r="H55" s="2915"/>
      <c r="I55" s="2915"/>
      <c r="J55" s="2915"/>
      <c r="K55" s="2915"/>
      <c r="L55" s="2915"/>
      <c r="M55" s="2915"/>
      <c r="N55" s="2915"/>
      <c r="O55" s="700" t="s">
        <v>3</v>
      </c>
      <c r="P55" s="1921"/>
      <c r="Q55" s="2911"/>
      <c r="R55" s="2912"/>
      <c r="S55" s="2912"/>
      <c r="T55" s="830" t="s">
        <v>18</v>
      </c>
      <c r="V55" s="796"/>
      <c r="W55" s="796"/>
      <c r="X55" s="796"/>
      <c r="Y55" s="796"/>
      <c r="Z55" s="796"/>
      <c r="AA55" s="796"/>
      <c r="AD55" s="796"/>
      <c r="AE55" s="8"/>
      <c r="AF55" s="8"/>
      <c r="AG55" s="8"/>
      <c r="AH55" s="8"/>
      <c r="AI55" s="8"/>
      <c r="AJ55" s="8"/>
      <c r="AK55" s="8"/>
      <c r="AL55" s="8"/>
      <c r="AM55" s="8"/>
      <c r="AN55" s="8"/>
      <c r="AO55" s="8"/>
      <c r="AP55" s="8"/>
      <c r="AQ55" s="8"/>
      <c r="AR55" s="8"/>
    </row>
    <row r="56" spans="1:44">
      <c r="C56" s="2913" t="s">
        <v>2345</v>
      </c>
      <c r="D56" s="2913"/>
      <c r="E56" s="2913"/>
      <c r="F56" s="2913"/>
      <c r="G56" s="2913"/>
      <c r="H56" s="2913"/>
      <c r="I56" s="2913"/>
      <c r="J56" s="2913"/>
      <c r="K56" s="2913"/>
      <c r="L56" s="2913"/>
      <c r="M56" s="2913"/>
      <c r="N56" s="2913"/>
      <c r="O56" s="2913"/>
      <c r="P56" s="2913"/>
      <c r="Q56" s="2913"/>
      <c r="R56" s="2913"/>
      <c r="S56" s="2913"/>
      <c r="T56" s="2913"/>
    </row>
    <row r="57" spans="1:44" s="796" customFormat="1" ht="171" customHeight="1">
      <c r="B57" s="157"/>
      <c r="C57" s="2898" t="s">
        <v>2328</v>
      </c>
      <c r="D57" s="2899"/>
      <c r="E57" s="2899"/>
      <c r="F57" s="2899"/>
      <c r="G57" s="2899"/>
      <c r="H57" s="2899"/>
      <c r="I57" s="2899"/>
      <c r="J57" s="2899"/>
      <c r="K57" s="2899"/>
      <c r="L57" s="2899"/>
      <c r="M57" s="2899"/>
      <c r="N57" s="2899"/>
      <c r="O57" s="2899"/>
      <c r="P57" s="2899"/>
      <c r="Q57" s="2899"/>
      <c r="R57" s="2899"/>
      <c r="S57" s="2899"/>
      <c r="T57" s="2899"/>
      <c r="U57" s="23"/>
      <c r="V57" s="23"/>
      <c r="AE57" s="8"/>
      <c r="AF57" s="8"/>
      <c r="AG57" s="8"/>
      <c r="AH57" s="8"/>
      <c r="AI57" s="8"/>
      <c r="AJ57" s="8"/>
      <c r="AK57" s="8"/>
      <c r="AL57" s="8"/>
      <c r="AM57" s="8"/>
      <c r="AN57" s="8"/>
      <c r="AO57" s="8"/>
      <c r="AP57" s="8"/>
      <c r="AQ57" s="8"/>
      <c r="AR57" s="8"/>
    </row>
    <row r="58" spans="1:44" s="796" customFormat="1">
      <c r="B58" s="157"/>
      <c r="C58" s="2963" t="s">
        <v>2324</v>
      </c>
      <c r="D58" s="2964"/>
      <c r="E58" s="2964"/>
      <c r="F58" s="2964"/>
      <c r="G58" s="2964"/>
      <c r="H58" s="2964"/>
      <c r="I58" s="2964"/>
      <c r="J58" s="2964"/>
      <c r="K58" s="2964"/>
      <c r="L58" s="2964"/>
      <c r="M58" s="2964"/>
      <c r="N58" s="2964"/>
      <c r="O58" s="2964"/>
      <c r="P58" s="2033"/>
      <c r="Q58" s="1922"/>
      <c r="R58" s="1922"/>
      <c r="S58" s="1922"/>
      <c r="T58" s="1922"/>
      <c r="U58" s="23"/>
      <c r="V58" s="23"/>
      <c r="AE58" s="8"/>
      <c r="AF58" s="8"/>
      <c r="AG58" s="8"/>
      <c r="AH58" s="8"/>
      <c r="AI58" s="8"/>
      <c r="AJ58" s="8"/>
      <c r="AK58" s="8"/>
      <c r="AL58" s="8"/>
      <c r="AM58" s="8"/>
      <c r="AN58" s="8"/>
      <c r="AO58" s="8"/>
      <c r="AP58" s="8"/>
      <c r="AQ58" s="8"/>
      <c r="AR58" s="8"/>
    </row>
    <row r="59" spans="1:44" s="796" customFormat="1">
      <c r="B59" s="157"/>
      <c r="C59" s="1922"/>
      <c r="D59" s="1922"/>
      <c r="E59" s="1922"/>
      <c r="F59" s="1922"/>
      <c r="G59" s="1922"/>
      <c r="H59" s="1922"/>
      <c r="I59" s="1922"/>
      <c r="J59" s="1922"/>
      <c r="K59" s="1922"/>
      <c r="L59" s="1922"/>
      <c r="M59" s="1922"/>
      <c r="N59" s="1922"/>
      <c r="O59" s="1922"/>
      <c r="P59" s="1922"/>
      <c r="Q59" s="1922"/>
      <c r="R59" s="1922"/>
      <c r="S59" s="1922"/>
      <c r="T59" s="1922"/>
      <c r="U59" s="23"/>
      <c r="V59" s="23"/>
      <c r="AE59" s="8"/>
      <c r="AF59" s="8"/>
      <c r="AG59" s="8"/>
      <c r="AH59" s="8"/>
      <c r="AI59" s="8"/>
      <c r="AJ59" s="8"/>
      <c r="AK59" s="8"/>
      <c r="AL59" s="8"/>
      <c r="AM59" s="8"/>
      <c r="AN59" s="8"/>
      <c r="AO59" s="8"/>
      <c r="AP59" s="8"/>
      <c r="AQ59" s="8"/>
      <c r="AR59" s="8"/>
    </row>
    <row r="60" spans="1:44" s="796" customFormat="1">
      <c r="B60" s="157"/>
      <c r="C60" s="2965" t="s">
        <v>2325</v>
      </c>
      <c r="D60" s="2966"/>
      <c r="E60" s="2966"/>
      <c r="F60" s="2966"/>
      <c r="G60" s="2966"/>
      <c r="H60" s="2966"/>
      <c r="I60" s="2966"/>
      <c r="J60" s="2966"/>
      <c r="K60" s="2966"/>
      <c r="L60" s="2966"/>
      <c r="M60" s="2966"/>
      <c r="N60" s="2966"/>
      <c r="O60" s="2966"/>
      <c r="P60" s="1922"/>
      <c r="Q60" s="1922"/>
      <c r="R60" s="1922"/>
      <c r="S60" s="1922"/>
      <c r="T60" s="1922"/>
      <c r="U60" s="23"/>
      <c r="V60" s="23"/>
      <c r="AE60" s="8"/>
      <c r="AF60" s="8"/>
      <c r="AG60" s="8"/>
      <c r="AH60" s="8"/>
      <c r="AI60" s="8"/>
      <c r="AJ60" s="8"/>
      <c r="AK60" s="8"/>
      <c r="AL60" s="8"/>
      <c r="AM60" s="8"/>
      <c r="AN60" s="8"/>
      <c r="AO60" s="8"/>
      <c r="AP60" s="8"/>
      <c r="AQ60" s="8"/>
      <c r="AR60" s="8"/>
    </row>
    <row r="61" spans="1:44" s="796" customFormat="1">
      <c r="B61" s="157"/>
      <c r="C61" s="1922"/>
      <c r="D61" s="2960" t="s">
        <v>2316</v>
      </c>
      <c r="E61" s="2961"/>
      <c r="F61" s="2961"/>
      <c r="G61" s="2961"/>
      <c r="H61" s="2961"/>
      <c r="I61" s="2961"/>
      <c r="J61" s="2961"/>
      <c r="K61" s="2961"/>
      <c r="L61" s="2961"/>
      <c r="M61" s="2961"/>
      <c r="N61" s="2961"/>
      <c r="O61" s="2961"/>
      <c r="P61" s="1997"/>
      <c r="Q61" s="1922"/>
      <c r="R61" s="1922"/>
      <c r="S61" s="1922"/>
      <c r="T61" s="1922"/>
      <c r="U61" s="23"/>
      <c r="V61" s="23"/>
      <c r="AE61" s="8"/>
      <c r="AF61" s="8"/>
      <c r="AG61" s="8"/>
      <c r="AH61" s="8"/>
      <c r="AI61" s="8"/>
      <c r="AJ61" s="8"/>
      <c r="AK61" s="8"/>
      <c r="AL61" s="8"/>
      <c r="AM61" s="8"/>
      <c r="AN61" s="8"/>
      <c r="AO61" s="8"/>
      <c r="AP61" s="8"/>
      <c r="AQ61" s="8"/>
      <c r="AR61" s="8"/>
    </row>
    <row r="62" spans="1:44" s="796" customFormat="1">
      <c r="B62" s="157"/>
      <c r="C62" s="1922"/>
      <c r="D62" s="2960" t="s">
        <v>2317</v>
      </c>
      <c r="E62" s="2961"/>
      <c r="F62" s="2961"/>
      <c r="G62" s="2961"/>
      <c r="H62" s="2961"/>
      <c r="I62" s="2961"/>
      <c r="J62" s="2961"/>
      <c r="K62" s="2961"/>
      <c r="L62" s="2961"/>
      <c r="M62" s="2961"/>
      <c r="N62" s="2961"/>
      <c r="O62" s="2961"/>
      <c r="P62" s="1997"/>
      <c r="Q62" s="1922"/>
      <c r="R62" s="1922"/>
      <c r="S62" s="1922"/>
      <c r="T62" s="1922"/>
      <c r="U62" s="23"/>
      <c r="V62" s="23"/>
      <c r="AE62" s="8"/>
      <c r="AF62" s="8"/>
      <c r="AG62" s="8"/>
      <c r="AH62" s="8"/>
      <c r="AI62" s="8"/>
      <c r="AJ62" s="8"/>
      <c r="AK62" s="8"/>
      <c r="AL62" s="8"/>
      <c r="AM62" s="8"/>
      <c r="AN62" s="8"/>
      <c r="AO62" s="8"/>
      <c r="AP62" s="8"/>
      <c r="AQ62" s="8"/>
      <c r="AR62" s="8"/>
    </row>
    <row r="63" spans="1:44" s="796" customFormat="1">
      <c r="B63" s="157"/>
      <c r="C63" s="1922"/>
      <c r="D63" s="2960" t="s">
        <v>2318</v>
      </c>
      <c r="E63" s="2961"/>
      <c r="F63" s="2961"/>
      <c r="G63" s="2961"/>
      <c r="H63" s="2961"/>
      <c r="I63" s="2961"/>
      <c r="J63" s="2961"/>
      <c r="K63" s="2961"/>
      <c r="L63" s="2961"/>
      <c r="M63" s="2961"/>
      <c r="N63" s="2961"/>
      <c r="O63" s="2961"/>
      <c r="P63" s="1997"/>
      <c r="Q63" s="1922"/>
      <c r="R63" s="1922"/>
      <c r="S63" s="1922"/>
      <c r="T63" s="1922"/>
      <c r="U63" s="23"/>
      <c r="V63" s="23"/>
      <c r="AE63" s="8"/>
      <c r="AF63" s="8"/>
      <c r="AG63" s="8"/>
      <c r="AH63" s="8"/>
      <c r="AI63" s="8"/>
      <c r="AJ63" s="8"/>
      <c r="AK63" s="8"/>
      <c r="AL63" s="8"/>
      <c r="AM63" s="8"/>
      <c r="AN63" s="8"/>
      <c r="AO63" s="8"/>
      <c r="AP63" s="8"/>
      <c r="AQ63" s="8"/>
      <c r="AR63" s="8"/>
    </row>
    <row r="64" spans="1:44" s="796" customFormat="1">
      <c r="B64" s="157"/>
      <c r="C64" s="1922"/>
      <c r="D64" s="2960" t="s">
        <v>2319</v>
      </c>
      <c r="E64" s="2961"/>
      <c r="F64" s="2961"/>
      <c r="G64" s="2961"/>
      <c r="H64" s="2961"/>
      <c r="I64" s="2961"/>
      <c r="J64" s="2961"/>
      <c r="K64" s="2961"/>
      <c r="L64" s="2961"/>
      <c r="M64" s="2961"/>
      <c r="N64" s="2961"/>
      <c r="O64" s="2961"/>
      <c r="P64" s="1997"/>
      <c r="Q64" s="1922"/>
      <c r="R64" s="1922"/>
      <c r="S64" s="1922"/>
      <c r="T64" s="1922"/>
      <c r="U64" s="23"/>
      <c r="V64" s="23"/>
      <c r="AE64" s="8"/>
      <c r="AF64" s="8"/>
      <c r="AG64" s="8"/>
      <c r="AH64" s="8"/>
      <c r="AI64" s="8"/>
      <c r="AJ64" s="8"/>
      <c r="AK64" s="8"/>
      <c r="AL64" s="8"/>
      <c r="AM64" s="8"/>
      <c r="AN64" s="8"/>
      <c r="AO64" s="8"/>
      <c r="AP64" s="8"/>
      <c r="AQ64" s="8"/>
      <c r="AR64" s="8"/>
    </row>
    <row r="65" spans="2:44" s="796" customFormat="1">
      <c r="B65" s="157"/>
      <c r="C65" s="1922"/>
      <c r="D65" s="2960" t="s">
        <v>2320</v>
      </c>
      <c r="E65" s="2961"/>
      <c r="F65" s="2961"/>
      <c r="G65" s="2961"/>
      <c r="H65" s="2961"/>
      <c r="I65" s="2961"/>
      <c r="J65" s="2961"/>
      <c r="K65" s="2961"/>
      <c r="L65" s="2961"/>
      <c r="M65" s="2961"/>
      <c r="N65" s="2961"/>
      <c r="O65" s="2961"/>
      <c r="P65" s="1997"/>
      <c r="Q65" s="1922"/>
      <c r="R65" s="1922"/>
      <c r="S65" s="1922"/>
      <c r="T65" s="1922"/>
      <c r="U65" s="23"/>
      <c r="V65" s="23"/>
      <c r="AE65" s="8"/>
      <c r="AF65" s="8"/>
      <c r="AG65" s="8"/>
      <c r="AH65" s="8"/>
      <c r="AI65" s="8"/>
      <c r="AJ65" s="8"/>
      <c r="AK65" s="8"/>
      <c r="AL65" s="8"/>
      <c r="AM65" s="8"/>
      <c r="AN65" s="8"/>
      <c r="AO65" s="8"/>
      <c r="AP65" s="8"/>
      <c r="AQ65" s="8"/>
      <c r="AR65" s="8"/>
    </row>
    <row r="66" spans="2:44" s="796" customFormat="1">
      <c r="B66" s="157"/>
      <c r="C66" s="1922"/>
      <c r="D66" s="2960" t="s">
        <v>2321</v>
      </c>
      <c r="E66" s="2961"/>
      <c r="F66" s="2961"/>
      <c r="G66" s="2961"/>
      <c r="H66" s="2961"/>
      <c r="I66" s="2961"/>
      <c r="J66" s="2961"/>
      <c r="K66" s="2961"/>
      <c r="L66" s="2961"/>
      <c r="M66" s="2961"/>
      <c r="N66" s="2961"/>
      <c r="O66" s="2961"/>
      <c r="P66" s="1997"/>
      <c r="Q66" s="1922"/>
      <c r="R66" s="1922"/>
      <c r="S66" s="1922"/>
      <c r="T66" s="1922"/>
      <c r="AE66" s="8"/>
      <c r="AF66" s="8"/>
      <c r="AG66" s="8"/>
      <c r="AH66" s="8"/>
      <c r="AI66" s="8"/>
      <c r="AJ66" s="8"/>
      <c r="AK66" s="8"/>
      <c r="AL66" s="8"/>
      <c r="AM66" s="8"/>
      <c r="AN66" s="8"/>
      <c r="AO66" s="8"/>
      <c r="AP66" s="8"/>
      <c r="AQ66" s="8"/>
      <c r="AR66" s="8"/>
    </row>
    <row r="67" spans="2:44" s="796" customFormat="1" ht="16">
      <c r="B67" s="157"/>
      <c r="C67" s="1922"/>
      <c r="D67" s="1923"/>
      <c r="E67" s="1924"/>
      <c r="F67" s="1924"/>
      <c r="G67" s="1924"/>
      <c r="H67" s="1924"/>
      <c r="I67" s="1924"/>
      <c r="J67" s="1924"/>
      <c r="K67" s="1924"/>
      <c r="L67" s="1924"/>
      <c r="M67" s="1924"/>
      <c r="N67" s="1924"/>
      <c r="O67" s="1993" t="s">
        <v>2515</v>
      </c>
      <c r="P67" s="1935">
        <f>SUM(P61:P66)</f>
        <v>0</v>
      </c>
      <c r="Q67" s="1922"/>
      <c r="R67" s="2048" t="s">
        <v>2611</v>
      </c>
      <c r="S67" s="2056" t="str">
        <f>IF(BeforeFT2&gt;0,BeforeTotal/BeforeFT2,"")</f>
        <v/>
      </c>
      <c r="T67" s="1922"/>
      <c r="AE67" s="8"/>
      <c r="AF67" s="8"/>
      <c r="AG67" s="8"/>
      <c r="AH67" s="8"/>
      <c r="AI67" s="8"/>
      <c r="AJ67" s="8"/>
      <c r="AK67" s="8"/>
      <c r="AL67" s="8"/>
      <c r="AM67" s="8"/>
      <c r="AN67" s="8"/>
      <c r="AO67" s="8"/>
      <c r="AP67" s="8"/>
      <c r="AQ67" s="8"/>
      <c r="AR67" s="8"/>
    </row>
    <row r="68" spans="2:44" s="796" customFormat="1">
      <c r="B68" s="157"/>
      <c r="C68" s="1922"/>
      <c r="D68" s="1923"/>
      <c r="E68" s="1924"/>
      <c r="F68" s="1924"/>
      <c r="G68" s="1924"/>
      <c r="H68" s="1924"/>
      <c r="I68" s="1924"/>
      <c r="J68" s="1924"/>
      <c r="K68" s="1924"/>
      <c r="L68" s="1924"/>
      <c r="M68" s="1924"/>
      <c r="N68" s="1924"/>
      <c r="O68" s="1924"/>
      <c r="P68" s="1928"/>
      <c r="Q68" s="1922"/>
      <c r="R68" s="1922"/>
      <c r="S68" s="1922"/>
      <c r="T68" s="1922"/>
      <c r="AE68" s="8"/>
      <c r="AF68" s="8"/>
      <c r="AG68" s="8"/>
      <c r="AH68" s="8"/>
      <c r="AI68" s="8"/>
      <c r="AJ68" s="8"/>
      <c r="AK68" s="8"/>
      <c r="AL68" s="8"/>
      <c r="AM68" s="8"/>
      <c r="AN68" s="8"/>
      <c r="AO68" s="8"/>
      <c r="AP68" s="8"/>
      <c r="AQ68" s="8"/>
      <c r="AR68" s="8"/>
    </row>
    <row r="69" spans="2:44" s="796" customFormat="1">
      <c r="B69" s="157"/>
      <c r="C69" s="1922"/>
      <c r="D69" s="1923"/>
      <c r="E69" s="1924"/>
      <c r="F69" s="1924"/>
      <c r="G69" s="1924"/>
      <c r="H69" s="1924"/>
      <c r="I69" s="1924"/>
      <c r="J69" s="1924"/>
      <c r="K69" s="1924"/>
      <c r="L69" s="1924"/>
      <c r="M69" s="1924"/>
      <c r="N69" s="1924"/>
      <c r="O69" s="1924"/>
      <c r="P69" s="1928"/>
      <c r="Q69" s="1922"/>
      <c r="R69" s="1922"/>
      <c r="S69" s="1922"/>
      <c r="T69" s="1922"/>
      <c r="AE69" s="8"/>
      <c r="AF69" s="8"/>
      <c r="AG69" s="8"/>
      <c r="AH69" s="8"/>
      <c r="AI69" s="8"/>
      <c r="AJ69" s="8"/>
      <c r="AK69" s="8"/>
      <c r="AL69" s="8"/>
      <c r="AM69" s="8"/>
      <c r="AN69" s="8"/>
      <c r="AO69" s="8"/>
      <c r="AP69" s="8"/>
      <c r="AQ69" s="8"/>
      <c r="AR69" s="8"/>
    </row>
    <row r="70" spans="2:44" s="796" customFormat="1">
      <c r="B70" s="157"/>
      <c r="C70" s="2963" t="s">
        <v>2323</v>
      </c>
      <c r="D70" s="2964"/>
      <c r="E70" s="2964"/>
      <c r="F70" s="2964"/>
      <c r="G70" s="2964"/>
      <c r="H70" s="2964"/>
      <c r="I70" s="2964"/>
      <c r="J70" s="2964"/>
      <c r="K70" s="2964"/>
      <c r="L70" s="2964"/>
      <c r="M70" s="2964"/>
      <c r="N70" s="2964"/>
      <c r="O70" s="2964"/>
      <c r="P70" s="1996"/>
      <c r="Q70"/>
      <c r="R70" s="1926"/>
      <c r="S70" s="1926"/>
      <c r="T70" s="1926"/>
      <c r="AE70" s="8"/>
      <c r="AF70" s="8"/>
      <c r="AG70" s="8"/>
      <c r="AH70" s="8"/>
      <c r="AI70" s="8"/>
      <c r="AJ70" s="8"/>
      <c r="AK70" s="8"/>
      <c r="AL70" s="8"/>
      <c r="AM70" s="8"/>
      <c r="AN70" s="8"/>
      <c r="AO70" s="8"/>
      <c r="AP70" s="8"/>
      <c r="AQ70" s="8"/>
      <c r="AR70" s="8"/>
    </row>
    <row r="71" spans="2:44" s="796" customFormat="1">
      <c r="B71" s="157"/>
      <c r="C71" s="1922"/>
      <c r="D71" s="1923"/>
      <c r="E71" s="1924"/>
      <c r="F71" s="1924"/>
      <c r="G71" s="1924"/>
      <c r="H71" s="1924"/>
      <c r="I71" s="1924"/>
      <c r="J71" s="1924"/>
      <c r="K71" s="1924"/>
      <c r="L71" s="1924"/>
      <c r="M71" s="1924"/>
      <c r="N71" s="1924"/>
      <c r="O71" s="1924"/>
      <c r="P71" s="1928"/>
      <c r="Q71"/>
      <c r="R71" s="1926"/>
      <c r="S71" s="1926"/>
      <c r="T71" s="1926"/>
      <c r="AE71" s="8"/>
      <c r="AF71" s="8"/>
      <c r="AG71" s="8"/>
      <c r="AH71" s="8"/>
      <c r="AI71" s="8"/>
      <c r="AJ71" s="8"/>
      <c r="AK71" s="8"/>
      <c r="AL71" s="8"/>
      <c r="AM71" s="8"/>
      <c r="AN71" s="8"/>
      <c r="AO71" s="8"/>
      <c r="AP71" s="8"/>
      <c r="AQ71" s="8"/>
      <c r="AR71" s="8"/>
    </row>
    <row r="72" spans="2:44" s="796" customFormat="1">
      <c r="B72" s="157"/>
      <c r="C72" s="2965" t="s">
        <v>2326</v>
      </c>
      <c r="D72" s="2966"/>
      <c r="E72" s="2966"/>
      <c r="F72" s="2966"/>
      <c r="G72" s="2966"/>
      <c r="H72" s="2966"/>
      <c r="I72" s="2966"/>
      <c r="J72" s="2966"/>
      <c r="K72" s="2966"/>
      <c r="L72" s="2966"/>
      <c r="M72" s="2966"/>
      <c r="N72" s="2966"/>
      <c r="O72" s="2966"/>
      <c r="P72" s="1928"/>
      <c r="Q72" s="1926"/>
      <c r="R72" s="1926"/>
      <c r="S72" s="1926"/>
      <c r="T72" s="1926"/>
      <c r="AE72" s="8"/>
      <c r="AF72" s="8"/>
      <c r="AG72" s="8"/>
      <c r="AH72" s="8"/>
      <c r="AI72" s="8"/>
      <c r="AJ72" s="8"/>
      <c r="AK72" s="8"/>
      <c r="AL72" s="8"/>
      <c r="AM72" s="8"/>
      <c r="AN72" s="8"/>
      <c r="AO72" s="8"/>
      <c r="AP72" s="8"/>
      <c r="AQ72" s="8"/>
      <c r="AR72" s="8"/>
    </row>
    <row r="73" spans="2:44" s="796" customFormat="1" ht="15" customHeight="1">
      <c r="B73" s="157"/>
      <c r="C73" s="1922"/>
      <c r="D73" s="2960" t="s">
        <v>2316</v>
      </c>
      <c r="E73" s="2961"/>
      <c r="F73" s="2961"/>
      <c r="G73" s="2961"/>
      <c r="H73" s="2961"/>
      <c r="I73" s="2961"/>
      <c r="J73" s="2961"/>
      <c r="K73" s="2961"/>
      <c r="L73" s="2961"/>
      <c r="M73" s="2961"/>
      <c r="N73" s="2961"/>
      <c r="O73" s="2961"/>
      <c r="P73" s="1997"/>
      <c r="Q73" s="77"/>
      <c r="R73" s="1926"/>
      <c r="S73" s="1926"/>
      <c r="T73" s="1926"/>
      <c r="AE73" s="8"/>
      <c r="AF73" s="8"/>
      <c r="AG73" s="8"/>
      <c r="AH73" s="8"/>
      <c r="AI73" s="8"/>
      <c r="AJ73" s="8"/>
      <c r="AK73" s="8"/>
      <c r="AL73" s="8"/>
      <c r="AM73" s="8"/>
      <c r="AN73" s="8"/>
      <c r="AO73" s="8"/>
      <c r="AP73" s="8"/>
      <c r="AQ73" s="8"/>
      <c r="AR73" s="8"/>
    </row>
    <row r="74" spans="2:44" s="796" customFormat="1" ht="15" customHeight="1">
      <c r="B74" s="157"/>
      <c r="C74" s="1922"/>
      <c r="D74" s="2960" t="s">
        <v>2317</v>
      </c>
      <c r="E74" s="2961"/>
      <c r="F74" s="2961"/>
      <c r="G74" s="2961"/>
      <c r="H74" s="2961"/>
      <c r="I74" s="2961"/>
      <c r="J74" s="2961"/>
      <c r="K74" s="2961"/>
      <c r="L74" s="2961"/>
      <c r="M74" s="2961"/>
      <c r="N74" s="2961"/>
      <c r="O74" s="2961"/>
      <c r="P74" s="1997"/>
      <c r="Q74" s="77"/>
      <c r="R74" s="1926"/>
      <c r="S74" s="1926"/>
      <c r="T74" s="1926"/>
      <c r="AE74" s="8"/>
      <c r="AF74" s="8"/>
      <c r="AG74" s="8"/>
      <c r="AH74" s="8"/>
      <c r="AI74" s="8"/>
      <c r="AJ74" s="8"/>
      <c r="AK74" s="8"/>
      <c r="AL74" s="8"/>
      <c r="AM74" s="8"/>
      <c r="AN74" s="8"/>
      <c r="AO74" s="8"/>
      <c r="AP74" s="8"/>
      <c r="AQ74" s="8"/>
      <c r="AR74" s="8"/>
    </row>
    <row r="75" spans="2:44" s="796" customFormat="1" ht="15" customHeight="1">
      <c r="B75" s="157"/>
      <c r="C75" s="1922"/>
      <c r="D75" s="2960" t="s">
        <v>2318</v>
      </c>
      <c r="E75" s="2961"/>
      <c r="F75" s="2961"/>
      <c r="G75" s="2961"/>
      <c r="H75" s="2961"/>
      <c r="I75" s="2961"/>
      <c r="J75" s="2961"/>
      <c r="K75" s="2961"/>
      <c r="L75" s="2961"/>
      <c r="M75" s="2961"/>
      <c r="N75" s="2961"/>
      <c r="O75" s="2961"/>
      <c r="P75" s="1997"/>
      <c r="Q75" s="1927"/>
      <c r="R75" s="1926"/>
      <c r="S75" s="1926"/>
      <c r="T75" s="1926"/>
      <c r="AE75" s="8"/>
      <c r="AF75" s="8"/>
      <c r="AG75" s="8"/>
      <c r="AH75" s="8"/>
      <c r="AI75" s="8"/>
      <c r="AJ75" s="8"/>
      <c r="AK75" s="8"/>
      <c r="AL75" s="8"/>
      <c r="AM75" s="8"/>
      <c r="AN75" s="8"/>
      <c r="AO75" s="8"/>
      <c r="AP75" s="8"/>
      <c r="AQ75" s="8"/>
      <c r="AR75" s="8"/>
    </row>
    <row r="76" spans="2:44" s="796" customFormat="1" ht="15" customHeight="1">
      <c r="B76" s="157"/>
      <c r="C76" s="1922"/>
      <c r="D76" s="2960" t="s">
        <v>2319</v>
      </c>
      <c r="E76" s="2961"/>
      <c r="F76" s="2961"/>
      <c r="G76" s="2961"/>
      <c r="H76" s="2961"/>
      <c r="I76" s="2961"/>
      <c r="J76" s="2961"/>
      <c r="K76" s="2961"/>
      <c r="L76" s="2961"/>
      <c r="M76" s="2961"/>
      <c r="N76" s="2961"/>
      <c r="O76" s="2961"/>
      <c r="P76" s="1997"/>
      <c r="Q76" s="1926"/>
      <c r="R76" s="1926"/>
      <c r="S76" s="1926"/>
      <c r="T76" s="1926"/>
      <c r="AE76" s="8"/>
      <c r="AF76" s="8"/>
      <c r="AG76" s="8"/>
      <c r="AH76" s="8"/>
      <c r="AI76" s="8"/>
      <c r="AJ76" s="8"/>
      <c r="AK76" s="8"/>
      <c r="AL76" s="8"/>
      <c r="AM76" s="8"/>
      <c r="AN76" s="8"/>
      <c r="AO76" s="8"/>
      <c r="AP76" s="8"/>
      <c r="AQ76" s="8"/>
      <c r="AR76" s="8"/>
    </row>
    <row r="77" spans="2:44" s="796" customFormat="1" ht="15" customHeight="1">
      <c r="B77" s="157"/>
      <c r="C77" s="1922"/>
      <c r="D77" s="2960" t="s">
        <v>2320</v>
      </c>
      <c r="E77" s="2961"/>
      <c r="F77" s="2961"/>
      <c r="G77" s="2961"/>
      <c r="H77" s="2961"/>
      <c r="I77" s="2961"/>
      <c r="J77" s="2961"/>
      <c r="K77" s="2961"/>
      <c r="L77" s="2961"/>
      <c r="M77" s="2961"/>
      <c r="N77" s="2961"/>
      <c r="O77" s="2961"/>
      <c r="P77" s="1997"/>
      <c r="Q77" s="1926"/>
      <c r="R77" s="1926"/>
      <c r="S77" s="1926"/>
      <c r="T77" s="1926"/>
      <c r="AE77" s="8"/>
      <c r="AF77" s="8"/>
      <c r="AG77" s="8"/>
      <c r="AH77" s="8"/>
      <c r="AI77" s="8"/>
      <c r="AJ77" s="8"/>
      <c r="AK77" s="8"/>
      <c r="AL77" s="8"/>
      <c r="AM77" s="8"/>
      <c r="AN77" s="8"/>
      <c r="AO77" s="8"/>
      <c r="AP77" s="8"/>
      <c r="AQ77" s="8"/>
      <c r="AR77" s="8"/>
    </row>
    <row r="78" spans="2:44" s="796" customFormat="1" ht="15" customHeight="1">
      <c r="B78" s="157"/>
      <c r="C78" s="1922"/>
      <c r="D78" s="2960" t="s">
        <v>2321</v>
      </c>
      <c r="E78" s="2961"/>
      <c r="F78" s="2961"/>
      <c r="G78" s="2961"/>
      <c r="H78" s="2961"/>
      <c r="I78" s="2961"/>
      <c r="J78" s="2961"/>
      <c r="K78" s="2961"/>
      <c r="L78" s="2961"/>
      <c r="M78" s="2961"/>
      <c r="N78" s="2961"/>
      <c r="O78" s="2961"/>
      <c r="P78" s="1997"/>
      <c r="Q78" s="1926"/>
      <c r="R78" s="1926"/>
      <c r="S78" s="1926"/>
      <c r="T78" s="1926"/>
      <c r="AE78" s="8"/>
      <c r="AF78" s="8"/>
      <c r="AG78" s="8"/>
      <c r="AH78" s="8"/>
      <c r="AI78" s="8"/>
      <c r="AJ78" s="8"/>
      <c r="AK78" s="8"/>
      <c r="AL78" s="8"/>
      <c r="AM78" s="8"/>
      <c r="AN78" s="8"/>
      <c r="AO78" s="8"/>
      <c r="AP78" s="8"/>
      <c r="AQ78" s="8"/>
      <c r="AR78" s="8"/>
    </row>
    <row r="79" spans="2:44" s="796" customFormat="1" ht="15" customHeight="1">
      <c r="B79" s="157"/>
      <c r="C79" s="1922"/>
      <c r="D79" s="1923"/>
      <c r="E79" s="1924"/>
      <c r="F79" s="1924"/>
      <c r="G79" s="1924"/>
      <c r="H79" s="1924"/>
      <c r="I79" s="1924"/>
      <c r="J79" s="1924"/>
      <c r="K79" s="1924"/>
      <c r="L79" s="1924"/>
      <c r="M79" s="1924"/>
      <c r="N79" s="1924"/>
      <c r="O79" s="1993" t="s">
        <v>2515</v>
      </c>
      <c r="P79" s="1935">
        <f>SUM(P73:P78)</f>
        <v>0</v>
      </c>
      <c r="Q79" s="1922"/>
      <c r="R79" s="2048" t="s">
        <v>2611</v>
      </c>
      <c r="S79" s="2056" t="str">
        <f>IF(AfterFT2&gt;0,AfterTotal/AfterFT2,"")</f>
        <v/>
      </c>
      <c r="T79" s="1922"/>
      <c r="AE79" s="8"/>
      <c r="AF79" s="8"/>
      <c r="AG79" s="8"/>
      <c r="AH79" s="8"/>
      <c r="AI79" s="8"/>
      <c r="AJ79" s="8"/>
      <c r="AK79" s="8"/>
      <c r="AL79" s="8"/>
      <c r="AM79" s="8"/>
      <c r="AN79" s="8"/>
      <c r="AO79" s="8"/>
      <c r="AP79" s="8"/>
      <c r="AQ79" s="8"/>
      <c r="AR79" s="8"/>
    </row>
    <row r="80" spans="2:44" s="796" customFormat="1" ht="15" customHeight="1">
      <c r="B80" s="157"/>
      <c r="C80" s="1922"/>
      <c r="D80" s="1923"/>
      <c r="E80" s="1924"/>
      <c r="F80" s="1924"/>
      <c r="G80" s="1924"/>
      <c r="H80" s="1924"/>
      <c r="I80" s="1924"/>
      <c r="J80" s="1924"/>
      <c r="K80" s="1924"/>
      <c r="L80" s="1924"/>
      <c r="M80" s="1924"/>
      <c r="N80" s="1924"/>
      <c r="O80" s="1924"/>
      <c r="P80" s="1929"/>
      <c r="Q80" s="1922"/>
      <c r="R80" s="1922"/>
      <c r="S80" s="1922"/>
      <c r="T80" s="1922"/>
      <c r="AE80" s="8"/>
      <c r="AF80" s="8"/>
      <c r="AG80" s="8"/>
      <c r="AH80" s="8"/>
      <c r="AI80" s="8"/>
      <c r="AJ80" s="8"/>
      <c r="AK80" s="8"/>
      <c r="AL80" s="8"/>
      <c r="AM80" s="8"/>
      <c r="AN80" s="8"/>
      <c r="AO80" s="8"/>
      <c r="AP80" s="8"/>
      <c r="AQ80" s="8"/>
      <c r="AR80" s="8"/>
    </row>
    <row r="81" spans="1:44" s="796" customFormat="1" ht="15" customHeight="1">
      <c r="B81" s="157"/>
      <c r="C81" s="2963" t="s">
        <v>2322</v>
      </c>
      <c r="D81" s="2964"/>
      <c r="E81" s="2964"/>
      <c r="F81" s="2964"/>
      <c r="G81" s="2964"/>
      <c r="H81" s="2964"/>
      <c r="I81" s="2964"/>
      <c r="J81" s="2964"/>
      <c r="K81" s="2964"/>
      <c r="L81" s="2964"/>
      <c r="M81" s="2964"/>
      <c r="N81" s="2964"/>
      <c r="O81" s="2964"/>
      <c r="P81" s="1935">
        <f>IF(BeforeFT2&gt;0,(BeforePerFT2-AfterPerFT2)/BeforePerFT2*100,0)</f>
        <v>0</v>
      </c>
      <c r="Q81" s="1922" t="s">
        <v>2347</v>
      </c>
      <c r="R81" s="1922"/>
      <c r="S81" s="1922"/>
      <c r="T81" s="1922"/>
      <c r="AE81" s="8"/>
      <c r="AF81" s="8"/>
      <c r="AG81" s="8"/>
      <c r="AH81" s="8"/>
      <c r="AI81" s="8"/>
      <c r="AJ81" s="8"/>
      <c r="AK81" s="8"/>
      <c r="AL81" s="8"/>
      <c r="AM81" s="8"/>
      <c r="AN81" s="8"/>
      <c r="AO81" s="8"/>
      <c r="AP81" s="8"/>
      <c r="AQ81" s="8"/>
      <c r="AR81" s="8"/>
    </row>
    <row r="82" spans="1:44" s="796" customFormat="1" ht="15" customHeight="1">
      <c r="B82" s="157"/>
      <c r="C82" s="1922"/>
      <c r="D82" s="1923"/>
      <c r="E82" s="1924"/>
      <c r="F82" s="1924"/>
      <c r="G82" s="1924"/>
      <c r="H82" s="1924"/>
      <c r="I82" s="1924"/>
      <c r="J82" s="1924"/>
      <c r="K82" s="1924"/>
      <c r="L82" s="1924"/>
      <c r="M82" s="1924"/>
      <c r="N82" s="1924"/>
      <c r="O82" s="1924" t="s">
        <v>2348</v>
      </c>
      <c r="P82" s="1934" t="str">
        <f>IF(P81&gt;=45,"Emerald",IF(P81&gt;=35,"Gold",IF(P81&gt;=25,"Silver",IF(P81&gt;=15,"Bronze","none"))))</f>
        <v>none</v>
      </c>
      <c r="Q82" s="1922"/>
      <c r="R82" s="1922"/>
      <c r="S82" s="1922"/>
      <c r="T82" s="1922"/>
      <c r="AE82" s="8"/>
      <c r="AF82" s="8"/>
      <c r="AG82" s="8"/>
      <c r="AH82" s="8"/>
      <c r="AI82" s="8"/>
      <c r="AJ82" s="8"/>
      <c r="AK82" s="8"/>
      <c r="AL82" s="8"/>
      <c r="AM82" s="8"/>
      <c r="AN82" s="8"/>
      <c r="AO82" s="8"/>
      <c r="AP82" s="8"/>
      <c r="AQ82" s="8"/>
      <c r="AR82" s="8"/>
    </row>
    <row r="83" spans="1:44" customFormat="1" ht="16" thickBot="1">
      <c r="A83" s="1197"/>
      <c r="B83" s="1143"/>
      <c r="C83" s="2946"/>
      <c r="D83" s="2946"/>
      <c r="E83" s="2946"/>
      <c r="F83" s="2946"/>
      <c r="G83" s="2946"/>
      <c r="H83" s="2946"/>
      <c r="I83" s="2946"/>
      <c r="J83" s="2946"/>
      <c r="K83" s="2946"/>
      <c r="L83" s="2946"/>
      <c r="M83" s="2946"/>
      <c r="N83" s="2946"/>
      <c r="O83" s="2946"/>
      <c r="P83" s="2946"/>
      <c r="Q83" s="2946"/>
      <c r="R83" s="2946"/>
      <c r="S83" s="2946"/>
      <c r="T83" s="2946"/>
      <c r="V83" s="1194"/>
      <c r="W83" s="1194"/>
      <c r="X83" s="1194"/>
      <c r="Y83" s="1194"/>
      <c r="Z83" s="1194"/>
      <c r="AA83" s="1194"/>
      <c r="AD83" s="1194"/>
    </row>
    <row r="84" spans="1:44" customFormat="1" ht="20" customHeight="1" thickBot="1">
      <c r="A84" s="1197"/>
      <c r="B84" s="1143"/>
      <c r="C84" s="2340" t="s">
        <v>322</v>
      </c>
      <c r="D84" s="2341"/>
      <c r="E84" s="2341"/>
      <c r="F84" s="2341"/>
      <c r="G84" s="2341"/>
      <c r="H84" s="2341"/>
      <c r="I84" s="2341"/>
      <c r="J84" s="2341"/>
      <c r="K84" s="2341"/>
      <c r="L84" s="2341"/>
      <c r="M84" s="2341"/>
      <c r="N84" s="2341"/>
      <c r="O84" s="2341"/>
      <c r="P84" s="2342" t="s">
        <v>323</v>
      </c>
      <c r="Q84" s="2342"/>
      <c r="R84" s="2342"/>
      <c r="S84" s="2342"/>
      <c r="T84" s="2343"/>
      <c r="V84" s="1194"/>
      <c r="W84" s="1194"/>
      <c r="X84" s="1194"/>
      <c r="Y84" s="1194"/>
      <c r="Z84" s="1194"/>
      <c r="AA84" s="1194"/>
      <c r="AD84" s="1194"/>
    </row>
    <row r="85" spans="1:44">
      <c r="C85" s="2975"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85" s="2975"/>
      <c r="E85" s="2975"/>
      <c r="F85" s="2975"/>
      <c r="G85" s="2975"/>
      <c r="H85" s="2975"/>
      <c r="I85" s="2975"/>
      <c r="J85" s="2975"/>
      <c r="K85" s="2975"/>
      <c r="L85" s="2975"/>
      <c r="M85" s="2975"/>
      <c r="N85" s="2975"/>
      <c r="O85" s="2975"/>
      <c r="P85" s="2975"/>
      <c r="Q85" s="2975"/>
      <c r="R85" s="2975"/>
      <c r="S85" s="2975"/>
      <c r="T85" s="2975"/>
    </row>
    <row r="86" spans="1:44">
      <c r="C86" s="2302"/>
      <c r="D86" s="2302"/>
      <c r="E86" s="2302"/>
      <c r="F86" s="2302"/>
      <c r="G86" s="2302"/>
      <c r="H86" s="2302"/>
      <c r="I86" s="2302"/>
      <c r="J86" s="2302"/>
      <c r="K86" s="2302"/>
      <c r="L86" s="2302"/>
      <c r="M86" s="2302"/>
      <c r="N86" s="2302"/>
      <c r="O86" s="2302"/>
      <c r="P86" s="2302"/>
      <c r="Q86" s="2302"/>
      <c r="R86" s="2302"/>
      <c r="S86" s="2302"/>
      <c r="T86" s="2302"/>
    </row>
    <row r="87" spans="1:44">
      <c r="C87" s="2302"/>
      <c r="D87" s="2302"/>
      <c r="E87" s="2302"/>
      <c r="F87" s="2302"/>
      <c r="G87" s="2302"/>
      <c r="H87" s="2302"/>
      <c r="I87" s="2302"/>
      <c r="J87" s="2302"/>
      <c r="K87" s="2302"/>
      <c r="L87" s="2302"/>
      <c r="M87" s="2302"/>
      <c r="N87" s="2302"/>
      <c r="O87" s="2302"/>
      <c r="P87" s="2302"/>
      <c r="Q87" s="2302"/>
      <c r="R87" s="2302"/>
      <c r="S87" s="2302"/>
      <c r="T87" s="2302"/>
    </row>
  </sheetData>
  <sheetProtection algorithmName="SHA-512" hashValue="8VQps04ruT6Kbx3lszNBxX6kwbRzxqsV9Y+As94ljcR/NQXgOfEcSDSqjujk6lNBRZRMxRMYJPP2mpx6z752Nw==" saltValue="cvUmiNyptnFfQLlVQk/7qA==" spinCount="100000" sheet="1" objects="1" scenarios="1" formatRows="0" selectLockedCells="1"/>
  <autoFilter ref="B7:B56" xr:uid="{00000000-0009-0000-0000-000003000000}"/>
  <mergeCells count="150">
    <mergeCell ref="C85:T87"/>
    <mergeCell ref="C5:I6"/>
    <mergeCell ref="D78:O78"/>
    <mergeCell ref="C81:O81"/>
    <mergeCell ref="J6:T6"/>
    <mergeCell ref="C7:E7"/>
    <mergeCell ref="F7:N7"/>
    <mergeCell ref="C8:T8"/>
    <mergeCell ref="N1:N2"/>
    <mergeCell ref="O1:P1"/>
    <mergeCell ref="Q1:T1"/>
    <mergeCell ref="N5:O5"/>
    <mergeCell ref="P5:T5"/>
    <mergeCell ref="Q7:S7"/>
    <mergeCell ref="J1:M3"/>
    <mergeCell ref="J4:M4"/>
    <mergeCell ref="A1:I4"/>
    <mergeCell ref="Q9:S9"/>
    <mergeCell ref="F13:N13"/>
    <mergeCell ref="F14:N14"/>
    <mergeCell ref="F15:N15"/>
    <mergeCell ref="F10:N10"/>
    <mergeCell ref="C11:D11"/>
    <mergeCell ref="F11:N11"/>
    <mergeCell ref="C12:D12"/>
    <mergeCell ref="F12:N12"/>
    <mergeCell ref="Q10:S10"/>
    <mergeCell ref="Q11:S11"/>
    <mergeCell ref="Q12:S12"/>
    <mergeCell ref="Q14:S14"/>
    <mergeCell ref="C14:D14"/>
    <mergeCell ref="Q13:S13"/>
    <mergeCell ref="C15:D15"/>
    <mergeCell ref="Q15:S15"/>
    <mergeCell ref="F9:N9"/>
    <mergeCell ref="C84:O84"/>
    <mergeCell ref="P84:T84"/>
    <mergeCell ref="F37:H37"/>
    <mergeCell ref="I37:N37"/>
    <mergeCell ref="Q37:S37"/>
    <mergeCell ref="F38:H38"/>
    <mergeCell ref="I38:N38"/>
    <mergeCell ref="Q38:S38"/>
    <mergeCell ref="F39:H39"/>
    <mergeCell ref="I39:N39"/>
    <mergeCell ref="Q39:S39"/>
    <mergeCell ref="C58:O58"/>
    <mergeCell ref="C60:O60"/>
    <mergeCell ref="D61:O61"/>
    <mergeCell ref="D62:O62"/>
    <mergeCell ref="D63:O63"/>
    <mergeCell ref="D64:O64"/>
    <mergeCell ref="D65:O65"/>
    <mergeCell ref="D66:O66"/>
    <mergeCell ref="C70:O70"/>
    <mergeCell ref="C72:O72"/>
    <mergeCell ref="D73:O73"/>
    <mergeCell ref="D74:O74"/>
    <mergeCell ref="C83:T83"/>
    <mergeCell ref="C16:D16"/>
    <mergeCell ref="F16:N16"/>
    <mergeCell ref="Q16:S16"/>
    <mergeCell ref="F20:N20"/>
    <mergeCell ref="F21:N21"/>
    <mergeCell ref="F22:N22"/>
    <mergeCell ref="F23:N23"/>
    <mergeCell ref="F24:N24"/>
    <mergeCell ref="O18:O30"/>
    <mergeCell ref="P18:P30"/>
    <mergeCell ref="Q18:S30"/>
    <mergeCell ref="F17:N17"/>
    <mergeCell ref="F18:N18"/>
    <mergeCell ref="F19:N19"/>
    <mergeCell ref="Q17:S17"/>
    <mergeCell ref="F25:N25"/>
    <mergeCell ref="F26:N26"/>
    <mergeCell ref="F27:N27"/>
    <mergeCell ref="F28:N28"/>
    <mergeCell ref="F29:N29"/>
    <mergeCell ref="D75:O75"/>
    <mergeCell ref="D76:O76"/>
    <mergeCell ref="D77:O77"/>
    <mergeCell ref="F30:N30"/>
    <mergeCell ref="T18:T30"/>
    <mergeCell ref="C18:D30"/>
    <mergeCell ref="C31:D31"/>
    <mergeCell ref="F31:N31"/>
    <mergeCell ref="F32:N32"/>
    <mergeCell ref="Q32:S32"/>
    <mergeCell ref="Q31:S31"/>
    <mergeCell ref="F36:H36"/>
    <mergeCell ref="I36:N36"/>
    <mergeCell ref="Q36:S36"/>
    <mergeCell ref="Q34:S34"/>
    <mergeCell ref="F35:H35"/>
    <mergeCell ref="I35:N35"/>
    <mergeCell ref="Q35:S35"/>
    <mergeCell ref="F34:N34"/>
    <mergeCell ref="Q33:S33"/>
    <mergeCell ref="F33:O33"/>
    <mergeCell ref="F44:H44"/>
    <mergeCell ref="Q44:S44"/>
    <mergeCell ref="I44:N44"/>
    <mergeCell ref="F43:H43"/>
    <mergeCell ref="I43:N43"/>
    <mergeCell ref="Q43:S43"/>
    <mergeCell ref="F40:H40"/>
    <mergeCell ref="I40:N40"/>
    <mergeCell ref="Q40:S40"/>
    <mergeCell ref="F41:H41"/>
    <mergeCell ref="I41:N41"/>
    <mergeCell ref="Q41:S41"/>
    <mergeCell ref="F42:H42"/>
    <mergeCell ref="I42:N42"/>
    <mergeCell ref="Q42:S42"/>
    <mergeCell ref="F45:H45"/>
    <mergeCell ref="I45:N45"/>
    <mergeCell ref="Q45:S45"/>
    <mergeCell ref="F50:H50"/>
    <mergeCell ref="I50:N50"/>
    <mergeCell ref="Q50:S50"/>
    <mergeCell ref="F51:H51"/>
    <mergeCell ref="I51:N51"/>
    <mergeCell ref="Q51:S51"/>
    <mergeCell ref="F48:H48"/>
    <mergeCell ref="I48:N48"/>
    <mergeCell ref="Q48:S48"/>
    <mergeCell ref="F47:H47"/>
    <mergeCell ref="I47:N47"/>
    <mergeCell ref="Q47:S47"/>
    <mergeCell ref="F46:H46"/>
    <mergeCell ref="I46:N46"/>
    <mergeCell ref="Q46:S46"/>
    <mergeCell ref="F49:H49"/>
    <mergeCell ref="I49:N49"/>
    <mergeCell ref="Q49:S49"/>
    <mergeCell ref="C57:T57"/>
    <mergeCell ref="C52:D52"/>
    <mergeCell ref="Q52:S52"/>
    <mergeCell ref="C53:D53"/>
    <mergeCell ref="Q53:S53"/>
    <mergeCell ref="Q54:S54"/>
    <mergeCell ref="C55:D55"/>
    <mergeCell ref="Q55:S55"/>
    <mergeCell ref="C56:T56"/>
    <mergeCell ref="C54:D54"/>
    <mergeCell ref="F54:N54"/>
    <mergeCell ref="F55:N55"/>
    <mergeCell ref="F53:N53"/>
    <mergeCell ref="F52:N52"/>
  </mergeCells>
  <conditionalFormatting sqref="P11 P18 P52 P54 P15:P16">
    <cfRule type="expression" dxfId="1121" priority="515" stopIfTrue="1">
      <formula>OR(claim701.1=30,  choice701.1="")</formula>
    </cfRule>
    <cfRule type="expression" dxfId="1120" priority="516" stopIfTrue="1">
      <formula>OR(P11="Not Met", P11="")</formula>
    </cfRule>
  </conditionalFormatting>
  <conditionalFormatting sqref="P12 P14 P53">
    <cfRule type="expression" dxfId="1119" priority="503" stopIfTrue="1">
      <formula>OR(claim701.1=30, choice701.1=0)</formula>
    </cfRule>
    <cfRule type="expression" dxfId="1118" priority="504" stopIfTrue="1">
      <formula>OR(P12="Not Met",P12="")</formula>
    </cfRule>
  </conditionalFormatting>
  <conditionalFormatting sqref="P4">
    <cfRule type="expression" dxfId="1117" priority="413" stopIfTrue="1">
      <formula>$P$4="Not Met"</formula>
    </cfRule>
  </conditionalFormatting>
  <conditionalFormatting sqref="P3">
    <cfRule type="expression" dxfId="1116" priority="412" stopIfTrue="1">
      <formula>$P$3="Not Met"</formula>
    </cfRule>
  </conditionalFormatting>
  <conditionalFormatting sqref="P55">
    <cfRule type="expression" dxfId="1115" priority="34">
      <formula>AND(B55&lt;&gt;"x",$P$55="No Boiler")</formula>
    </cfRule>
    <cfRule type="expression" dxfId="1114" priority="343" stopIfTrue="1">
      <formula>OR(claim701.1=30, choice701.1=0)</formula>
    </cfRule>
    <cfRule type="expression" dxfId="1113" priority="344" stopIfTrue="1">
      <formula>AND(B55&lt;&gt;"x",OR(P55="Not Met", P55=""))</formula>
    </cfRule>
  </conditionalFormatting>
  <conditionalFormatting sqref="Q32:S32 Q11:S12 Q14:S16 Q18:S30 Q33 Q34:S34 Q52:S55">
    <cfRule type="beginsWith" dxfId="1112" priority="336" operator="beginsWith" text="*">
      <formula>LEFT(Q11,LEN("*"))="*"</formula>
    </cfRule>
  </conditionalFormatting>
  <conditionalFormatting sqref="P31">
    <cfRule type="expression" dxfId="1111" priority="89">
      <formula>OR(claim701.1=30, choice701.1=0)</formula>
    </cfRule>
    <cfRule type="containsText" dxfId="1110" priority="107" operator="containsText" text="Not Met">
      <formula>NOT(ISERROR(SEARCH("Not Met",P31)))</formula>
    </cfRule>
  </conditionalFormatting>
  <conditionalFormatting sqref="P32">
    <cfRule type="expression" dxfId="1109" priority="90">
      <formula>OR(claim701.1=30, choice701.1=0)</formula>
    </cfRule>
    <cfRule type="expression" dxfId="1108" priority="96">
      <formula>$P$32=""</formula>
    </cfRule>
  </conditionalFormatting>
  <conditionalFormatting sqref="P33">
    <cfRule type="expression" dxfId="1107" priority="95">
      <formula>AND(ch7ACH50="",choice701.4.3.2="Testing Option")</formula>
    </cfRule>
    <cfRule type="expression" dxfId="1106" priority="105">
      <formula>AND($P$32&lt;&gt;"Testing Option",$P$33&lt;&gt;"")</formula>
    </cfRule>
    <cfRule type="expression" dxfId="1105" priority="106">
      <formula>$P$32&lt;&gt;"Testing Option"</formula>
    </cfRule>
  </conditionalFormatting>
  <conditionalFormatting sqref="C55:P55">
    <cfRule type="expression" dxfId="1104" priority="65">
      <formula>AND($B$55="x")</formula>
    </cfRule>
  </conditionalFormatting>
  <conditionalFormatting sqref="P12">
    <cfRule type="expression" dxfId="1103" priority="46" stopIfTrue="1">
      <formula>AND($A$12="x",$P$12="N/A")</formula>
    </cfRule>
    <cfRule type="expression" dxfId="1102" priority="47" stopIfTrue="1">
      <formula>$B$12="x"</formula>
    </cfRule>
  </conditionalFormatting>
  <conditionalFormatting sqref="F33:O33">
    <cfRule type="expression" dxfId="1101" priority="29">
      <formula>AND($P$32="Testing Option",OR($P$33="",$P$33&gt;7))</formula>
    </cfRule>
  </conditionalFormatting>
  <conditionalFormatting sqref="P15">
    <cfRule type="expression" dxfId="1100" priority="28">
      <formula>$B$15="x"</formula>
    </cfRule>
  </conditionalFormatting>
  <conditionalFormatting sqref="P16">
    <cfRule type="expression" dxfId="1099" priority="24">
      <formula>AND($P$16="Met",$P$14="No duct system installed")</formula>
    </cfRule>
    <cfRule type="expression" dxfId="1098" priority="25">
      <formula>AND($P$16="No Duct System",$P$14="Met")</formula>
    </cfRule>
    <cfRule type="expression" dxfId="1097" priority="27">
      <formula>$B$16="x"</formula>
    </cfRule>
  </conditionalFormatting>
  <conditionalFormatting sqref="P14">
    <cfRule type="expression" dxfId="1096" priority="23">
      <formula>AND($P$14="No duct system installed",$P$16="Met")</formula>
    </cfRule>
    <cfRule type="expression" dxfId="1095" priority="26">
      <formula>AND($P$14="Met",$P$16="No Duct System")</formula>
    </cfRule>
  </conditionalFormatting>
  <conditionalFormatting sqref="J1">
    <cfRule type="expression" dxfId="1094" priority="5" stopIfTrue="1">
      <formula>levelStatement="This project has not met all the requirements for Bronze, Silver, Gold, or Emerald."</formula>
    </cfRule>
  </conditionalFormatting>
  <conditionalFormatting sqref="P58">
    <cfRule type="expression" dxfId="1093" priority="4">
      <formula>P58=""</formula>
    </cfRule>
  </conditionalFormatting>
  <conditionalFormatting sqref="P61:P66">
    <cfRule type="expression" dxfId="1092" priority="3">
      <formula>P61=""</formula>
    </cfRule>
  </conditionalFormatting>
  <conditionalFormatting sqref="P70">
    <cfRule type="expression" dxfId="1091" priority="2">
      <formula>P70=""</formula>
    </cfRule>
  </conditionalFormatting>
  <conditionalFormatting sqref="P73:P78">
    <cfRule type="expression" dxfId="1090" priority="1">
      <formula>P73=""</formula>
    </cfRule>
  </conditionalFormatting>
  <dataValidations count="12">
    <dataValidation type="list" allowBlank="1" showInputMessage="1" showErrorMessage="1" errorTitle="Invalid Entry" error="Select an option from the dropdown list provided." sqref="P55" xr:uid="{00000000-0002-0000-0300-000000000000}">
      <formula1>dd701.4.5</formula1>
    </dataValidation>
    <dataValidation type="list" allowBlank="1" showInputMessage="1" showErrorMessage="1" errorTitle="Invalid Entry" error="Select an option from the dropdown list provided." sqref="P11" xr:uid="{00000000-0002-0000-0300-000001000000}">
      <formula1>dd701.4.1.1</formula1>
    </dataValidation>
    <dataValidation type="list" allowBlank="1" showInputMessage="1" showErrorMessage="1" errorTitle="Invalid Entry" error="Select an option from the dropdown list provided." sqref="P12" xr:uid="{00000000-0002-0000-0300-000002000000}">
      <formula1>dd701.4.1.2</formula1>
    </dataValidation>
    <dataValidation type="list" allowBlank="1" showInputMessage="1" showErrorMessage="1" errorTitle="Invalid Entry" error="Select an option from the dropdown list provided." sqref="P14" xr:uid="{00000000-0002-0000-0300-000003000000}">
      <formula1>dd701.4.2.1</formula1>
    </dataValidation>
    <dataValidation type="list" allowBlank="1" showInputMessage="1" showErrorMessage="1" errorTitle="Invalid Entry" error="Select an option from the dropdown list provided." sqref="P15" xr:uid="{00000000-0002-0000-0300-000004000000}">
      <formula1>dd701.4.2.2</formula1>
    </dataValidation>
    <dataValidation type="list" allowBlank="1" showInputMessage="1" showErrorMessage="1" errorTitle="Invalid Entry" error="Select an option from the dropdown list provided." sqref="P16" xr:uid="{00000000-0002-0000-0300-000005000000}">
      <formula1>dd701.4.2.3</formula1>
    </dataValidation>
    <dataValidation type="list" allowBlank="1" showInputMessage="1" showErrorMessage="1" errorTitle="Invalid Entry" error="Select an option from the dropdown list provided." sqref="P18:P30" xr:uid="{00000000-0002-0000-0300-000006000000}">
      <formula1>dd701.4.3.1</formula1>
    </dataValidation>
    <dataValidation type="list" allowBlank="1" showInputMessage="1" showErrorMessage="1" errorTitle="Invalid Entry" error="Select an option from the dropdown list provided." sqref="P52" xr:uid="{00000000-0002-0000-0300-000007000000}">
      <formula1>dd701.4.3.3</formula1>
    </dataValidation>
    <dataValidation type="list" allowBlank="1" showInputMessage="1" showErrorMessage="1" errorTitle="Invalid Entry" error="Select an option from the dropdown list provided." sqref="P53" xr:uid="{00000000-0002-0000-0300-000008000000}">
      <formula1>dd701.4.3.4</formula1>
    </dataValidation>
    <dataValidation type="list" allowBlank="1" showInputMessage="1" showErrorMessage="1" errorTitle="Invalid Entry" error="Select an option from the dropdown list provided." sqref="P54" xr:uid="{00000000-0002-0000-0300-000009000000}">
      <formula1>dd701.4.4</formula1>
    </dataValidation>
    <dataValidation type="decimal" allowBlank="1" showInputMessage="1" showErrorMessage="1" errorTitle="Invalid entry" error="Enter a value greater than 0. If ACH50 is not less than 7, then this building does not comply with this option to meet this mandatory practice." sqref="P33" xr:uid="{00000000-0002-0000-0300-00000A000000}">
      <formula1>0</formula1>
      <formula2>7</formula2>
    </dataValidation>
    <dataValidation type="list" allowBlank="1" showInputMessage="1" showErrorMessage="1" errorTitle="Invalid entry" error="Select an option from the dropdown list provided." sqref="P32" xr:uid="{00000000-0002-0000-0300-00000B000000}">
      <formula1>dd701.4.3.2</formula1>
    </dataValidation>
  </dataValidations>
  <hyperlinks>
    <hyperlink ref="P84:T84" location="'Ch8'!A1" display="Proceed to Chapter 8 &gt;&gt;" xr:uid="{00000000-0004-0000-0300-000000000000}"/>
  </hyperlinks>
  <pageMargins left="0.7" right="0.7" top="0.75" bottom="0.75" header="0.3" footer="0.3"/>
  <pageSetup scale="55" fitToHeight="1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466"/>
  <sheetViews>
    <sheetView topLeftCell="B1" zoomScaleNormal="100" workbookViewId="0">
      <pane ySplit="6" topLeftCell="A7" activePane="bottomLeft" state="frozen"/>
      <selection activeCell="N9" sqref="N9:N12"/>
      <selection pane="bottomLeft" activeCell="G16" sqref="G16"/>
    </sheetView>
  </sheetViews>
  <sheetFormatPr baseColWidth="10" defaultColWidth="9.1640625" defaultRowHeight="15"/>
  <cols>
    <col min="1" max="1" width="5.6640625" style="162" hidden="1" customWidth="1"/>
    <col min="2" max="2" width="6.6640625" style="162" customWidth="1"/>
    <col min="3" max="3" width="4.33203125" style="171" customWidth="1"/>
    <col min="4" max="4" width="3.6640625" style="171" customWidth="1"/>
    <col min="5" max="7" width="8.6640625" style="162" customWidth="1"/>
    <col min="8" max="8" width="10.83203125" style="162" customWidth="1"/>
    <col min="9" max="9" width="8.6640625" style="162" customWidth="1"/>
    <col min="10" max="10" width="10.6640625" style="162" customWidth="1"/>
    <col min="11" max="11" width="6.33203125" style="162" customWidth="1"/>
    <col min="12" max="12" width="8.6640625" style="162" customWidth="1"/>
    <col min="13" max="13" width="10.6640625" style="162" bestFit="1" customWidth="1"/>
    <col min="14" max="14" width="15.6640625" style="162" customWidth="1"/>
    <col min="15" max="15" width="10.6640625" style="162" customWidth="1"/>
    <col min="16" max="17" width="11.6640625" style="162" customWidth="1"/>
    <col min="18" max="18" width="11.6640625" style="172" customWidth="1"/>
    <col min="19" max="19" width="11.6640625" style="162" customWidth="1"/>
    <col min="20" max="20" width="9.1640625" style="162"/>
    <col min="21" max="25" width="9.1640625" style="28"/>
    <col min="26" max="16384" width="9.1640625" style="162"/>
  </cols>
  <sheetData>
    <row r="1" spans="1:19" s="28" customFormat="1" ht="15" customHeight="1">
      <c r="B1" s="3016"/>
      <c r="C1" s="3016"/>
      <c r="D1" s="3016"/>
      <c r="E1" s="3016"/>
      <c r="F1" s="3016"/>
      <c r="G1" s="3016"/>
      <c r="H1" s="3016"/>
      <c r="I1" s="3022" t="str">
        <f>levelStatement</f>
        <v>This project has not met all the requirements for Bronze, Silver, Gold, or Emerald.</v>
      </c>
      <c r="J1" s="3022"/>
      <c r="K1" s="3022"/>
      <c r="L1" s="3023"/>
      <c r="M1" s="2123">
        <v>2012</v>
      </c>
      <c r="N1" s="3020" t="s">
        <v>0</v>
      </c>
      <c r="O1" s="3020"/>
      <c r="P1" s="3020" t="s">
        <v>1</v>
      </c>
      <c r="Q1" s="3020"/>
      <c r="R1" s="3020"/>
      <c r="S1" s="3020"/>
    </row>
    <row r="2" spans="1:19" s="28" customFormat="1" ht="15" customHeight="1">
      <c r="B2" s="3016"/>
      <c r="C2" s="3016"/>
      <c r="D2" s="3016"/>
      <c r="E2" s="3016"/>
      <c r="F2" s="3016"/>
      <c r="G2" s="3016"/>
      <c r="H2" s="3016"/>
      <c r="I2" s="3022"/>
      <c r="J2" s="3022"/>
      <c r="K2" s="3022"/>
      <c r="L2" s="3023"/>
      <c r="M2" s="2124"/>
      <c r="N2" s="1" t="s">
        <v>2</v>
      </c>
      <c r="O2" s="1" t="s">
        <v>3</v>
      </c>
      <c r="P2" s="2" t="s">
        <v>4</v>
      </c>
      <c r="Q2" s="3" t="s">
        <v>5</v>
      </c>
      <c r="R2" s="4" t="s">
        <v>6</v>
      </c>
      <c r="S2" s="5" t="s">
        <v>7</v>
      </c>
    </row>
    <row r="3" spans="1:19" s="28" customFormat="1" ht="15" customHeight="1">
      <c r="B3" s="3016"/>
      <c r="C3" s="3016"/>
      <c r="D3" s="3016"/>
      <c r="E3" s="3016"/>
      <c r="F3" s="3016"/>
      <c r="G3" s="3016"/>
      <c r="H3" s="3016"/>
      <c r="I3" s="3022"/>
      <c r="J3" s="3022"/>
      <c r="K3" s="3022"/>
      <c r="L3" s="3023"/>
      <c r="M3" s="6" t="s">
        <v>8</v>
      </c>
      <c r="N3" s="772" t="str">
        <f>IF(K56&gt;50,"Emerald",IF(K56&gt;40,"Gold",IF(K56&gt;30,"Silver",IF(K56&gt;20,"Bronze","none"))))</f>
        <v>none</v>
      </c>
      <c r="O3" s="771" t="s">
        <v>9</v>
      </c>
      <c r="P3" s="2099">
        <v>0.2</v>
      </c>
      <c r="Q3" s="2099">
        <v>0.3</v>
      </c>
      <c r="R3" s="2099">
        <v>0.4</v>
      </c>
      <c r="S3" s="2099">
        <v>0.5</v>
      </c>
    </row>
    <row r="4" spans="1:19" s="28" customFormat="1" ht="15" customHeight="1">
      <c r="B4" s="2885" t="s">
        <v>2599</v>
      </c>
      <c r="C4" s="2885"/>
      <c r="D4" s="2885"/>
      <c r="E4" s="2885"/>
      <c r="F4" s="2885"/>
      <c r="G4" s="2885"/>
      <c r="H4" s="2885"/>
      <c r="I4" s="2120" t="str">
        <f>CONCATENATE("Revised ",TEXT(startRevisionDate,"mmmm dd, yyyy"))</f>
        <v>Revised January 26, 2018</v>
      </c>
      <c r="J4" s="2120"/>
      <c r="K4" s="2120"/>
      <c r="L4" s="2121"/>
      <c r="M4" s="1605" t="s">
        <v>10</v>
      </c>
      <c r="N4" s="1606">
        <f>projectTotal</f>
        <v>0</v>
      </c>
      <c r="O4" s="1607" t="str">
        <f>IF(SUM(projectMandatoryCount)=4,"Met","Not Met")</f>
        <v>Not Met</v>
      </c>
      <c r="P4" s="1601">
        <f>SUM(bronzeMinimum)</f>
        <v>88</v>
      </c>
      <c r="Q4" s="1601">
        <f>SUM(silverMinimum)</f>
        <v>125</v>
      </c>
      <c r="R4" s="1601">
        <f>SUM(goldMinimum)</f>
        <v>181</v>
      </c>
      <c r="S4" s="1601">
        <f>SUM(emeraldMinimum)</f>
        <v>225</v>
      </c>
    </row>
    <row r="5" spans="1:19" s="28" customFormat="1" ht="17.25" customHeight="1" thickBot="1">
      <c r="B5" s="2886"/>
      <c r="C5" s="2886"/>
      <c r="D5" s="2886"/>
      <c r="E5" s="2886"/>
      <c r="F5" s="2886"/>
      <c r="G5" s="2886"/>
      <c r="H5" s="2886"/>
      <c r="I5" s="2272" t="str">
        <f>CONCATENATE(copyright," All rights reserved.  See full notice at bottom of this sheet")</f>
        <v>© 2013 Home Innovation Research Labs, Inc. All rights reserved.  See full notice at bottom of this sheet</v>
      </c>
      <c r="J5" s="2272"/>
      <c r="K5" s="2272"/>
      <c r="L5" s="2272"/>
      <c r="M5" s="2272"/>
      <c r="N5" s="2272"/>
      <c r="O5" s="2272"/>
      <c r="P5" s="2272"/>
      <c r="Q5" s="2272"/>
      <c r="R5" s="2272"/>
      <c r="S5" s="2272"/>
    </row>
    <row r="6" spans="1:19" s="28" customFormat="1" ht="33" thickBot="1">
      <c r="B6" s="3021" t="s">
        <v>11</v>
      </c>
      <c r="C6" s="3010"/>
      <c r="D6" s="3011"/>
      <c r="E6" s="3007" t="s">
        <v>324</v>
      </c>
      <c r="F6" s="3007"/>
      <c r="G6" s="3007"/>
      <c r="H6" s="3007"/>
      <c r="I6" s="3007"/>
      <c r="J6" s="3007"/>
      <c r="K6" s="3007"/>
      <c r="L6" s="3007"/>
      <c r="M6" s="3007"/>
      <c r="N6" s="977"/>
      <c r="O6" s="977"/>
      <c r="P6" s="3009" t="s">
        <v>16</v>
      </c>
      <c r="Q6" s="3010"/>
      <c r="R6" s="3011"/>
      <c r="S6" s="160" t="s">
        <v>15</v>
      </c>
    </row>
    <row r="7" spans="1:19" s="28" customFormat="1" ht="17.25" customHeight="1">
      <c r="A7" s="469"/>
      <c r="B7" s="2264" t="s">
        <v>2327</v>
      </c>
      <c r="C7" s="2264"/>
      <c r="D7" s="2264"/>
      <c r="E7" s="2264"/>
      <c r="F7" s="2264"/>
      <c r="G7" s="2264"/>
      <c r="H7" s="2264"/>
      <c r="I7" s="2264"/>
      <c r="J7" s="2264"/>
      <c r="K7" s="2264"/>
      <c r="L7" s="2264"/>
      <c r="M7" s="2264"/>
      <c r="N7" s="2264"/>
      <c r="O7" s="2264"/>
      <c r="P7" s="2264"/>
      <c r="Q7" s="2264"/>
      <c r="R7" s="2264"/>
      <c r="S7" s="2264"/>
    </row>
    <row r="8" spans="1:19" s="28" customFormat="1" ht="15" customHeight="1">
      <c r="A8" s="469"/>
      <c r="B8" s="9"/>
      <c r="C8" s="10"/>
      <c r="D8" s="10"/>
      <c r="E8" s="3008"/>
      <c r="F8" s="3008"/>
      <c r="G8" s="3008"/>
      <c r="H8" s="3008"/>
      <c r="I8" s="3008"/>
      <c r="J8" s="3008"/>
      <c r="K8" s="3008"/>
      <c r="L8" s="3008"/>
      <c r="M8" s="3008"/>
      <c r="N8" s="976"/>
      <c r="O8" s="3024"/>
      <c r="P8" s="3008"/>
      <c r="Q8" s="3008"/>
      <c r="R8" s="3008"/>
      <c r="S8" s="83"/>
    </row>
    <row r="9" spans="1:19" s="28" customFormat="1" ht="15" customHeight="1">
      <c r="A9" s="469"/>
      <c r="B9" s="9"/>
      <c r="C9" s="3017" t="s">
        <v>2349</v>
      </c>
      <c r="D9" s="3018"/>
      <c r="E9" s="3018"/>
      <c r="F9" s="3018"/>
      <c r="G9" s="3018"/>
      <c r="H9" s="3018"/>
      <c r="I9" s="3018"/>
      <c r="J9" s="3018"/>
      <c r="K9" s="3018"/>
      <c r="L9" s="3018"/>
      <c r="M9" s="3018"/>
      <c r="N9" s="3018"/>
      <c r="O9" s="3024"/>
      <c r="P9" s="3008"/>
      <c r="Q9" s="3008"/>
      <c r="R9" s="3008"/>
      <c r="S9" s="83"/>
    </row>
    <row r="10" spans="1:19" s="28" customFormat="1" ht="171" customHeight="1">
      <c r="A10" s="469"/>
      <c r="B10" s="161"/>
      <c r="C10" s="3018"/>
      <c r="D10" s="3018"/>
      <c r="E10" s="3018"/>
      <c r="F10" s="3018"/>
      <c r="G10" s="3018"/>
      <c r="H10" s="3018"/>
      <c r="I10" s="3018"/>
      <c r="J10" s="3018"/>
      <c r="K10" s="3018"/>
      <c r="L10" s="3018"/>
      <c r="M10" s="3018"/>
      <c r="N10" s="3018"/>
      <c r="O10" s="3024"/>
      <c r="P10" s="3008"/>
      <c r="Q10" s="3008"/>
      <c r="R10" s="3008"/>
      <c r="S10" s="83"/>
    </row>
    <row r="11" spans="1:19" s="28" customFormat="1" ht="36.75" customHeight="1">
      <c r="A11" s="469"/>
      <c r="B11" s="161"/>
      <c r="C11" s="1933"/>
      <c r="D11" s="1933"/>
      <c r="E11" s="3019" t="s">
        <v>2350</v>
      </c>
      <c r="F11" s="3019"/>
      <c r="G11" s="3019"/>
      <c r="H11" s="3019"/>
      <c r="I11" s="3019"/>
      <c r="J11" s="3019"/>
      <c r="K11" s="3019"/>
      <c r="L11" s="3019"/>
      <c r="M11" s="3019"/>
      <c r="N11" s="3019"/>
      <c r="O11" s="1932"/>
      <c r="P11" s="1931"/>
      <c r="Q11" s="1931"/>
      <c r="R11" s="1931"/>
      <c r="S11" s="83"/>
    </row>
    <row r="12" spans="1:19" s="28" customFormat="1" ht="22.5" customHeight="1">
      <c r="A12" s="469"/>
      <c r="B12" s="161"/>
      <c r="C12" s="1933"/>
      <c r="D12" s="1933"/>
      <c r="E12" s="1939"/>
      <c r="F12" s="1939"/>
      <c r="G12" s="3012" t="s">
        <v>2351</v>
      </c>
      <c r="H12" s="3012"/>
      <c r="I12" s="3012"/>
      <c r="J12" s="3012"/>
      <c r="K12" s="1939"/>
      <c r="L12" s="3012" t="s">
        <v>2373</v>
      </c>
      <c r="M12" s="3012"/>
      <c r="N12" s="3012"/>
      <c r="O12" s="3012"/>
      <c r="P12" s="1931"/>
      <c r="Q12" s="1931"/>
      <c r="R12" s="1931"/>
      <c r="S12" s="83"/>
    </row>
    <row r="13" spans="1:19" s="28" customFormat="1" ht="22.5" customHeight="1">
      <c r="A13" s="469"/>
      <c r="B13" s="161"/>
      <c r="C13" s="1933"/>
      <c r="D13" s="1933"/>
      <c r="E13" s="3005" t="s">
        <v>2352</v>
      </c>
      <c r="F13" s="3005"/>
      <c r="G13" s="3005"/>
      <c r="H13" s="1933"/>
      <c r="I13" s="1933"/>
      <c r="J13" s="1933"/>
      <c r="K13" s="1933"/>
      <c r="L13" s="1933"/>
      <c r="M13" s="1933"/>
      <c r="N13" s="1933"/>
      <c r="O13" s="1932"/>
      <c r="P13" s="1931"/>
      <c r="Q13" s="1931"/>
      <c r="R13" s="1931"/>
      <c r="S13" s="83"/>
    </row>
    <row r="14" spans="1:19" s="28" customFormat="1" ht="35" customHeight="1">
      <c r="A14" s="469"/>
      <c r="B14" s="161"/>
      <c r="C14" s="1933"/>
      <c r="D14" s="1933"/>
      <c r="E14" s="3013" t="s">
        <v>2353</v>
      </c>
      <c r="F14" s="3013"/>
      <c r="G14" s="1943" t="s">
        <v>2363</v>
      </c>
      <c r="H14" s="1943" t="s">
        <v>2366</v>
      </c>
      <c r="I14" s="1943" t="s">
        <v>2364</v>
      </c>
      <c r="J14" s="1943" t="s">
        <v>2622</v>
      </c>
      <c r="K14" s="1944"/>
      <c r="L14" s="1943" t="s">
        <v>2363</v>
      </c>
      <c r="M14" s="1943" t="s">
        <v>2366</v>
      </c>
      <c r="N14" s="1943" t="s">
        <v>2364</v>
      </c>
      <c r="O14" s="1943" t="s">
        <v>2622</v>
      </c>
      <c r="P14" s="1931"/>
      <c r="Q14" s="1931"/>
      <c r="R14" s="1931"/>
      <c r="S14" s="83"/>
    </row>
    <row r="15" spans="1:19" s="28" customFormat="1" ht="14.25" customHeight="1">
      <c r="A15" s="469"/>
      <c r="B15" s="161"/>
      <c r="C15" s="1939"/>
      <c r="D15" s="1939"/>
      <c r="E15" s="3003" t="s">
        <v>2354</v>
      </c>
      <c r="F15" s="3003"/>
      <c r="G15" s="1942"/>
      <c r="H15" s="1942"/>
      <c r="I15" s="1942"/>
      <c r="J15" s="1942"/>
      <c r="K15" s="1944"/>
      <c r="L15" s="1942"/>
      <c r="M15" s="1942"/>
      <c r="N15" s="1942"/>
      <c r="O15" s="1942"/>
      <c r="P15" s="1937"/>
      <c r="Q15" s="1937"/>
      <c r="R15" s="1937"/>
      <c r="S15" s="83"/>
    </row>
    <row r="16" spans="1:19" s="28" customFormat="1" ht="15" customHeight="1">
      <c r="A16" s="469"/>
      <c r="B16" s="161"/>
      <c r="C16" s="1939"/>
      <c r="D16" s="1939"/>
      <c r="E16" s="3002" t="s">
        <v>2355</v>
      </c>
      <c r="F16" s="3002"/>
      <c r="G16" s="1995"/>
      <c r="H16" s="1995"/>
      <c r="I16" s="1995"/>
      <c r="J16" s="2057">
        <f>G16*I16</f>
        <v>0</v>
      </c>
      <c r="K16" s="1944"/>
      <c r="L16" s="1995"/>
      <c r="M16" s="1995"/>
      <c r="N16" s="1995"/>
      <c r="O16" s="2057">
        <f>L16*N16</f>
        <v>0</v>
      </c>
      <c r="P16" s="1937"/>
      <c r="Q16" s="1937"/>
      <c r="R16" s="1937"/>
      <c r="S16" s="83"/>
    </row>
    <row r="17" spans="1:19" s="28" customFormat="1" ht="15" customHeight="1">
      <c r="A17" s="469"/>
      <c r="B17" s="161"/>
      <c r="C17" s="1939"/>
      <c r="D17" s="1939"/>
      <c r="E17" s="3002" t="s">
        <v>1449</v>
      </c>
      <c r="F17" s="3002"/>
      <c r="G17" s="1995"/>
      <c r="H17" s="1995"/>
      <c r="I17" s="1995"/>
      <c r="J17" s="2057">
        <f>G17*I17</f>
        <v>0</v>
      </c>
      <c r="K17" s="1944"/>
      <c r="L17" s="1995"/>
      <c r="M17" s="1995"/>
      <c r="N17" s="1995"/>
      <c r="O17" s="2057">
        <f>L17*N17</f>
        <v>0</v>
      </c>
      <c r="P17" s="1937"/>
      <c r="Q17" s="1937"/>
      <c r="R17" s="1937"/>
      <c r="S17" s="83"/>
    </row>
    <row r="18" spans="1:19" s="28" customFormat="1" ht="15" customHeight="1">
      <c r="A18" s="469"/>
      <c r="B18" s="161"/>
      <c r="C18" s="1939"/>
      <c r="D18" s="1939"/>
      <c r="E18" s="3003" t="s">
        <v>2356</v>
      </c>
      <c r="F18" s="3003"/>
      <c r="G18" s="1942"/>
      <c r="H18" s="1942"/>
      <c r="I18" s="1942"/>
      <c r="J18" s="2058"/>
      <c r="K18" s="1944"/>
      <c r="L18" s="1942"/>
      <c r="M18" s="1942"/>
      <c r="N18" s="1942"/>
      <c r="O18" s="2058"/>
      <c r="P18" s="1937"/>
      <c r="Q18" s="1937"/>
      <c r="R18" s="1937"/>
      <c r="S18" s="83"/>
    </row>
    <row r="19" spans="1:19" s="28" customFormat="1" ht="15" customHeight="1">
      <c r="A19" s="469"/>
      <c r="B19" s="161"/>
      <c r="C19" s="1939"/>
      <c r="D19" s="1939"/>
      <c r="E19" s="3002" t="s">
        <v>2357</v>
      </c>
      <c r="F19" s="3002"/>
      <c r="G19" s="1995"/>
      <c r="H19" s="1995"/>
      <c r="I19" s="1995"/>
      <c r="J19" s="2057">
        <f t="shared" ref="J19:J23" si="0">G19*I19</f>
        <v>0</v>
      </c>
      <c r="K19" s="1944"/>
      <c r="L19" s="1995"/>
      <c r="M19" s="1995"/>
      <c r="N19" s="1995"/>
      <c r="O19" s="2057">
        <f t="shared" ref="O19:O23" si="1">L19*N19</f>
        <v>0</v>
      </c>
      <c r="P19" s="1937"/>
      <c r="Q19" s="1937"/>
      <c r="R19" s="1937"/>
      <c r="S19" s="83"/>
    </row>
    <row r="20" spans="1:19" s="28" customFormat="1" ht="15" customHeight="1">
      <c r="A20" s="469"/>
      <c r="B20" s="161"/>
      <c r="C20" s="1939"/>
      <c r="D20" s="1939"/>
      <c r="E20" s="3002" t="s">
        <v>2358</v>
      </c>
      <c r="F20" s="3002"/>
      <c r="G20" s="1995"/>
      <c r="H20" s="1995"/>
      <c r="I20" s="1995"/>
      <c r="J20" s="2057">
        <f t="shared" si="0"/>
        <v>0</v>
      </c>
      <c r="K20" s="1944"/>
      <c r="L20" s="1995"/>
      <c r="M20" s="1995"/>
      <c r="N20" s="1995"/>
      <c r="O20" s="2057">
        <f t="shared" si="1"/>
        <v>0</v>
      </c>
      <c r="P20" s="1937"/>
      <c r="Q20" s="1937"/>
      <c r="R20" s="1937"/>
      <c r="S20" s="83"/>
    </row>
    <row r="21" spans="1:19" s="28" customFormat="1" ht="15" customHeight="1">
      <c r="A21" s="469"/>
      <c r="B21" s="161"/>
      <c r="C21" s="1939"/>
      <c r="D21" s="1939"/>
      <c r="E21" s="3002" t="s">
        <v>2359</v>
      </c>
      <c r="F21" s="3002"/>
      <c r="G21" s="1995"/>
      <c r="H21" s="1995"/>
      <c r="I21" s="1995"/>
      <c r="J21" s="2057">
        <f>G21*I21</f>
        <v>0</v>
      </c>
      <c r="K21" s="1944"/>
      <c r="L21" s="1995"/>
      <c r="M21" s="1995"/>
      <c r="N21" s="1995"/>
      <c r="O21" s="2057">
        <f t="shared" si="1"/>
        <v>0</v>
      </c>
      <c r="P21" s="1937"/>
      <c r="Q21" s="1937"/>
      <c r="R21" s="1937"/>
      <c r="S21" s="83"/>
    </row>
    <row r="22" spans="1:19" s="28" customFormat="1" ht="15" customHeight="1">
      <c r="A22" s="469"/>
      <c r="B22" s="161"/>
      <c r="C22" s="1939"/>
      <c r="D22" s="1939"/>
      <c r="E22" s="3002" t="s">
        <v>2360</v>
      </c>
      <c r="F22" s="3002"/>
      <c r="G22" s="1995"/>
      <c r="H22" s="1995"/>
      <c r="I22" s="1995"/>
      <c r="J22" s="2057">
        <f t="shared" si="0"/>
        <v>0</v>
      </c>
      <c r="K22" s="1944"/>
      <c r="L22" s="1995"/>
      <c r="M22" s="1995"/>
      <c r="N22" s="1995"/>
      <c r="O22" s="2057">
        <f t="shared" si="1"/>
        <v>0</v>
      </c>
      <c r="P22" s="1937"/>
      <c r="Q22" s="1937"/>
      <c r="R22" s="1937"/>
      <c r="S22" s="83"/>
    </row>
    <row r="23" spans="1:19" s="28" customFormat="1" ht="15" customHeight="1">
      <c r="A23" s="469"/>
      <c r="B23" s="161"/>
      <c r="C23" s="1939"/>
      <c r="D23" s="1939"/>
      <c r="E23" s="3002" t="s">
        <v>2361</v>
      </c>
      <c r="F23" s="3002"/>
      <c r="G23" s="1995"/>
      <c r="H23" s="1995"/>
      <c r="I23" s="1995"/>
      <c r="J23" s="2057">
        <f t="shared" si="0"/>
        <v>0</v>
      </c>
      <c r="K23" s="1944"/>
      <c r="L23" s="1995"/>
      <c r="M23" s="1995"/>
      <c r="N23" s="1995"/>
      <c r="O23" s="2057">
        <f t="shared" si="1"/>
        <v>0</v>
      </c>
      <c r="P23" s="1937"/>
      <c r="Q23" s="1937"/>
      <c r="R23" s="1937"/>
      <c r="S23" s="83"/>
    </row>
    <row r="24" spans="1:19" s="28" customFormat="1" ht="15" customHeight="1">
      <c r="A24" s="469"/>
      <c r="B24" s="161"/>
      <c r="C24" s="1939"/>
      <c r="D24" s="1939"/>
      <c r="E24" s="3003" t="s">
        <v>2362</v>
      </c>
      <c r="F24" s="3003"/>
      <c r="G24" s="1942"/>
      <c r="H24" s="1942"/>
      <c r="I24" s="1942"/>
      <c r="J24" s="2058"/>
      <c r="K24" s="1944"/>
      <c r="L24" s="1942"/>
      <c r="M24" s="1942"/>
      <c r="N24" s="1942"/>
      <c r="O24" s="2058"/>
      <c r="P24" s="1937"/>
      <c r="Q24" s="1937"/>
      <c r="R24" s="1937"/>
      <c r="S24" s="83"/>
    </row>
    <row r="25" spans="1:19" s="28" customFormat="1" ht="15" customHeight="1">
      <c r="A25" s="469"/>
      <c r="B25" s="161"/>
      <c r="C25" s="1939"/>
      <c r="D25" s="1939"/>
      <c r="E25" s="3002" t="s">
        <v>2357</v>
      </c>
      <c r="F25" s="3002"/>
      <c r="G25" s="1995"/>
      <c r="H25" s="1995"/>
      <c r="I25" s="1995"/>
      <c r="J25" s="2057">
        <f t="shared" ref="J25:J29" si="2">G25*I25</f>
        <v>0</v>
      </c>
      <c r="K25" s="1944"/>
      <c r="L25" s="1995"/>
      <c r="M25" s="1995"/>
      <c r="N25" s="1995"/>
      <c r="O25" s="2057">
        <f t="shared" ref="O25:O29" si="3">L25*N25</f>
        <v>0</v>
      </c>
      <c r="P25" s="1937"/>
      <c r="Q25" s="1937"/>
      <c r="R25" s="1937"/>
      <c r="S25" s="83"/>
    </row>
    <row r="26" spans="1:19" s="28" customFormat="1" ht="15" customHeight="1">
      <c r="A26" s="469"/>
      <c r="B26" s="161"/>
      <c r="C26" s="1939"/>
      <c r="D26" s="1939"/>
      <c r="E26" s="3002" t="s">
        <v>2358</v>
      </c>
      <c r="F26" s="3002"/>
      <c r="G26" s="1995"/>
      <c r="H26" s="1995"/>
      <c r="I26" s="1995"/>
      <c r="J26" s="2057">
        <f t="shared" si="2"/>
        <v>0</v>
      </c>
      <c r="K26" s="1944"/>
      <c r="L26" s="1995"/>
      <c r="M26" s="1995"/>
      <c r="N26" s="1995"/>
      <c r="O26" s="2057">
        <f t="shared" si="3"/>
        <v>0</v>
      </c>
      <c r="P26" s="1937"/>
      <c r="Q26" s="1937"/>
      <c r="R26" s="1937"/>
      <c r="S26" s="83"/>
    </row>
    <row r="27" spans="1:19" s="28" customFormat="1" ht="15" customHeight="1">
      <c r="A27" s="469"/>
      <c r="B27" s="161"/>
      <c r="C27" s="1939"/>
      <c r="D27" s="1939"/>
      <c r="E27" s="3002" t="s">
        <v>2359</v>
      </c>
      <c r="F27" s="3002"/>
      <c r="G27" s="1995"/>
      <c r="H27" s="1995"/>
      <c r="I27" s="1995"/>
      <c r="J27" s="2057">
        <f t="shared" si="2"/>
        <v>0</v>
      </c>
      <c r="K27" s="1944"/>
      <c r="L27" s="1995"/>
      <c r="M27" s="1995"/>
      <c r="N27" s="1995"/>
      <c r="O27" s="2057">
        <f t="shared" si="3"/>
        <v>0</v>
      </c>
      <c r="P27" s="1937"/>
      <c r="Q27" s="1937"/>
      <c r="R27" s="1937"/>
      <c r="S27" s="83"/>
    </row>
    <row r="28" spans="1:19" s="28" customFormat="1" ht="15" customHeight="1">
      <c r="A28" s="469"/>
      <c r="B28" s="161"/>
      <c r="C28" s="1939"/>
      <c r="D28" s="1939"/>
      <c r="E28" s="3002" t="s">
        <v>2360</v>
      </c>
      <c r="F28" s="3002"/>
      <c r="G28" s="1995"/>
      <c r="H28" s="1995"/>
      <c r="I28" s="1995"/>
      <c r="J28" s="2057">
        <f t="shared" si="2"/>
        <v>0</v>
      </c>
      <c r="K28" s="1944"/>
      <c r="L28" s="1995"/>
      <c r="M28" s="1995"/>
      <c r="N28" s="1995"/>
      <c r="O28" s="2057">
        <f t="shared" si="3"/>
        <v>0</v>
      </c>
      <c r="P28" s="1937"/>
      <c r="Q28" s="1937"/>
      <c r="R28" s="1937"/>
      <c r="S28" s="83"/>
    </row>
    <row r="29" spans="1:19" s="28" customFormat="1" ht="15" customHeight="1">
      <c r="A29" s="469"/>
      <c r="B29" s="161"/>
      <c r="C29" s="1939"/>
      <c r="D29" s="1939"/>
      <c r="E29" s="3002" t="s">
        <v>2361</v>
      </c>
      <c r="F29" s="3002"/>
      <c r="G29" s="1995"/>
      <c r="H29" s="1995"/>
      <c r="I29" s="1995"/>
      <c r="J29" s="2057">
        <f t="shared" si="2"/>
        <v>0</v>
      </c>
      <c r="K29" s="1944"/>
      <c r="L29" s="1995"/>
      <c r="M29" s="1995"/>
      <c r="N29" s="1995"/>
      <c r="O29" s="2057">
        <f t="shared" si="3"/>
        <v>0</v>
      </c>
      <c r="P29" s="1937"/>
      <c r="Q29" s="1937"/>
      <c r="R29" s="1937"/>
      <c r="S29" s="83"/>
    </row>
    <row r="30" spans="1:19" s="28" customFormat="1" ht="15" customHeight="1">
      <c r="A30" s="469"/>
      <c r="B30" s="161"/>
      <c r="C30" s="1939"/>
      <c r="D30" s="1939"/>
      <c r="E30" s="3003" t="s">
        <v>2612</v>
      </c>
      <c r="F30" s="3003"/>
      <c r="G30" s="1942"/>
      <c r="H30" s="1942"/>
      <c r="I30" s="1942"/>
      <c r="J30" s="2058"/>
      <c r="K30" s="1944"/>
      <c r="L30" s="1942"/>
      <c r="M30" s="1942"/>
      <c r="N30" s="1942"/>
      <c r="O30" s="2058"/>
      <c r="P30" s="1937"/>
      <c r="Q30" s="1937"/>
      <c r="R30" s="1937"/>
      <c r="S30" s="83"/>
    </row>
    <row r="31" spans="1:19" s="28" customFormat="1" ht="15" customHeight="1">
      <c r="A31" s="469"/>
      <c r="B31" s="161"/>
      <c r="C31" s="1939"/>
      <c r="D31" s="1939"/>
      <c r="E31" s="3002" t="s">
        <v>2357</v>
      </c>
      <c r="F31" s="3002"/>
      <c r="G31" s="1995"/>
      <c r="H31" s="1995"/>
      <c r="I31" s="1995"/>
      <c r="J31" s="2057">
        <f t="shared" ref="J31:J35" si="4">G31*I31</f>
        <v>0</v>
      </c>
      <c r="K31" s="1944"/>
      <c r="L31" s="1995"/>
      <c r="M31" s="1995"/>
      <c r="N31" s="1995"/>
      <c r="O31" s="2057">
        <f t="shared" ref="O31:O35" si="5">L31*N31</f>
        <v>0</v>
      </c>
      <c r="P31" s="1937"/>
      <c r="Q31" s="1937"/>
      <c r="R31" s="1937"/>
      <c r="S31" s="83"/>
    </row>
    <row r="32" spans="1:19" s="28" customFormat="1" ht="15" customHeight="1">
      <c r="A32" s="469"/>
      <c r="B32" s="161"/>
      <c r="C32" s="1939"/>
      <c r="D32" s="1939"/>
      <c r="E32" s="3002" t="s">
        <v>2358</v>
      </c>
      <c r="F32" s="3002"/>
      <c r="G32" s="1995"/>
      <c r="H32" s="1995"/>
      <c r="I32" s="1995"/>
      <c r="J32" s="2057">
        <f t="shared" si="4"/>
        <v>0</v>
      </c>
      <c r="K32" s="1944"/>
      <c r="L32" s="1995"/>
      <c r="M32" s="1995"/>
      <c r="N32" s="1995"/>
      <c r="O32" s="2057">
        <f t="shared" si="5"/>
        <v>0</v>
      </c>
      <c r="P32" s="1937"/>
      <c r="Q32" s="1937"/>
      <c r="R32" s="1937"/>
      <c r="S32" s="83"/>
    </row>
    <row r="33" spans="1:19" s="28" customFormat="1" ht="15" customHeight="1">
      <c r="A33" s="469"/>
      <c r="B33" s="161"/>
      <c r="C33" s="1939"/>
      <c r="D33" s="1939"/>
      <c r="E33" s="3002" t="s">
        <v>2359</v>
      </c>
      <c r="F33" s="3002"/>
      <c r="G33" s="1995"/>
      <c r="H33" s="1995"/>
      <c r="I33" s="1995"/>
      <c r="J33" s="2057">
        <f t="shared" si="4"/>
        <v>0</v>
      </c>
      <c r="K33" s="1944"/>
      <c r="L33" s="1995"/>
      <c r="M33" s="1995"/>
      <c r="N33" s="1995"/>
      <c r="O33" s="2057">
        <f t="shared" si="5"/>
        <v>0</v>
      </c>
      <c r="P33" s="1937"/>
      <c r="Q33" s="1937"/>
      <c r="R33" s="1937"/>
      <c r="S33" s="83"/>
    </row>
    <row r="34" spans="1:19" s="28" customFormat="1" ht="15" customHeight="1">
      <c r="A34" s="469"/>
      <c r="B34" s="161"/>
      <c r="C34" s="1939"/>
      <c r="D34" s="1939"/>
      <c r="E34" s="3002" t="s">
        <v>2360</v>
      </c>
      <c r="F34" s="3002"/>
      <c r="G34" s="1995"/>
      <c r="H34" s="1995"/>
      <c r="I34" s="1995"/>
      <c r="J34" s="2057">
        <f t="shared" si="4"/>
        <v>0</v>
      </c>
      <c r="K34" s="1944"/>
      <c r="L34" s="1995"/>
      <c r="M34" s="1995"/>
      <c r="N34" s="1995"/>
      <c r="O34" s="2057">
        <f t="shared" si="5"/>
        <v>0</v>
      </c>
      <c r="P34" s="1937"/>
      <c r="Q34" s="1937"/>
      <c r="R34" s="1937"/>
      <c r="S34" s="83"/>
    </row>
    <row r="35" spans="1:19" s="28" customFormat="1" ht="15" customHeight="1">
      <c r="A35" s="469"/>
      <c r="B35" s="161"/>
      <c r="C35" s="1939"/>
      <c r="D35" s="1939"/>
      <c r="E35" s="3002" t="s">
        <v>2361</v>
      </c>
      <c r="F35" s="3002"/>
      <c r="G35" s="1995"/>
      <c r="H35" s="1995"/>
      <c r="I35" s="1995"/>
      <c r="J35" s="2057">
        <f t="shared" si="4"/>
        <v>0</v>
      </c>
      <c r="K35" s="1944"/>
      <c r="L35" s="1995"/>
      <c r="M35" s="1995"/>
      <c r="N35" s="1995"/>
      <c r="O35" s="2057">
        <f t="shared" si="5"/>
        <v>0</v>
      </c>
      <c r="P35" s="1937"/>
      <c r="Q35" s="1937"/>
      <c r="R35" s="1937"/>
      <c r="S35" s="83"/>
    </row>
    <row r="36" spans="1:19" s="28" customFormat="1" ht="15" customHeight="1">
      <c r="A36" s="469"/>
      <c r="B36" s="161"/>
      <c r="C36" s="1939"/>
      <c r="D36" s="1939"/>
      <c r="E36" s="3003" t="s">
        <v>139</v>
      </c>
      <c r="F36" s="3003"/>
      <c r="G36" s="1942"/>
      <c r="H36" s="1942"/>
      <c r="I36" s="1942"/>
      <c r="J36" s="2058"/>
      <c r="K36" s="1944"/>
      <c r="L36" s="1942"/>
      <c r="M36" s="1942"/>
      <c r="N36" s="1942"/>
      <c r="O36" s="2058"/>
      <c r="P36" s="1937"/>
      <c r="Q36" s="1937"/>
      <c r="R36" s="1937"/>
      <c r="S36" s="83"/>
    </row>
    <row r="37" spans="1:19" s="28" customFormat="1" ht="15" customHeight="1">
      <c r="A37" s="469"/>
      <c r="B37" s="161"/>
      <c r="C37" s="1939"/>
      <c r="D37" s="1939"/>
      <c r="E37" s="3001"/>
      <c r="F37" s="3001"/>
      <c r="G37" s="1995"/>
      <c r="H37" s="1995"/>
      <c r="I37" s="1995"/>
      <c r="J37" s="2057">
        <f t="shared" ref="J37:J41" si="6">G37*I37</f>
        <v>0</v>
      </c>
      <c r="K37" s="1944"/>
      <c r="L37" s="1995"/>
      <c r="M37" s="1995"/>
      <c r="N37" s="1995"/>
      <c r="O37" s="2057">
        <f t="shared" ref="O37:O41" si="7">L37*N37</f>
        <v>0</v>
      </c>
      <c r="P37" s="1937"/>
      <c r="Q37" s="1937"/>
      <c r="R37" s="1937"/>
      <c r="S37" s="83"/>
    </row>
    <row r="38" spans="1:19" s="28" customFormat="1" ht="15" customHeight="1">
      <c r="A38" s="469"/>
      <c r="B38" s="161"/>
      <c r="C38" s="1939"/>
      <c r="D38" s="1939"/>
      <c r="E38" s="3001"/>
      <c r="F38" s="3001"/>
      <c r="G38" s="1995"/>
      <c r="H38" s="1995"/>
      <c r="I38" s="1995"/>
      <c r="J38" s="2057">
        <f t="shared" si="6"/>
        <v>0</v>
      </c>
      <c r="K38" s="1944"/>
      <c r="L38" s="1995"/>
      <c r="M38" s="1995"/>
      <c r="N38" s="1995"/>
      <c r="O38" s="2057">
        <f t="shared" si="7"/>
        <v>0</v>
      </c>
      <c r="P38" s="1937"/>
      <c r="Q38" s="1937"/>
      <c r="R38" s="1937"/>
      <c r="S38" s="83"/>
    </row>
    <row r="39" spans="1:19" s="28" customFormat="1" ht="15" customHeight="1">
      <c r="A39" s="469"/>
      <c r="B39" s="161"/>
      <c r="C39" s="1939"/>
      <c r="D39" s="1939"/>
      <c r="E39" s="3001"/>
      <c r="F39" s="3001"/>
      <c r="G39" s="1995"/>
      <c r="H39" s="1995"/>
      <c r="I39" s="1995"/>
      <c r="J39" s="2057">
        <f t="shared" si="6"/>
        <v>0</v>
      </c>
      <c r="K39" s="1944"/>
      <c r="L39" s="1995"/>
      <c r="M39" s="1995"/>
      <c r="N39" s="1995"/>
      <c r="O39" s="2057">
        <f t="shared" si="7"/>
        <v>0</v>
      </c>
      <c r="P39" s="1937"/>
      <c r="Q39" s="1937"/>
      <c r="R39" s="1937"/>
      <c r="S39" s="83"/>
    </row>
    <row r="40" spans="1:19" s="28" customFormat="1" ht="15" customHeight="1">
      <c r="A40" s="469"/>
      <c r="B40" s="161"/>
      <c r="C40" s="1939"/>
      <c r="D40" s="1939"/>
      <c r="E40" s="3001"/>
      <c r="F40" s="3001"/>
      <c r="G40" s="1995"/>
      <c r="H40" s="1995"/>
      <c r="I40" s="1995"/>
      <c r="J40" s="2057">
        <f t="shared" si="6"/>
        <v>0</v>
      </c>
      <c r="K40" s="1944"/>
      <c r="L40" s="1995"/>
      <c r="M40" s="1995"/>
      <c r="N40" s="1995"/>
      <c r="O40" s="2057">
        <f t="shared" si="7"/>
        <v>0</v>
      </c>
      <c r="P40" s="1937"/>
      <c r="Q40" s="1937"/>
      <c r="R40" s="1937"/>
      <c r="S40" s="83"/>
    </row>
    <row r="41" spans="1:19" s="28" customFormat="1" ht="15" customHeight="1">
      <c r="A41" s="469"/>
      <c r="B41" s="161"/>
      <c r="C41" s="1933"/>
      <c r="D41" s="1933"/>
      <c r="E41" s="3001"/>
      <c r="F41" s="3001"/>
      <c r="G41" s="1995"/>
      <c r="H41" s="1995"/>
      <c r="I41" s="1995"/>
      <c r="J41" s="2057">
        <f t="shared" si="6"/>
        <v>0</v>
      </c>
      <c r="K41" s="1944"/>
      <c r="L41" s="1995"/>
      <c r="M41" s="1995"/>
      <c r="N41" s="1995"/>
      <c r="O41" s="2057">
        <f t="shared" si="7"/>
        <v>0</v>
      </c>
      <c r="P41" s="1931"/>
      <c r="Q41" s="1931"/>
      <c r="R41" s="1931"/>
      <c r="S41" s="83"/>
    </row>
    <row r="42" spans="1:19" s="28" customFormat="1" ht="15" customHeight="1">
      <c r="A42" s="469"/>
      <c r="B42" s="161"/>
      <c r="C42" s="1939"/>
      <c r="D42" s="1939"/>
      <c r="E42" s="3003" t="s">
        <v>2367</v>
      </c>
      <c r="F42" s="3003"/>
      <c r="G42" s="3003"/>
      <c r="H42" s="1944"/>
      <c r="I42" s="1944"/>
      <c r="J42" s="2059"/>
      <c r="K42" s="1944"/>
      <c r="L42" s="1944"/>
      <c r="M42" s="1944"/>
      <c r="N42" s="1944"/>
      <c r="O42" s="2061"/>
      <c r="P42" s="1937"/>
      <c r="Q42" s="1937"/>
      <c r="R42" s="1937"/>
      <c r="S42" s="83"/>
    </row>
    <row r="43" spans="1:19" s="28" customFormat="1" ht="35" customHeight="1">
      <c r="A43" s="469"/>
      <c r="B43" s="161"/>
      <c r="C43" s="1939"/>
      <c r="D43" s="1939"/>
      <c r="E43" s="1945"/>
      <c r="F43" s="1945"/>
      <c r="G43" s="1943" t="s">
        <v>2363</v>
      </c>
      <c r="H43" s="1943" t="s">
        <v>2372</v>
      </c>
      <c r="I43" s="1943" t="s">
        <v>2364</v>
      </c>
      <c r="J43" s="2060" t="s">
        <v>2622</v>
      </c>
      <c r="K43" s="1944"/>
      <c r="L43" s="1943" t="s">
        <v>2363</v>
      </c>
      <c r="M43" s="1943" t="s">
        <v>2372</v>
      </c>
      <c r="N43" s="1943" t="s">
        <v>2364</v>
      </c>
      <c r="O43" s="2060" t="s">
        <v>2622</v>
      </c>
      <c r="P43" s="1937"/>
      <c r="Q43" s="1937"/>
      <c r="R43" s="1937"/>
      <c r="S43" s="83"/>
    </row>
    <row r="44" spans="1:19" s="28" customFormat="1" ht="15" customHeight="1">
      <c r="A44" s="469"/>
      <c r="B44" s="161"/>
      <c r="C44" s="1939"/>
      <c r="D44" s="1939"/>
      <c r="E44" s="3006" t="s">
        <v>2368</v>
      </c>
      <c r="F44" s="3006"/>
      <c r="G44" s="1995"/>
      <c r="H44" s="1995"/>
      <c r="I44" s="1995"/>
      <c r="J44" s="2057">
        <f>G44*H44/12*I44</f>
        <v>0</v>
      </c>
      <c r="K44" s="1944"/>
      <c r="L44" s="1995"/>
      <c r="M44" s="1995"/>
      <c r="N44" s="1995"/>
      <c r="O44" s="2057">
        <f>L44*M44/12*N44</f>
        <v>0</v>
      </c>
      <c r="P44" s="1937"/>
      <c r="Q44" s="1937"/>
      <c r="R44" s="1937"/>
      <c r="S44" s="83"/>
    </row>
    <row r="45" spans="1:19" s="28" customFormat="1" ht="15" customHeight="1">
      <c r="A45" s="469"/>
      <c r="B45" s="161"/>
      <c r="C45" s="1939"/>
      <c r="D45" s="1939"/>
      <c r="E45" s="3006" t="s">
        <v>2369</v>
      </c>
      <c r="F45" s="3006"/>
      <c r="G45" s="1995"/>
      <c r="H45" s="1995"/>
      <c r="I45" s="1995"/>
      <c r="J45" s="2057">
        <f t="shared" ref="J45:J46" si="8">G45*H45/12*I45</f>
        <v>0</v>
      </c>
      <c r="K45" s="1944"/>
      <c r="L45" s="1995"/>
      <c r="M45" s="1995"/>
      <c r="N45" s="1995"/>
      <c r="O45" s="2057">
        <f t="shared" ref="O45:O46" si="9">L45*M45/12*N45</f>
        <v>0</v>
      </c>
      <c r="P45" s="1937"/>
      <c r="Q45" s="1937"/>
      <c r="R45" s="1937"/>
      <c r="S45" s="83"/>
    </row>
    <row r="46" spans="1:19" s="28" customFormat="1" ht="15" customHeight="1">
      <c r="A46" s="469"/>
      <c r="B46" s="161"/>
      <c r="C46" s="1939"/>
      <c r="D46" s="1939"/>
      <c r="E46" s="3002" t="s">
        <v>2370</v>
      </c>
      <c r="F46" s="3002"/>
      <c r="G46" s="1995"/>
      <c r="H46" s="1995"/>
      <c r="I46" s="1995"/>
      <c r="J46" s="2057">
        <f t="shared" si="8"/>
        <v>0</v>
      </c>
      <c r="K46" s="1944"/>
      <c r="L46" s="1995"/>
      <c r="M46" s="1995"/>
      <c r="N46" s="1995"/>
      <c r="O46" s="2057">
        <f t="shared" si="9"/>
        <v>0</v>
      </c>
      <c r="P46" s="1937"/>
      <c r="Q46" s="1937"/>
      <c r="R46" s="1937"/>
      <c r="S46" s="83"/>
    </row>
    <row r="47" spans="1:19" s="28" customFormat="1" ht="15" customHeight="1">
      <c r="A47" s="469"/>
      <c r="B47" s="161"/>
      <c r="C47" s="1939"/>
      <c r="D47" s="1939"/>
      <c r="E47" s="3002" t="s">
        <v>2371</v>
      </c>
      <c r="F47" s="3002"/>
      <c r="G47" s="1995"/>
      <c r="H47" s="1995"/>
      <c r="I47" s="1995"/>
      <c r="J47" s="2057"/>
      <c r="K47" s="1944"/>
      <c r="L47" s="1995"/>
      <c r="M47" s="1995"/>
      <c r="N47" s="1995"/>
      <c r="O47" s="2057"/>
      <c r="P47" s="1937"/>
      <c r="Q47" s="1937"/>
      <c r="R47" s="1937"/>
      <c r="S47" s="83"/>
    </row>
    <row r="48" spans="1:19" s="28" customFormat="1" ht="15" customHeight="1">
      <c r="A48" s="469"/>
      <c r="B48" s="161"/>
      <c r="C48" s="1939"/>
      <c r="D48" s="1939"/>
      <c r="E48" s="3004" t="s">
        <v>139</v>
      </c>
      <c r="F48" s="3004"/>
      <c r="G48" s="1942"/>
      <c r="H48" s="1942"/>
      <c r="I48" s="1942"/>
      <c r="J48" s="2058"/>
      <c r="K48" s="1944"/>
      <c r="L48" s="1942"/>
      <c r="M48" s="1942"/>
      <c r="N48" s="1942"/>
      <c r="O48" s="2058"/>
      <c r="P48" s="1937"/>
      <c r="Q48" s="1937"/>
      <c r="R48" s="1937"/>
      <c r="S48" s="83"/>
    </row>
    <row r="49" spans="1:19" s="28" customFormat="1" ht="15" customHeight="1">
      <c r="A49" s="469"/>
      <c r="B49" s="161"/>
      <c r="C49" s="1939"/>
      <c r="D49" s="1939"/>
      <c r="E49" s="3001"/>
      <c r="F49" s="3001"/>
      <c r="G49" s="1995"/>
      <c r="H49" s="1995"/>
      <c r="I49" s="1995"/>
      <c r="J49" s="2057">
        <f t="shared" ref="J49:J52" si="10">G49*H49/12*I49</f>
        <v>0</v>
      </c>
      <c r="K49" s="1944"/>
      <c r="L49" s="1995"/>
      <c r="M49" s="1995"/>
      <c r="N49" s="1995"/>
      <c r="O49" s="2057">
        <f t="shared" ref="O49:O52" si="11">L49*M49/12*N49</f>
        <v>0</v>
      </c>
      <c r="P49" s="1937"/>
      <c r="Q49" s="1937"/>
      <c r="R49" s="1937"/>
      <c r="S49" s="83"/>
    </row>
    <row r="50" spans="1:19" s="28" customFormat="1" ht="15" customHeight="1">
      <c r="A50" s="469"/>
      <c r="B50" s="161"/>
      <c r="C50" s="1939"/>
      <c r="D50" s="1939"/>
      <c r="E50" s="3001"/>
      <c r="F50" s="3001"/>
      <c r="G50" s="1995"/>
      <c r="H50" s="1995"/>
      <c r="I50" s="1995"/>
      <c r="J50" s="2057">
        <f t="shared" si="10"/>
        <v>0</v>
      </c>
      <c r="K50" s="1944"/>
      <c r="L50" s="1995"/>
      <c r="M50" s="1995"/>
      <c r="N50" s="1995"/>
      <c r="O50" s="2057">
        <f t="shared" si="11"/>
        <v>0</v>
      </c>
      <c r="P50" s="1937"/>
      <c r="Q50" s="1937"/>
      <c r="R50" s="1937"/>
      <c r="S50" s="83"/>
    </row>
    <row r="51" spans="1:19" s="28" customFormat="1" ht="15" customHeight="1">
      <c r="A51" s="469"/>
      <c r="B51" s="161"/>
      <c r="C51" s="1939"/>
      <c r="D51" s="1939"/>
      <c r="E51" s="3001"/>
      <c r="F51" s="3001"/>
      <c r="G51" s="1995"/>
      <c r="H51" s="1995"/>
      <c r="I51" s="1995"/>
      <c r="J51" s="2057">
        <f t="shared" si="10"/>
        <v>0</v>
      </c>
      <c r="K51" s="1944"/>
      <c r="L51" s="1995"/>
      <c r="M51" s="1995"/>
      <c r="N51" s="1995"/>
      <c r="O51" s="2057">
        <f t="shared" si="11"/>
        <v>0</v>
      </c>
      <c r="P51" s="1937"/>
      <c r="Q51" s="1937"/>
      <c r="R51" s="1937"/>
      <c r="S51" s="83"/>
    </row>
    <row r="52" spans="1:19" s="28" customFormat="1" ht="15" customHeight="1">
      <c r="A52" s="469"/>
      <c r="B52" s="161"/>
      <c r="C52" s="1939"/>
      <c r="D52" s="1939"/>
      <c r="E52" s="3001"/>
      <c r="F52" s="3001"/>
      <c r="G52" s="1995"/>
      <c r="H52" s="1995"/>
      <c r="I52" s="1995"/>
      <c r="J52" s="2057">
        <f t="shared" si="10"/>
        <v>0</v>
      </c>
      <c r="K52" s="1944"/>
      <c r="L52" s="1995"/>
      <c r="M52" s="1995"/>
      <c r="N52" s="1995"/>
      <c r="O52" s="2057">
        <f t="shared" si="11"/>
        <v>0</v>
      </c>
      <c r="P52" s="1937"/>
      <c r="Q52" s="1937"/>
      <c r="R52" s="1937"/>
      <c r="S52" s="83"/>
    </row>
    <row r="53" spans="1:19" s="28" customFormat="1" ht="15" customHeight="1">
      <c r="A53" s="469"/>
      <c r="B53" s="161"/>
      <c r="C53" s="1939"/>
      <c r="D53" s="1939"/>
      <c r="E53" s="1941"/>
      <c r="F53" s="1941"/>
      <c r="G53" s="1939"/>
      <c r="H53" s="1939"/>
      <c r="I53" s="1939"/>
      <c r="J53" s="1939"/>
      <c r="K53" s="1939"/>
      <c r="L53" s="1939"/>
      <c r="M53" s="1939"/>
      <c r="N53" s="1939"/>
      <c r="O53" s="2062"/>
      <c r="P53" s="1937"/>
      <c r="Q53" s="1937"/>
      <c r="R53" s="1937"/>
      <c r="S53" s="83"/>
    </row>
    <row r="54" spans="1:19" s="28" customFormat="1" ht="15" customHeight="1">
      <c r="A54" s="469"/>
      <c r="B54" s="161"/>
      <c r="C54" s="1939"/>
      <c r="D54" s="1939"/>
      <c r="E54" s="1941"/>
      <c r="F54" s="1946" t="s">
        <v>2374</v>
      </c>
      <c r="G54" s="1939"/>
      <c r="H54" s="1939"/>
      <c r="I54" s="1939"/>
      <c r="J54" s="2063">
        <f>SUM(J16:J52)</f>
        <v>0</v>
      </c>
      <c r="K54" s="1939"/>
      <c r="L54" s="1939"/>
      <c r="M54" s="1939"/>
      <c r="N54" s="1939"/>
      <c r="O54" s="2063">
        <f>SUM(O16:O52)</f>
        <v>0</v>
      </c>
      <c r="P54" s="1937"/>
      <c r="Q54" s="1937"/>
      <c r="R54" s="1937"/>
      <c r="S54" s="83"/>
    </row>
    <row r="55" spans="1:19" s="28" customFormat="1" ht="15" customHeight="1">
      <c r="A55" s="469"/>
      <c r="B55" s="161"/>
      <c r="C55" s="1939"/>
      <c r="D55" s="1939"/>
      <c r="E55" s="1941"/>
      <c r="F55" s="1941"/>
      <c r="G55" s="1939"/>
      <c r="H55" s="1939"/>
      <c r="I55" s="1939"/>
      <c r="J55" s="1939"/>
      <c r="K55" s="1939"/>
      <c r="L55" s="1939"/>
      <c r="M55" s="1939"/>
      <c r="N55" s="1939"/>
      <c r="O55" s="1938"/>
      <c r="P55" s="1937"/>
      <c r="Q55" s="1937"/>
      <c r="R55" s="1937"/>
      <c r="S55" s="83"/>
    </row>
    <row r="56" spans="1:19" s="28" customFormat="1" ht="15" customHeight="1">
      <c r="A56" s="469"/>
      <c r="B56" s="161"/>
      <c r="C56" s="1939"/>
      <c r="D56" s="1939"/>
      <c r="E56" s="1941"/>
      <c r="G56" s="1939"/>
      <c r="I56" s="1939"/>
      <c r="J56" s="1946" t="s">
        <v>2375</v>
      </c>
      <c r="K56" s="2064">
        <f>IF(J54&gt;0,(J54-O54)/J54*100,0)</f>
        <v>0</v>
      </c>
      <c r="L56" s="1994" t="s">
        <v>2347</v>
      </c>
      <c r="M56" s="1939"/>
      <c r="N56" s="1939"/>
      <c r="O56" s="1938"/>
      <c r="P56" s="1937"/>
      <c r="Q56" s="1937"/>
      <c r="R56" s="1937"/>
      <c r="S56" s="83"/>
    </row>
    <row r="57" spans="1:19" s="28" customFormat="1" ht="15" customHeight="1">
      <c r="A57" s="469"/>
      <c r="B57" s="161"/>
      <c r="C57" s="1939"/>
      <c r="D57" s="1939"/>
      <c r="E57" s="1941"/>
      <c r="F57" s="1941"/>
      <c r="G57" s="1939"/>
      <c r="H57" s="1939"/>
      <c r="I57" s="1939"/>
      <c r="J57" s="1946" t="s">
        <v>1977</v>
      </c>
      <c r="K57" s="3000" t="str">
        <f>ch8TotalScore</f>
        <v>none</v>
      </c>
      <c r="L57" s="3000"/>
      <c r="M57" s="1939"/>
      <c r="N57" s="1939"/>
      <c r="O57" s="1938"/>
      <c r="P57" s="1937"/>
      <c r="Q57" s="1937"/>
      <c r="R57" s="1937"/>
      <c r="S57" s="83"/>
    </row>
    <row r="58" spans="1:19" s="28" customFormat="1" ht="15" customHeight="1">
      <c r="A58" s="469"/>
      <c r="B58" s="161"/>
      <c r="C58" s="1933"/>
      <c r="D58" s="1933"/>
      <c r="E58" s="1939"/>
      <c r="F58" s="1933"/>
      <c r="G58" s="1933"/>
      <c r="H58" s="1933"/>
      <c r="I58" s="1933"/>
      <c r="J58" s="1933"/>
      <c r="K58" s="1933"/>
      <c r="L58" s="1933"/>
      <c r="M58" s="1933"/>
      <c r="N58" s="1933"/>
      <c r="O58" s="1932"/>
      <c r="P58" s="1931"/>
      <c r="Q58" s="1931"/>
      <c r="R58" s="1931"/>
      <c r="S58" s="83"/>
    </row>
    <row r="59" spans="1:19" s="28" customFormat="1" ht="22.5" customHeight="1">
      <c r="A59" s="469"/>
      <c r="B59" s="161"/>
      <c r="C59" s="1933"/>
      <c r="D59" s="1933"/>
      <c r="E59" s="1939"/>
      <c r="F59" s="1933"/>
      <c r="G59" s="1933"/>
      <c r="H59" s="1933"/>
      <c r="I59" s="1933"/>
      <c r="J59" s="1933"/>
      <c r="K59" s="1933"/>
      <c r="L59" s="1933"/>
      <c r="M59" s="1933"/>
      <c r="N59" s="1933"/>
      <c r="O59" s="1932"/>
      <c r="P59" s="1931"/>
      <c r="Q59" s="1931"/>
      <c r="R59" s="1931"/>
      <c r="S59" s="83"/>
    </row>
    <row r="60" spans="1:19" ht="16" thickBot="1">
      <c r="B60" s="2946"/>
      <c r="C60" s="2946"/>
      <c r="D60" s="2946"/>
      <c r="E60" s="2946"/>
      <c r="F60" s="2946"/>
      <c r="G60" s="2946"/>
      <c r="H60" s="2946"/>
      <c r="I60" s="2946"/>
      <c r="J60" s="2946"/>
      <c r="K60" s="2946"/>
      <c r="L60" s="2946"/>
      <c r="M60" s="2946"/>
      <c r="N60" s="2946"/>
      <c r="O60" s="2946"/>
      <c r="P60" s="2946"/>
      <c r="Q60" s="2946"/>
      <c r="R60" s="2946"/>
      <c r="S60" s="2946"/>
    </row>
    <row r="61" spans="1:19" ht="20" thickBot="1">
      <c r="B61" s="2340" t="s">
        <v>331</v>
      </c>
      <c r="C61" s="2341"/>
      <c r="D61" s="2341"/>
      <c r="E61" s="2341"/>
      <c r="F61" s="2341"/>
      <c r="G61" s="2341"/>
      <c r="H61" s="2341"/>
      <c r="I61" s="2341"/>
      <c r="J61" s="2341"/>
      <c r="K61" s="2341"/>
      <c r="L61" s="2341"/>
      <c r="M61" s="2341"/>
      <c r="N61" s="2341"/>
      <c r="O61" s="2342" t="s">
        <v>332</v>
      </c>
      <c r="P61" s="2342"/>
      <c r="Q61" s="2342"/>
      <c r="R61" s="2342"/>
      <c r="S61" s="2343"/>
    </row>
    <row r="62" spans="1:19">
      <c r="B62" s="301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62" s="3014"/>
      <c r="D62" s="3014"/>
      <c r="E62" s="3014"/>
      <c r="F62" s="3014"/>
      <c r="G62" s="3014"/>
      <c r="H62" s="3014"/>
      <c r="I62" s="3014"/>
      <c r="J62" s="3014"/>
      <c r="K62" s="3014"/>
      <c r="L62" s="3014"/>
      <c r="M62" s="3014"/>
      <c r="N62" s="3014"/>
      <c r="O62" s="3014"/>
      <c r="P62" s="3014"/>
      <c r="Q62" s="3014"/>
      <c r="R62" s="3014"/>
      <c r="S62" s="3014"/>
    </row>
    <row r="63" spans="1:19">
      <c r="B63" s="3015"/>
      <c r="C63" s="3015"/>
      <c r="D63" s="3015"/>
      <c r="E63" s="3015"/>
      <c r="F63" s="3015"/>
      <c r="G63" s="3015"/>
      <c r="H63" s="3015"/>
      <c r="I63" s="3015"/>
      <c r="J63" s="3015"/>
      <c r="K63" s="3015"/>
      <c r="L63" s="3015"/>
      <c r="M63" s="3015"/>
      <c r="N63" s="3015"/>
      <c r="O63" s="3015"/>
      <c r="P63" s="3015"/>
      <c r="Q63" s="3015"/>
      <c r="R63" s="3015"/>
      <c r="S63" s="3015"/>
    </row>
    <row r="64" spans="1:19">
      <c r="B64" s="3015"/>
      <c r="C64" s="3015"/>
      <c r="D64" s="3015"/>
      <c r="E64" s="3015"/>
      <c r="F64" s="3015"/>
      <c r="G64" s="3015"/>
      <c r="H64" s="3015"/>
      <c r="I64" s="3015"/>
      <c r="J64" s="3015"/>
      <c r="K64" s="3015"/>
      <c r="L64" s="3015"/>
      <c r="M64" s="3015"/>
      <c r="N64" s="3015"/>
      <c r="O64" s="3015"/>
      <c r="P64" s="3015"/>
      <c r="Q64" s="3015"/>
      <c r="R64" s="3015"/>
      <c r="S64" s="3015"/>
    </row>
    <row r="65" spans="2:19" ht="45" customHeight="1">
      <c r="B65" s="28"/>
      <c r="C65" s="167"/>
      <c r="D65" s="167"/>
      <c r="E65" s="28"/>
      <c r="F65" s="28"/>
      <c r="G65" s="28"/>
      <c r="H65" s="28"/>
      <c r="I65" s="28"/>
      <c r="J65" s="28"/>
      <c r="K65" s="28"/>
      <c r="L65" s="28"/>
      <c r="M65" s="28"/>
      <c r="N65" s="28"/>
      <c r="O65" s="28"/>
      <c r="P65" s="28"/>
      <c r="Q65" s="28"/>
      <c r="R65" s="41"/>
      <c r="S65" s="28"/>
    </row>
    <row r="66" spans="2:19">
      <c r="B66" s="28"/>
      <c r="C66" s="167"/>
      <c r="D66" s="167"/>
      <c r="E66" s="28"/>
      <c r="F66" s="28"/>
      <c r="G66" s="28"/>
      <c r="H66" s="28"/>
      <c r="I66" s="28"/>
      <c r="J66" s="28"/>
      <c r="K66" s="28"/>
      <c r="L66" s="28"/>
      <c r="M66" s="28"/>
      <c r="N66" s="28"/>
      <c r="O66" s="28"/>
      <c r="P66" s="28"/>
      <c r="Q66" s="28"/>
      <c r="R66" s="41"/>
      <c r="S66" s="28"/>
    </row>
    <row r="67" spans="2:19">
      <c r="B67" s="28"/>
      <c r="C67" s="167"/>
      <c r="D67" s="167"/>
      <c r="E67" s="28"/>
      <c r="F67" s="28"/>
      <c r="G67" s="28"/>
      <c r="H67" s="28"/>
      <c r="I67" s="28"/>
      <c r="J67" s="28"/>
      <c r="K67" s="28"/>
      <c r="L67" s="28"/>
      <c r="M67" s="28"/>
      <c r="N67" s="28"/>
      <c r="O67" s="28"/>
      <c r="P67" s="28"/>
      <c r="Q67" s="28"/>
      <c r="R67" s="41"/>
      <c r="S67" s="28"/>
    </row>
    <row r="68" spans="2:19" ht="45" customHeight="1">
      <c r="B68" s="28"/>
      <c r="C68" s="167"/>
      <c r="D68" s="167"/>
      <c r="E68" s="28"/>
      <c r="F68" s="28"/>
      <c r="G68" s="28"/>
      <c r="H68" s="28"/>
      <c r="I68" s="28"/>
      <c r="J68" s="28"/>
      <c r="K68" s="28"/>
      <c r="L68" s="28"/>
      <c r="M68" s="28"/>
      <c r="N68" s="28"/>
      <c r="O68" s="28"/>
      <c r="P68" s="28"/>
      <c r="Q68" s="28"/>
      <c r="R68" s="41"/>
      <c r="S68" s="28"/>
    </row>
    <row r="69" spans="2:19">
      <c r="B69" s="28"/>
      <c r="C69" s="167"/>
      <c r="D69" s="167"/>
      <c r="E69" s="28"/>
      <c r="F69" s="28"/>
      <c r="G69" s="28"/>
      <c r="H69" s="28"/>
      <c r="I69" s="28"/>
      <c r="J69" s="28"/>
      <c r="K69" s="28"/>
      <c r="L69" s="28"/>
      <c r="M69" s="28"/>
      <c r="N69" s="28"/>
      <c r="O69" s="28"/>
      <c r="P69" s="28"/>
      <c r="Q69" s="28"/>
      <c r="R69" s="41"/>
      <c r="S69" s="28"/>
    </row>
    <row r="70" spans="2:19">
      <c r="B70" s="28"/>
      <c r="C70" s="167"/>
      <c r="D70" s="167"/>
      <c r="E70" s="28"/>
      <c r="F70" s="28"/>
      <c r="G70" s="28"/>
      <c r="H70" s="28"/>
      <c r="I70" s="28"/>
      <c r="J70" s="28"/>
      <c r="K70" s="28"/>
      <c r="L70" s="28"/>
      <c r="M70" s="28"/>
      <c r="N70" s="106"/>
      <c r="O70" s="28"/>
      <c r="P70" s="28"/>
      <c r="Q70" s="28"/>
      <c r="R70" s="41"/>
      <c r="S70" s="28"/>
    </row>
    <row r="71" spans="2:19">
      <c r="B71" s="28"/>
      <c r="C71" s="167"/>
      <c r="D71" s="167"/>
      <c r="E71" s="28"/>
      <c r="F71" s="28"/>
      <c r="G71" s="28"/>
      <c r="H71" s="28"/>
      <c r="I71" s="28"/>
      <c r="J71" s="28"/>
      <c r="K71" s="28"/>
      <c r="L71" s="28"/>
      <c r="M71" s="28"/>
      <c r="N71" s="28"/>
      <c r="O71" s="28"/>
      <c r="P71" s="28"/>
      <c r="Q71" s="28"/>
      <c r="R71" s="41"/>
      <c r="S71" s="28"/>
    </row>
    <row r="72" spans="2:19">
      <c r="B72" s="28"/>
      <c r="C72" s="167"/>
      <c r="D72" s="167"/>
      <c r="E72" s="28"/>
      <c r="F72" s="28"/>
      <c r="G72" s="28"/>
      <c r="H72" s="28"/>
      <c r="I72" s="28"/>
      <c r="J72" s="28"/>
      <c r="K72" s="28"/>
      <c r="L72" s="28"/>
      <c r="M72" s="28"/>
      <c r="N72" s="28"/>
      <c r="O72" s="28"/>
      <c r="P72" s="28"/>
      <c r="Q72" s="28"/>
      <c r="R72" s="41"/>
      <c r="S72" s="28"/>
    </row>
    <row r="73" spans="2:19">
      <c r="B73" s="28"/>
      <c r="C73" s="167"/>
      <c r="D73" s="167"/>
      <c r="E73" s="28"/>
      <c r="F73" s="28"/>
      <c r="G73" s="28"/>
      <c r="H73" s="28"/>
      <c r="I73" s="28"/>
      <c r="J73" s="28"/>
      <c r="K73" s="28"/>
      <c r="L73" s="28"/>
      <c r="M73" s="28"/>
      <c r="N73" s="106"/>
      <c r="O73" s="28"/>
      <c r="P73" s="28"/>
      <c r="Q73" s="28"/>
      <c r="R73" s="41"/>
      <c r="S73" s="28"/>
    </row>
    <row r="74" spans="2:19">
      <c r="B74" s="28"/>
      <c r="C74" s="167"/>
      <c r="D74" s="167"/>
      <c r="E74" s="28"/>
      <c r="F74" s="28"/>
      <c r="G74" s="28"/>
      <c r="H74" s="28"/>
      <c r="I74" s="28"/>
      <c r="J74" s="28"/>
      <c r="K74" s="28"/>
      <c r="L74" s="28"/>
      <c r="M74" s="28"/>
      <c r="N74" s="28"/>
      <c r="O74" s="28"/>
      <c r="P74" s="28"/>
      <c r="Q74" s="28"/>
      <c r="R74" s="41"/>
      <c r="S74" s="28"/>
    </row>
    <row r="75" spans="2:19">
      <c r="B75" s="28"/>
      <c r="C75" s="167"/>
      <c r="D75" s="167"/>
      <c r="E75" s="28"/>
      <c r="F75" s="28"/>
      <c r="G75" s="28"/>
      <c r="H75" s="28"/>
      <c r="I75" s="28"/>
      <c r="J75" s="28"/>
      <c r="K75" s="28"/>
      <c r="L75" s="28"/>
      <c r="M75" s="28"/>
      <c r="N75" s="28"/>
      <c r="O75" s="28"/>
      <c r="P75" s="28"/>
      <c r="Q75" s="28"/>
      <c r="R75" s="41"/>
      <c r="S75" s="28"/>
    </row>
    <row r="76" spans="2:19">
      <c r="B76" s="28"/>
      <c r="C76" s="167"/>
      <c r="D76" s="167"/>
      <c r="E76" s="28"/>
      <c r="F76" s="28"/>
      <c r="G76" s="28"/>
      <c r="H76" s="28"/>
      <c r="I76" s="28"/>
      <c r="J76" s="28"/>
      <c r="K76" s="28"/>
      <c r="L76" s="28"/>
      <c r="M76" s="28"/>
      <c r="N76" s="28"/>
      <c r="O76" s="28"/>
      <c r="P76" s="28"/>
      <c r="Q76" s="28"/>
      <c r="R76" s="41"/>
      <c r="S76" s="28"/>
    </row>
    <row r="77" spans="2:19">
      <c r="B77" s="28"/>
      <c r="C77" s="167"/>
      <c r="D77" s="167"/>
      <c r="E77" s="28"/>
      <c r="F77" s="28"/>
      <c r="G77" s="28"/>
      <c r="H77" s="28"/>
      <c r="I77" s="28"/>
      <c r="J77" s="28"/>
      <c r="K77" s="28"/>
      <c r="L77" s="28"/>
      <c r="M77" s="28"/>
      <c r="N77" s="28"/>
      <c r="O77" s="28"/>
      <c r="P77" s="28"/>
      <c r="Q77" s="28"/>
      <c r="R77" s="41"/>
      <c r="S77" s="28"/>
    </row>
    <row r="78" spans="2:19">
      <c r="B78" s="28"/>
      <c r="C78" s="167"/>
      <c r="D78" s="167"/>
      <c r="E78" s="28"/>
      <c r="F78" s="28"/>
      <c r="G78" s="28"/>
      <c r="H78" s="28"/>
      <c r="I78" s="28"/>
      <c r="J78" s="28"/>
      <c r="K78" s="28"/>
      <c r="L78" s="28"/>
      <c r="M78" s="28"/>
      <c r="N78" s="28"/>
      <c r="O78" s="28"/>
      <c r="P78" s="28"/>
      <c r="Q78" s="28"/>
      <c r="R78" s="41"/>
      <c r="S78" s="28"/>
    </row>
    <row r="79" spans="2:19">
      <c r="B79" s="28"/>
      <c r="C79" s="167"/>
      <c r="D79" s="167"/>
      <c r="E79" s="28"/>
      <c r="F79" s="28"/>
      <c r="G79" s="28"/>
      <c r="H79" s="28"/>
      <c r="I79" s="28"/>
      <c r="J79" s="28"/>
      <c r="K79" s="28"/>
      <c r="L79" s="28"/>
      <c r="M79" s="28"/>
      <c r="N79" s="28"/>
      <c r="O79" s="28"/>
      <c r="P79" s="28"/>
      <c r="Q79" s="28"/>
      <c r="R79" s="41"/>
      <c r="S79" s="28"/>
    </row>
    <row r="80" spans="2:19">
      <c r="B80" s="28"/>
      <c r="C80" s="167"/>
      <c r="D80" s="167"/>
      <c r="E80" s="28"/>
      <c r="F80" s="28"/>
      <c r="G80" s="28"/>
      <c r="H80" s="28"/>
      <c r="I80" s="28"/>
      <c r="J80" s="28"/>
      <c r="K80" s="28"/>
      <c r="L80" s="28"/>
      <c r="M80" s="28"/>
      <c r="N80" s="28"/>
      <c r="O80" s="28"/>
      <c r="P80" s="28"/>
      <c r="Q80" s="28"/>
      <c r="R80" s="41"/>
      <c r="S80" s="28"/>
    </row>
    <row r="81" spans="2:22">
      <c r="B81" s="28"/>
      <c r="C81" s="167"/>
      <c r="D81" s="167"/>
      <c r="E81" s="28"/>
      <c r="F81" s="28"/>
      <c r="G81" s="28"/>
      <c r="H81" s="28"/>
      <c r="I81" s="28"/>
      <c r="J81" s="28"/>
      <c r="K81" s="28"/>
      <c r="L81" s="28"/>
      <c r="M81" s="28"/>
      <c r="N81" s="28"/>
      <c r="O81" s="28"/>
      <c r="P81" s="28"/>
      <c r="Q81" s="28"/>
      <c r="R81" s="41"/>
      <c r="S81" s="28"/>
    </row>
    <row r="82" spans="2:22">
      <c r="B82" s="28"/>
      <c r="C82" s="167"/>
      <c r="D82" s="167"/>
      <c r="E82" s="28"/>
      <c r="F82" s="28"/>
      <c r="G82" s="28"/>
      <c r="H82" s="28"/>
      <c r="I82" s="28"/>
      <c r="J82" s="28"/>
      <c r="K82" s="28"/>
      <c r="L82" s="28"/>
      <c r="M82" s="28"/>
      <c r="N82" s="28"/>
      <c r="O82" s="28"/>
      <c r="P82" s="28"/>
      <c r="Q82" s="28"/>
      <c r="R82" s="41"/>
      <c r="S82" s="28"/>
    </row>
    <row r="83" spans="2:22">
      <c r="B83" s="28"/>
      <c r="C83" s="167"/>
      <c r="D83" s="167"/>
      <c r="E83" s="28"/>
      <c r="F83" s="28"/>
      <c r="G83" s="28"/>
      <c r="H83" s="28"/>
      <c r="I83" s="28"/>
      <c r="J83" s="28"/>
      <c r="K83" s="28"/>
      <c r="L83" s="28"/>
      <c r="M83" s="28"/>
      <c r="N83" s="28"/>
      <c r="O83" s="28"/>
      <c r="P83" s="28"/>
      <c r="Q83" s="28"/>
      <c r="R83" s="41"/>
      <c r="S83" s="28"/>
    </row>
    <row r="84" spans="2:22">
      <c r="B84" s="28"/>
      <c r="C84" s="167"/>
      <c r="D84" s="167"/>
      <c r="E84" s="28"/>
      <c r="F84" s="28"/>
      <c r="G84" s="28"/>
      <c r="H84" s="28"/>
      <c r="I84" s="28"/>
      <c r="J84" s="28"/>
      <c r="K84" s="28"/>
      <c r="L84" s="28"/>
      <c r="M84" s="28"/>
      <c r="N84" s="28"/>
      <c r="O84" s="28"/>
      <c r="P84" s="28"/>
      <c r="Q84" s="28"/>
      <c r="R84" s="41"/>
      <c r="S84" s="28"/>
    </row>
    <row r="85" spans="2:22">
      <c r="B85" s="28"/>
      <c r="C85" s="167"/>
      <c r="D85" s="167"/>
      <c r="E85" s="28"/>
      <c r="F85" s="28"/>
      <c r="G85" s="28"/>
      <c r="H85" s="28"/>
      <c r="I85" s="28"/>
      <c r="J85" s="28"/>
      <c r="K85" s="28"/>
      <c r="L85" s="28"/>
      <c r="M85" s="28"/>
      <c r="N85" s="28"/>
      <c r="O85" s="28"/>
      <c r="P85" s="28"/>
      <c r="Q85" s="28"/>
      <c r="R85" s="41"/>
      <c r="S85" s="28"/>
    </row>
    <row r="86" spans="2:22">
      <c r="B86" s="28"/>
      <c r="C86" s="167"/>
      <c r="D86" s="167"/>
      <c r="E86" s="28"/>
      <c r="F86" s="28"/>
      <c r="G86" s="28"/>
      <c r="H86" s="28"/>
      <c r="I86" s="28"/>
      <c r="J86" s="28"/>
      <c r="K86" s="28"/>
      <c r="L86" s="28"/>
      <c r="M86" s="28"/>
      <c r="N86" s="28"/>
      <c r="O86" s="28"/>
      <c r="P86" s="28"/>
      <c r="Q86" s="28"/>
      <c r="R86" s="41"/>
      <c r="S86" s="28"/>
    </row>
    <row r="87" spans="2:22">
      <c r="B87" s="28"/>
      <c r="C87" s="167"/>
      <c r="D87" s="167"/>
      <c r="E87" s="28"/>
      <c r="F87" s="28"/>
      <c r="G87" s="28"/>
      <c r="H87" s="28"/>
      <c r="I87" s="28"/>
      <c r="J87" s="28"/>
      <c r="K87" s="28"/>
      <c r="L87" s="28"/>
      <c r="M87" s="28"/>
      <c r="N87" s="28"/>
      <c r="O87" s="28"/>
      <c r="P87" s="28"/>
      <c r="Q87" s="28"/>
      <c r="R87" s="41"/>
      <c r="S87" s="28"/>
    </row>
    <row r="88" spans="2:22">
      <c r="B88" s="28"/>
      <c r="C88" s="167"/>
      <c r="D88" s="167"/>
      <c r="E88" s="28"/>
      <c r="F88" s="28"/>
      <c r="G88" s="28"/>
      <c r="H88" s="28"/>
      <c r="I88" s="28"/>
      <c r="J88" s="28"/>
      <c r="K88" s="28"/>
      <c r="L88" s="28"/>
      <c r="M88" s="28"/>
      <c r="N88" s="28"/>
      <c r="O88" s="28"/>
      <c r="P88" s="28"/>
      <c r="Q88" s="28"/>
      <c r="R88" s="41"/>
      <c r="S88" s="28"/>
    </row>
    <row r="89" spans="2:22">
      <c r="B89" s="28"/>
      <c r="C89" s="167"/>
      <c r="D89" s="167"/>
      <c r="E89" s="28"/>
      <c r="F89" s="28"/>
      <c r="G89" s="28"/>
      <c r="H89" s="28"/>
      <c r="I89" s="28"/>
      <c r="J89" s="28"/>
      <c r="K89" s="28"/>
      <c r="L89" s="28"/>
      <c r="M89" s="28"/>
      <c r="N89" s="28"/>
      <c r="O89" s="28"/>
      <c r="P89" s="28"/>
      <c r="Q89" s="28"/>
      <c r="R89" s="41"/>
      <c r="S89" s="28"/>
    </row>
    <row r="90" spans="2:22">
      <c r="B90" s="28"/>
      <c r="C90" s="167"/>
      <c r="D90" s="167"/>
      <c r="E90" s="28"/>
      <c r="F90" s="28"/>
      <c r="G90" s="28"/>
      <c r="H90" s="28"/>
      <c r="I90" s="28"/>
      <c r="J90" s="28"/>
      <c r="K90" s="28"/>
      <c r="L90" s="28"/>
      <c r="M90" s="28"/>
      <c r="N90" s="28"/>
      <c r="O90" s="28"/>
      <c r="P90" s="28"/>
      <c r="Q90" s="28"/>
      <c r="R90" s="41"/>
      <c r="S90" s="28"/>
    </row>
    <row r="91" spans="2:22" ht="15" customHeight="1">
      <c r="B91" s="28"/>
      <c r="C91" s="167"/>
      <c r="D91" s="167"/>
      <c r="E91" s="28"/>
      <c r="F91" s="28"/>
      <c r="G91" s="28"/>
      <c r="H91" s="28"/>
      <c r="I91" s="28"/>
      <c r="J91" s="28"/>
      <c r="K91" s="28"/>
      <c r="L91" s="28"/>
      <c r="M91" s="28"/>
      <c r="N91" s="28"/>
      <c r="O91" s="28"/>
      <c r="P91" s="28"/>
      <c r="Q91" s="28"/>
      <c r="R91" s="41"/>
      <c r="S91" s="28"/>
    </row>
    <row r="92" spans="2:22" ht="15" customHeight="1">
      <c r="B92" s="28"/>
      <c r="C92" s="167"/>
      <c r="D92" s="167"/>
      <c r="E92" s="28"/>
      <c r="F92" s="28"/>
      <c r="G92" s="28"/>
      <c r="H92" s="28"/>
      <c r="I92" s="28"/>
      <c r="J92" s="28"/>
      <c r="K92" s="28"/>
      <c r="L92" s="28"/>
      <c r="M92" s="28"/>
      <c r="N92" s="28"/>
      <c r="O92" s="28"/>
      <c r="P92" s="28"/>
      <c r="Q92" s="28"/>
      <c r="R92" s="41"/>
      <c r="S92" s="28"/>
    </row>
    <row r="93" spans="2:22">
      <c r="B93" s="28"/>
      <c r="C93" s="167"/>
      <c r="D93" s="167"/>
      <c r="E93" s="28"/>
      <c r="F93" s="28"/>
      <c r="G93" s="28"/>
      <c r="H93" s="28"/>
      <c r="I93" s="28"/>
      <c r="J93" s="28"/>
      <c r="K93" s="28"/>
      <c r="L93" s="28"/>
      <c r="M93" s="28"/>
      <c r="N93" s="28"/>
      <c r="O93" s="28"/>
      <c r="P93" s="28"/>
      <c r="Q93" s="28"/>
      <c r="R93" s="41"/>
      <c r="S93" s="28"/>
    </row>
    <row r="94" spans="2:22">
      <c r="B94" s="28"/>
      <c r="C94" s="167"/>
      <c r="D94" s="167"/>
      <c r="E94" s="28"/>
      <c r="F94" s="28"/>
      <c r="G94" s="28"/>
      <c r="H94" s="28"/>
      <c r="I94" s="28"/>
      <c r="J94" s="28"/>
      <c r="K94" s="28"/>
      <c r="L94" s="28"/>
      <c r="M94" s="28"/>
      <c r="N94" s="28"/>
      <c r="O94" s="28"/>
      <c r="P94" s="28"/>
      <c r="Q94" s="28"/>
      <c r="R94" s="41"/>
      <c r="S94" s="28"/>
    </row>
    <row r="95" spans="2:22">
      <c r="B95" s="28"/>
      <c r="C95" s="167"/>
      <c r="D95" s="167"/>
      <c r="E95" s="28"/>
      <c r="F95" s="28"/>
      <c r="G95" s="28"/>
      <c r="H95" s="28"/>
      <c r="I95" s="28"/>
      <c r="J95" s="28"/>
      <c r="K95" s="28"/>
      <c r="L95" s="28"/>
      <c r="M95" s="28"/>
      <c r="N95" s="28"/>
      <c r="O95" s="28"/>
      <c r="P95" s="28"/>
      <c r="Q95" s="28"/>
      <c r="R95" s="41"/>
      <c r="S95" s="28"/>
      <c r="T95"/>
      <c r="U95"/>
      <c r="V95"/>
    </row>
    <row r="96" spans="2:22">
      <c r="B96" s="28"/>
      <c r="C96" s="167"/>
      <c r="D96" s="167"/>
      <c r="E96" s="168"/>
      <c r="F96" s="168"/>
      <c r="G96" s="168"/>
      <c r="H96" s="168"/>
      <c r="I96" s="168"/>
      <c r="J96" s="168"/>
      <c r="K96" s="168"/>
      <c r="L96" s="168"/>
      <c r="M96" s="168"/>
      <c r="N96" s="168"/>
      <c r="O96"/>
      <c r="P96" s="168"/>
      <c r="Q96" s="168"/>
      <c r="R96" s="169"/>
      <c r="S96" s="168"/>
      <c r="T96"/>
      <c r="U96"/>
      <c r="V96"/>
    </row>
    <row r="97" spans="2:22">
      <c r="B97" s="28"/>
      <c r="C97" s="167"/>
      <c r="D97" s="167"/>
      <c r="E97" s="168"/>
      <c r="F97" s="168"/>
      <c r="G97" s="168"/>
      <c r="H97" s="168"/>
      <c r="I97" s="168"/>
      <c r="J97" s="168"/>
      <c r="K97" s="168"/>
      <c r="L97" s="168"/>
      <c r="M97" s="168"/>
      <c r="N97" s="168"/>
      <c r="O97"/>
      <c r="P97" s="168"/>
      <c r="Q97" s="168"/>
      <c r="R97" s="169"/>
      <c r="S97" s="168"/>
      <c r="T97"/>
      <c r="U97"/>
      <c r="V97"/>
    </row>
    <row r="98" spans="2:22">
      <c r="B98" s="28"/>
      <c r="C98" s="167"/>
      <c r="D98" s="167"/>
      <c r="E98" s="28"/>
      <c r="F98" s="28"/>
      <c r="G98" s="28"/>
      <c r="H98" s="28"/>
      <c r="I98" s="28"/>
      <c r="J98" s="28"/>
      <c r="K98" s="28"/>
      <c r="L98" s="28"/>
      <c r="M98" s="28"/>
      <c r="N98" s="28"/>
      <c r="O98"/>
      <c r="P98" s="28"/>
      <c r="Q98" s="28"/>
      <c r="R98" s="41"/>
      <c r="S98" s="28"/>
      <c r="T98"/>
      <c r="U98"/>
      <c r="V98"/>
    </row>
    <row r="99" spans="2:22">
      <c r="B99" s="28"/>
      <c r="C99" s="167"/>
      <c r="D99" s="167"/>
      <c r="E99" s="28"/>
      <c r="F99" s="28"/>
      <c r="G99" s="28"/>
      <c r="H99" s="28"/>
      <c r="I99" s="28"/>
      <c r="J99" s="28"/>
      <c r="K99" s="28"/>
      <c r="L99" s="28"/>
      <c r="M99" s="28"/>
      <c r="N99" s="28"/>
      <c r="O99" s="28"/>
      <c r="P99" s="28"/>
      <c r="Q99" s="28"/>
      <c r="R99" s="41"/>
      <c r="S99" s="28"/>
      <c r="T99"/>
      <c r="U99"/>
      <c r="V99"/>
    </row>
    <row r="100" spans="2:22">
      <c r="B100" s="28"/>
      <c r="C100"/>
      <c r="D100"/>
      <c r="E100"/>
      <c r="F100"/>
      <c r="G100"/>
      <c r="H100"/>
      <c r="I100"/>
      <c r="J100"/>
      <c r="K100"/>
      <c r="L100"/>
      <c r="M100"/>
      <c r="N100"/>
      <c r="O100"/>
      <c r="P100"/>
      <c r="Q100"/>
      <c r="R100"/>
      <c r="S100"/>
      <c r="T100"/>
      <c r="U100"/>
      <c r="V100"/>
    </row>
    <row r="101" spans="2:22">
      <c r="B101" s="28"/>
      <c r="C101"/>
      <c r="D101"/>
      <c r="E101"/>
      <c r="F101"/>
      <c r="G101"/>
      <c r="H101"/>
      <c r="I101"/>
      <c r="J101"/>
      <c r="K101"/>
      <c r="L101"/>
      <c r="M101"/>
      <c r="N101"/>
      <c r="O101"/>
      <c r="P101"/>
      <c r="Q101"/>
      <c r="R101"/>
      <c r="S101"/>
      <c r="T101"/>
      <c r="U101"/>
      <c r="V101"/>
    </row>
    <row r="102" spans="2:22">
      <c r="B102" s="28"/>
      <c r="C102"/>
      <c r="D102"/>
      <c r="E102"/>
      <c r="F102"/>
      <c r="G102"/>
      <c r="H102"/>
      <c r="I102"/>
      <c r="J102"/>
      <c r="K102"/>
      <c r="L102"/>
      <c r="M102"/>
      <c r="N102"/>
      <c r="O102"/>
      <c r="P102"/>
      <c r="Q102"/>
      <c r="R102"/>
      <c r="S102"/>
      <c r="T102"/>
      <c r="U102"/>
      <c r="V102"/>
    </row>
    <row r="103" spans="2:22">
      <c r="B103" s="28"/>
      <c r="C103"/>
      <c r="D103"/>
      <c r="E103"/>
      <c r="F103"/>
      <c r="G103"/>
      <c r="H103"/>
      <c r="I103"/>
      <c r="J103"/>
      <c r="K103"/>
      <c r="L103"/>
      <c r="M103"/>
      <c r="N103"/>
      <c r="O103"/>
      <c r="P103"/>
      <c r="Q103"/>
      <c r="R103"/>
      <c r="S103"/>
      <c r="T103"/>
      <c r="U103"/>
      <c r="V103"/>
    </row>
    <row r="104" spans="2:22">
      <c r="B104" s="28"/>
      <c r="C104"/>
      <c r="D104"/>
      <c r="E104"/>
      <c r="F104"/>
      <c r="G104"/>
      <c r="H104"/>
      <c r="I104"/>
      <c r="J104"/>
      <c r="K104"/>
      <c r="L104"/>
      <c r="M104"/>
      <c r="N104"/>
      <c r="O104"/>
      <c r="P104"/>
      <c r="Q104"/>
      <c r="R104"/>
      <c r="S104"/>
      <c r="T104"/>
      <c r="U104"/>
      <c r="V104"/>
    </row>
    <row r="105" spans="2:22">
      <c r="B105" s="28"/>
      <c r="C105"/>
      <c r="D105"/>
      <c r="E105"/>
      <c r="F105"/>
      <c r="G105"/>
      <c r="H105"/>
      <c r="I105"/>
      <c r="J105"/>
      <c r="K105"/>
      <c r="L105"/>
      <c r="M105"/>
      <c r="N105"/>
      <c r="O105"/>
      <c r="P105"/>
      <c r="Q105"/>
      <c r="R105"/>
      <c r="S105"/>
      <c r="T105"/>
      <c r="U105"/>
      <c r="V105"/>
    </row>
    <row r="106" spans="2:22">
      <c r="B106" s="28"/>
      <c r="C106"/>
      <c r="D106"/>
      <c r="E106"/>
      <c r="F106"/>
      <c r="G106"/>
      <c r="H106"/>
      <c r="I106"/>
      <c r="J106"/>
      <c r="K106"/>
      <c r="L106"/>
      <c r="M106"/>
      <c r="N106"/>
      <c r="O106"/>
      <c r="P106"/>
      <c r="Q106"/>
      <c r="R106"/>
      <c r="S106"/>
      <c r="T106"/>
      <c r="U106"/>
      <c r="V106"/>
    </row>
    <row r="107" spans="2:22">
      <c r="B107" s="28"/>
      <c r="C107"/>
      <c r="D107"/>
      <c r="E107"/>
      <c r="F107"/>
      <c r="G107"/>
      <c r="H107"/>
      <c r="I107"/>
      <c r="J107"/>
      <c r="K107"/>
      <c r="L107"/>
      <c r="M107"/>
      <c r="N107"/>
      <c r="O107"/>
      <c r="P107"/>
      <c r="Q107"/>
      <c r="R107"/>
      <c r="S107"/>
      <c r="T107"/>
      <c r="U107"/>
      <c r="V107"/>
    </row>
    <row r="108" spans="2:22">
      <c r="B108" s="28"/>
      <c r="C108"/>
      <c r="D108"/>
      <c r="E108"/>
      <c r="F108"/>
      <c r="G108"/>
      <c r="H108"/>
      <c r="I108"/>
      <c r="J108"/>
      <c r="K108"/>
      <c r="L108"/>
      <c r="M108"/>
      <c r="N108"/>
      <c r="O108"/>
      <c r="P108"/>
      <c r="Q108"/>
      <c r="R108"/>
      <c r="S108"/>
      <c r="T108"/>
      <c r="U108"/>
      <c r="V108"/>
    </row>
    <row r="109" spans="2:22">
      <c r="B109" s="28"/>
      <c r="C109"/>
      <c r="D109"/>
      <c r="E109"/>
      <c r="F109"/>
      <c r="G109"/>
      <c r="H109"/>
      <c r="I109"/>
      <c r="J109"/>
      <c r="K109"/>
      <c r="L109"/>
      <c r="M109"/>
      <c r="N109"/>
      <c r="O109"/>
      <c r="P109"/>
      <c r="Q109"/>
      <c r="R109"/>
      <c r="S109"/>
      <c r="T109"/>
      <c r="U109"/>
      <c r="V109"/>
    </row>
    <row r="110" spans="2:22">
      <c r="B110" s="28"/>
      <c r="C110"/>
      <c r="D110"/>
      <c r="E110"/>
      <c r="F110"/>
      <c r="G110"/>
      <c r="H110"/>
      <c r="I110"/>
      <c r="J110"/>
      <c r="K110"/>
      <c r="L110"/>
      <c r="M110"/>
      <c r="N110"/>
      <c r="O110"/>
      <c r="P110"/>
      <c r="Q110"/>
      <c r="R110"/>
      <c r="S110"/>
      <c r="T110"/>
      <c r="U110"/>
      <c r="V110"/>
    </row>
    <row r="111" spans="2:22">
      <c r="B111" s="28"/>
      <c r="C111"/>
      <c r="D111"/>
      <c r="E111"/>
      <c r="F111"/>
      <c r="G111"/>
      <c r="H111"/>
      <c r="I111"/>
      <c r="J111"/>
      <c r="K111"/>
      <c r="L111"/>
      <c r="M111"/>
      <c r="N111"/>
      <c r="O111"/>
      <c r="P111"/>
      <c r="Q111"/>
      <c r="R111"/>
      <c r="S111"/>
      <c r="T111"/>
      <c r="U111"/>
      <c r="V111"/>
    </row>
    <row r="112" spans="2:22">
      <c r="B112" s="28"/>
      <c r="C112"/>
      <c r="D112"/>
      <c r="E112"/>
      <c r="F112"/>
      <c r="G112"/>
      <c r="H112"/>
      <c r="I112"/>
      <c r="J112"/>
      <c r="K112"/>
      <c r="L112"/>
      <c r="M112"/>
      <c r="N112"/>
      <c r="O112"/>
      <c r="P112"/>
      <c r="Q112"/>
      <c r="R112"/>
      <c r="S112"/>
      <c r="T112"/>
      <c r="U112"/>
      <c r="V112"/>
    </row>
    <row r="113" spans="2:22">
      <c r="B113" s="28"/>
      <c r="C113"/>
      <c r="D113"/>
      <c r="E113"/>
      <c r="F113"/>
      <c r="G113"/>
      <c r="H113"/>
      <c r="I113"/>
      <c r="J113"/>
      <c r="K113"/>
      <c r="L113"/>
      <c r="M113"/>
      <c r="N113"/>
      <c r="O113"/>
      <c r="P113"/>
      <c r="Q113"/>
      <c r="R113"/>
      <c r="S113"/>
      <c r="T113"/>
      <c r="U113"/>
      <c r="V113"/>
    </row>
    <row r="114" spans="2:22">
      <c r="B114" s="28"/>
      <c r="C114"/>
      <c r="D114"/>
      <c r="E114"/>
      <c r="F114"/>
      <c r="G114"/>
      <c r="H114"/>
      <c r="I114"/>
      <c r="J114"/>
      <c r="K114"/>
      <c r="L114"/>
      <c r="M114"/>
      <c r="N114"/>
      <c r="O114"/>
      <c r="P114"/>
      <c r="Q114"/>
      <c r="R114"/>
      <c r="S114"/>
      <c r="T114"/>
      <c r="U114"/>
      <c r="V114"/>
    </row>
    <row r="115" spans="2:22">
      <c r="B115" s="28"/>
      <c r="C115"/>
      <c r="D115"/>
      <c r="E115"/>
      <c r="F115"/>
      <c r="G115"/>
      <c r="H115"/>
      <c r="I115"/>
      <c r="J115"/>
      <c r="K115"/>
      <c r="L115"/>
      <c r="M115"/>
      <c r="N115"/>
      <c r="O115"/>
      <c r="P115"/>
      <c r="Q115"/>
      <c r="R115"/>
      <c r="S115"/>
      <c r="T115"/>
      <c r="U115"/>
      <c r="V115"/>
    </row>
    <row r="116" spans="2:22">
      <c r="B116" s="28"/>
      <c r="C116"/>
      <c r="D116"/>
      <c r="E116"/>
      <c r="F116"/>
      <c r="G116"/>
      <c r="H116"/>
      <c r="I116"/>
      <c r="J116"/>
      <c r="K116"/>
      <c r="L116"/>
      <c r="M116"/>
      <c r="N116"/>
      <c r="O116"/>
      <c r="P116"/>
      <c r="Q116"/>
      <c r="R116"/>
      <c r="S116"/>
      <c r="T116"/>
      <c r="U116"/>
      <c r="V116"/>
    </row>
    <row r="117" spans="2:22">
      <c r="B117" s="28"/>
      <c r="C117"/>
      <c r="D117"/>
      <c r="E117"/>
      <c r="F117"/>
      <c r="G117"/>
      <c r="H117"/>
      <c r="I117"/>
      <c r="J117"/>
      <c r="K117"/>
      <c r="L117"/>
      <c r="M117"/>
      <c r="N117"/>
      <c r="O117"/>
      <c r="P117"/>
      <c r="Q117"/>
      <c r="R117"/>
      <c r="S117"/>
      <c r="T117"/>
      <c r="U117"/>
      <c r="V117"/>
    </row>
    <row r="118" spans="2:22">
      <c r="B118" s="28"/>
      <c r="C118"/>
      <c r="D118"/>
      <c r="E118"/>
      <c r="F118"/>
      <c r="G118"/>
      <c r="H118"/>
      <c r="I118"/>
      <c r="J118"/>
      <c r="K118"/>
      <c r="L118"/>
      <c r="M118"/>
      <c r="N118"/>
      <c r="O118"/>
      <c r="P118"/>
      <c r="Q118"/>
      <c r="R118"/>
      <c r="S118"/>
      <c r="T118"/>
      <c r="U118"/>
      <c r="V118"/>
    </row>
    <row r="119" spans="2:22">
      <c r="B119" s="28"/>
      <c r="C119"/>
      <c r="D119"/>
      <c r="E119"/>
      <c r="F119"/>
      <c r="G119"/>
      <c r="H119"/>
      <c r="I119"/>
      <c r="J119"/>
      <c r="K119"/>
      <c r="L119"/>
      <c r="M119"/>
      <c r="N119"/>
      <c r="O119"/>
      <c r="P119"/>
      <c r="Q119"/>
      <c r="R119"/>
      <c r="S119"/>
      <c r="T119"/>
      <c r="U119"/>
      <c r="V119"/>
    </row>
    <row r="120" spans="2:22">
      <c r="B120" s="28"/>
      <c r="C120"/>
      <c r="D120"/>
      <c r="E120"/>
      <c r="F120"/>
      <c r="G120"/>
      <c r="H120"/>
      <c r="I120"/>
      <c r="J120"/>
      <c r="K120"/>
      <c r="L120"/>
      <c r="M120"/>
      <c r="N120"/>
      <c r="O120"/>
      <c r="P120"/>
      <c r="Q120"/>
      <c r="R120"/>
      <c r="S120"/>
    </row>
    <row r="121" spans="2:22">
      <c r="B121" s="28"/>
      <c r="C121"/>
      <c r="D121"/>
      <c r="E121"/>
      <c r="F121"/>
      <c r="G121"/>
      <c r="H121"/>
      <c r="I121"/>
      <c r="J121"/>
      <c r="K121"/>
      <c r="L121"/>
      <c r="M121"/>
      <c r="N121"/>
      <c r="O121"/>
      <c r="P121"/>
      <c r="Q121"/>
      <c r="R121"/>
      <c r="S121"/>
    </row>
    <row r="122" spans="2:22">
      <c r="B122" s="28"/>
      <c r="C122"/>
      <c r="D122"/>
      <c r="E122"/>
      <c r="F122"/>
      <c r="G122"/>
      <c r="H122"/>
      <c r="I122"/>
      <c r="J122"/>
      <c r="K122"/>
      <c r="L122"/>
      <c r="M122"/>
      <c r="N122"/>
      <c r="O122"/>
      <c r="P122"/>
      <c r="Q122"/>
      <c r="R122"/>
      <c r="S122"/>
    </row>
    <row r="123" spans="2:22">
      <c r="B123" s="28"/>
      <c r="C123"/>
      <c r="D123"/>
      <c r="E123"/>
      <c r="F123"/>
      <c r="G123"/>
      <c r="H123"/>
      <c r="I123"/>
      <c r="J123"/>
      <c r="K123"/>
      <c r="L123"/>
      <c r="M123"/>
      <c r="N123"/>
      <c r="O123"/>
      <c r="P123"/>
      <c r="Q123"/>
      <c r="R123"/>
      <c r="S123"/>
    </row>
    <row r="124" spans="2:22">
      <c r="B124" s="28"/>
      <c r="C124"/>
      <c r="D124"/>
      <c r="E124"/>
      <c r="F124"/>
      <c r="G124"/>
      <c r="H124"/>
      <c r="I124"/>
      <c r="J124"/>
      <c r="K124"/>
      <c r="L124"/>
      <c r="M124"/>
      <c r="N124"/>
      <c r="O124"/>
      <c r="P124"/>
      <c r="Q124"/>
      <c r="R124"/>
      <c r="S124"/>
    </row>
    <row r="125" spans="2:22">
      <c r="B125" s="28"/>
      <c r="C125" s="167"/>
      <c r="D125" s="167"/>
      <c r="E125" s="28"/>
      <c r="F125" s="28"/>
      <c r="G125" s="28"/>
      <c r="H125" s="28"/>
      <c r="I125" s="28"/>
      <c r="J125" s="28"/>
      <c r="K125" s="28"/>
      <c r="L125" s="28"/>
      <c r="M125" s="28"/>
      <c r="N125" s="28"/>
      <c r="O125" s="28"/>
      <c r="P125" s="28"/>
      <c r="Q125" s="28"/>
      <c r="R125" s="41"/>
      <c r="S125" s="28"/>
    </row>
    <row r="126" spans="2:22">
      <c r="B126" s="28"/>
      <c r="C126" s="167"/>
      <c r="D126" s="167"/>
      <c r="E126" s="28"/>
      <c r="F126" s="28"/>
      <c r="G126" s="28"/>
      <c r="H126" s="28"/>
      <c r="I126" s="28"/>
      <c r="J126" s="28"/>
      <c r="K126" s="28"/>
      <c r="L126" s="28"/>
      <c r="M126" s="28"/>
      <c r="N126" s="28"/>
      <c r="O126" s="28"/>
      <c r="P126" s="28"/>
      <c r="Q126" s="28"/>
      <c r="R126" s="41"/>
      <c r="S126" s="28"/>
    </row>
    <row r="127" spans="2:22">
      <c r="B127" s="28"/>
      <c r="C127" s="167"/>
      <c r="D127" s="167"/>
      <c r="E127" s="28"/>
      <c r="F127" s="28"/>
      <c r="G127" s="28"/>
      <c r="H127" s="28"/>
      <c r="I127" s="28"/>
      <c r="J127" s="28"/>
      <c r="K127" s="28"/>
      <c r="L127" s="28"/>
      <c r="M127" s="28"/>
      <c r="N127" s="28"/>
      <c r="O127" s="28"/>
      <c r="P127" s="28"/>
      <c r="Q127" s="28"/>
      <c r="R127" s="41"/>
      <c r="S127" s="28"/>
    </row>
    <row r="128" spans="2:22">
      <c r="B128" s="28"/>
      <c r="C128" s="167"/>
      <c r="D128" s="167"/>
      <c r="E128" s="28"/>
      <c r="F128" s="28"/>
      <c r="G128" s="28"/>
      <c r="H128" s="28"/>
      <c r="I128" s="28"/>
      <c r="J128" s="28"/>
      <c r="K128" s="28"/>
      <c r="L128" s="28"/>
      <c r="M128" s="28"/>
      <c r="N128" s="28"/>
      <c r="O128" s="28"/>
      <c r="P128" s="28"/>
      <c r="Q128" s="28"/>
      <c r="R128" s="41"/>
      <c r="S128" s="28"/>
    </row>
    <row r="129" spans="2:19">
      <c r="B129" s="28"/>
      <c r="C129" s="167"/>
      <c r="D129" s="167"/>
      <c r="E129" s="28"/>
      <c r="F129" s="28"/>
      <c r="G129" s="28"/>
      <c r="H129" s="28"/>
      <c r="I129" s="28"/>
      <c r="J129" s="28"/>
      <c r="K129" s="28"/>
      <c r="L129" s="28"/>
      <c r="M129" s="28"/>
      <c r="N129" s="28"/>
      <c r="O129" s="28"/>
      <c r="P129" s="28"/>
      <c r="Q129" s="28"/>
      <c r="R129" s="41"/>
      <c r="S129" s="28"/>
    </row>
    <row r="130" spans="2:19">
      <c r="B130" s="28"/>
      <c r="C130" s="167"/>
      <c r="D130" s="167"/>
      <c r="E130" s="28"/>
      <c r="F130" s="28"/>
      <c r="G130" s="28"/>
      <c r="H130" s="28"/>
      <c r="I130" s="28"/>
      <c r="J130" s="28"/>
      <c r="K130" s="28"/>
      <c r="L130" s="28"/>
      <c r="M130" s="28"/>
      <c r="N130" s="28"/>
      <c r="O130" s="28"/>
      <c r="P130" s="28"/>
      <c r="Q130" s="28"/>
      <c r="R130" s="41"/>
      <c r="S130" s="28"/>
    </row>
    <row r="131" spans="2:19">
      <c r="B131" s="28"/>
      <c r="C131" s="167"/>
      <c r="D131" s="167"/>
      <c r="E131" s="28"/>
      <c r="F131" s="28"/>
      <c r="G131" s="28"/>
      <c r="H131" s="28"/>
      <c r="I131" s="28"/>
      <c r="J131" s="28"/>
      <c r="K131" s="28"/>
      <c r="L131" s="28"/>
      <c r="M131" s="28"/>
      <c r="N131" s="28"/>
      <c r="O131" s="28"/>
      <c r="P131" s="28"/>
      <c r="Q131" s="28"/>
      <c r="R131" s="41"/>
      <c r="S131" s="28"/>
    </row>
    <row r="132" spans="2:19">
      <c r="B132" s="28"/>
      <c r="C132" s="167"/>
      <c r="D132" s="167"/>
      <c r="E132" s="28"/>
      <c r="F132" s="28"/>
      <c r="G132" s="28"/>
      <c r="H132" s="28"/>
      <c r="I132" s="28"/>
      <c r="J132" s="28"/>
      <c r="K132" s="28"/>
      <c r="L132" s="28"/>
      <c r="M132" s="28"/>
      <c r="N132" s="28"/>
      <c r="O132" s="28"/>
      <c r="P132" s="28"/>
      <c r="Q132" s="28"/>
      <c r="R132" s="41"/>
      <c r="S132" s="28"/>
    </row>
    <row r="133" spans="2:19">
      <c r="B133" s="28"/>
      <c r="C133" s="167"/>
      <c r="D133" s="167"/>
      <c r="E133" s="28"/>
      <c r="F133" s="28"/>
      <c r="G133" s="28"/>
      <c r="H133" s="28"/>
      <c r="I133" s="28"/>
      <c r="J133" s="28"/>
      <c r="K133" s="28"/>
      <c r="L133" s="28"/>
      <c r="M133" s="28"/>
      <c r="N133" s="28"/>
      <c r="O133" s="28"/>
      <c r="P133" s="28"/>
      <c r="Q133" s="28"/>
      <c r="R133" s="41"/>
      <c r="S133" s="28"/>
    </row>
    <row r="134" spans="2:19">
      <c r="B134" s="28"/>
      <c r="C134" s="167"/>
      <c r="D134" s="167"/>
      <c r="E134" s="28"/>
      <c r="F134" s="28"/>
      <c r="G134" s="28"/>
      <c r="H134" s="28"/>
      <c r="I134" s="28"/>
      <c r="J134" s="28"/>
      <c r="K134" s="28"/>
      <c r="L134" s="28"/>
      <c r="M134" s="28"/>
      <c r="N134" s="28"/>
      <c r="O134" s="28"/>
      <c r="P134" s="28"/>
      <c r="Q134" s="28"/>
      <c r="R134" s="41"/>
      <c r="S134" s="28"/>
    </row>
    <row r="135" spans="2:19">
      <c r="B135" s="28"/>
      <c r="C135" s="167"/>
      <c r="D135" s="167"/>
      <c r="E135" s="28"/>
      <c r="F135" s="28"/>
      <c r="G135" s="28"/>
      <c r="H135" s="28"/>
      <c r="I135" s="28"/>
      <c r="J135" s="28"/>
      <c r="K135" s="28"/>
      <c r="L135" s="28"/>
      <c r="M135" s="28"/>
      <c r="N135" s="28"/>
      <c r="O135" s="28"/>
      <c r="P135" s="28"/>
      <c r="Q135" s="28"/>
      <c r="R135" s="41"/>
      <c r="S135" s="28"/>
    </row>
    <row r="136" spans="2:19">
      <c r="B136" s="28"/>
      <c r="C136" s="167"/>
      <c r="D136" s="167"/>
      <c r="E136" s="28"/>
      <c r="F136" s="28"/>
      <c r="G136" s="28"/>
      <c r="H136" s="28"/>
      <c r="I136" s="28"/>
      <c r="J136" s="28"/>
      <c r="K136" s="28"/>
      <c r="L136" s="28"/>
      <c r="M136" s="28"/>
      <c r="N136" s="28"/>
      <c r="O136" s="28"/>
      <c r="P136" s="28"/>
      <c r="Q136" s="28"/>
      <c r="R136" s="41"/>
      <c r="S136" s="28"/>
    </row>
    <row r="137" spans="2:19">
      <c r="B137" s="28"/>
      <c r="C137" s="167"/>
      <c r="D137" s="167"/>
      <c r="E137" s="28"/>
      <c r="F137" s="28"/>
      <c r="G137" s="28"/>
      <c r="H137" s="28"/>
      <c r="I137" s="28"/>
      <c r="J137" s="28"/>
      <c r="K137" s="28"/>
      <c r="L137" s="28"/>
      <c r="M137" s="28"/>
      <c r="N137" s="28"/>
      <c r="O137" s="28"/>
      <c r="P137" s="28"/>
      <c r="Q137" s="28"/>
      <c r="R137" s="41"/>
      <c r="S137" s="28"/>
    </row>
    <row r="138" spans="2:19">
      <c r="B138" s="28"/>
      <c r="C138" s="167"/>
      <c r="D138" s="167"/>
      <c r="E138" s="28"/>
      <c r="F138" s="28"/>
      <c r="G138" s="28"/>
      <c r="H138" s="28"/>
      <c r="I138" s="28"/>
      <c r="J138" s="28"/>
      <c r="K138" s="28"/>
      <c r="L138" s="28"/>
      <c r="M138" s="28"/>
      <c r="N138" s="28"/>
      <c r="O138" s="28"/>
      <c r="P138" s="28"/>
      <c r="Q138" s="28"/>
      <c r="R138" s="41"/>
      <c r="S138" s="28"/>
    </row>
    <row r="139" spans="2:19">
      <c r="B139" s="28"/>
      <c r="C139" s="167"/>
      <c r="D139" s="167"/>
      <c r="E139" s="28"/>
      <c r="F139" s="28"/>
      <c r="G139" s="28"/>
      <c r="H139" s="28"/>
      <c r="I139" s="28"/>
      <c r="J139" s="28"/>
      <c r="K139" s="28"/>
      <c r="L139" s="28"/>
      <c r="M139" s="28"/>
      <c r="N139" s="28"/>
      <c r="O139" s="28"/>
      <c r="P139" s="28"/>
      <c r="Q139" s="28"/>
      <c r="R139" s="41"/>
      <c r="S139" s="28"/>
    </row>
    <row r="140" spans="2:19">
      <c r="B140" s="28"/>
      <c r="C140" s="167"/>
      <c r="D140" s="167"/>
      <c r="E140" s="28"/>
      <c r="F140" s="28"/>
      <c r="G140" s="28"/>
      <c r="H140" s="28"/>
      <c r="I140" s="28"/>
      <c r="J140" s="28"/>
      <c r="K140" s="28"/>
      <c r="L140" s="28"/>
      <c r="M140" s="28"/>
      <c r="N140" s="28"/>
      <c r="O140" s="28"/>
      <c r="P140" s="28"/>
      <c r="Q140" s="28"/>
      <c r="R140" s="41"/>
      <c r="S140" s="28"/>
    </row>
    <row r="141" spans="2:19">
      <c r="B141" s="28"/>
      <c r="C141" s="167"/>
      <c r="D141" s="167"/>
      <c r="E141" s="28"/>
      <c r="F141" s="28"/>
      <c r="G141" s="28"/>
      <c r="H141" s="28"/>
      <c r="I141" s="28"/>
      <c r="J141" s="28"/>
      <c r="K141" s="28"/>
      <c r="L141" s="28"/>
      <c r="M141" s="28"/>
      <c r="N141" s="28"/>
      <c r="O141" s="28"/>
      <c r="P141" s="28"/>
      <c r="Q141" s="28"/>
      <c r="R141" s="41"/>
      <c r="S141" s="28"/>
    </row>
    <row r="142" spans="2:19">
      <c r="B142" s="28"/>
      <c r="C142" s="167"/>
      <c r="D142" s="167"/>
      <c r="E142" s="28"/>
      <c r="F142" s="28"/>
      <c r="G142" s="28"/>
      <c r="H142" s="28"/>
      <c r="I142" s="28"/>
      <c r="J142" s="28"/>
      <c r="K142" s="28"/>
      <c r="L142" s="28"/>
      <c r="M142" s="28"/>
      <c r="N142" s="28"/>
      <c r="O142" s="28"/>
      <c r="P142" s="28"/>
      <c r="Q142" s="28"/>
      <c r="R142" s="41"/>
      <c r="S142" s="28"/>
    </row>
    <row r="143" spans="2:19">
      <c r="B143" s="28"/>
      <c r="C143" s="167"/>
      <c r="D143" s="167"/>
      <c r="E143" s="28"/>
      <c r="F143" s="28"/>
      <c r="G143" s="28"/>
      <c r="H143" s="28"/>
      <c r="I143" s="28"/>
      <c r="J143" s="28"/>
      <c r="K143" s="28"/>
      <c r="L143" s="28"/>
      <c r="M143" s="28"/>
      <c r="N143" s="28"/>
      <c r="O143" s="28"/>
      <c r="P143" s="28"/>
      <c r="Q143" s="28"/>
      <c r="R143" s="41"/>
      <c r="S143" s="28"/>
    </row>
    <row r="144" spans="2:19">
      <c r="B144" s="28"/>
      <c r="C144" s="167"/>
      <c r="D144" s="167"/>
      <c r="E144" s="28"/>
      <c r="F144" s="28"/>
      <c r="G144" s="28"/>
      <c r="H144" s="28"/>
      <c r="I144" s="28"/>
      <c r="J144" s="28"/>
      <c r="K144" s="28"/>
      <c r="L144" s="28"/>
      <c r="M144" s="28"/>
      <c r="N144" s="28"/>
      <c r="O144" s="28"/>
      <c r="P144" s="28"/>
      <c r="Q144" s="28"/>
      <c r="R144" s="41"/>
      <c r="S144" s="28"/>
    </row>
    <row r="145" spans="2:19">
      <c r="B145" s="28"/>
      <c r="C145" s="167"/>
      <c r="D145" s="167"/>
      <c r="E145" s="28"/>
      <c r="F145" s="28"/>
      <c r="G145" s="28"/>
      <c r="H145" s="28"/>
      <c r="I145" s="28"/>
      <c r="J145" s="28"/>
      <c r="K145" s="28"/>
      <c r="L145" s="28"/>
      <c r="M145" s="28"/>
      <c r="N145" s="28"/>
      <c r="O145" s="28"/>
      <c r="P145" s="28"/>
      <c r="Q145" s="28"/>
      <c r="R145" s="41"/>
      <c r="S145" s="28"/>
    </row>
    <row r="146" spans="2:19">
      <c r="B146" s="28"/>
      <c r="C146" s="167"/>
      <c r="D146" s="167"/>
      <c r="E146" s="28"/>
      <c r="F146" s="28"/>
      <c r="G146" s="28"/>
      <c r="H146" s="28"/>
      <c r="I146" s="28"/>
      <c r="J146" s="28"/>
      <c r="K146" s="28"/>
      <c r="L146" s="28"/>
      <c r="M146" s="28"/>
      <c r="N146" s="28"/>
      <c r="O146" s="28"/>
      <c r="P146" s="28"/>
      <c r="Q146" s="28"/>
      <c r="R146" s="41"/>
      <c r="S146" s="28"/>
    </row>
    <row r="147" spans="2:19">
      <c r="B147" s="28"/>
      <c r="C147" s="167"/>
      <c r="D147" s="167"/>
      <c r="E147" s="28"/>
      <c r="F147" s="28"/>
      <c r="G147" s="28"/>
      <c r="H147" s="28"/>
      <c r="I147" s="28"/>
      <c r="J147" s="28"/>
      <c r="K147" s="28"/>
      <c r="L147" s="28"/>
      <c r="M147" s="28"/>
      <c r="N147" s="28"/>
      <c r="O147" s="28"/>
      <c r="P147" s="28"/>
      <c r="Q147" s="28"/>
      <c r="R147" s="41"/>
      <c r="S147" s="28"/>
    </row>
    <row r="148" spans="2:19">
      <c r="B148" s="28"/>
      <c r="C148" s="167"/>
      <c r="D148" s="167"/>
      <c r="E148" s="28"/>
      <c r="F148" s="28"/>
      <c r="G148" s="28"/>
      <c r="H148" s="28"/>
      <c r="I148" s="28"/>
      <c r="J148" s="28"/>
      <c r="K148" s="28"/>
      <c r="L148" s="28"/>
      <c r="M148" s="28"/>
      <c r="N148" s="28"/>
      <c r="O148" s="28"/>
      <c r="P148" s="28"/>
      <c r="Q148" s="28"/>
      <c r="R148" s="41"/>
      <c r="S148" s="28"/>
    </row>
    <row r="149" spans="2:19">
      <c r="B149" s="28"/>
      <c r="C149" s="167"/>
      <c r="D149" s="167"/>
      <c r="E149" s="28"/>
      <c r="F149" s="28"/>
      <c r="G149" s="28"/>
      <c r="H149" s="28"/>
      <c r="I149" s="28"/>
      <c r="J149" s="28"/>
      <c r="K149" s="28"/>
      <c r="L149" s="28"/>
      <c r="M149" s="28"/>
      <c r="N149" s="28"/>
      <c r="O149" s="28"/>
      <c r="P149" s="28"/>
      <c r="Q149" s="28"/>
      <c r="R149" s="41"/>
      <c r="S149" s="28"/>
    </row>
    <row r="466" spans="15:15">
      <c r="O466" s="170"/>
    </row>
  </sheetData>
  <sheetProtection password="CA4F" sheet="1" objects="1" scenarios="1" formatRows="0" selectLockedCells="1"/>
  <mergeCells count="63">
    <mergeCell ref="B62:S64"/>
    <mergeCell ref="B1:H3"/>
    <mergeCell ref="C9:N10"/>
    <mergeCell ref="E11:N11"/>
    <mergeCell ref="M1:M2"/>
    <mergeCell ref="N1:O1"/>
    <mergeCell ref="B6:D6"/>
    <mergeCell ref="B4:H5"/>
    <mergeCell ref="O61:S61"/>
    <mergeCell ref="B60:S60"/>
    <mergeCell ref="P1:S1"/>
    <mergeCell ref="I5:S5"/>
    <mergeCell ref="I1:L3"/>
    <mergeCell ref="I4:L4"/>
    <mergeCell ref="P8:R10"/>
    <mergeCell ref="O8:O10"/>
    <mergeCell ref="E6:M6"/>
    <mergeCell ref="B7:S7"/>
    <mergeCell ref="E8:M8"/>
    <mergeCell ref="P6:R6"/>
    <mergeCell ref="E22:F22"/>
    <mergeCell ref="L12:O12"/>
    <mergeCell ref="E20:F20"/>
    <mergeCell ref="E21:F21"/>
    <mergeCell ref="G12:J12"/>
    <mergeCell ref="E19:F19"/>
    <mergeCell ref="E14:F14"/>
    <mergeCell ref="E15:F15"/>
    <mergeCell ref="E16:F16"/>
    <mergeCell ref="E17:F17"/>
    <mergeCell ref="E18:F18"/>
    <mergeCell ref="E23:F23"/>
    <mergeCell ref="B61:N61"/>
    <mergeCell ref="E51:F51"/>
    <mergeCell ref="E52:F52"/>
    <mergeCell ref="E13:G13"/>
    <mergeCell ref="E44:F44"/>
    <mergeCell ref="E45:F45"/>
    <mergeCell ref="E46:F46"/>
    <mergeCell ref="E47:F47"/>
    <mergeCell ref="E38:F38"/>
    <mergeCell ref="E39:F39"/>
    <mergeCell ref="E40:F40"/>
    <mergeCell ref="E41:F41"/>
    <mergeCell ref="E42:G42"/>
    <mergeCell ref="E34:F34"/>
    <mergeCell ref="E35:F35"/>
    <mergeCell ref="E24:F24"/>
    <mergeCell ref="E25:F25"/>
    <mergeCell ref="E26:F26"/>
    <mergeCell ref="E27:F27"/>
    <mergeCell ref="E28:F28"/>
    <mergeCell ref="K57:L57"/>
    <mergeCell ref="E49:F49"/>
    <mergeCell ref="E50:F50"/>
    <mergeCell ref="E29:F29"/>
    <mergeCell ref="E30:F30"/>
    <mergeCell ref="E31:F31"/>
    <mergeCell ref="E32:F32"/>
    <mergeCell ref="E33:F33"/>
    <mergeCell ref="E48:F48"/>
    <mergeCell ref="E36:F36"/>
    <mergeCell ref="E37:F37"/>
  </mergeCells>
  <conditionalFormatting sqref="O4">
    <cfRule type="expression" dxfId="1089" priority="112" stopIfTrue="1">
      <formula>$O$4="Not Met"</formula>
    </cfRule>
  </conditionalFormatting>
  <conditionalFormatting sqref="I1:L3">
    <cfRule type="expression" dxfId="1088" priority="1">
      <formula>levelStatement="This project has not met all the requirements for Bronze, Silver, Gold, or Emerald."</formula>
    </cfRule>
  </conditionalFormatting>
  <hyperlinks>
    <hyperlink ref="O61:S61" location="'Ch9'!A1" display="Proceed to Chapter 9 &gt;&gt;" xr:uid="{00000000-0004-0000-0400-000000000000}"/>
  </hyperlink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75"/>
  <sheetViews>
    <sheetView topLeftCell="B1" zoomScaleNormal="100" workbookViewId="0">
      <pane ySplit="6" topLeftCell="A7" activePane="bottomLeft" state="frozen"/>
      <selection activeCell="N9" sqref="N9:N12"/>
      <selection pane="bottomLeft" activeCell="O10" sqref="O10"/>
    </sheetView>
  </sheetViews>
  <sheetFormatPr baseColWidth="10" defaultColWidth="9.1640625" defaultRowHeight="15"/>
  <cols>
    <col min="1" max="1" width="5.6640625" style="28" hidden="1" customWidth="1"/>
    <col min="2" max="2" width="6.6640625" style="28" customWidth="1"/>
    <col min="3" max="3" width="4.33203125" style="192" customWidth="1"/>
    <col min="4" max="4" width="3.6640625" style="192" customWidth="1"/>
    <col min="5" max="12" width="8.6640625" style="28" customWidth="1"/>
    <col min="13" max="13" width="10.6640625" style="28" bestFit="1" customWidth="1"/>
    <col min="14" max="14" width="15.6640625" style="28" customWidth="1"/>
    <col min="15" max="15" width="10.6640625" style="28" customWidth="1"/>
    <col min="16" max="17" width="11.6640625" style="28" customWidth="1"/>
    <col min="18" max="18" width="11.6640625" style="41" customWidth="1"/>
    <col min="19" max="19" width="11.6640625" style="191" customWidth="1"/>
    <col min="20" max="16384" width="9.1640625" style="28"/>
  </cols>
  <sheetData>
    <row r="1" spans="1:19" ht="15" customHeight="1">
      <c r="A1" s="3193"/>
      <c r="B1" s="3193"/>
      <c r="C1" s="3193"/>
      <c r="D1" s="3193"/>
      <c r="E1" s="3193"/>
      <c r="F1" s="3193"/>
      <c r="G1" s="3193"/>
      <c r="H1" s="3193"/>
      <c r="I1" s="2989" t="str">
        <f>levelStatement</f>
        <v>This project has not met all the requirements for Bronze, Silver, Gold, or Emerald.</v>
      </c>
      <c r="J1" s="2989"/>
      <c r="K1" s="2989"/>
      <c r="L1" s="3192"/>
      <c r="M1" s="2123">
        <v>2012</v>
      </c>
      <c r="N1" s="3020" t="s">
        <v>0</v>
      </c>
      <c r="O1" s="3020"/>
      <c r="P1" s="3020" t="s">
        <v>1</v>
      </c>
      <c r="Q1" s="3020"/>
      <c r="R1" s="3020"/>
      <c r="S1" s="3020"/>
    </row>
    <row r="2" spans="1:19" ht="15" customHeight="1">
      <c r="A2" s="3193"/>
      <c r="B2" s="3193"/>
      <c r="C2" s="3193"/>
      <c r="D2" s="3193"/>
      <c r="E2" s="3193"/>
      <c r="F2" s="3193"/>
      <c r="G2" s="3193"/>
      <c r="H2" s="3193"/>
      <c r="I2" s="2989"/>
      <c r="J2" s="2989"/>
      <c r="K2" s="2989"/>
      <c r="L2" s="3192"/>
      <c r="M2" s="2124"/>
      <c r="N2" s="1" t="s">
        <v>2</v>
      </c>
      <c r="O2" s="1" t="s">
        <v>3</v>
      </c>
      <c r="P2" s="2" t="s">
        <v>4</v>
      </c>
      <c r="Q2" s="3" t="s">
        <v>5</v>
      </c>
      <c r="R2" s="4" t="s">
        <v>6</v>
      </c>
      <c r="S2" s="5" t="s">
        <v>7</v>
      </c>
    </row>
    <row r="3" spans="1:19" ht="15" customHeight="1">
      <c r="A3" s="3193"/>
      <c r="B3" s="3193"/>
      <c r="C3" s="3193"/>
      <c r="D3" s="3193"/>
      <c r="E3" s="3193"/>
      <c r="F3" s="3193"/>
      <c r="G3" s="3193"/>
      <c r="H3" s="3193"/>
      <c r="I3" s="2989"/>
      <c r="J3" s="2989"/>
      <c r="K3" s="2989"/>
      <c r="L3" s="3192"/>
      <c r="M3" s="6" t="s">
        <v>8</v>
      </c>
      <c r="N3" s="772">
        <f>SUM(O9:O179)-SUM(O49:O68)</f>
        <v>0</v>
      </c>
      <c r="O3" s="770" t="str">
        <f>IF(SUM(ch9MandatoryCount)=18,"Met","Not Met")</f>
        <v>Not Met</v>
      </c>
      <c r="P3" s="7" t="s">
        <v>2613</v>
      </c>
      <c r="Q3" s="7" t="s">
        <v>2613</v>
      </c>
      <c r="R3" s="7" t="s">
        <v>2613</v>
      </c>
      <c r="S3" s="7" t="s">
        <v>2613</v>
      </c>
    </row>
    <row r="4" spans="1:19" ht="15" customHeight="1">
      <c r="B4" s="3231" t="s">
        <v>2600</v>
      </c>
      <c r="C4" s="3231"/>
      <c r="D4" s="3231"/>
      <c r="E4" s="3231"/>
      <c r="F4" s="3231"/>
      <c r="G4" s="3231"/>
      <c r="H4" s="3231"/>
      <c r="I4" s="2120" t="str">
        <f>CONCATENATE("Revised ",TEXT(startRevisionDate,"mmmm dd, yyyy"))</f>
        <v>Revised January 26, 2018</v>
      </c>
      <c r="J4" s="2120"/>
      <c r="K4" s="2120"/>
      <c r="L4" s="2121"/>
      <c r="M4" s="1605" t="s">
        <v>10</v>
      </c>
      <c r="N4" s="1606">
        <f>projectTotal</f>
        <v>0</v>
      </c>
      <c r="O4" s="1607" t="str">
        <f>IF(SUM(projectMandatoryCount)=4,"Met","Not Met")</f>
        <v>Not Met</v>
      </c>
      <c r="P4" s="1601">
        <f>SUM(bronzeMinimum)</f>
        <v>88</v>
      </c>
      <c r="Q4" s="1601">
        <f>SUM(silverMinimum)</f>
        <v>125</v>
      </c>
      <c r="R4" s="1601">
        <f>SUM(goldMinimum)</f>
        <v>181</v>
      </c>
      <c r="S4" s="1601">
        <f>SUM(emeraldMinimum)</f>
        <v>225</v>
      </c>
    </row>
    <row r="5" spans="1:19" ht="15" customHeight="1" thickBot="1">
      <c r="B5" s="3232"/>
      <c r="C5" s="3232"/>
      <c r="D5" s="3232"/>
      <c r="E5" s="3232"/>
      <c r="F5" s="3232"/>
      <c r="G5" s="3232"/>
      <c r="H5" s="3232"/>
      <c r="I5" s="2272" t="str">
        <f>CONCATENATE(copyright," All rights reserved.  See full notice at bottom of this sheet")</f>
        <v>© 2013 Home Innovation Research Labs, Inc. All rights reserved.  See full notice at bottom of this sheet</v>
      </c>
      <c r="J5" s="2272"/>
      <c r="K5" s="2272"/>
      <c r="L5" s="2272"/>
      <c r="M5" s="2272"/>
      <c r="N5" s="2272"/>
      <c r="O5" s="2272"/>
      <c r="P5" s="2272"/>
      <c r="Q5" s="2272"/>
      <c r="R5" s="2272"/>
      <c r="S5" s="2272"/>
    </row>
    <row r="6" spans="1:19" ht="30.75" customHeight="1" thickBot="1">
      <c r="B6" s="3021" t="s">
        <v>11</v>
      </c>
      <c r="C6" s="3010"/>
      <c r="D6" s="3011"/>
      <c r="E6" s="3007" t="s">
        <v>333</v>
      </c>
      <c r="F6" s="3007"/>
      <c r="G6" s="3007"/>
      <c r="H6" s="3007"/>
      <c r="I6" s="3007"/>
      <c r="J6" s="3007"/>
      <c r="K6" s="3007"/>
      <c r="L6" s="3007"/>
      <c r="M6" s="3007"/>
      <c r="N6" s="667" t="s">
        <v>13</v>
      </c>
      <c r="O6" s="667" t="s">
        <v>210</v>
      </c>
      <c r="P6" s="3009" t="s">
        <v>16</v>
      </c>
      <c r="Q6" s="3010"/>
      <c r="R6" s="3011"/>
      <c r="S6" s="174" t="s">
        <v>15</v>
      </c>
    </row>
    <row r="7" spans="1:19" ht="17.25" customHeight="1">
      <c r="B7" s="2264" t="s">
        <v>2450</v>
      </c>
      <c r="C7" s="2264"/>
      <c r="D7" s="2264"/>
      <c r="E7" s="2264"/>
      <c r="F7" s="2264"/>
      <c r="G7" s="2264"/>
      <c r="H7" s="2264"/>
      <c r="I7" s="2264"/>
      <c r="J7" s="2264"/>
      <c r="K7" s="2264"/>
      <c r="L7" s="2264"/>
      <c r="M7" s="2264"/>
      <c r="N7" s="2264"/>
      <c r="O7" s="2264"/>
      <c r="P7" s="2264"/>
      <c r="Q7" s="2264"/>
      <c r="R7" s="2264"/>
      <c r="S7" s="2264"/>
    </row>
    <row r="8" spans="1:19" ht="15" customHeight="1" thickBot="1">
      <c r="B8" s="1949">
        <v>11.901</v>
      </c>
      <c r="C8" s="767"/>
      <c r="D8" s="767"/>
      <c r="E8" s="3188" t="s">
        <v>1216</v>
      </c>
      <c r="F8" s="3188"/>
      <c r="G8" s="3188"/>
      <c r="H8" s="3188"/>
      <c r="I8" s="3188"/>
      <c r="J8" s="3188"/>
      <c r="K8" s="3188"/>
      <c r="L8" s="3188"/>
      <c r="M8" s="3188"/>
      <c r="N8" s="177"/>
      <c r="O8" s="177"/>
      <c r="P8" s="3188"/>
      <c r="Q8" s="3188"/>
      <c r="R8" s="3188"/>
      <c r="S8" s="768"/>
    </row>
    <row r="9" spans="1:19" ht="16" thickTop="1">
      <c r="B9" s="670" t="s">
        <v>2451</v>
      </c>
      <c r="C9" s="687"/>
      <c r="D9" s="687"/>
      <c r="E9" s="2431" t="s">
        <v>334</v>
      </c>
      <c r="F9" s="2431"/>
      <c r="G9" s="2431"/>
      <c r="H9" s="2431"/>
      <c r="I9" s="2431"/>
      <c r="J9" s="2431"/>
      <c r="K9" s="2431"/>
      <c r="L9" s="2431"/>
      <c r="M9" s="2431"/>
      <c r="N9" s="680"/>
      <c r="O9" s="672"/>
      <c r="P9" s="2749"/>
      <c r="Q9" s="2749"/>
      <c r="R9" s="2750"/>
      <c r="S9" s="727"/>
    </row>
    <row r="10" spans="1:19" ht="63" customHeight="1">
      <c r="B10" s="3088" t="s">
        <v>2452</v>
      </c>
      <c r="C10" s="3189"/>
      <c r="D10" s="687"/>
      <c r="E10" s="2336" t="s">
        <v>1088</v>
      </c>
      <c r="F10" s="2336"/>
      <c r="G10" s="2336"/>
      <c r="H10" s="2336"/>
      <c r="I10" s="2336"/>
      <c r="J10" s="2336"/>
      <c r="K10" s="2336"/>
      <c r="L10" s="2336"/>
      <c r="M10" s="2336"/>
      <c r="N10" s="2386">
        <v>5</v>
      </c>
      <c r="O10" s="2044"/>
      <c r="P10" s="2721"/>
      <c r="Q10" s="2721"/>
      <c r="R10" s="2721"/>
      <c r="S10" s="2258" t="s">
        <v>18</v>
      </c>
    </row>
    <row r="11" spans="1:19" ht="30" customHeight="1">
      <c r="B11" s="3190"/>
      <c r="C11" s="3191"/>
      <c r="D11" s="687"/>
      <c r="E11" s="2868" t="s">
        <v>1575</v>
      </c>
      <c r="F11" s="2868"/>
      <c r="G11" s="2868"/>
      <c r="H11" s="2868"/>
      <c r="I11" s="2868"/>
      <c r="J11" s="2868"/>
      <c r="K11" s="2868"/>
      <c r="L11" s="2868"/>
      <c r="M11" s="2868"/>
      <c r="N11" s="3082"/>
      <c r="O11" s="766">
        <f>score901.1.1</f>
        <v>0</v>
      </c>
      <c r="P11" s="2871"/>
      <c r="Q11" s="2871"/>
      <c r="R11" s="2871"/>
      <c r="S11" s="2259"/>
    </row>
    <row r="12" spans="1:19" ht="30" customHeight="1">
      <c r="B12" s="3084" t="s">
        <v>2453</v>
      </c>
      <c r="C12" s="3184"/>
      <c r="D12" s="686"/>
      <c r="E12" s="3042" t="s">
        <v>335</v>
      </c>
      <c r="F12" s="3042"/>
      <c r="G12" s="3042"/>
      <c r="H12" s="3042"/>
      <c r="I12" s="3042"/>
      <c r="J12" s="3042"/>
      <c r="K12" s="3042"/>
      <c r="L12" s="3042"/>
      <c r="M12" s="3042"/>
      <c r="N12" s="679">
        <v>5</v>
      </c>
      <c r="O12" s="556"/>
      <c r="P12" s="2949"/>
      <c r="Q12" s="2950"/>
      <c r="R12" s="2950"/>
      <c r="S12" s="659" t="s">
        <v>18</v>
      </c>
    </row>
    <row r="13" spans="1:19" ht="45" customHeight="1">
      <c r="B13" s="3084" t="s">
        <v>2454</v>
      </c>
      <c r="C13" s="3184"/>
      <c r="D13" s="686"/>
      <c r="E13" s="3042" t="s">
        <v>1093</v>
      </c>
      <c r="F13" s="3042"/>
      <c r="G13" s="3042"/>
      <c r="H13" s="3042"/>
      <c r="I13" s="3042"/>
      <c r="J13" s="3042"/>
      <c r="K13" s="3042"/>
      <c r="L13" s="3042"/>
      <c r="M13" s="3042"/>
      <c r="N13" s="679"/>
      <c r="O13" s="178"/>
      <c r="P13" s="3042"/>
      <c r="Q13" s="3042"/>
      <c r="R13" s="3185"/>
      <c r="S13" s="557"/>
    </row>
    <row r="14" spans="1:19" ht="15.75" customHeight="1">
      <c r="B14" s="743"/>
      <c r="C14" s="3187">
        <v>1</v>
      </c>
      <c r="D14" s="3186"/>
      <c r="E14" s="2336" t="s">
        <v>1094</v>
      </c>
      <c r="F14" s="2336"/>
      <c r="G14" s="2336"/>
      <c r="H14" s="2336"/>
      <c r="I14" s="2336"/>
      <c r="J14" s="2336"/>
      <c r="K14" s="2336"/>
      <c r="L14" s="2336"/>
      <c r="M14" s="2336"/>
      <c r="N14" s="2386" t="s">
        <v>1095</v>
      </c>
      <c r="O14" s="1155"/>
      <c r="P14" s="2721"/>
      <c r="Q14" s="2721"/>
      <c r="R14" s="2721"/>
      <c r="S14" s="2259" t="s">
        <v>18</v>
      </c>
    </row>
    <row r="15" spans="1:19" ht="15.75" customHeight="1">
      <c r="B15" s="743"/>
      <c r="C15" s="3187"/>
      <c r="D15" s="3186"/>
      <c r="E15" s="2336"/>
      <c r="F15" s="2336"/>
      <c r="G15" s="2336"/>
      <c r="H15" s="2336"/>
      <c r="I15" s="2336"/>
      <c r="J15" s="2336"/>
      <c r="K15" s="2336"/>
      <c r="L15" s="2336"/>
      <c r="M15" s="2336"/>
      <c r="N15" s="2386"/>
      <c r="O15" s="677">
        <f>score901.1.3_1</f>
        <v>0</v>
      </c>
      <c r="P15" s="2721"/>
      <c r="Q15" s="2721"/>
      <c r="R15" s="2721"/>
      <c r="S15" s="2258"/>
    </row>
    <row r="16" spans="1:19" ht="15" customHeight="1">
      <c r="B16" s="743"/>
      <c r="C16" s="3195">
        <v>2</v>
      </c>
      <c r="D16" s="3197"/>
      <c r="E16" s="3042" t="s">
        <v>1099</v>
      </c>
      <c r="F16" s="3042"/>
      <c r="G16" s="3042"/>
      <c r="H16" s="3042"/>
      <c r="I16" s="3042"/>
      <c r="J16" s="3042"/>
      <c r="K16" s="3042"/>
      <c r="L16" s="3042"/>
      <c r="M16" s="3042"/>
      <c r="N16" s="3070" t="s">
        <v>1095</v>
      </c>
      <c r="O16" s="1170"/>
      <c r="P16" s="2908"/>
      <c r="Q16" s="2909"/>
      <c r="R16" s="2909"/>
      <c r="S16" s="2314" t="s">
        <v>18</v>
      </c>
    </row>
    <row r="17" spans="1:19" ht="15" customHeight="1">
      <c r="B17" s="743"/>
      <c r="C17" s="3196"/>
      <c r="D17" s="3198"/>
      <c r="E17" s="3169"/>
      <c r="F17" s="3169"/>
      <c r="G17" s="3169"/>
      <c r="H17" s="3169"/>
      <c r="I17" s="3169"/>
      <c r="J17" s="3169"/>
      <c r="K17" s="3169"/>
      <c r="L17" s="3169"/>
      <c r="M17" s="3169"/>
      <c r="N17" s="3082"/>
      <c r="O17" s="934">
        <f>score901.1.3_2</f>
        <v>0</v>
      </c>
      <c r="P17" s="3194"/>
      <c r="Q17" s="2547"/>
      <c r="R17" s="2547"/>
      <c r="S17" s="2353"/>
    </row>
    <row r="18" spans="1:19" ht="60" customHeight="1">
      <c r="B18" s="183" t="s">
        <v>2455</v>
      </c>
      <c r="C18" s="686"/>
      <c r="D18" s="686"/>
      <c r="E18" s="3199" t="s">
        <v>2280</v>
      </c>
      <c r="F18" s="3199"/>
      <c r="G18" s="3199"/>
      <c r="H18" s="3199"/>
      <c r="I18" s="3199"/>
      <c r="J18" s="3199"/>
      <c r="K18" s="3199"/>
      <c r="L18" s="3199"/>
      <c r="M18" s="3199"/>
      <c r="N18" s="181" t="s">
        <v>295</v>
      </c>
      <c r="O18" s="956"/>
      <c r="P18" s="2912"/>
      <c r="Q18" s="2912"/>
      <c r="R18" s="2912"/>
      <c r="S18" s="662" t="s">
        <v>18</v>
      </c>
    </row>
    <row r="19" spans="1:19" ht="30" customHeight="1">
      <c r="B19" s="183" t="s">
        <v>2456</v>
      </c>
      <c r="C19" s="686"/>
      <c r="D19" s="686"/>
      <c r="E19" s="3199" t="s">
        <v>1101</v>
      </c>
      <c r="F19" s="3199"/>
      <c r="G19" s="3199"/>
      <c r="H19" s="3199"/>
      <c r="I19" s="3199"/>
      <c r="J19" s="3199"/>
      <c r="K19" s="3199"/>
      <c r="L19" s="3199"/>
      <c r="M19" s="3199"/>
      <c r="N19" s="679">
        <v>7</v>
      </c>
      <c r="O19" s="1171"/>
      <c r="P19" s="2912"/>
      <c r="Q19" s="2912"/>
      <c r="R19" s="2912"/>
      <c r="S19" s="933" t="s">
        <v>18</v>
      </c>
    </row>
    <row r="20" spans="1:19" s="106" customFormat="1" ht="19.5" customHeight="1">
      <c r="A20" s="106" t="str">
        <f>IF(AND(startHVAC1&lt;&gt;"Heat Pump",startHVAC2&lt;&gt;"Heat Pump",startHVAC3&lt;&gt;"Heat Pump"),"x","")</f>
        <v>x</v>
      </c>
      <c r="B20" s="2055" t="s">
        <v>2457</v>
      </c>
      <c r="C20" s="2100"/>
      <c r="D20" s="3197"/>
      <c r="E20" s="3042" t="s">
        <v>2122</v>
      </c>
      <c r="F20" s="3042"/>
      <c r="G20" s="3042"/>
      <c r="H20" s="3042"/>
      <c r="I20" s="3042"/>
      <c r="J20" s="3042"/>
      <c r="K20" s="3042"/>
      <c r="L20" s="3042"/>
      <c r="M20" s="3042"/>
      <c r="N20" s="3070" t="s">
        <v>1105</v>
      </c>
      <c r="O20" s="1208"/>
      <c r="P20" s="2908"/>
      <c r="Q20" s="2909"/>
      <c r="R20" s="2909"/>
      <c r="S20" s="2314" t="s">
        <v>18</v>
      </c>
    </row>
    <row r="21" spans="1:19" ht="20" customHeight="1" thickBot="1">
      <c r="B21" s="2101"/>
      <c r="C21" s="2102"/>
      <c r="D21" s="3198"/>
      <c r="E21" s="3169"/>
      <c r="F21" s="3169"/>
      <c r="G21" s="3169"/>
      <c r="H21" s="3169"/>
      <c r="I21" s="3169"/>
      <c r="J21" s="3169"/>
      <c r="K21" s="3169"/>
      <c r="L21" s="3169"/>
      <c r="M21" s="3169"/>
      <c r="N21" s="3082"/>
      <c r="O21" s="677">
        <f>score901.1.6</f>
        <v>0</v>
      </c>
      <c r="P21" s="3194"/>
      <c r="Q21" s="2547"/>
      <c r="R21" s="2547"/>
      <c r="S21" s="2353"/>
    </row>
    <row r="22" spans="1:19" ht="16" thickTop="1">
      <c r="B22" s="164" t="s">
        <v>2458</v>
      </c>
      <c r="C22" s="165"/>
      <c r="D22" s="165"/>
      <c r="E22" s="2443" t="s">
        <v>1106</v>
      </c>
      <c r="F22" s="2349"/>
      <c r="G22" s="2349"/>
      <c r="H22" s="2349"/>
      <c r="I22" s="2349"/>
      <c r="J22" s="2349"/>
      <c r="K22" s="2349"/>
      <c r="L22" s="2349"/>
      <c r="M22" s="2349"/>
      <c r="N22" s="179"/>
      <c r="O22" s="682"/>
      <c r="P22" s="2749"/>
      <c r="Q22" s="2749"/>
      <c r="R22" s="2750"/>
      <c r="S22" s="3200"/>
    </row>
    <row r="23" spans="1:19" ht="30" customHeight="1">
      <c r="B23" s="670" t="s">
        <v>2459</v>
      </c>
      <c r="C23" s="687"/>
      <c r="D23" s="687"/>
      <c r="E23" s="2336" t="s">
        <v>2281</v>
      </c>
      <c r="F23" s="2336"/>
      <c r="G23" s="2336"/>
      <c r="H23" s="2336"/>
      <c r="I23" s="2336"/>
      <c r="J23" s="2336"/>
      <c r="K23" s="2336"/>
      <c r="L23" s="2336"/>
      <c r="M23" s="2336"/>
      <c r="N23" s="680"/>
      <c r="O23" s="672"/>
      <c r="P23" s="2678"/>
      <c r="Q23" s="2678"/>
      <c r="R23" s="3079"/>
      <c r="S23" s="3200"/>
    </row>
    <row r="24" spans="1:19" ht="48" customHeight="1">
      <c r="B24" s="180"/>
      <c r="C24" s="684">
        <v>1</v>
      </c>
      <c r="D24" s="687"/>
      <c r="E24" s="2336" t="s">
        <v>1107</v>
      </c>
      <c r="F24" s="2336"/>
      <c r="G24" s="2336"/>
      <c r="H24" s="2336"/>
      <c r="I24" s="2336"/>
      <c r="J24" s="2336"/>
      <c r="K24" s="2336"/>
      <c r="L24" s="2336"/>
      <c r="M24" s="2336"/>
      <c r="N24" s="181" t="s">
        <v>295</v>
      </c>
      <c r="O24" s="1199"/>
      <c r="P24" s="2721"/>
      <c r="Q24" s="2721"/>
      <c r="R24" s="2721"/>
      <c r="S24" s="2258" t="s">
        <v>18</v>
      </c>
    </row>
    <row r="25" spans="1:19" ht="39" customHeight="1">
      <c r="B25" s="180"/>
      <c r="C25" s="684"/>
      <c r="D25" s="687"/>
      <c r="E25" s="2781" t="s">
        <v>1113</v>
      </c>
      <c r="F25" s="2781"/>
      <c r="G25" s="2781"/>
      <c r="H25" s="2781"/>
      <c r="I25" s="2781"/>
      <c r="J25" s="2781"/>
      <c r="K25" s="2781"/>
      <c r="L25" s="2781"/>
      <c r="M25" s="2781"/>
      <c r="N25" s="680">
        <v>4</v>
      </c>
      <c r="O25" s="678">
        <f>score901.2.1_1</f>
        <v>0</v>
      </c>
      <c r="P25" s="2721"/>
      <c r="Q25" s="2721"/>
      <c r="R25" s="2721"/>
      <c r="S25" s="2258"/>
    </row>
    <row r="26" spans="1:19" ht="48" customHeight="1">
      <c r="B26" s="180"/>
      <c r="C26" s="614">
        <v>2</v>
      </c>
      <c r="D26" s="3209"/>
      <c r="E26" s="3211" t="s">
        <v>337</v>
      </c>
      <c r="F26" s="3211"/>
      <c r="G26" s="3211"/>
      <c r="H26" s="3211"/>
      <c r="I26" s="3211"/>
      <c r="J26" s="3211"/>
      <c r="K26" s="3211"/>
      <c r="L26" s="3211"/>
      <c r="M26" s="3211"/>
      <c r="N26" s="700" t="s">
        <v>295</v>
      </c>
      <c r="O26" s="1200"/>
      <c r="P26" s="2912"/>
      <c r="Q26" s="2912"/>
      <c r="R26" s="3182"/>
      <c r="S26" s="3207" t="s">
        <v>18</v>
      </c>
    </row>
    <row r="27" spans="1:19" ht="30" customHeight="1">
      <c r="B27" s="180"/>
      <c r="C27" s="706"/>
      <c r="D27" s="3210"/>
      <c r="E27" s="3178" t="s">
        <v>1114</v>
      </c>
      <c r="F27" s="3178"/>
      <c r="G27" s="3178"/>
      <c r="H27" s="3178"/>
      <c r="I27" s="3178"/>
      <c r="J27" s="3178"/>
      <c r="K27" s="3178"/>
      <c r="L27" s="3178"/>
      <c r="M27" s="3178"/>
      <c r="N27" s="702">
        <v>6</v>
      </c>
      <c r="O27" s="703">
        <f>score901.2.1_2</f>
        <v>0</v>
      </c>
      <c r="P27" s="2547"/>
      <c r="Q27" s="2547"/>
      <c r="R27" s="3183"/>
      <c r="S27" s="3208"/>
    </row>
    <row r="28" spans="1:19" ht="45" customHeight="1">
      <c r="B28" s="180"/>
      <c r="C28" s="684">
        <v>3</v>
      </c>
      <c r="D28" s="3186"/>
      <c r="E28" s="2336" t="s">
        <v>1119</v>
      </c>
      <c r="F28" s="2336"/>
      <c r="G28" s="2336"/>
      <c r="H28" s="2336"/>
      <c r="I28" s="2336"/>
      <c r="J28" s="2336"/>
      <c r="K28" s="2336"/>
      <c r="L28" s="2336"/>
      <c r="M28" s="2336"/>
      <c r="N28" s="181" t="s">
        <v>295</v>
      </c>
      <c r="O28" s="1201"/>
      <c r="P28" s="2721"/>
      <c r="Q28" s="2721"/>
      <c r="R28" s="2721"/>
      <c r="S28" s="2258" t="s">
        <v>18</v>
      </c>
    </row>
    <row r="29" spans="1:19" ht="30" customHeight="1">
      <c r="B29" s="180"/>
      <c r="C29" s="684"/>
      <c r="D29" s="3186"/>
      <c r="E29" s="2781" t="s">
        <v>1115</v>
      </c>
      <c r="F29" s="2781"/>
      <c r="G29" s="2781"/>
      <c r="H29" s="2781"/>
      <c r="I29" s="2781"/>
      <c r="J29" s="2781"/>
      <c r="K29" s="2781"/>
      <c r="L29" s="2781"/>
      <c r="M29" s="2781"/>
      <c r="N29" s="680">
        <v>6</v>
      </c>
      <c r="O29" s="147">
        <f>score901.2.1_3</f>
        <v>0</v>
      </c>
      <c r="P29" s="2721"/>
      <c r="Q29" s="2721"/>
      <c r="R29" s="2721"/>
      <c r="S29" s="2258"/>
    </row>
    <row r="30" spans="1:19" ht="39" customHeight="1">
      <c r="B30" s="180"/>
      <c r="C30" s="614">
        <v>4</v>
      </c>
      <c r="D30" s="499"/>
      <c r="E30" s="3179" t="s">
        <v>338</v>
      </c>
      <c r="F30" s="3179"/>
      <c r="G30" s="3179"/>
      <c r="H30" s="3179"/>
      <c r="I30" s="3179"/>
      <c r="J30" s="3179"/>
      <c r="K30" s="3179"/>
      <c r="L30" s="3179"/>
      <c r="M30" s="3179"/>
      <c r="N30" s="700" t="s">
        <v>295</v>
      </c>
      <c r="O30" s="1202"/>
      <c r="P30" s="2912"/>
      <c r="Q30" s="2912"/>
      <c r="R30" s="3182"/>
      <c r="S30" s="3180" t="s">
        <v>18</v>
      </c>
    </row>
    <row r="31" spans="1:19" ht="28.5" customHeight="1">
      <c r="B31" s="180"/>
      <c r="C31" s="706"/>
      <c r="D31" s="704"/>
      <c r="E31" s="3178" t="s">
        <v>1116</v>
      </c>
      <c r="F31" s="3178"/>
      <c r="G31" s="3178"/>
      <c r="H31" s="3178"/>
      <c r="I31" s="3178"/>
      <c r="J31" s="3178"/>
      <c r="K31" s="3178"/>
      <c r="L31" s="3178"/>
      <c r="M31" s="3178"/>
      <c r="N31" s="705">
        <v>6</v>
      </c>
      <c r="O31" s="703">
        <f>score901.2.1_4</f>
        <v>0</v>
      </c>
      <c r="P31" s="2547"/>
      <c r="Q31" s="2547"/>
      <c r="R31" s="3183"/>
      <c r="S31" s="3181"/>
    </row>
    <row r="32" spans="1:19" ht="39.75" customHeight="1">
      <c r="B32" s="180"/>
      <c r="C32" s="614">
        <v>5</v>
      </c>
      <c r="D32" s="499"/>
      <c r="E32" s="3131" t="s">
        <v>339</v>
      </c>
      <c r="F32" s="3131"/>
      <c r="G32" s="3131"/>
      <c r="H32" s="3131"/>
      <c r="I32" s="3131"/>
      <c r="J32" s="3131"/>
      <c r="K32" s="3131"/>
      <c r="L32" s="3131"/>
      <c r="M32" s="3131"/>
      <c r="N32" s="700" t="s">
        <v>295</v>
      </c>
      <c r="O32" s="1202"/>
      <c r="P32" s="2912"/>
      <c r="Q32" s="2912"/>
      <c r="R32" s="3182"/>
      <c r="S32" s="3176" t="s">
        <v>18</v>
      </c>
    </row>
    <row r="33" spans="1:19" ht="30" customHeight="1">
      <c r="B33" s="182"/>
      <c r="C33" s="701"/>
      <c r="D33" s="701"/>
      <c r="E33" s="3178" t="s">
        <v>1117</v>
      </c>
      <c r="F33" s="3178"/>
      <c r="G33" s="3178"/>
      <c r="H33" s="3178"/>
      <c r="I33" s="3178"/>
      <c r="J33" s="3178"/>
      <c r="K33" s="3178"/>
      <c r="L33" s="3178"/>
      <c r="M33" s="3178"/>
      <c r="N33" s="709">
        <v>6</v>
      </c>
      <c r="O33" s="703">
        <f>score901.2.1_5</f>
        <v>0</v>
      </c>
      <c r="P33" s="2547"/>
      <c r="Q33" s="2547"/>
      <c r="R33" s="3183"/>
      <c r="S33" s="3177"/>
    </row>
    <row r="34" spans="1:19" ht="30" customHeight="1">
      <c r="B34" s="498" t="s">
        <v>2460</v>
      </c>
      <c r="C34" s="499"/>
      <c r="D34" s="499"/>
      <c r="E34" s="3131" t="s">
        <v>340</v>
      </c>
      <c r="F34" s="3131"/>
      <c r="G34" s="3131"/>
      <c r="H34" s="3131"/>
      <c r="I34" s="3131"/>
      <c r="J34" s="3131"/>
      <c r="K34" s="3131"/>
      <c r="L34" s="3131"/>
      <c r="M34" s="3131"/>
      <c r="N34" s="3141">
        <v>7</v>
      </c>
      <c r="O34" s="2698"/>
      <c r="P34" s="2912"/>
      <c r="Q34" s="2912"/>
      <c r="R34" s="3182"/>
      <c r="S34" s="3180" t="s">
        <v>18</v>
      </c>
    </row>
    <row r="35" spans="1:19" ht="16" thickBot="1">
      <c r="B35" s="707"/>
      <c r="C35" s="708"/>
      <c r="D35" s="708"/>
      <c r="E35" s="3201" t="s">
        <v>1118</v>
      </c>
      <c r="F35" s="3201"/>
      <c r="G35" s="3201"/>
      <c r="H35" s="3201"/>
      <c r="I35" s="3201"/>
      <c r="J35" s="3201"/>
      <c r="K35" s="3201"/>
      <c r="L35" s="3201"/>
      <c r="M35" s="3201"/>
      <c r="N35" s="3071"/>
      <c r="O35" s="2700"/>
      <c r="P35" s="3048"/>
      <c r="Q35" s="3048"/>
      <c r="R35" s="3049"/>
      <c r="S35" s="3065"/>
    </row>
    <row r="36" spans="1:19" ht="16" thickTop="1">
      <c r="B36" s="164" t="s">
        <v>2461</v>
      </c>
      <c r="C36" s="165"/>
      <c r="D36" s="165"/>
      <c r="E36" s="2443" t="s">
        <v>341</v>
      </c>
      <c r="F36" s="2443"/>
      <c r="G36" s="2443"/>
      <c r="H36" s="2443"/>
      <c r="I36" s="2443"/>
      <c r="J36" s="2443"/>
      <c r="K36" s="2443"/>
      <c r="L36" s="2443"/>
      <c r="M36" s="2443"/>
      <c r="N36" s="148"/>
      <c r="O36" s="688"/>
      <c r="P36" s="3205"/>
      <c r="Q36" s="3205"/>
      <c r="R36" s="3206"/>
      <c r="S36" s="675"/>
    </row>
    <row r="37" spans="1:19" ht="15" customHeight="1">
      <c r="A37" s="28" t="str">
        <f>IF(startAttachedGarage="No","x","")</f>
        <v/>
      </c>
      <c r="B37" s="180"/>
      <c r="C37" s="684">
        <v>1</v>
      </c>
      <c r="D37" s="684"/>
      <c r="E37" s="2336" t="s">
        <v>342</v>
      </c>
      <c r="F37" s="2336"/>
      <c r="G37" s="2336"/>
      <c r="H37" s="2336"/>
      <c r="I37" s="2336"/>
      <c r="J37" s="2336"/>
      <c r="K37" s="2336"/>
      <c r="L37" s="2336"/>
      <c r="M37" s="2336"/>
      <c r="N37" s="680"/>
      <c r="O37" s="672"/>
      <c r="P37" s="2678"/>
      <c r="Q37" s="2678"/>
      <c r="R37" s="3079"/>
      <c r="S37" s="727"/>
    </row>
    <row r="38" spans="1:19" ht="30" customHeight="1">
      <c r="B38" s="180"/>
      <c r="C38" s="687"/>
      <c r="D38" s="3212" t="s">
        <v>317</v>
      </c>
      <c r="E38" s="2336" t="s">
        <v>343</v>
      </c>
      <c r="F38" s="2336"/>
      <c r="G38" s="2336"/>
      <c r="H38" s="2336"/>
      <c r="I38" s="2336"/>
      <c r="J38" s="2336"/>
      <c r="K38" s="2336"/>
      <c r="L38" s="2336"/>
      <c r="M38" s="2336"/>
      <c r="N38" s="181" t="s">
        <v>295</v>
      </c>
      <c r="O38" s="495"/>
      <c r="P38" s="2721"/>
      <c r="Q38" s="2721"/>
      <c r="R38" s="2721"/>
      <c r="S38" s="2258" t="s">
        <v>18</v>
      </c>
    </row>
    <row r="39" spans="1:19" ht="30" customHeight="1">
      <c r="B39" s="180"/>
      <c r="C39" s="687"/>
      <c r="D39" s="3212"/>
      <c r="E39" s="3202" t="s">
        <v>344</v>
      </c>
      <c r="F39" s="3203"/>
      <c r="G39" s="3203"/>
      <c r="H39" s="3203"/>
      <c r="I39" s="3203"/>
      <c r="J39" s="3203"/>
      <c r="K39" s="3203"/>
      <c r="L39" s="3203"/>
      <c r="M39" s="3204"/>
      <c r="N39" s="680">
        <v>2</v>
      </c>
      <c r="O39" s="765">
        <f>score901.3_1_a</f>
        <v>0</v>
      </c>
      <c r="P39" s="2871"/>
      <c r="Q39" s="2871"/>
      <c r="R39" s="2871"/>
      <c r="S39" s="2258"/>
    </row>
    <row r="40" spans="1:19" ht="30" customHeight="1">
      <c r="B40" s="180"/>
      <c r="C40" s="687"/>
      <c r="D40" s="686" t="s">
        <v>318</v>
      </c>
      <c r="E40" s="2392" t="s">
        <v>345</v>
      </c>
      <c r="F40" s="2392"/>
      <c r="G40" s="2392"/>
      <c r="H40" s="2392"/>
      <c r="I40" s="2392"/>
      <c r="J40" s="2392"/>
      <c r="K40" s="2392"/>
      <c r="L40" s="2392"/>
      <c r="M40" s="2392"/>
      <c r="N40" s="154" t="s">
        <v>295</v>
      </c>
      <c r="O40" s="957"/>
      <c r="P40" s="2909"/>
      <c r="Q40" s="2909"/>
      <c r="R40" s="2909"/>
      <c r="S40" s="2314" t="s">
        <v>18</v>
      </c>
    </row>
    <row r="41" spans="1:19" ht="30" customHeight="1">
      <c r="B41" s="180"/>
      <c r="C41" s="687"/>
      <c r="D41" s="374"/>
      <c r="E41" s="3073" t="s">
        <v>346</v>
      </c>
      <c r="F41" s="3073"/>
      <c r="G41" s="3073"/>
      <c r="H41" s="3073"/>
      <c r="I41" s="3073"/>
      <c r="J41" s="3073"/>
      <c r="K41" s="3073"/>
      <c r="L41" s="3073"/>
      <c r="M41" s="3073"/>
      <c r="N41" s="710">
        <v>2</v>
      </c>
      <c r="O41" s="766">
        <f>score901.3_1_b</f>
        <v>0</v>
      </c>
      <c r="P41" s="2871"/>
      <c r="Q41" s="2871"/>
      <c r="R41" s="2871"/>
      <c r="S41" s="2259"/>
    </row>
    <row r="42" spans="1:19" ht="80" customHeight="1">
      <c r="B42" s="180"/>
      <c r="C42" s="687"/>
      <c r="D42" s="686" t="s">
        <v>319</v>
      </c>
      <c r="E42" s="3042" t="s">
        <v>2603</v>
      </c>
      <c r="F42" s="3042"/>
      <c r="G42" s="3042"/>
      <c r="H42" s="3042"/>
      <c r="I42" s="3042"/>
      <c r="J42" s="3042"/>
      <c r="K42" s="3042"/>
      <c r="L42" s="3042"/>
      <c r="M42" s="3042"/>
      <c r="N42" s="3070">
        <v>8</v>
      </c>
      <c r="O42" s="2699"/>
      <c r="P42" s="2909"/>
      <c r="Q42" s="2909"/>
      <c r="R42" s="2909"/>
      <c r="S42" s="2314" t="s">
        <v>18</v>
      </c>
    </row>
    <row r="43" spans="1:19">
      <c r="B43" s="180"/>
      <c r="C43" s="687"/>
      <c r="D43" s="687"/>
      <c r="E43" s="3075" t="s">
        <v>347</v>
      </c>
      <c r="F43" s="3075"/>
      <c r="G43" s="3075"/>
      <c r="H43" s="3075"/>
      <c r="I43" s="3075"/>
      <c r="J43" s="3075"/>
      <c r="K43" s="3075"/>
      <c r="L43" s="3075"/>
      <c r="M43" s="3075"/>
      <c r="N43" s="2386"/>
      <c r="O43" s="2699"/>
      <c r="P43" s="2721"/>
      <c r="Q43" s="2721"/>
      <c r="R43" s="2721"/>
      <c r="S43" s="2258"/>
    </row>
    <row r="44" spans="1:19" ht="15" customHeight="1">
      <c r="B44" s="180"/>
      <c r="C44" s="687"/>
      <c r="D44" s="687"/>
      <c r="E44" s="2781" t="s">
        <v>348</v>
      </c>
      <c r="F44" s="2781"/>
      <c r="G44" s="2781"/>
      <c r="H44" s="2781"/>
      <c r="I44" s="2781"/>
      <c r="J44" s="2781"/>
      <c r="K44" s="2781"/>
      <c r="L44" s="2781"/>
      <c r="M44" s="2781"/>
      <c r="N44" s="2386"/>
      <c r="O44" s="3072"/>
      <c r="P44" s="2871"/>
      <c r="Q44" s="2871"/>
      <c r="R44" s="2871"/>
      <c r="S44" s="2259"/>
    </row>
    <row r="45" spans="1:19">
      <c r="A45" s="28" t="str">
        <f>IF(startAttachedGarage="Yes","x","")</f>
        <v/>
      </c>
      <c r="B45" s="180"/>
      <c r="C45" s="685">
        <v>2</v>
      </c>
      <c r="D45" s="685"/>
      <c r="E45" s="3042" t="s">
        <v>349</v>
      </c>
      <c r="F45" s="3042"/>
      <c r="G45" s="3042"/>
      <c r="H45" s="3042"/>
      <c r="I45" s="3042"/>
      <c r="J45" s="3042"/>
      <c r="K45" s="3042"/>
      <c r="L45" s="3042"/>
      <c r="M45" s="3042"/>
      <c r="N45" s="3070">
        <v>10</v>
      </c>
      <c r="O45" s="3175"/>
      <c r="P45" s="2908"/>
      <c r="Q45" s="2909"/>
      <c r="R45" s="2909"/>
      <c r="S45" s="2314" t="s">
        <v>18</v>
      </c>
    </row>
    <row r="46" spans="1:19" ht="30" customHeight="1" thickBot="1">
      <c r="B46" s="180"/>
      <c r="C46" s="687"/>
      <c r="D46" s="687"/>
      <c r="E46" s="2781" t="s">
        <v>350</v>
      </c>
      <c r="F46" s="2781"/>
      <c r="G46" s="2781"/>
      <c r="H46" s="2781"/>
      <c r="I46" s="2781"/>
      <c r="J46" s="2781"/>
      <c r="K46" s="2781"/>
      <c r="L46" s="2781"/>
      <c r="M46" s="2781"/>
      <c r="N46" s="3071"/>
      <c r="O46" s="3072"/>
      <c r="P46" s="3047"/>
      <c r="Q46" s="3048"/>
      <c r="R46" s="3048"/>
      <c r="S46" s="2258"/>
    </row>
    <row r="47" spans="1:19" ht="65" customHeight="1" thickTop="1">
      <c r="B47" s="2050" t="s">
        <v>2462</v>
      </c>
      <c r="C47" s="185">
        <v>1</v>
      </c>
      <c r="D47" s="185"/>
      <c r="E47" s="2349" t="s">
        <v>2282</v>
      </c>
      <c r="F47" s="2349"/>
      <c r="G47" s="2349"/>
      <c r="H47" s="2349"/>
      <c r="I47" s="2349"/>
      <c r="J47" s="2349"/>
      <c r="K47" s="2349"/>
      <c r="L47" s="2349"/>
      <c r="M47" s="2349"/>
      <c r="N47" s="186" t="s">
        <v>3</v>
      </c>
      <c r="O47" s="1916"/>
      <c r="P47" s="3215"/>
      <c r="Q47" s="3216"/>
      <c r="R47" s="3216"/>
      <c r="S47" s="764" t="s">
        <v>18</v>
      </c>
    </row>
    <row r="48" spans="1:19" ht="60" customHeight="1">
      <c r="B48" s="670"/>
      <c r="C48" s="499"/>
      <c r="D48" s="499"/>
      <c r="E48" s="2833" t="s">
        <v>2283</v>
      </c>
      <c r="F48" s="2833"/>
      <c r="G48" s="2833"/>
      <c r="H48" s="2833"/>
      <c r="I48" s="2833"/>
      <c r="J48" s="2833"/>
      <c r="K48" s="2833"/>
      <c r="L48" s="2833"/>
      <c r="M48" s="2833"/>
      <c r="N48" s="916" t="s">
        <v>330</v>
      </c>
      <c r="O48" s="762">
        <f>IF(SUM(O49:O68)&gt;10,10,IF(SUM(O49:O68)&lt;=10,SUM(O49:O68),0))</f>
        <v>0</v>
      </c>
      <c r="P48" s="3217"/>
      <c r="Q48" s="3131"/>
      <c r="R48" s="3218"/>
      <c r="S48" s="763"/>
    </row>
    <row r="49" spans="2:19" ht="15" customHeight="1">
      <c r="B49" s="180"/>
      <c r="C49" s="915">
        <v>2</v>
      </c>
      <c r="D49" s="915"/>
      <c r="E49" s="2336" t="s">
        <v>351</v>
      </c>
      <c r="F49" s="2336"/>
      <c r="G49" s="2336"/>
      <c r="H49" s="2336"/>
      <c r="I49" s="2336"/>
      <c r="J49" s="2336"/>
      <c r="K49" s="3170" t="s">
        <v>1571</v>
      </c>
      <c r="L49" s="3170"/>
      <c r="M49" s="3170"/>
      <c r="N49" s="949">
        <v>2</v>
      </c>
      <c r="O49" s="910"/>
      <c r="P49" s="3213"/>
      <c r="Q49" s="2228"/>
      <c r="R49" s="2228"/>
      <c r="S49" s="2929" t="s">
        <v>18</v>
      </c>
    </row>
    <row r="50" spans="2:19" ht="15" customHeight="1">
      <c r="B50" s="180"/>
      <c r="C50" s="915"/>
      <c r="D50" s="915"/>
      <c r="E50" s="2336"/>
      <c r="F50" s="2336"/>
      <c r="G50" s="2336"/>
      <c r="H50" s="2336"/>
      <c r="I50" s="2336"/>
      <c r="J50" s="2336"/>
      <c r="K50" s="3171" t="s">
        <v>1572</v>
      </c>
      <c r="L50" s="3171"/>
      <c r="M50" s="3171"/>
      <c r="N50" s="950">
        <v>2</v>
      </c>
      <c r="O50" s="910"/>
      <c r="P50" s="3213"/>
      <c r="Q50" s="2228"/>
      <c r="R50" s="2228"/>
      <c r="S50" s="2929"/>
    </row>
    <row r="51" spans="2:19" ht="15" customHeight="1">
      <c r="B51" s="180"/>
      <c r="C51" s="915"/>
      <c r="D51" s="915"/>
      <c r="E51" s="2336"/>
      <c r="F51" s="2336"/>
      <c r="G51" s="2336"/>
      <c r="H51" s="2336"/>
      <c r="I51" s="2336"/>
      <c r="J51" s="2336"/>
      <c r="K51" s="3171" t="s">
        <v>1573</v>
      </c>
      <c r="L51" s="3171"/>
      <c r="M51" s="3171"/>
      <c r="N51" s="950">
        <v>2</v>
      </c>
      <c r="O51" s="910"/>
      <c r="P51" s="3213"/>
      <c r="Q51" s="2228"/>
      <c r="R51" s="2228"/>
      <c r="S51" s="2929"/>
    </row>
    <row r="52" spans="2:19" ht="15" customHeight="1">
      <c r="B52" s="180"/>
      <c r="C52" s="915"/>
      <c r="D52" s="915"/>
      <c r="E52" s="3169"/>
      <c r="F52" s="3169"/>
      <c r="G52" s="3169"/>
      <c r="H52" s="3169"/>
      <c r="I52" s="3169"/>
      <c r="J52" s="3169"/>
      <c r="K52" s="3214" t="s">
        <v>1574</v>
      </c>
      <c r="L52" s="3214"/>
      <c r="M52" s="3214"/>
      <c r="N52" s="951">
        <v>2</v>
      </c>
      <c r="O52" s="913"/>
      <c r="P52" s="2241"/>
      <c r="Q52" s="2242"/>
      <c r="R52" s="2242"/>
      <c r="S52" s="2929"/>
    </row>
    <row r="53" spans="2:19" ht="15" customHeight="1">
      <c r="B53" s="180"/>
      <c r="C53" s="917">
        <v>3</v>
      </c>
      <c r="D53" s="917"/>
      <c r="E53" s="3042" t="s">
        <v>2123</v>
      </c>
      <c r="F53" s="3042"/>
      <c r="G53" s="3042"/>
      <c r="H53" s="3042"/>
      <c r="I53" s="3042"/>
      <c r="J53" s="3042"/>
      <c r="K53" s="3170" t="s">
        <v>1571</v>
      </c>
      <c r="L53" s="3170"/>
      <c r="M53" s="3170"/>
      <c r="N53" s="949">
        <v>2</v>
      </c>
      <c r="O53" s="911"/>
      <c r="P53" s="2836"/>
      <c r="Q53" s="2380"/>
      <c r="R53" s="2380"/>
      <c r="S53" s="2929"/>
    </row>
    <row r="54" spans="2:19" ht="15" customHeight="1">
      <c r="B54" s="180"/>
      <c r="C54" s="915"/>
      <c r="D54" s="915"/>
      <c r="E54" s="2336"/>
      <c r="F54" s="2336"/>
      <c r="G54" s="2336"/>
      <c r="H54" s="2336"/>
      <c r="I54" s="2336"/>
      <c r="J54" s="2336"/>
      <c r="K54" s="3171" t="s">
        <v>1572</v>
      </c>
      <c r="L54" s="3171"/>
      <c r="M54" s="3171"/>
      <c r="N54" s="950">
        <v>2</v>
      </c>
      <c r="O54" s="910"/>
      <c r="P54" s="3213"/>
      <c r="Q54" s="2255"/>
      <c r="R54" s="2255"/>
      <c r="S54" s="2929"/>
    </row>
    <row r="55" spans="2:19" ht="15" customHeight="1">
      <c r="B55" s="180"/>
      <c r="C55" s="915"/>
      <c r="D55" s="915"/>
      <c r="E55" s="2336"/>
      <c r="F55" s="2336"/>
      <c r="G55" s="2336"/>
      <c r="H55" s="2336"/>
      <c r="I55" s="2336"/>
      <c r="J55" s="2336"/>
      <c r="K55" s="3171" t="s">
        <v>1573</v>
      </c>
      <c r="L55" s="3171"/>
      <c r="M55" s="3171"/>
      <c r="N55" s="950">
        <v>2</v>
      </c>
      <c r="O55" s="910"/>
      <c r="P55" s="3213"/>
      <c r="Q55" s="2255"/>
      <c r="R55" s="2255"/>
      <c r="S55" s="2929"/>
    </row>
    <row r="56" spans="2:19" ht="15" customHeight="1">
      <c r="B56" s="180"/>
      <c r="C56" s="918"/>
      <c r="D56" s="918"/>
      <c r="E56" s="3169"/>
      <c r="F56" s="3169"/>
      <c r="G56" s="3169"/>
      <c r="H56" s="3169"/>
      <c r="I56" s="3169"/>
      <c r="J56" s="3169"/>
      <c r="K56" s="3214" t="s">
        <v>1574</v>
      </c>
      <c r="L56" s="3214"/>
      <c r="M56" s="3214"/>
      <c r="N56" s="951">
        <v>2</v>
      </c>
      <c r="O56" s="910"/>
      <c r="P56" s="2241"/>
      <c r="Q56" s="2242"/>
      <c r="R56" s="2242"/>
      <c r="S56" s="2929"/>
    </row>
    <row r="57" spans="2:19" ht="15" customHeight="1">
      <c r="B57" s="180"/>
      <c r="C57" s="685">
        <v>4</v>
      </c>
      <c r="D57" s="685"/>
      <c r="E57" s="3042" t="s">
        <v>2616</v>
      </c>
      <c r="F57" s="3042"/>
      <c r="G57" s="3042"/>
      <c r="H57" s="3042"/>
      <c r="I57" s="3042"/>
      <c r="J57" s="3042"/>
      <c r="K57" s="3235" t="s">
        <v>1571</v>
      </c>
      <c r="L57" s="3235"/>
      <c r="M57" s="3235"/>
      <c r="N57" s="952">
        <v>3</v>
      </c>
      <c r="O57" s="919"/>
      <c r="P57" s="2836"/>
      <c r="Q57" s="2380"/>
      <c r="R57" s="2380"/>
      <c r="S57" s="2929"/>
    </row>
    <row r="58" spans="2:19" ht="15" customHeight="1">
      <c r="B58" s="180"/>
      <c r="C58" s="915"/>
      <c r="D58" s="915"/>
      <c r="E58" s="2336"/>
      <c r="F58" s="2336"/>
      <c r="G58" s="2336"/>
      <c r="H58" s="2336"/>
      <c r="I58" s="2336"/>
      <c r="J58" s="2336"/>
      <c r="K58" s="3171" t="s">
        <v>1572</v>
      </c>
      <c r="L58" s="3171"/>
      <c r="M58" s="3171"/>
      <c r="N58" s="950">
        <v>3</v>
      </c>
      <c r="O58" s="910"/>
      <c r="P58" s="3213"/>
      <c r="Q58" s="2255"/>
      <c r="R58" s="2255"/>
      <c r="S58" s="2929"/>
    </row>
    <row r="59" spans="2:19" ht="15" customHeight="1">
      <c r="B59" s="180"/>
      <c r="C59" s="915"/>
      <c r="D59" s="915"/>
      <c r="E59" s="2336"/>
      <c r="F59" s="2336"/>
      <c r="G59" s="2336"/>
      <c r="H59" s="2336"/>
      <c r="I59" s="2336"/>
      <c r="J59" s="2336"/>
      <c r="K59" s="3171" t="s">
        <v>1573</v>
      </c>
      <c r="L59" s="3171"/>
      <c r="M59" s="3171"/>
      <c r="N59" s="950">
        <v>3</v>
      </c>
      <c r="O59" s="910"/>
      <c r="P59" s="3213"/>
      <c r="Q59" s="2255"/>
      <c r="R59" s="2255"/>
      <c r="S59" s="2929"/>
    </row>
    <row r="60" spans="2:19" ht="15" customHeight="1">
      <c r="B60" s="180"/>
      <c r="C60" s="918"/>
      <c r="D60" s="918"/>
      <c r="E60" s="3169"/>
      <c r="F60" s="3169"/>
      <c r="G60" s="3169"/>
      <c r="H60" s="3169"/>
      <c r="I60" s="3169"/>
      <c r="J60" s="3169"/>
      <c r="K60" s="3214" t="s">
        <v>1574</v>
      </c>
      <c r="L60" s="3214"/>
      <c r="M60" s="3214"/>
      <c r="N60" s="951">
        <v>3</v>
      </c>
      <c r="O60" s="187"/>
      <c r="P60" s="2241"/>
      <c r="Q60" s="2242"/>
      <c r="R60" s="2242"/>
      <c r="S60" s="2929"/>
    </row>
    <row r="61" spans="2:19" ht="15" customHeight="1">
      <c r="B61" s="180"/>
      <c r="C61" s="685">
        <v>5</v>
      </c>
      <c r="D61" s="685"/>
      <c r="E61" s="3042" t="s">
        <v>352</v>
      </c>
      <c r="F61" s="3042"/>
      <c r="G61" s="3042"/>
      <c r="H61" s="3042"/>
      <c r="I61" s="3042"/>
      <c r="J61" s="3042"/>
      <c r="K61" s="3235" t="s">
        <v>1571</v>
      </c>
      <c r="L61" s="3235"/>
      <c r="M61" s="3235"/>
      <c r="N61" s="952">
        <v>4</v>
      </c>
      <c r="O61" s="919"/>
      <c r="P61" s="2836"/>
      <c r="Q61" s="2380"/>
      <c r="R61" s="2380"/>
      <c r="S61" s="2929"/>
    </row>
    <row r="62" spans="2:19" ht="15" customHeight="1">
      <c r="B62" s="180"/>
      <c r="C62" s="915"/>
      <c r="D62" s="915"/>
      <c r="E62" s="2336"/>
      <c r="F62" s="2336"/>
      <c r="G62" s="2336"/>
      <c r="H62" s="2336"/>
      <c r="I62" s="2336"/>
      <c r="J62" s="2336"/>
      <c r="K62" s="3171" t="s">
        <v>1572</v>
      </c>
      <c r="L62" s="3171"/>
      <c r="M62" s="3171"/>
      <c r="N62" s="950">
        <v>4</v>
      </c>
      <c r="O62" s="910"/>
      <c r="P62" s="3213"/>
      <c r="Q62" s="2255"/>
      <c r="R62" s="2255"/>
      <c r="S62" s="2929"/>
    </row>
    <row r="63" spans="2:19" ht="15" customHeight="1">
      <c r="B63" s="180"/>
      <c r="C63" s="915"/>
      <c r="D63" s="915"/>
      <c r="E63" s="2336"/>
      <c r="F63" s="2336"/>
      <c r="G63" s="2336"/>
      <c r="H63" s="2336"/>
      <c r="I63" s="2336"/>
      <c r="J63" s="2336"/>
      <c r="K63" s="3171" t="s">
        <v>1573</v>
      </c>
      <c r="L63" s="3171"/>
      <c r="M63" s="3171"/>
      <c r="N63" s="950">
        <v>4</v>
      </c>
      <c r="O63" s="910"/>
      <c r="P63" s="3213"/>
      <c r="Q63" s="2255"/>
      <c r="R63" s="2255"/>
      <c r="S63" s="2929"/>
    </row>
    <row r="64" spans="2:19" ht="15" customHeight="1">
      <c r="B64" s="180"/>
      <c r="C64" s="918"/>
      <c r="D64" s="918"/>
      <c r="E64" s="3169"/>
      <c r="F64" s="3169"/>
      <c r="G64" s="3169"/>
      <c r="H64" s="3169"/>
      <c r="I64" s="3169"/>
      <c r="J64" s="3169"/>
      <c r="K64" s="3214" t="s">
        <v>1574</v>
      </c>
      <c r="L64" s="3214"/>
      <c r="M64" s="3214"/>
      <c r="N64" s="951">
        <v>4</v>
      </c>
      <c r="O64" s="187"/>
      <c r="P64" s="2241"/>
      <c r="Q64" s="2242"/>
      <c r="R64" s="2242"/>
      <c r="S64" s="2929"/>
    </row>
    <row r="65" spans="2:19" ht="15" customHeight="1">
      <c r="B65" s="180"/>
      <c r="C65" s="685">
        <v>6</v>
      </c>
      <c r="D65" s="685"/>
      <c r="E65" s="3042" t="s">
        <v>353</v>
      </c>
      <c r="F65" s="3042"/>
      <c r="G65" s="3042"/>
      <c r="H65" s="3042"/>
      <c r="I65" s="3042"/>
      <c r="J65" s="3042"/>
      <c r="K65" s="3235" t="s">
        <v>1571</v>
      </c>
      <c r="L65" s="3235"/>
      <c r="M65" s="3235"/>
      <c r="N65" s="952">
        <v>4</v>
      </c>
      <c r="O65" s="919"/>
      <c r="P65" s="2836"/>
      <c r="Q65" s="2380"/>
      <c r="R65" s="2380"/>
      <c r="S65" s="2929"/>
    </row>
    <row r="66" spans="2:19" ht="15" customHeight="1">
      <c r="B66" s="180"/>
      <c r="C66" s="915"/>
      <c r="D66" s="915"/>
      <c r="E66" s="2336"/>
      <c r="F66" s="2336"/>
      <c r="G66" s="2336"/>
      <c r="H66" s="2336"/>
      <c r="I66" s="2336"/>
      <c r="J66" s="2336"/>
      <c r="K66" s="3171" t="s">
        <v>1572</v>
      </c>
      <c r="L66" s="3171"/>
      <c r="M66" s="3171"/>
      <c r="N66" s="950">
        <v>4</v>
      </c>
      <c r="O66" s="910"/>
      <c r="P66" s="3213"/>
      <c r="Q66" s="2255"/>
      <c r="R66" s="2255"/>
      <c r="S66" s="2929"/>
    </row>
    <row r="67" spans="2:19" ht="15" customHeight="1">
      <c r="B67" s="180"/>
      <c r="C67" s="915"/>
      <c r="D67" s="915"/>
      <c r="E67" s="2336"/>
      <c r="F67" s="2336"/>
      <c r="G67" s="2336"/>
      <c r="H67" s="2336"/>
      <c r="I67" s="2336"/>
      <c r="J67" s="2336"/>
      <c r="K67" s="3171" t="s">
        <v>1573</v>
      </c>
      <c r="L67" s="3171"/>
      <c r="M67" s="3171"/>
      <c r="N67" s="950">
        <v>4</v>
      </c>
      <c r="O67" s="910"/>
      <c r="P67" s="3213"/>
      <c r="Q67" s="2255"/>
      <c r="R67" s="2255"/>
      <c r="S67" s="2929"/>
    </row>
    <row r="68" spans="2:19" ht="15" customHeight="1" thickBot="1">
      <c r="B68" s="180"/>
      <c r="C68" s="918"/>
      <c r="D68" s="918"/>
      <c r="E68" s="3118"/>
      <c r="F68" s="3118"/>
      <c r="G68" s="3118"/>
      <c r="H68" s="3118"/>
      <c r="I68" s="3118"/>
      <c r="J68" s="3118"/>
      <c r="K68" s="3236" t="s">
        <v>1574</v>
      </c>
      <c r="L68" s="3236"/>
      <c r="M68" s="3236"/>
      <c r="N68" s="953">
        <v>4</v>
      </c>
      <c r="O68" s="935"/>
      <c r="P68" s="2451"/>
      <c r="Q68" s="2256"/>
      <c r="R68" s="2256"/>
      <c r="S68" s="2929"/>
    </row>
    <row r="69" spans="2:19" ht="64.5" customHeight="1" thickTop="1">
      <c r="B69" s="760" t="s">
        <v>2463</v>
      </c>
      <c r="C69" s="761"/>
      <c r="D69" s="761"/>
      <c r="E69" s="2443" t="s">
        <v>2284</v>
      </c>
      <c r="F69" s="2443"/>
      <c r="G69" s="2443"/>
      <c r="H69" s="2443"/>
      <c r="I69" s="2443"/>
      <c r="J69" s="2443"/>
      <c r="K69" s="2443"/>
      <c r="L69" s="2443"/>
      <c r="M69" s="2443"/>
      <c r="N69" s="179"/>
      <c r="O69" s="3152"/>
      <c r="P69" s="2937"/>
      <c r="Q69" s="2937"/>
      <c r="R69" s="2937"/>
      <c r="S69" s="3154" t="s">
        <v>18</v>
      </c>
    </row>
    <row r="70" spans="2:19" ht="25.5" customHeight="1">
      <c r="B70" s="180"/>
      <c r="C70" s="684">
        <v>1</v>
      </c>
      <c r="D70" s="684"/>
      <c r="E70" s="2336" t="s">
        <v>1136</v>
      </c>
      <c r="F70" s="2336"/>
      <c r="G70" s="2336"/>
      <c r="H70" s="2336"/>
      <c r="I70" s="2336"/>
      <c r="J70" s="2336"/>
      <c r="K70" s="2336"/>
      <c r="L70" s="2336"/>
      <c r="M70" s="2336"/>
      <c r="N70" s="680">
        <v>3</v>
      </c>
      <c r="O70" s="3153"/>
      <c r="P70" s="2937"/>
      <c r="Q70" s="2937"/>
      <c r="R70" s="2937"/>
      <c r="S70" s="3155"/>
    </row>
    <row r="71" spans="2:19" ht="39.75" customHeight="1">
      <c r="B71" s="180"/>
      <c r="C71" s="685">
        <v>2</v>
      </c>
      <c r="D71" s="685"/>
      <c r="E71" s="3042" t="s">
        <v>1137</v>
      </c>
      <c r="F71" s="3042"/>
      <c r="G71" s="3042"/>
      <c r="H71" s="3042"/>
      <c r="I71" s="3042"/>
      <c r="J71" s="3042"/>
      <c r="K71" s="3042"/>
      <c r="L71" s="3042"/>
      <c r="M71" s="3042"/>
      <c r="N71" s="3173">
        <v>5</v>
      </c>
      <c r="O71" s="3030">
        <f>score901.5</f>
        <v>0</v>
      </c>
      <c r="P71" s="2937"/>
      <c r="Q71" s="2937"/>
      <c r="R71" s="2937"/>
      <c r="S71" s="3155"/>
    </row>
    <row r="72" spans="2:19" ht="15" customHeight="1" thickBot="1">
      <c r="B72" s="180"/>
      <c r="C72" s="684"/>
      <c r="D72" s="684"/>
      <c r="E72" s="3172" t="s">
        <v>1140</v>
      </c>
      <c r="F72" s="3172"/>
      <c r="G72" s="3172"/>
      <c r="H72" s="3172"/>
      <c r="I72" s="3172"/>
      <c r="J72" s="3172"/>
      <c r="K72" s="3172"/>
      <c r="L72" s="3172"/>
      <c r="M72" s="3172"/>
      <c r="N72" s="3174"/>
      <c r="O72" s="3030"/>
      <c r="P72" s="2937"/>
      <c r="Q72" s="2937"/>
      <c r="R72" s="2937"/>
      <c r="S72" s="3156"/>
    </row>
    <row r="73" spans="2:19" ht="16" thickTop="1">
      <c r="B73" s="164" t="s">
        <v>2464</v>
      </c>
      <c r="C73" s="165"/>
      <c r="D73" s="165"/>
      <c r="E73" s="2443" t="s">
        <v>354</v>
      </c>
      <c r="F73" s="2443"/>
      <c r="G73" s="2443"/>
      <c r="H73" s="2443"/>
      <c r="I73" s="2443"/>
      <c r="J73" s="2443"/>
      <c r="K73" s="2443"/>
      <c r="L73" s="2443"/>
      <c r="M73" s="2443"/>
      <c r="N73" s="179"/>
      <c r="O73" s="682"/>
      <c r="P73" s="2749"/>
      <c r="Q73" s="2749"/>
      <c r="R73" s="2750"/>
      <c r="S73" s="726"/>
    </row>
    <row r="74" spans="2:19" ht="30" customHeight="1">
      <c r="B74" s="180"/>
      <c r="C74" s="684">
        <v>1</v>
      </c>
      <c r="D74" s="684"/>
      <c r="E74" s="2336" t="s">
        <v>355</v>
      </c>
      <c r="F74" s="2336"/>
      <c r="G74" s="2336"/>
      <c r="H74" s="2336"/>
      <c r="I74" s="2336"/>
      <c r="J74" s="2336"/>
      <c r="K74" s="2336"/>
      <c r="L74" s="2336"/>
      <c r="M74" s="2336"/>
      <c r="N74" s="181" t="s">
        <v>3</v>
      </c>
      <c r="O74" s="759"/>
      <c r="P74" s="3160"/>
      <c r="Q74" s="2871"/>
      <c r="R74" s="2871"/>
      <c r="S74" s="662" t="s">
        <v>18</v>
      </c>
    </row>
    <row r="75" spans="2:19" ht="120" customHeight="1">
      <c r="B75" s="180"/>
      <c r="C75" s="685">
        <v>2</v>
      </c>
      <c r="D75" s="685"/>
      <c r="E75" s="3042" t="s">
        <v>2285</v>
      </c>
      <c r="F75" s="3042"/>
      <c r="G75" s="3042"/>
      <c r="H75" s="3042"/>
      <c r="I75" s="3042"/>
      <c r="J75" s="3042"/>
      <c r="K75" s="3042"/>
      <c r="L75" s="3042"/>
      <c r="M75" s="3042"/>
      <c r="N75" s="3070"/>
      <c r="O75" s="3157"/>
      <c r="P75" s="3157"/>
      <c r="Q75" s="3157"/>
      <c r="R75" s="3159"/>
      <c r="S75" s="727"/>
    </row>
    <row r="76" spans="2:19" ht="15" customHeight="1">
      <c r="B76" s="180"/>
      <c r="C76" s="684"/>
      <c r="D76" s="684"/>
      <c r="E76" s="3075" t="s">
        <v>1140</v>
      </c>
      <c r="F76" s="3075"/>
      <c r="G76" s="3075"/>
      <c r="H76" s="3075"/>
      <c r="I76" s="3075"/>
      <c r="J76" s="3075"/>
      <c r="K76" s="3075"/>
      <c r="L76" s="3075"/>
      <c r="M76" s="3075"/>
      <c r="N76" s="2386"/>
      <c r="O76" s="3158"/>
      <c r="P76" s="2678"/>
      <c r="Q76" s="2678"/>
      <c r="R76" s="3079"/>
      <c r="S76" s="727"/>
    </row>
    <row r="77" spans="2:19" ht="30" customHeight="1">
      <c r="B77" s="180"/>
      <c r="C77" s="687"/>
      <c r="D77" s="687" t="s">
        <v>317</v>
      </c>
      <c r="E77" s="2336" t="s">
        <v>356</v>
      </c>
      <c r="F77" s="2336"/>
      <c r="G77" s="2336"/>
      <c r="H77" s="2336"/>
      <c r="I77" s="2336"/>
      <c r="J77" s="2336"/>
      <c r="K77" s="2336"/>
      <c r="L77" s="2336"/>
      <c r="M77" s="2336"/>
      <c r="N77" s="680">
        <v>6</v>
      </c>
      <c r="O77" s="358"/>
      <c r="P77" s="2869"/>
      <c r="Q77" s="2721"/>
      <c r="R77" s="2721"/>
      <c r="S77" s="2258" t="s">
        <v>18</v>
      </c>
    </row>
    <row r="78" spans="2:19" ht="30" customHeight="1" thickBot="1">
      <c r="B78" s="180"/>
      <c r="C78" s="687"/>
      <c r="D78" s="686" t="s">
        <v>318</v>
      </c>
      <c r="E78" s="3042" t="s">
        <v>357</v>
      </c>
      <c r="F78" s="3042"/>
      <c r="G78" s="3042"/>
      <c r="H78" s="3042"/>
      <c r="I78" s="3042"/>
      <c r="J78" s="3042"/>
      <c r="K78" s="3042"/>
      <c r="L78" s="3042"/>
      <c r="M78" s="3042"/>
      <c r="N78" s="679">
        <v>2</v>
      </c>
      <c r="O78" s="358"/>
      <c r="P78" s="3047"/>
      <c r="Q78" s="3048"/>
      <c r="R78" s="3048"/>
      <c r="S78" s="2258"/>
    </row>
    <row r="79" spans="2:19" ht="240" customHeight="1" thickTop="1">
      <c r="B79" s="164">
        <v>901.7</v>
      </c>
      <c r="C79" s="165"/>
      <c r="D79" s="165"/>
      <c r="E79" s="2349" t="s">
        <v>1596</v>
      </c>
      <c r="F79" s="2349"/>
      <c r="G79" s="2349"/>
      <c r="H79" s="2349"/>
      <c r="I79" s="2349"/>
      <c r="J79" s="2349"/>
      <c r="K79" s="2349"/>
      <c r="L79" s="2349"/>
      <c r="M79" s="2349"/>
      <c r="N79" s="3219">
        <v>6</v>
      </c>
      <c r="O79" s="3221"/>
      <c r="P79" s="3046"/>
      <c r="Q79" s="2719"/>
      <c r="R79" s="2719"/>
      <c r="S79" s="2444" t="s">
        <v>18</v>
      </c>
    </row>
    <row r="80" spans="2:19" ht="15" customHeight="1" thickBot="1">
      <c r="B80" s="180"/>
      <c r="C80" s="684"/>
      <c r="D80" s="684"/>
      <c r="E80" s="3075" t="s">
        <v>1140</v>
      </c>
      <c r="F80" s="3075"/>
      <c r="G80" s="3075"/>
      <c r="H80" s="3075"/>
      <c r="I80" s="3075"/>
      <c r="J80" s="3075"/>
      <c r="K80" s="3075"/>
      <c r="L80" s="3075"/>
      <c r="M80" s="3075"/>
      <c r="N80" s="3220"/>
      <c r="O80" s="3222"/>
      <c r="P80" s="3047"/>
      <c r="Q80" s="3048"/>
      <c r="R80" s="3048"/>
      <c r="S80" s="2445"/>
    </row>
    <row r="81" spans="2:19" ht="101.25" customHeight="1" thickTop="1">
      <c r="B81" s="164" t="s">
        <v>2465</v>
      </c>
      <c r="C81" s="165"/>
      <c r="D81" s="165"/>
      <c r="E81" s="2349" t="s">
        <v>1597</v>
      </c>
      <c r="F81" s="2349"/>
      <c r="G81" s="2349"/>
      <c r="H81" s="2349"/>
      <c r="I81" s="2349"/>
      <c r="J81" s="2349"/>
      <c r="K81" s="2349"/>
      <c r="L81" s="2349"/>
      <c r="M81" s="2349"/>
      <c r="N81" s="3219">
        <v>4</v>
      </c>
      <c r="O81" s="2581"/>
      <c r="P81" s="3046"/>
      <c r="Q81" s="2719"/>
      <c r="R81" s="3224"/>
      <c r="S81" s="3111" t="s">
        <v>18</v>
      </c>
    </row>
    <row r="82" spans="2:19" ht="15" customHeight="1" thickBot="1">
      <c r="B82" s="180"/>
      <c r="C82" s="955"/>
      <c r="D82" s="955"/>
      <c r="E82" s="3075" t="s">
        <v>1140</v>
      </c>
      <c r="F82" s="3075"/>
      <c r="G82" s="3075"/>
      <c r="H82" s="3075"/>
      <c r="I82" s="3075"/>
      <c r="J82" s="3075"/>
      <c r="K82" s="3075"/>
      <c r="L82" s="3075"/>
      <c r="M82" s="3075"/>
      <c r="N82" s="3220"/>
      <c r="O82" s="3223"/>
      <c r="P82" s="3047"/>
      <c r="Q82" s="3048"/>
      <c r="R82" s="3049"/>
      <c r="S82" s="3225"/>
    </row>
    <row r="83" spans="2:19" ht="45" customHeight="1" thickTop="1">
      <c r="B83" s="164" t="s">
        <v>2466</v>
      </c>
      <c r="C83" s="165"/>
      <c r="D83" s="165"/>
      <c r="E83" s="2349" t="s">
        <v>2243</v>
      </c>
      <c r="F83" s="2349"/>
      <c r="G83" s="2349"/>
      <c r="H83" s="2349"/>
      <c r="I83" s="2349"/>
      <c r="J83" s="2349"/>
      <c r="K83" s="2349"/>
      <c r="L83" s="2349"/>
      <c r="M83" s="2349"/>
      <c r="N83" s="179"/>
      <c r="O83" s="682"/>
      <c r="P83" s="2749"/>
      <c r="Q83" s="2749"/>
      <c r="R83" s="2750"/>
      <c r="S83" s="732"/>
    </row>
    <row r="84" spans="2:19" ht="84" customHeight="1">
      <c r="B84" s="670" t="s">
        <v>2467</v>
      </c>
      <c r="C84" s="687"/>
      <c r="D84" s="687"/>
      <c r="E84" s="2336" t="s">
        <v>1141</v>
      </c>
      <c r="F84" s="2336"/>
      <c r="G84" s="2336"/>
      <c r="H84" s="2336"/>
      <c r="I84" s="2336"/>
      <c r="J84" s="2336"/>
      <c r="K84" s="2336"/>
      <c r="L84" s="2336"/>
      <c r="M84" s="2336"/>
      <c r="N84" s="3133">
        <v>5</v>
      </c>
      <c r="O84" s="2374"/>
      <c r="P84" s="2869"/>
      <c r="Q84" s="2721"/>
      <c r="R84" s="2721"/>
      <c r="S84" s="2258" t="s">
        <v>18</v>
      </c>
    </row>
    <row r="85" spans="2:19" ht="15" customHeight="1">
      <c r="B85" s="670"/>
      <c r="C85" s="687"/>
      <c r="D85" s="687"/>
      <c r="E85" s="3075" t="s">
        <v>1142</v>
      </c>
      <c r="F85" s="3075"/>
      <c r="G85" s="3075"/>
      <c r="H85" s="3075"/>
      <c r="I85" s="3075"/>
      <c r="J85" s="3075"/>
      <c r="K85" s="3075"/>
      <c r="L85" s="3075"/>
      <c r="M85" s="3075"/>
      <c r="N85" s="3133"/>
      <c r="O85" s="3222"/>
      <c r="P85" s="2869"/>
      <c r="Q85" s="2721"/>
      <c r="R85" s="2721"/>
      <c r="S85" s="2258"/>
    </row>
    <row r="86" spans="2:19" ht="15" customHeight="1">
      <c r="B86" s="670"/>
      <c r="C86" s="687"/>
      <c r="D86" s="687"/>
      <c r="E86" s="2868" t="s">
        <v>1150</v>
      </c>
      <c r="F86" s="2868"/>
      <c r="G86" s="2868"/>
      <c r="H86" s="2868"/>
      <c r="I86" s="2868"/>
      <c r="J86" s="2868"/>
      <c r="K86" s="2868"/>
      <c r="L86" s="2868"/>
      <c r="M86" s="2868"/>
      <c r="N86" s="3228"/>
      <c r="O86" s="3227"/>
      <c r="P86" s="2870"/>
      <c r="Q86" s="2871"/>
      <c r="R86" s="2871"/>
      <c r="S86" s="2258"/>
    </row>
    <row r="87" spans="2:19" ht="15" customHeight="1" thickBot="1">
      <c r="B87" s="3226" t="s">
        <v>2468</v>
      </c>
      <c r="C87" s="3212"/>
      <c r="D87" s="3212"/>
      <c r="E87" s="3042" t="s">
        <v>1143</v>
      </c>
      <c r="F87" s="3042"/>
      <c r="G87" s="3042"/>
      <c r="H87" s="3042"/>
      <c r="I87" s="3042"/>
      <c r="J87" s="3042"/>
      <c r="K87" s="3042"/>
      <c r="L87" s="3042"/>
      <c r="M87" s="3042"/>
      <c r="N87" s="3141">
        <v>1</v>
      </c>
      <c r="O87" s="2698"/>
      <c r="P87" s="2908"/>
      <c r="Q87" s="2909"/>
      <c r="R87" s="2909"/>
      <c r="S87" s="2258"/>
    </row>
    <row r="88" spans="2:19" ht="15" customHeight="1">
      <c r="B88" s="3226"/>
      <c r="C88" s="3212"/>
      <c r="D88" s="3212"/>
      <c r="E88" s="3164" t="s">
        <v>1144</v>
      </c>
      <c r="F88" s="3165"/>
      <c r="G88" s="3165"/>
      <c r="H88" s="3165"/>
      <c r="I88" s="3165"/>
      <c r="J88" s="3165"/>
      <c r="K88" s="3166"/>
      <c r="L88" s="3139"/>
      <c r="M88" s="3140"/>
      <c r="N88" s="2386"/>
      <c r="O88" s="2699"/>
      <c r="P88" s="2869"/>
      <c r="Q88" s="2721"/>
      <c r="R88" s="2721"/>
      <c r="S88" s="2258"/>
    </row>
    <row r="89" spans="2:19" ht="15" customHeight="1">
      <c r="B89" s="3226"/>
      <c r="C89" s="3212"/>
      <c r="D89" s="3212"/>
      <c r="E89" s="3127" t="s">
        <v>1145</v>
      </c>
      <c r="F89" s="3128"/>
      <c r="G89" s="3128"/>
      <c r="H89" s="3128"/>
      <c r="I89" s="3128"/>
      <c r="J89" s="3128" t="s">
        <v>1149</v>
      </c>
      <c r="K89" s="3144"/>
      <c r="L89" s="3139"/>
      <c r="M89" s="3140"/>
      <c r="N89" s="2386"/>
      <c r="O89" s="2699"/>
      <c r="P89" s="2869"/>
      <c r="Q89" s="2721"/>
      <c r="R89" s="2721"/>
      <c r="S89" s="2258"/>
    </row>
    <row r="90" spans="2:19" ht="15" customHeight="1">
      <c r="B90" s="3226"/>
      <c r="C90" s="3212"/>
      <c r="D90" s="3212"/>
      <c r="E90" s="3129" t="s">
        <v>1146</v>
      </c>
      <c r="F90" s="3130"/>
      <c r="G90" s="3130"/>
      <c r="H90" s="3130"/>
      <c r="I90" s="3130"/>
      <c r="J90" s="3130">
        <v>50</v>
      </c>
      <c r="K90" s="3161"/>
      <c r="L90" s="3139"/>
      <c r="M90" s="3140"/>
      <c r="N90" s="2386"/>
      <c r="O90" s="2699"/>
      <c r="P90" s="2869"/>
      <c r="Q90" s="2721"/>
      <c r="R90" s="2721"/>
      <c r="S90" s="2258"/>
    </row>
    <row r="91" spans="2:19" ht="15" customHeight="1">
      <c r="B91" s="3226"/>
      <c r="C91" s="3212"/>
      <c r="D91" s="3212"/>
      <c r="E91" s="3129" t="s">
        <v>1147</v>
      </c>
      <c r="F91" s="3130"/>
      <c r="G91" s="3130"/>
      <c r="H91" s="3130"/>
      <c r="I91" s="3130"/>
      <c r="J91" s="3130">
        <v>600</v>
      </c>
      <c r="K91" s="3161"/>
      <c r="L91" s="3139"/>
      <c r="M91" s="3140"/>
      <c r="N91" s="2386"/>
      <c r="O91" s="2699"/>
      <c r="P91" s="2869"/>
      <c r="Q91" s="2721"/>
      <c r="R91" s="2721"/>
      <c r="S91" s="2258"/>
    </row>
    <row r="92" spans="2:19" ht="15" customHeight="1" thickBot="1">
      <c r="B92" s="3226"/>
      <c r="C92" s="3212"/>
      <c r="D92" s="3212"/>
      <c r="E92" s="3229" t="s">
        <v>1148</v>
      </c>
      <c r="F92" s="3162"/>
      <c r="G92" s="3162"/>
      <c r="H92" s="3162"/>
      <c r="I92" s="3162"/>
      <c r="J92" s="3162">
        <v>50</v>
      </c>
      <c r="K92" s="3163"/>
      <c r="L92" s="3139"/>
      <c r="M92" s="3140"/>
      <c r="N92" s="3142"/>
      <c r="O92" s="3143"/>
      <c r="P92" s="2869"/>
      <c r="Q92" s="2721"/>
      <c r="R92" s="2721"/>
      <c r="S92" s="2258"/>
    </row>
    <row r="93" spans="2:19" ht="90.75" customHeight="1">
      <c r="B93" s="3226" t="s">
        <v>2469</v>
      </c>
      <c r="C93" s="3212"/>
      <c r="D93" s="3212"/>
      <c r="E93" s="2336" t="s">
        <v>1598</v>
      </c>
      <c r="F93" s="2336"/>
      <c r="G93" s="2336"/>
      <c r="H93" s="2336"/>
      <c r="I93" s="2336"/>
      <c r="J93" s="2336"/>
      <c r="K93" s="2336"/>
      <c r="L93" s="3131"/>
      <c r="M93" s="3131"/>
      <c r="N93" s="3132">
        <v>8</v>
      </c>
      <c r="O93" s="3135"/>
      <c r="P93" s="2911"/>
      <c r="Q93" s="2912"/>
      <c r="R93" s="2912"/>
      <c r="S93" s="2258"/>
    </row>
    <row r="94" spans="2:19" ht="15" customHeight="1">
      <c r="B94" s="3226"/>
      <c r="C94" s="3212"/>
      <c r="D94" s="3212"/>
      <c r="E94" s="3075" t="s">
        <v>2206</v>
      </c>
      <c r="F94" s="3075"/>
      <c r="G94" s="3075"/>
      <c r="H94" s="3075"/>
      <c r="I94" s="3075"/>
      <c r="J94" s="3075"/>
      <c r="K94" s="3075"/>
      <c r="L94" s="3075"/>
      <c r="M94" s="3075"/>
      <c r="N94" s="3133"/>
      <c r="O94" s="3136"/>
      <c r="P94" s="2869"/>
      <c r="Q94" s="2721"/>
      <c r="R94" s="2721"/>
      <c r="S94" s="2258"/>
    </row>
    <row r="95" spans="2:19" ht="15" customHeight="1" thickBot="1">
      <c r="B95" s="670"/>
      <c r="C95" s="687"/>
      <c r="D95" s="687"/>
      <c r="E95" s="2868" t="s">
        <v>1151</v>
      </c>
      <c r="F95" s="2868"/>
      <c r="G95" s="2868"/>
      <c r="H95" s="2868"/>
      <c r="I95" s="2868"/>
      <c r="J95" s="2868"/>
      <c r="K95" s="2868"/>
      <c r="L95" s="2868"/>
      <c r="M95" s="2868"/>
      <c r="N95" s="3134"/>
      <c r="O95" s="3137"/>
      <c r="P95" s="3230"/>
      <c r="Q95" s="2723"/>
      <c r="R95" s="2723"/>
      <c r="S95" s="2367"/>
    </row>
    <row r="96" spans="2:19" ht="53.25" customHeight="1" thickTop="1" thickBot="1">
      <c r="B96" s="1903" t="s">
        <v>2244</v>
      </c>
      <c r="C96" s="1907"/>
      <c r="D96" s="1907"/>
      <c r="E96" s="3145" t="s">
        <v>2293</v>
      </c>
      <c r="F96" s="3146"/>
      <c r="G96" s="3146"/>
      <c r="H96" s="3146"/>
      <c r="I96" s="3146"/>
      <c r="J96" s="3146"/>
      <c r="K96" s="3146"/>
      <c r="L96" s="3146"/>
      <c r="M96" s="3146"/>
      <c r="N96" s="1910" t="s">
        <v>3</v>
      </c>
      <c r="O96" s="958"/>
      <c r="P96" s="3167"/>
      <c r="Q96" s="3168"/>
      <c r="R96" s="3168"/>
      <c r="S96" s="1900"/>
    </row>
    <row r="97" spans="1:37" ht="60" customHeight="1" thickTop="1">
      <c r="B97" s="754" t="s">
        <v>2470</v>
      </c>
      <c r="C97" s="755"/>
      <c r="D97" s="755"/>
      <c r="E97" s="2261" t="s">
        <v>2245</v>
      </c>
      <c r="F97" s="2261"/>
      <c r="G97" s="2261"/>
      <c r="H97" s="2261"/>
      <c r="I97" s="2261"/>
      <c r="J97" s="2261"/>
      <c r="K97" s="2261"/>
      <c r="L97" s="2261"/>
      <c r="M97" s="2261"/>
      <c r="N97" s="756"/>
      <c r="O97" s="757"/>
      <c r="P97" s="3150"/>
      <c r="Q97" s="3150"/>
      <c r="R97" s="3151"/>
      <c r="S97" s="726"/>
    </row>
    <row r="98" spans="1:37" ht="84" customHeight="1">
      <c r="B98" s="180"/>
      <c r="C98" s="684">
        <v>1</v>
      </c>
      <c r="D98" s="684"/>
      <c r="E98" s="2336" t="s">
        <v>1599</v>
      </c>
      <c r="F98" s="2336"/>
      <c r="G98" s="2336"/>
      <c r="H98" s="2336"/>
      <c r="I98" s="2336"/>
      <c r="J98" s="2336"/>
      <c r="K98" s="2336"/>
      <c r="L98" s="2336"/>
      <c r="M98" s="2336"/>
      <c r="N98" s="3133">
        <v>8</v>
      </c>
      <c r="O98" s="3147"/>
      <c r="P98" s="2869"/>
      <c r="Q98" s="2721"/>
      <c r="R98" s="3069"/>
      <c r="S98" s="3076" t="s">
        <v>18</v>
      </c>
    </row>
    <row r="99" spans="1:37">
      <c r="B99" s="180"/>
      <c r="C99" s="684"/>
      <c r="D99" s="684"/>
      <c r="E99" s="3075" t="s">
        <v>1140</v>
      </c>
      <c r="F99" s="3075"/>
      <c r="G99" s="3075"/>
      <c r="H99" s="3075"/>
      <c r="I99" s="3075"/>
      <c r="J99" s="3075"/>
      <c r="K99" s="3075"/>
      <c r="L99" s="3075"/>
      <c r="M99" s="3075"/>
      <c r="N99" s="3133"/>
      <c r="O99" s="3148"/>
      <c r="P99" s="2869"/>
      <c r="Q99" s="2721"/>
      <c r="R99" s="3069"/>
      <c r="S99" s="3076"/>
    </row>
    <row r="100" spans="1:37" ht="15" customHeight="1">
      <c r="B100" s="180"/>
      <c r="C100" s="685">
        <v>2</v>
      </c>
      <c r="D100" s="685"/>
      <c r="E100" s="3042" t="s">
        <v>1152</v>
      </c>
      <c r="F100" s="3042"/>
      <c r="G100" s="3042"/>
      <c r="H100" s="3042"/>
      <c r="I100" s="3042"/>
      <c r="J100" s="3042"/>
      <c r="K100" s="3042"/>
      <c r="L100" s="3042"/>
      <c r="M100" s="3042"/>
      <c r="N100" s="679">
        <v>5</v>
      </c>
      <c r="O100" s="3149"/>
      <c r="P100" s="2869"/>
      <c r="Q100" s="2721"/>
      <c r="R100" s="3069"/>
      <c r="S100" s="3076"/>
    </row>
    <row r="101" spans="1:37" ht="41.25" customHeight="1" thickBot="1">
      <c r="B101" s="758"/>
      <c r="C101" s="625">
        <v>3</v>
      </c>
      <c r="D101" s="625"/>
      <c r="E101" s="3138" t="s">
        <v>1153</v>
      </c>
      <c r="F101" s="3138"/>
      <c r="G101" s="3138"/>
      <c r="H101" s="3138"/>
      <c r="I101" s="3138"/>
      <c r="J101" s="3138"/>
      <c r="K101" s="3138"/>
      <c r="L101" s="3138"/>
      <c r="M101" s="3138"/>
      <c r="N101" s="626">
        <v>5</v>
      </c>
      <c r="O101" s="678">
        <f>score901.10</f>
        <v>0</v>
      </c>
      <c r="P101" s="3047"/>
      <c r="Q101" s="3048"/>
      <c r="R101" s="3049"/>
      <c r="S101" s="3225"/>
    </row>
    <row r="102" spans="1:37" ht="96" customHeight="1" thickTop="1">
      <c r="B102" s="753" t="s">
        <v>2471</v>
      </c>
      <c r="C102" s="165"/>
      <c r="D102" s="165"/>
      <c r="E102" s="2443" t="s">
        <v>2246</v>
      </c>
      <c r="F102" s="2443"/>
      <c r="G102" s="2443"/>
      <c r="H102" s="2443"/>
      <c r="I102" s="2443"/>
      <c r="J102" s="2443"/>
      <c r="K102" s="2443"/>
      <c r="L102" s="2443"/>
      <c r="M102" s="2443"/>
      <c r="N102" s="2385">
        <v>4</v>
      </c>
      <c r="O102" s="3126"/>
      <c r="P102" s="2719"/>
      <c r="Q102" s="2719"/>
      <c r="R102" s="2719"/>
      <c r="S102" s="3233" t="s">
        <v>18</v>
      </c>
    </row>
    <row r="103" spans="1:37" ht="15" customHeight="1" thickBot="1">
      <c r="B103" s="180"/>
      <c r="C103" s="684"/>
      <c r="D103" s="684"/>
      <c r="E103" s="3075" t="s">
        <v>1140</v>
      </c>
      <c r="F103" s="3075"/>
      <c r="G103" s="3075"/>
      <c r="H103" s="3075"/>
      <c r="I103" s="3075"/>
      <c r="J103" s="3075"/>
      <c r="K103" s="3075"/>
      <c r="L103" s="3075"/>
      <c r="M103" s="3075"/>
      <c r="N103" s="3071"/>
      <c r="O103" s="2700"/>
      <c r="P103" s="3048"/>
      <c r="Q103" s="3048"/>
      <c r="R103" s="3048"/>
      <c r="S103" s="3234"/>
    </row>
    <row r="104" spans="1:37" ht="75" customHeight="1" thickTop="1" thickBot="1">
      <c r="B104" s="751" t="s">
        <v>2472</v>
      </c>
      <c r="C104" s="752"/>
      <c r="D104" s="165"/>
      <c r="E104" s="2349" t="s">
        <v>1157</v>
      </c>
      <c r="F104" s="2349"/>
      <c r="G104" s="2349"/>
      <c r="H104" s="2349"/>
      <c r="I104" s="2349"/>
      <c r="J104" s="2349"/>
      <c r="K104" s="2349"/>
      <c r="L104" s="2349"/>
      <c r="M104" s="2349"/>
      <c r="N104" s="179">
        <v>3</v>
      </c>
      <c r="O104" s="711"/>
      <c r="P104" s="3058"/>
      <c r="Q104" s="3059"/>
      <c r="R104" s="3059"/>
      <c r="S104" s="961" t="s">
        <v>18</v>
      </c>
    </row>
    <row r="105" spans="1:37" ht="45" customHeight="1" thickTop="1">
      <c r="B105" s="753" t="s">
        <v>2473</v>
      </c>
      <c r="C105" s="165"/>
      <c r="D105" s="165"/>
      <c r="E105" s="2349" t="s">
        <v>1158</v>
      </c>
      <c r="F105" s="2349"/>
      <c r="G105" s="2349"/>
      <c r="H105" s="2349"/>
      <c r="I105" s="2349"/>
      <c r="J105" s="2349"/>
      <c r="K105" s="2349"/>
      <c r="L105" s="2349"/>
      <c r="M105" s="2349"/>
      <c r="N105" s="179"/>
      <c r="O105" s="1172"/>
      <c r="P105" s="2937"/>
      <c r="Q105" s="2937"/>
      <c r="R105" s="2937"/>
      <c r="S105" s="3116" t="s">
        <v>18</v>
      </c>
    </row>
    <row r="106" spans="1:37" ht="30" customHeight="1">
      <c r="B106" s="180"/>
      <c r="C106" s="684">
        <v>1</v>
      </c>
      <c r="D106" s="684"/>
      <c r="E106" s="2336" t="s">
        <v>358</v>
      </c>
      <c r="F106" s="2336"/>
      <c r="G106" s="2336"/>
      <c r="H106" s="2336"/>
      <c r="I106" s="2336"/>
      <c r="J106" s="2336"/>
      <c r="K106" s="2336"/>
      <c r="L106" s="2336"/>
      <c r="M106" s="2336"/>
      <c r="N106" s="680">
        <v>1</v>
      </c>
      <c r="O106" s="3030">
        <f>score901.13</f>
        <v>0</v>
      </c>
      <c r="P106" s="2937"/>
      <c r="Q106" s="2937"/>
      <c r="R106" s="2937"/>
      <c r="S106" s="3116"/>
    </row>
    <row r="107" spans="1:37" ht="30" customHeight="1" thickBot="1">
      <c r="B107" s="180"/>
      <c r="C107" s="685">
        <v>2</v>
      </c>
      <c r="D107" s="685"/>
      <c r="E107" s="3042" t="s">
        <v>359</v>
      </c>
      <c r="F107" s="3042"/>
      <c r="G107" s="3042"/>
      <c r="H107" s="3042"/>
      <c r="I107" s="3042"/>
      <c r="J107" s="3042"/>
      <c r="K107" s="3042"/>
      <c r="L107" s="3042"/>
      <c r="M107" s="3042"/>
      <c r="N107" s="679">
        <v>1</v>
      </c>
      <c r="O107" s="3030"/>
      <c r="P107" s="2937"/>
      <c r="Q107" s="2937"/>
      <c r="R107" s="2937"/>
      <c r="S107" s="3117"/>
    </row>
    <row r="108" spans="1:37" ht="30" customHeight="1" thickTop="1">
      <c r="B108" s="753" t="s">
        <v>2474</v>
      </c>
      <c r="C108" s="165"/>
      <c r="D108" s="165"/>
      <c r="E108" s="3119" t="s">
        <v>2126</v>
      </c>
      <c r="F108" s="3119"/>
      <c r="G108" s="3119"/>
      <c r="H108" s="3119"/>
      <c r="I108" s="3119"/>
      <c r="J108" s="3119"/>
      <c r="K108" s="3119"/>
      <c r="L108" s="3119"/>
      <c r="M108" s="3119"/>
      <c r="N108" s="3119"/>
      <c r="O108" s="3120"/>
      <c r="P108" s="3121"/>
      <c r="Q108" s="3121"/>
      <c r="R108" s="3122"/>
      <c r="S108" s="3111" t="s">
        <v>18</v>
      </c>
    </row>
    <row r="109" spans="1:37" ht="30" customHeight="1">
      <c r="B109" s="1446"/>
      <c r="C109" s="1427"/>
      <c r="D109" s="1448" t="s">
        <v>2124</v>
      </c>
      <c r="E109" s="2336" t="s">
        <v>2127</v>
      </c>
      <c r="F109" s="2336"/>
      <c r="G109" s="2336"/>
      <c r="H109" s="2336"/>
      <c r="I109" s="2336"/>
      <c r="J109" s="2336"/>
      <c r="K109" s="2336"/>
      <c r="L109" s="2336"/>
      <c r="M109" s="2336"/>
      <c r="N109" s="1426">
        <v>1</v>
      </c>
      <c r="O109" s="1447"/>
      <c r="P109" s="2837"/>
      <c r="Q109" s="2837"/>
      <c r="R109" s="3123"/>
      <c r="S109" s="3076"/>
    </row>
    <row r="110" spans="1:37" ht="30" customHeight="1">
      <c r="B110" s="1446"/>
      <c r="C110" s="1427"/>
      <c r="D110" s="1448" t="s">
        <v>2125</v>
      </c>
      <c r="E110" s="3118" t="s">
        <v>2128</v>
      </c>
      <c r="F110" s="3118"/>
      <c r="G110" s="3118"/>
      <c r="H110" s="3118"/>
      <c r="I110" s="3118"/>
      <c r="J110" s="3118"/>
      <c r="K110" s="3118"/>
      <c r="L110" s="3118"/>
      <c r="M110" s="3118"/>
      <c r="N110" s="1426">
        <v>1</v>
      </c>
      <c r="O110" s="1447"/>
      <c r="P110" s="3124"/>
      <c r="Q110" s="3124"/>
      <c r="R110" s="3125"/>
      <c r="S110" s="3076"/>
    </row>
    <row r="111" spans="1:37" s="104" customFormat="1" ht="30" customHeight="1">
      <c r="A111" s="674"/>
      <c r="B111" s="3112"/>
      <c r="C111" s="3113"/>
      <c r="D111" s="3113"/>
      <c r="E111" s="2868" t="s">
        <v>1161</v>
      </c>
      <c r="F111" s="2868"/>
      <c r="G111" s="2868"/>
      <c r="H111" s="2868"/>
      <c r="I111" s="2868"/>
      <c r="J111" s="2868"/>
      <c r="K111" s="2868"/>
      <c r="L111" s="2868"/>
      <c r="M111" s="2868"/>
      <c r="N111" s="3114" t="str">
        <f>IF(AND(startSingleorMulti="Multi-Unit", startMultiUnits&gt;=2), "This project is labelled Multi-Unit &amp; has 2 or more units. It is eligible for points in 901.14.", "This project must be labelled Multi-Unit &amp; have 2 or more units (see Start Here! worksheet) to claim points for 901.14.")</f>
        <v>This project must be labelled Multi-Unit &amp; have 2 or more units (see Start Here! worksheet) to claim points for 901.14.</v>
      </c>
      <c r="O111" s="3115"/>
      <c r="P111" s="3115"/>
      <c r="Q111" s="3115"/>
      <c r="R111" s="3115"/>
      <c r="S111" s="3064"/>
      <c r="X111" s="8"/>
      <c r="Y111" s="8"/>
      <c r="Z111" s="8"/>
      <c r="AA111" s="8"/>
      <c r="AB111" s="8"/>
      <c r="AC111" s="8"/>
      <c r="AD111" s="8"/>
      <c r="AE111" s="8"/>
      <c r="AF111" s="8"/>
      <c r="AG111" s="8"/>
      <c r="AH111" s="8"/>
      <c r="AI111" s="8"/>
      <c r="AJ111" s="8"/>
      <c r="AK111" s="8"/>
    </row>
    <row r="112" spans="1:37" s="796" customFormat="1" ht="30" customHeight="1">
      <c r="B112" s="1911" t="s">
        <v>2247</v>
      </c>
      <c r="C112" s="1905"/>
      <c r="D112" s="1905"/>
      <c r="E112" s="3025" t="s">
        <v>2294</v>
      </c>
      <c r="F112" s="3026"/>
      <c r="G112" s="3026"/>
      <c r="H112" s="3026"/>
      <c r="I112" s="3026"/>
      <c r="J112" s="3026"/>
      <c r="K112" s="3026"/>
      <c r="L112" s="3026"/>
      <c r="M112" s="3026"/>
      <c r="N112" s="1910" t="s">
        <v>3</v>
      </c>
      <c r="O112" s="1912"/>
      <c r="P112" s="3027"/>
      <c r="Q112" s="3028"/>
      <c r="R112" s="3028"/>
      <c r="S112" s="1904"/>
      <c r="X112" s="8"/>
      <c r="Y112" s="8"/>
      <c r="Z112" s="8"/>
      <c r="AA112" s="8"/>
      <c r="AB112" s="8"/>
      <c r="AC112" s="8"/>
      <c r="AD112" s="8"/>
      <c r="AE112" s="8"/>
      <c r="AF112" s="8"/>
      <c r="AG112" s="8"/>
      <c r="AH112" s="8"/>
      <c r="AI112" s="8"/>
      <c r="AJ112" s="8"/>
      <c r="AK112" s="8"/>
    </row>
    <row r="113" spans="2:19">
      <c r="B113" s="2264" t="s">
        <v>2475</v>
      </c>
      <c r="C113" s="2264"/>
      <c r="D113" s="2264"/>
      <c r="E113" s="2264"/>
      <c r="F113" s="2264"/>
      <c r="G113" s="2264"/>
      <c r="H113" s="2264"/>
      <c r="I113" s="2264"/>
      <c r="J113" s="2264"/>
      <c r="K113" s="2264"/>
      <c r="L113" s="2264"/>
      <c r="M113" s="2264"/>
      <c r="N113" s="2264"/>
      <c r="O113" s="2264"/>
      <c r="P113" s="2264"/>
      <c r="Q113" s="2264"/>
      <c r="R113" s="2264"/>
      <c r="S113" s="2264"/>
    </row>
    <row r="114" spans="2:19" ht="15" customHeight="1" thickBot="1">
      <c r="B114" s="1950">
        <v>11.901999999999999</v>
      </c>
      <c r="C114" s="189"/>
      <c r="D114" s="189"/>
      <c r="E114" s="2348" t="s">
        <v>1162</v>
      </c>
      <c r="F114" s="2348"/>
      <c r="G114" s="2348"/>
      <c r="H114" s="2348"/>
      <c r="I114" s="2348"/>
      <c r="J114" s="2348"/>
      <c r="K114" s="2348"/>
      <c r="L114" s="2348"/>
      <c r="M114" s="2348"/>
      <c r="N114" s="660"/>
      <c r="O114" s="660"/>
      <c r="P114" s="2348"/>
      <c r="Q114" s="2348"/>
      <c r="R114" s="3110"/>
      <c r="S114" s="676"/>
    </row>
    <row r="115" spans="2:19" ht="16" thickTop="1">
      <c r="B115" s="665" t="s">
        <v>2476</v>
      </c>
      <c r="C115" s="666"/>
      <c r="D115" s="666"/>
      <c r="E115" s="2651" t="s">
        <v>360</v>
      </c>
      <c r="F115" s="2651"/>
      <c r="G115" s="2651"/>
      <c r="H115" s="2651"/>
      <c r="I115" s="2651"/>
      <c r="J115" s="2651"/>
      <c r="K115" s="2651"/>
      <c r="L115" s="2651"/>
      <c r="M115" s="2651"/>
      <c r="N115" s="661"/>
      <c r="O115" s="683"/>
      <c r="P115" s="3106"/>
      <c r="Q115" s="3106"/>
      <c r="R115" s="3107"/>
      <c r="S115" s="675"/>
    </row>
    <row r="116" spans="2:19">
      <c r="B116" s="715" t="s">
        <v>2477</v>
      </c>
      <c r="C116" s="699"/>
      <c r="D116" s="666"/>
      <c r="E116" s="2302" t="s">
        <v>361</v>
      </c>
      <c r="F116" s="2302"/>
      <c r="G116" s="2302"/>
      <c r="H116" s="2302"/>
      <c r="I116" s="2302"/>
      <c r="J116" s="2302"/>
      <c r="K116" s="2302"/>
      <c r="L116" s="2302"/>
      <c r="M116" s="2302"/>
      <c r="N116" s="661"/>
      <c r="O116" s="683"/>
      <c r="P116" s="3108"/>
      <c r="Q116" s="3108"/>
      <c r="R116" s="3109"/>
      <c r="S116" s="675"/>
    </row>
    <row r="117" spans="2:19" ht="45" customHeight="1">
      <c r="B117" s="716"/>
      <c r="C117" s="46">
        <v>1</v>
      </c>
      <c r="D117" s="671"/>
      <c r="E117" s="2302" t="s">
        <v>1166</v>
      </c>
      <c r="F117" s="2302"/>
      <c r="G117" s="2302"/>
      <c r="H117" s="2302"/>
      <c r="I117" s="2302"/>
      <c r="J117" s="2302"/>
      <c r="K117" s="2302"/>
      <c r="L117" s="2302"/>
      <c r="M117" s="2302"/>
      <c r="N117" s="673" t="s">
        <v>3</v>
      </c>
      <c r="O117" s="958"/>
      <c r="P117" s="2869"/>
      <c r="Q117" s="2721"/>
      <c r="R117" s="2721"/>
      <c r="S117" s="3104" t="s">
        <v>18</v>
      </c>
    </row>
    <row r="118" spans="2:19" ht="15" customHeight="1">
      <c r="B118" s="716"/>
      <c r="C118" s="46"/>
      <c r="D118" s="671"/>
      <c r="E118" s="2319"/>
      <c r="F118" s="2319"/>
      <c r="G118" s="2319"/>
      <c r="H118" s="2319"/>
      <c r="I118" s="2319"/>
      <c r="J118" s="2319"/>
      <c r="K118" s="2319"/>
      <c r="L118" s="2319"/>
      <c r="M118" s="2319"/>
      <c r="N118" s="717">
        <v>1</v>
      </c>
      <c r="O118" s="669">
        <f>score902.1.1_1</f>
        <v>0</v>
      </c>
      <c r="P118" s="2870"/>
      <c r="Q118" s="2871"/>
      <c r="R118" s="2871"/>
      <c r="S118" s="3105"/>
    </row>
    <row r="119" spans="2:19" ht="30" customHeight="1">
      <c r="B119" s="716"/>
      <c r="C119" s="698">
        <v>2</v>
      </c>
      <c r="D119" s="663"/>
      <c r="E119" s="2318" t="s">
        <v>362</v>
      </c>
      <c r="F119" s="2318"/>
      <c r="G119" s="2318"/>
      <c r="H119" s="2318"/>
      <c r="I119" s="2318"/>
      <c r="J119" s="2318"/>
      <c r="K119" s="2318"/>
      <c r="L119" s="2318"/>
      <c r="M119" s="2318"/>
      <c r="N119" s="414" t="s">
        <v>295</v>
      </c>
      <c r="O119" s="750"/>
      <c r="P119" s="2949"/>
      <c r="Q119" s="2950"/>
      <c r="R119" s="2950"/>
      <c r="S119" s="1065" t="s">
        <v>18</v>
      </c>
    </row>
    <row r="120" spans="2:19" ht="45" customHeight="1">
      <c r="B120" s="716"/>
      <c r="C120" s="698">
        <v>3</v>
      </c>
      <c r="D120" s="663"/>
      <c r="E120" s="2318" t="s">
        <v>363</v>
      </c>
      <c r="F120" s="2318"/>
      <c r="G120" s="2318"/>
      <c r="H120" s="2318"/>
      <c r="I120" s="2318"/>
      <c r="J120" s="2318"/>
      <c r="K120" s="2318"/>
      <c r="L120" s="2318"/>
      <c r="M120" s="2318"/>
      <c r="N120" s="25">
        <v>8</v>
      </c>
      <c r="O120" s="618"/>
      <c r="P120" s="2949"/>
      <c r="Q120" s="2950"/>
      <c r="R120" s="2950"/>
      <c r="S120" s="1065" t="s">
        <v>18</v>
      </c>
    </row>
    <row r="121" spans="2:19" ht="30" customHeight="1">
      <c r="B121" s="183" t="s">
        <v>2478</v>
      </c>
      <c r="C121" s="686"/>
      <c r="D121" s="686"/>
      <c r="E121" s="3042" t="s">
        <v>1167</v>
      </c>
      <c r="F121" s="3042"/>
      <c r="G121" s="3042"/>
      <c r="H121" s="3042"/>
      <c r="I121" s="3042"/>
      <c r="J121" s="3042"/>
      <c r="K121" s="3042"/>
      <c r="L121" s="3042"/>
      <c r="M121" s="3042"/>
      <c r="N121" s="3070" t="s">
        <v>1169</v>
      </c>
      <c r="O121" s="1155"/>
      <c r="P121" s="2909"/>
      <c r="Q121" s="2909"/>
      <c r="R121" s="2909"/>
      <c r="S121" s="3099" t="s">
        <v>18</v>
      </c>
    </row>
    <row r="122" spans="2:19" s="8" customFormat="1" ht="30" customHeight="1">
      <c r="B122" s="166"/>
      <c r="C122" s="536"/>
      <c r="D122" s="536"/>
      <c r="E122" s="2868" t="s">
        <v>1168</v>
      </c>
      <c r="F122" s="2868"/>
      <c r="G122" s="2868"/>
      <c r="H122" s="2868"/>
      <c r="I122" s="2868"/>
      <c r="J122" s="2868"/>
      <c r="K122" s="2868"/>
      <c r="L122" s="2868"/>
      <c r="M122" s="2868"/>
      <c r="N122" s="3082"/>
      <c r="O122" s="677">
        <f>score902.1.2</f>
        <v>0</v>
      </c>
      <c r="P122" s="2871"/>
      <c r="Q122" s="2871"/>
      <c r="R122" s="2871"/>
      <c r="S122" s="3100"/>
    </row>
    <row r="123" spans="2:19" ht="60" customHeight="1">
      <c r="B123" s="748" t="s">
        <v>2479</v>
      </c>
      <c r="C123" s="375"/>
      <c r="D123" s="375"/>
      <c r="E123" s="3086" t="s">
        <v>365</v>
      </c>
      <c r="F123" s="3086"/>
      <c r="G123" s="3086"/>
      <c r="H123" s="3086"/>
      <c r="I123" s="3086"/>
      <c r="J123" s="3086"/>
      <c r="K123" s="3086"/>
      <c r="L123" s="3086"/>
      <c r="M123" s="3086"/>
      <c r="N123" s="623">
        <v>8</v>
      </c>
      <c r="O123" s="618"/>
      <c r="P123" s="2949"/>
      <c r="Q123" s="2950"/>
      <c r="R123" s="2950"/>
      <c r="S123" s="718" t="s">
        <v>18</v>
      </c>
    </row>
    <row r="124" spans="2:19" ht="25" customHeight="1">
      <c r="B124" s="183" t="s">
        <v>2480</v>
      </c>
      <c r="C124" s="686"/>
      <c r="D124" s="686"/>
      <c r="E124" s="3042" t="s">
        <v>367</v>
      </c>
      <c r="F124" s="3042"/>
      <c r="G124" s="3042"/>
      <c r="H124" s="3042"/>
      <c r="I124" s="3042"/>
      <c r="J124" s="3042"/>
      <c r="K124" s="3042"/>
      <c r="L124" s="3042"/>
      <c r="M124" s="3042"/>
      <c r="N124" s="679" t="s">
        <v>231</v>
      </c>
      <c r="O124" s="747">
        <f>score902.1.4</f>
        <v>0</v>
      </c>
      <c r="P124" s="2909"/>
      <c r="Q124" s="2909"/>
      <c r="R124" s="2909"/>
      <c r="S124" s="3101" t="s">
        <v>18</v>
      </c>
    </row>
    <row r="125" spans="2:19" ht="30" customHeight="1">
      <c r="B125" s="180"/>
      <c r="C125" s="684">
        <v>1</v>
      </c>
      <c r="D125" s="684"/>
      <c r="E125" s="2336" t="s">
        <v>1177</v>
      </c>
      <c r="F125" s="2336"/>
      <c r="G125" s="2336"/>
      <c r="H125" s="2336"/>
      <c r="I125" s="2336"/>
      <c r="J125" s="2336"/>
      <c r="K125" s="2336"/>
      <c r="L125" s="2336"/>
      <c r="M125" s="2336"/>
      <c r="N125" s="680" t="s">
        <v>1174</v>
      </c>
      <c r="O125" s="1154"/>
      <c r="P125" s="2721"/>
      <c r="Q125" s="2721"/>
      <c r="R125" s="2721"/>
      <c r="S125" s="3102"/>
    </row>
    <row r="126" spans="2:19" ht="30" customHeight="1" thickBot="1">
      <c r="B126" s="180"/>
      <c r="C126" s="685">
        <v>2</v>
      </c>
      <c r="D126" s="685"/>
      <c r="E126" s="3042" t="s">
        <v>1176</v>
      </c>
      <c r="F126" s="3042"/>
      <c r="G126" s="3042"/>
      <c r="H126" s="3042"/>
      <c r="I126" s="3042"/>
      <c r="J126" s="3042"/>
      <c r="K126" s="3042"/>
      <c r="L126" s="3042"/>
      <c r="M126" s="3042"/>
      <c r="N126" s="749" t="s">
        <v>1175</v>
      </c>
      <c r="O126" s="1154"/>
      <c r="P126" s="2723"/>
      <c r="Q126" s="2723"/>
      <c r="R126" s="2723"/>
      <c r="S126" s="3103"/>
    </row>
    <row r="127" spans="2:19" ht="16" thickTop="1">
      <c r="B127" s="668" t="s">
        <v>2481</v>
      </c>
      <c r="C127" s="689"/>
      <c r="D127" s="689"/>
      <c r="E127" s="3087" t="s">
        <v>368</v>
      </c>
      <c r="F127" s="3087"/>
      <c r="G127" s="3087"/>
      <c r="H127" s="3087"/>
      <c r="I127" s="3087"/>
      <c r="J127" s="3087"/>
      <c r="K127" s="3087"/>
      <c r="L127" s="3087"/>
      <c r="M127" s="3087"/>
      <c r="N127" s="664"/>
      <c r="O127" s="712"/>
      <c r="P127" s="3094"/>
      <c r="Q127" s="3094"/>
      <c r="R127" s="3095"/>
      <c r="S127" s="719"/>
    </row>
    <row r="128" spans="2:19" ht="45" customHeight="1">
      <c r="B128" s="3088" t="s">
        <v>2482</v>
      </c>
      <c r="C128" s="3089"/>
      <c r="D128" s="687"/>
      <c r="E128" s="2336" t="s">
        <v>1188</v>
      </c>
      <c r="F128" s="2336"/>
      <c r="G128" s="2336"/>
      <c r="H128" s="2336"/>
      <c r="I128" s="2336"/>
      <c r="J128" s="2336"/>
      <c r="K128" s="2336"/>
      <c r="L128" s="2336"/>
      <c r="M128" s="2336"/>
      <c r="N128" s="680"/>
      <c r="O128" s="3090">
        <f>score902.2.1</f>
        <v>0</v>
      </c>
      <c r="P128" s="3096"/>
      <c r="Q128" s="2678"/>
      <c r="R128" s="3097"/>
      <c r="S128" s="740"/>
    </row>
    <row r="129" spans="2:20" ht="29.25" customHeight="1">
      <c r="B129" s="741"/>
      <c r="C129" s="742"/>
      <c r="D129" s="687"/>
      <c r="E129" s="3075" t="s">
        <v>369</v>
      </c>
      <c r="F129" s="3075"/>
      <c r="G129" s="3098" t="str">
        <f>IF(AND(OR(choice902.2.1="N/A - air infiltration rate greater than 5 ACH50",choice902.2.1=""),AND(ch7ACH50&lt;&gt;"",ch7ACH50&lt;5)),"WARNING! The expected ACH50 entered in 701.4.3.2 is less than 5 ACH50, making 902.2.1 mandatory.","")</f>
        <v/>
      </c>
      <c r="H129" s="3098"/>
      <c r="I129" s="3098"/>
      <c r="J129" s="3098"/>
      <c r="K129" s="3098"/>
      <c r="L129" s="3098"/>
      <c r="M129" s="3098"/>
      <c r="N129" s="680"/>
      <c r="O129" s="3091"/>
      <c r="P129" s="3096"/>
      <c r="Q129" s="2678"/>
      <c r="R129" s="3079"/>
      <c r="S129" s="727"/>
    </row>
    <row r="130" spans="2:20" ht="18.75" customHeight="1">
      <c r="B130" s="743"/>
      <c r="C130" s="744">
        <v>1</v>
      </c>
      <c r="D130" s="684"/>
      <c r="E130" s="2336" t="s">
        <v>370</v>
      </c>
      <c r="F130" s="2336"/>
      <c r="G130" s="2336"/>
      <c r="H130" s="2336"/>
      <c r="I130" s="2336"/>
      <c r="J130" s="2336"/>
      <c r="K130" s="2336"/>
      <c r="L130" s="2336"/>
      <c r="M130" s="2336"/>
      <c r="N130" s="680">
        <v>3</v>
      </c>
      <c r="O130" s="2954"/>
      <c r="P130" s="2721"/>
      <c r="Q130" s="2721"/>
      <c r="R130" s="3069"/>
      <c r="S130" s="3076" t="s">
        <v>18</v>
      </c>
    </row>
    <row r="131" spans="2:20" ht="30" customHeight="1">
      <c r="B131" s="743"/>
      <c r="C131" s="745">
        <v>2</v>
      </c>
      <c r="D131" s="622"/>
      <c r="E131" s="3086" t="s">
        <v>371</v>
      </c>
      <c r="F131" s="3086"/>
      <c r="G131" s="3086"/>
      <c r="H131" s="3086"/>
      <c r="I131" s="3086"/>
      <c r="J131" s="3086"/>
      <c r="K131" s="3086"/>
      <c r="L131" s="3086"/>
      <c r="M131" s="3086"/>
      <c r="N131" s="623">
        <v>6</v>
      </c>
      <c r="O131" s="2955"/>
      <c r="P131" s="2721"/>
      <c r="Q131" s="2721"/>
      <c r="R131" s="3069"/>
      <c r="S131" s="3076"/>
    </row>
    <row r="132" spans="2:20" ht="15" customHeight="1">
      <c r="B132" s="743"/>
      <c r="C132" s="745">
        <v>3</v>
      </c>
      <c r="D132" s="622"/>
      <c r="E132" s="3086" t="s">
        <v>372</v>
      </c>
      <c r="F132" s="3086"/>
      <c r="G132" s="3086"/>
      <c r="H132" s="3086"/>
      <c r="I132" s="3086"/>
      <c r="J132" s="3086"/>
      <c r="K132" s="3086"/>
      <c r="L132" s="3086"/>
      <c r="M132" s="3086"/>
      <c r="N132" s="623">
        <v>7</v>
      </c>
      <c r="O132" s="2955"/>
      <c r="P132" s="2721"/>
      <c r="Q132" s="2721"/>
      <c r="R132" s="3069"/>
      <c r="S132" s="3076"/>
    </row>
    <row r="133" spans="2:20" ht="15" customHeight="1">
      <c r="B133" s="743"/>
      <c r="C133" s="746">
        <v>4</v>
      </c>
      <c r="D133" s="685"/>
      <c r="E133" s="3042" t="s">
        <v>373</v>
      </c>
      <c r="F133" s="3042"/>
      <c r="G133" s="3042"/>
      <c r="H133" s="3042"/>
      <c r="I133" s="3042"/>
      <c r="J133" s="3042"/>
      <c r="K133" s="3042"/>
      <c r="L133" s="3042"/>
      <c r="M133" s="3042"/>
      <c r="N133" s="3070">
        <v>8</v>
      </c>
      <c r="O133" s="2955"/>
      <c r="P133" s="2721"/>
      <c r="Q133" s="2721"/>
      <c r="R133" s="3069"/>
      <c r="S133" s="3076"/>
      <c r="T133"/>
    </row>
    <row r="134" spans="2:20" ht="15" customHeight="1">
      <c r="B134" s="741"/>
      <c r="C134" s="742"/>
      <c r="D134" s="687"/>
      <c r="E134" s="2781" t="s">
        <v>374</v>
      </c>
      <c r="F134" s="2781"/>
      <c r="G134" s="2781"/>
      <c r="H134" s="2781"/>
      <c r="I134" s="2781"/>
      <c r="J134" s="2781"/>
      <c r="K134" s="2781"/>
      <c r="L134" s="2781"/>
      <c r="M134" s="2781"/>
      <c r="N134" s="3082"/>
      <c r="O134" s="3092"/>
      <c r="P134" s="2871"/>
      <c r="Q134" s="2871"/>
      <c r="R134" s="3078"/>
      <c r="S134" s="3093"/>
    </row>
    <row r="135" spans="2:20" ht="30" customHeight="1">
      <c r="B135" s="183" t="s">
        <v>2483</v>
      </c>
      <c r="C135" s="686"/>
      <c r="D135" s="686"/>
      <c r="E135" s="3042" t="s">
        <v>1194</v>
      </c>
      <c r="F135" s="3042"/>
      <c r="G135" s="3042"/>
      <c r="H135" s="3042"/>
      <c r="I135" s="3042"/>
      <c r="J135" s="3042"/>
      <c r="K135" s="3042"/>
      <c r="L135" s="3042"/>
      <c r="M135" s="3042"/>
      <c r="N135" s="3070">
        <v>4</v>
      </c>
      <c r="O135" s="2699"/>
      <c r="P135" s="2909"/>
      <c r="Q135" s="2909"/>
      <c r="R135" s="3068"/>
      <c r="S135" s="3063" t="s">
        <v>18</v>
      </c>
    </row>
    <row r="136" spans="2:20" ht="15" customHeight="1">
      <c r="B136" s="182"/>
      <c r="C136" s="687"/>
      <c r="D136" s="687"/>
      <c r="E136" s="2781" t="s">
        <v>374</v>
      </c>
      <c r="F136" s="2781"/>
      <c r="G136" s="2781"/>
      <c r="H136" s="2781"/>
      <c r="I136" s="2781"/>
      <c r="J136" s="2781"/>
      <c r="K136" s="2781"/>
      <c r="L136" s="2781"/>
      <c r="M136" s="2781"/>
      <c r="N136" s="3082"/>
      <c r="O136" s="2699"/>
      <c r="P136" s="2871"/>
      <c r="Q136" s="2871"/>
      <c r="R136" s="3078"/>
      <c r="S136" s="3077"/>
    </row>
    <row r="137" spans="2:20" ht="45" customHeight="1" thickBot="1">
      <c r="B137" s="3084" t="s">
        <v>2484</v>
      </c>
      <c r="C137" s="3085"/>
      <c r="D137" s="2018"/>
      <c r="E137" s="3042" t="s">
        <v>1195</v>
      </c>
      <c r="F137" s="3042"/>
      <c r="G137" s="3042"/>
      <c r="H137" s="3042"/>
      <c r="I137" s="3042"/>
      <c r="J137" s="3042"/>
      <c r="K137" s="3042"/>
      <c r="L137" s="3042"/>
      <c r="M137" s="3042"/>
      <c r="N137" s="2017">
        <v>3</v>
      </c>
      <c r="O137" s="2019"/>
      <c r="P137" s="2909"/>
      <c r="Q137" s="2909"/>
      <c r="R137" s="3068"/>
      <c r="S137" s="2020" t="s">
        <v>18</v>
      </c>
    </row>
    <row r="138" spans="2:20" ht="40.5" customHeight="1" thickTop="1">
      <c r="B138" s="164" t="s">
        <v>2485</v>
      </c>
      <c r="C138" s="165"/>
      <c r="D138" s="165"/>
      <c r="E138" s="3074" t="s">
        <v>2581</v>
      </c>
      <c r="F138" s="3074"/>
      <c r="G138" s="3074"/>
      <c r="H138" s="3074"/>
      <c r="I138" s="3074"/>
      <c r="J138" s="3074"/>
      <c r="K138" s="3074"/>
      <c r="L138" s="3074"/>
      <c r="M138" s="3074"/>
      <c r="N138" s="148"/>
      <c r="O138" s="148"/>
      <c r="P138" s="2753"/>
      <c r="Q138" s="2753"/>
      <c r="R138" s="3083"/>
      <c r="S138" s="732"/>
    </row>
    <row r="139" spans="2:20">
      <c r="B139" s="182"/>
      <c r="C139" s="687"/>
      <c r="D139" s="687"/>
      <c r="E139" s="3075" t="s">
        <v>375</v>
      </c>
      <c r="F139" s="3075"/>
      <c r="G139" s="3075"/>
      <c r="H139" s="3075"/>
      <c r="I139" s="3075"/>
      <c r="J139" s="3075"/>
      <c r="K139" s="3075"/>
      <c r="L139" s="3075"/>
      <c r="M139" s="3075"/>
      <c r="N139" s="680"/>
      <c r="O139" s="672"/>
      <c r="P139" s="2678"/>
      <c r="Q139" s="2678"/>
      <c r="R139" s="3079"/>
      <c r="S139" s="727"/>
    </row>
    <row r="140" spans="2:20" ht="45" customHeight="1">
      <c r="B140" s="180"/>
      <c r="C140" s="684">
        <v>1</v>
      </c>
      <c r="D140" s="684"/>
      <c r="E140" s="2336" t="s">
        <v>1215</v>
      </c>
      <c r="F140" s="2336"/>
      <c r="G140" s="2336"/>
      <c r="H140" s="2336"/>
      <c r="I140" s="2336"/>
      <c r="J140" s="2336"/>
      <c r="K140" s="2336"/>
      <c r="L140" s="2336"/>
      <c r="M140" s="2336"/>
      <c r="N140" s="181" t="s">
        <v>376</v>
      </c>
      <c r="O140" s="728"/>
      <c r="P140" s="2721"/>
      <c r="Q140" s="2721"/>
      <c r="R140" s="3069"/>
      <c r="S140" s="3076" t="s">
        <v>18</v>
      </c>
    </row>
    <row r="141" spans="2:20">
      <c r="B141" s="180"/>
      <c r="C141" s="687"/>
      <c r="D141" s="686" t="s">
        <v>317</v>
      </c>
      <c r="E141" s="3042" t="s">
        <v>377</v>
      </c>
      <c r="F141" s="3042"/>
      <c r="G141" s="3042"/>
      <c r="H141" s="3042"/>
      <c r="I141" s="3042"/>
      <c r="J141" s="3042"/>
      <c r="K141" s="3042"/>
      <c r="L141" s="3042"/>
      <c r="M141" s="3042"/>
      <c r="N141" s="679">
        <v>7</v>
      </c>
      <c r="O141" s="3080" t="str">
        <f>score902.3_1</f>
        <v/>
      </c>
      <c r="P141" s="2721"/>
      <c r="Q141" s="2721"/>
      <c r="R141" s="3069"/>
      <c r="S141" s="3064"/>
    </row>
    <row r="142" spans="2:20" ht="30" customHeight="1">
      <c r="B142" s="180"/>
      <c r="C142" s="687"/>
      <c r="D142" s="686" t="s">
        <v>318</v>
      </c>
      <c r="E142" s="3042" t="s">
        <v>378</v>
      </c>
      <c r="F142" s="3042"/>
      <c r="G142" s="3042"/>
      <c r="H142" s="3042"/>
      <c r="I142" s="3042"/>
      <c r="J142" s="3042"/>
      <c r="K142" s="3042"/>
      <c r="L142" s="3042"/>
      <c r="M142" s="3042"/>
      <c r="N142" s="679">
        <v>10</v>
      </c>
      <c r="O142" s="3081"/>
      <c r="P142" s="2721"/>
      <c r="Q142" s="2721"/>
      <c r="R142" s="3069"/>
      <c r="S142" s="3064"/>
    </row>
    <row r="143" spans="2:20" ht="30" customHeight="1">
      <c r="B143" s="182"/>
      <c r="C143" s="374"/>
      <c r="D143" s="374"/>
      <c r="E143" s="3073" t="s">
        <v>379</v>
      </c>
      <c r="F143" s="3073"/>
      <c r="G143" s="3073"/>
      <c r="H143" s="3073"/>
      <c r="I143" s="3073"/>
      <c r="J143" s="3073"/>
      <c r="K143" s="3073"/>
      <c r="L143" s="3073"/>
      <c r="M143" s="3073"/>
      <c r="N143" s="739"/>
      <c r="O143" s="373"/>
      <c r="P143" s="2871"/>
      <c r="Q143" s="2871"/>
      <c r="R143" s="3078"/>
      <c r="S143" s="3077"/>
    </row>
    <row r="144" spans="2:20">
      <c r="B144" s="180"/>
      <c r="C144" s="684">
        <v>2</v>
      </c>
      <c r="D144" s="684"/>
      <c r="E144" s="2336" t="s">
        <v>2133</v>
      </c>
      <c r="F144" s="2336"/>
      <c r="G144" s="2336"/>
      <c r="H144" s="2336"/>
      <c r="I144" s="2336"/>
      <c r="J144" s="2336"/>
      <c r="K144" s="2336"/>
      <c r="L144" s="2336"/>
      <c r="M144" s="2336"/>
      <c r="N144" s="3070">
        <v>7</v>
      </c>
      <c r="O144" s="2699"/>
      <c r="P144" s="2909"/>
      <c r="Q144" s="2909"/>
      <c r="R144" s="3068"/>
      <c r="S144" s="3063" t="s">
        <v>18</v>
      </c>
    </row>
    <row r="145" spans="2:19" ht="15" customHeight="1">
      <c r="B145" s="180"/>
      <c r="C145" s="687"/>
      <c r="D145" s="687" t="s">
        <v>317</v>
      </c>
      <c r="E145" s="2336" t="s">
        <v>377</v>
      </c>
      <c r="F145" s="2336"/>
      <c r="G145" s="2336"/>
      <c r="H145" s="2336"/>
      <c r="I145" s="2336"/>
      <c r="J145" s="2336"/>
      <c r="K145" s="2336"/>
      <c r="L145" s="2336"/>
      <c r="M145" s="2336"/>
      <c r="N145" s="2386"/>
      <c r="O145" s="2699"/>
      <c r="P145" s="2721"/>
      <c r="Q145" s="2721"/>
      <c r="R145" s="3069"/>
      <c r="S145" s="3064"/>
    </row>
    <row r="146" spans="2:19" s="8" customFormat="1" ht="15" customHeight="1" thickBot="1">
      <c r="B146" s="166"/>
      <c r="C146" s="536"/>
      <c r="D146" s="536"/>
      <c r="E146" s="2781" t="s">
        <v>380</v>
      </c>
      <c r="F146" s="2781"/>
      <c r="G146" s="2781"/>
      <c r="H146" s="2781"/>
      <c r="I146" s="2781"/>
      <c r="J146" s="2781"/>
      <c r="K146" s="2781"/>
      <c r="L146" s="2781"/>
      <c r="M146" s="2781"/>
      <c r="N146" s="3071"/>
      <c r="O146" s="3072"/>
      <c r="P146" s="3048"/>
      <c r="Q146" s="3048"/>
      <c r="R146" s="3049"/>
      <c r="S146" s="3065"/>
    </row>
    <row r="147" spans="2:19" ht="48" customHeight="1" thickTop="1">
      <c r="B147" s="164" t="s">
        <v>2486</v>
      </c>
      <c r="C147" s="165"/>
      <c r="D147" s="165"/>
      <c r="E147" s="2349" t="s">
        <v>381</v>
      </c>
      <c r="F147" s="2349"/>
      <c r="G147" s="2349"/>
      <c r="H147" s="2349"/>
      <c r="I147" s="2349"/>
      <c r="J147" s="2349"/>
      <c r="K147" s="2349"/>
      <c r="L147" s="2349"/>
      <c r="M147" s="2349"/>
      <c r="N147" s="179"/>
      <c r="O147" s="1172"/>
      <c r="P147" s="2749"/>
      <c r="Q147" s="2749"/>
      <c r="R147" s="2749"/>
      <c r="S147" s="959"/>
    </row>
    <row r="148" spans="2:19" ht="60" customHeight="1">
      <c r="B148" s="180"/>
      <c r="C148" s="684">
        <v>1</v>
      </c>
      <c r="D148" s="684"/>
      <c r="E148" s="2336" t="s">
        <v>382</v>
      </c>
      <c r="F148" s="2336"/>
      <c r="G148" s="2336"/>
      <c r="H148" s="2336"/>
      <c r="I148" s="2336"/>
      <c r="J148" s="2336"/>
      <c r="K148" s="2336"/>
      <c r="L148" s="2336"/>
      <c r="M148" s="2336"/>
      <c r="N148" s="680">
        <v>3</v>
      </c>
      <c r="O148" s="3030">
        <f>score902.4</f>
        <v>0</v>
      </c>
      <c r="P148" s="2937"/>
      <c r="Q148" s="2937"/>
      <c r="R148" s="2937"/>
      <c r="S148" s="3066" t="s">
        <v>18</v>
      </c>
    </row>
    <row r="149" spans="2:19" ht="45" customHeight="1" thickBot="1">
      <c r="B149" s="180"/>
      <c r="C149" s="685">
        <v>2</v>
      </c>
      <c r="D149" s="685"/>
      <c r="E149" s="3042" t="s">
        <v>383</v>
      </c>
      <c r="F149" s="3042"/>
      <c r="G149" s="3042"/>
      <c r="H149" s="3042"/>
      <c r="I149" s="3042"/>
      <c r="J149" s="3042"/>
      <c r="K149" s="3042"/>
      <c r="L149" s="3042"/>
      <c r="M149" s="3042"/>
      <c r="N149" s="679">
        <v>3</v>
      </c>
      <c r="O149" s="3030"/>
      <c r="P149" s="3039"/>
      <c r="Q149" s="3040"/>
      <c r="R149" s="3041"/>
      <c r="S149" s="3067"/>
    </row>
    <row r="150" spans="2:19" ht="30" customHeight="1" thickTop="1" thickBot="1">
      <c r="B150" s="164" t="s">
        <v>2487</v>
      </c>
      <c r="C150" s="165"/>
      <c r="D150" s="165"/>
      <c r="E150" s="2349" t="s">
        <v>384</v>
      </c>
      <c r="F150" s="2349"/>
      <c r="G150" s="2349"/>
      <c r="H150" s="2349"/>
      <c r="I150" s="2349"/>
      <c r="J150" s="2349"/>
      <c r="K150" s="2349"/>
      <c r="L150" s="2349"/>
      <c r="M150" s="2349"/>
      <c r="N150" s="179">
        <v>3</v>
      </c>
      <c r="O150" s="736"/>
      <c r="P150" s="3058"/>
      <c r="Q150" s="3059"/>
      <c r="R150" s="3060"/>
      <c r="S150" s="722" t="s">
        <v>18</v>
      </c>
    </row>
    <row r="151" spans="2:19" ht="41.25" customHeight="1" thickTop="1">
      <c r="B151" s="733" t="s">
        <v>2488</v>
      </c>
      <c r="C151" s="734"/>
      <c r="D151" s="165"/>
      <c r="E151" s="2349" t="s">
        <v>1209</v>
      </c>
      <c r="F151" s="2349"/>
      <c r="G151" s="2349"/>
      <c r="H151" s="2349"/>
      <c r="I151" s="2349"/>
      <c r="J151" s="2349"/>
      <c r="K151" s="2349"/>
      <c r="L151" s="2349"/>
      <c r="M151" s="2349"/>
      <c r="N151" s="735" t="s">
        <v>3</v>
      </c>
      <c r="O151" s="737"/>
      <c r="P151" s="3046"/>
      <c r="Q151" s="2719"/>
      <c r="R151" s="2719"/>
      <c r="S151" s="738" t="s">
        <v>18</v>
      </c>
    </row>
    <row r="152" spans="2:19">
      <c r="B152" s="2264" t="s">
        <v>2489</v>
      </c>
      <c r="C152" s="2264"/>
      <c r="D152" s="2264"/>
      <c r="E152" s="2264"/>
      <c r="F152" s="2264"/>
      <c r="G152" s="2264"/>
      <c r="H152" s="2264"/>
      <c r="I152" s="2264"/>
      <c r="J152" s="2264"/>
      <c r="K152" s="2264"/>
      <c r="L152" s="2264"/>
      <c r="M152" s="2264"/>
      <c r="N152" s="2264"/>
      <c r="O152" s="2264"/>
      <c r="P152" s="2264"/>
      <c r="Q152" s="2264"/>
      <c r="R152" s="2264"/>
      <c r="S152" s="2264"/>
    </row>
    <row r="153" spans="2:19" ht="15" customHeight="1" thickBot="1">
      <c r="B153" s="1951">
        <v>11.903</v>
      </c>
      <c r="C153" s="730"/>
      <c r="D153" s="730"/>
      <c r="E153" s="3061" t="s">
        <v>1208</v>
      </c>
      <c r="F153" s="3061"/>
      <c r="G153" s="3061"/>
      <c r="H153" s="3061"/>
      <c r="I153" s="3061"/>
      <c r="J153" s="3061"/>
      <c r="K153" s="3061"/>
      <c r="L153" s="3061"/>
      <c r="M153" s="3061"/>
      <c r="N153" s="681"/>
      <c r="O153" s="681"/>
      <c r="P153" s="3061"/>
      <c r="Q153" s="3061"/>
      <c r="R153" s="3062"/>
      <c r="S153" s="731"/>
    </row>
    <row r="154" spans="2:19" ht="16" thickTop="1">
      <c r="B154" s="164" t="s">
        <v>2490</v>
      </c>
      <c r="C154" s="165"/>
      <c r="D154" s="165"/>
      <c r="E154" s="2443" t="s">
        <v>391</v>
      </c>
      <c r="F154" s="2443"/>
      <c r="G154" s="2443"/>
      <c r="H154" s="2443"/>
      <c r="I154" s="2443"/>
      <c r="J154" s="2443"/>
      <c r="K154" s="2443"/>
      <c r="L154" s="2443"/>
      <c r="M154" s="2443"/>
      <c r="N154" s="179"/>
      <c r="O154" s="1209"/>
      <c r="P154" s="2749"/>
      <c r="Q154" s="2749"/>
      <c r="R154" s="2749"/>
      <c r="S154" s="959"/>
    </row>
    <row r="155" spans="2:19" ht="30" customHeight="1">
      <c r="B155" s="670" t="s">
        <v>2491</v>
      </c>
      <c r="C155" s="687"/>
      <c r="D155" s="687"/>
      <c r="E155" s="2336" t="s">
        <v>392</v>
      </c>
      <c r="F155" s="2336"/>
      <c r="G155" s="2336"/>
      <c r="H155" s="2336"/>
      <c r="I155" s="2336"/>
      <c r="J155" s="2336"/>
      <c r="K155" s="2336"/>
      <c r="L155" s="2336"/>
      <c r="M155" s="2336"/>
      <c r="N155" s="680">
        <v>2</v>
      </c>
      <c r="O155" s="3030">
        <f>score903.1</f>
        <v>0</v>
      </c>
      <c r="P155" s="3036"/>
      <c r="Q155" s="3037"/>
      <c r="R155" s="3038"/>
      <c r="S155" s="714" t="s">
        <v>18</v>
      </c>
    </row>
    <row r="156" spans="2:19" ht="30" customHeight="1" thickBot="1">
      <c r="B156" s="183" t="s">
        <v>2492</v>
      </c>
      <c r="C156" s="686"/>
      <c r="D156" s="686"/>
      <c r="E156" s="3042" t="s">
        <v>393</v>
      </c>
      <c r="F156" s="3042"/>
      <c r="G156" s="3042"/>
      <c r="H156" s="3042"/>
      <c r="I156" s="3042"/>
      <c r="J156" s="3042"/>
      <c r="K156" s="3042"/>
      <c r="L156" s="3042"/>
      <c r="M156" s="3042"/>
      <c r="N156" s="679">
        <v>5</v>
      </c>
      <c r="O156" s="2689"/>
      <c r="P156" s="3039"/>
      <c r="Q156" s="3040"/>
      <c r="R156" s="3041"/>
      <c r="S156" s="721" t="s">
        <v>18</v>
      </c>
    </row>
    <row r="157" spans="2:19" ht="78.75" customHeight="1" thickTop="1">
      <c r="B157" s="164" t="s">
        <v>2493</v>
      </c>
      <c r="C157" s="165"/>
      <c r="D157" s="165"/>
      <c r="E157" s="2349" t="s">
        <v>1201</v>
      </c>
      <c r="F157" s="2349"/>
      <c r="G157" s="2349"/>
      <c r="H157" s="2349"/>
      <c r="I157" s="2349"/>
      <c r="J157" s="2349"/>
      <c r="K157" s="2349"/>
      <c r="L157" s="2349"/>
      <c r="M157" s="2349"/>
      <c r="N157" s="179"/>
      <c r="O157" s="1173"/>
      <c r="P157" s="2349"/>
      <c r="Q157" s="2349"/>
      <c r="R157" s="2349"/>
      <c r="S157" s="960"/>
    </row>
    <row r="158" spans="2:19">
      <c r="B158" s="180"/>
      <c r="C158" s="684">
        <v>1</v>
      </c>
      <c r="D158" s="684"/>
      <c r="E158" s="2336" t="s">
        <v>1202</v>
      </c>
      <c r="F158" s="2336"/>
      <c r="G158" s="2336"/>
      <c r="H158" s="2336"/>
      <c r="I158" s="2336"/>
      <c r="J158" s="2336"/>
      <c r="K158" s="2336"/>
      <c r="L158" s="2336"/>
      <c r="M158" s="2336"/>
      <c r="N158" s="729">
        <v>1</v>
      </c>
      <c r="O158" s="3030">
        <f>score903.2</f>
        <v>0</v>
      </c>
      <c r="P158" s="3036"/>
      <c r="Q158" s="3037"/>
      <c r="R158" s="3038"/>
      <c r="S158" s="720" t="s">
        <v>18</v>
      </c>
    </row>
    <row r="159" spans="2:19" ht="30" customHeight="1" thickBot="1">
      <c r="B159" s="180"/>
      <c r="C159" s="685">
        <v>2</v>
      </c>
      <c r="D159" s="685"/>
      <c r="E159" s="3042" t="s">
        <v>1203</v>
      </c>
      <c r="F159" s="3042"/>
      <c r="G159" s="3042"/>
      <c r="H159" s="3042"/>
      <c r="I159" s="3042"/>
      <c r="J159" s="3042"/>
      <c r="K159" s="3042"/>
      <c r="L159" s="3042"/>
      <c r="M159" s="3042"/>
      <c r="N159" s="679">
        <v>3</v>
      </c>
      <c r="O159" s="2689"/>
      <c r="P159" s="3043"/>
      <c r="Q159" s="3044"/>
      <c r="R159" s="3045"/>
      <c r="S159" s="721" t="s">
        <v>18</v>
      </c>
    </row>
    <row r="160" spans="2:19" ht="51" customHeight="1" thickTop="1">
      <c r="B160" s="164" t="s">
        <v>2494</v>
      </c>
      <c r="C160" s="165"/>
      <c r="D160" s="165"/>
      <c r="E160" s="2349" t="s">
        <v>1198</v>
      </c>
      <c r="F160" s="2349"/>
      <c r="G160" s="2349"/>
      <c r="H160" s="2349"/>
      <c r="I160" s="2349"/>
      <c r="J160" s="2349"/>
      <c r="K160" s="2349"/>
      <c r="L160" s="2349"/>
      <c r="M160" s="2349"/>
      <c r="N160" s="2385"/>
      <c r="O160" s="3053"/>
      <c r="P160" s="3056"/>
      <c r="Q160" s="3056"/>
      <c r="R160" s="3056"/>
      <c r="S160" s="960"/>
    </row>
    <row r="161" spans="2:19" s="964" customFormat="1" ht="25" customHeight="1">
      <c r="B161" s="827"/>
      <c r="C161" s="962"/>
      <c r="D161" s="962"/>
      <c r="E161" s="3055" t="s">
        <v>386</v>
      </c>
      <c r="F161" s="3055"/>
      <c r="G161" s="3055"/>
      <c r="H161" s="3055"/>
      <c r="I161" s="3055"/>
      <c r="J161" s="3055"/>
      <c r="K161" s="3055"/>
      <c r="L161" s="3055"/>
      <c r="M161" s="3055"/>
      <c r="N161" s="2386"/>
      <c r="O161" s="3054"/>
      <c r="P161" s="2678"/>
      <c r="Q161" s="2678"/>
      <c r="R161" s="2678"/>
      <c r="S161" s="963"/>
    </row>
    <row r="162" spans="2:19">
      <c r="B162" s="180"/>
      <c r="C162" s="684">
        <v>1</v>
      </c>
      <c r="D162" s="684"/>
      <c r="E162" s="2336" t="s">
        <v>394</v>
      </c>
      <c r="F162" s="2336"/>
      <c r="G162" s="2336"/>
      <c r="H162" s="2336"/>
      <c r="I162" s="2336"/>
      <c r="J162" s="2336"/>
      <c r="K162" s="2336"/>
      <c r="L162" s="2336"/>
      <c r="M162" s="2336"/>
      <c r="N162" s="680">
        <f>IF(E165="Points are available for this practice in the selected Climate Zone and Climate Type",7,0)</f>
        <v>0</v>
      </c>
      <c r="O162" s="3030">
        <f>score903.3</f>
        <v>0</v>
      </c>
      <c r="P162" s="3036"/>
      <c r="Q162" s="3037"/>
      <c r="R162" s="3038"/>
      <c r="S162" s="3034" t="s">
        <v>18</v>
      </c>
    </row>
    <row r="163" spans="2:19" ht="15" customHeight="1">
      <c r="B163" s="180"/>
      <c r="C163" s="685">
        <v>2</v>
      </c>
      <c r="D163" s="685"/>
      <c r="E163" s="3042" t="s">
        <v>395</v>
      </c>
      <c r="F163" s="3042"/>
      <c r="G163" s="3042"/>
      <c r="H163" s="3042"/>
      <c r="I163" s="3042"/>
      <c r="J163" s="3042"/>
      <c r="K163" s="3042"/>
      <c r="L163" s="3042"/>
      <c r="M163" s="3042"/>
      <c r="N163" s="679">
        <f>IF(E165="Points are available for this practice in the selected Climate Zone and Climate Type",7,0)</f>
        <v>0</v>
      </c>
      <c r="O163" s="3030"/>
      <c r="P163" s="3031"/>
      <c r="Q163" s="3031"/>
      <c r="R163" s="3031"/>
      <c r="S163" s="3034"/>
    </row>
    <row r="164" spans="2:19" ht="15" customHeight="1">
      <c r="B164" s="180"/>
      <c r="C164" s="936"/>
      <c r="D164" s="936"/>
      <c r="E164" s="2669" t="str">
        <f>IF(startClimateZone="", "No Climate Zone chosen. See Start Here! Worksheet.",CONCATENATE("Climate Zone ",startClimateZone," chosen."))</f>
        <v>No Climate Zone chosen. See Start Here! Worksheet.</v>
      </c>
      <c r="F164" s="2669"/>
      <c r="G164" s="2669"/>
      <c r="H164" s="2669"/>
      <c r="I164" s="2669" t="str">
        <f>IF(startClimateType="","Select a Climate Type on the Start Here! Worksheet",CONCATENATE("Climate Type ", startClimateType," chosen."))</f>
        <v>Select a Climate Type on the Start Here! Worksheet</v>
      </c>
      <c r="J164" s="2669"/>
      <c r="K164" s="2669"/>
      <c r="L164" s="2669"/>
      <c r="M164" s="2669"/>
      <c r="N164" s="932"/>
      <c r="O164" s="3030"/>
      <c r="P164" s="3032"/>
      <c r="Q164" s="3032"/>
      <c r="R164" s="3032"/>
      <c r="S164" s="3034"/>
    </row>
    <row r="165" spans="2:19" ht="15" customHeight="1">
      <c r="B165" s="180"/>
      <c r="C165" s="955"/>
      <c r="D165" s="955"/>
      <c r="E165" s="3029" t="str">
        <f>IF(AND(OR(startClimateZone=1,startClimateZone=2,startClimateZone=3,startClimateZone=4,startClimateZone=5),OR(startClimateType="Warm-Humid",startClimateType="Moist")),"Points are available for this practice in the selected Climate Zone and Climate Type","Points are not available for this practice")</f>
        <v>Points are not available for this practice</v>
      </c>
      <c r="F165" s="3029"/>
      <c r="G165" s="3029"/>
      <c r="H165" s="3029"/>
      <c r="I165" s="3029"/>
      <c r="J165" s="3029"/>
      <c r="K165" s="3029"/>
      <c r="L165" s="3029"/>
      <c r="M165" s="3029"/>
      <c r="N165" s="954"/>
      <c r="O165" s="3030"/>
      <c r="P165" s="3033"/>
      <c r="Q165" s="3033"/>
      <c r="R165" s="3033"/>
      <c r="S165" s="3035"/>
    </row>
    <row r="166" spans="2:19">
      <c r="B166" s="2264" t="s">
        <v>2495</v>
      </c>
      <c r="C166" s="2264"/>
      <c r="D166" s="2264"/>
      <c r="E166" s="2264"/>
      <c r="F166" s="2264"/>
      <c r="G166" s="2264"/>
      <c r="H166" s="2264"/>
      <c r="I166" s="2264"/>
      <c r="J166" s="2264"/>
      <c r="K166" s="2264"/>
      <c r="L166" s="2264"/>
      <c r="M166" s="2264"/>
      <c r="N166" s="2264"/>
      <c r="O166" s="2264"/>
      <c r="P166" s="2264"/>
      <c r="Q166" s="2264"/>
      <c r="R166" s="2264"/>
      <c r="S166" s="2264"/>
    </row>
    <row r="167" spans="2:19" ht="85.5" customHeight="1" thickBot="1">
      <c r="B167" s="670" t="s">
        <v>2496</v>
      </c>
      <c r="C167" s="687"/>
      <c r="D167" s="687"/>
      <c r="E167" s="2336" t="s">
        <v>1196</v>
      </c>
      <c r="F167" s="2336"/>
      <c r="G167" s="2336"/>
      <c r="H167" s="2336"/>
      <c r="I167" s="2336"/>
      <c r="J167" s="2336"/>
      <c r="K167" s="2336"/>
      <c r="L167" s="2336"/>
      <c r="M167" s="2336"/>
      <c r="N167" s="680">
        <v>2</v>
      </c>
      <c r="O167" s="359"/>
      <c r="P167" s="3047"/>
      <c r="Q167" s="3048"/>
      <c r="R167" s="3049"/>
      <c r="S167" s="862" t="s">
        <v>18</v>
      </c>
    </row>
    <row r="168" spans="2:19" ht="30" customHeight="1" thickTop="1" thickBot="1">
      <c r="B168" s="723" t="s">
        <v>2497</v>
      </c>
      <c r="C168" s="724"/>
      <c r="D168" s="724"/>
      <c r="E168" s="3057" t="s">
        <v>1197</v>
      </c>
      <c r="F168" s="3057"/>
      <c r="G168" s="3057"/>
      <c r="H168" s="3057"/>
      <c r="I168" s="3057"/>
      <c r="J168" s="3057"/>
      <c r="K168" s="3057"/>
      <c r="L168" s="3057"/>
      <c r="M168" s="3057"/>
      <c r="N168" s="725">
        <v>2</v>
      </c>
      <c r="O168" s="907"/>
      <c r="P168" s="3050"/>
      <c r="Q168" s="3051"/>
      <c r="R168" s="3052"/>
      <c r="S168" s="908" t="s">
        <v>18</v>
      </c>
    </row>
    <row r="169" spans="2:19" customFormat="1" ht="16" thickBot="1">
      <c r="B169" s="2893"/>
      <c r="C169" s="2893"/>
      <c r="D169" s="2893"/>
      <c r="E169" s="2893"/>
      <c r="F169" s="2893"/>
      <c r="G169" s="2893"/>
      <c r="H169" s="2893"/>
      <c r="I169" s="2893"/>
      <c r="J169" s="2893"/>
      <c r="K169" s="2893"/>
      <c r="L169" s="2893"/>
      <c r="M169" s="2893"/>
      <c r="N169" s="2893"/>
      <c r="O169" s="2893"/>
      <c r="P169" s="2893"/>
      <c r="Q169" s="2893"/>
      <c r="R169" s="2893"/>
      <c r="S169" s="2893"/>
    </row>
    <row r="170" spans="2:19" customFormat="1" ht="20" customHeight="1" thickBot="1">
      <c r="B170" s="2340" t="s">
        <v>396</v>
      </c>
      <c r="C170" s="2341"/>
      <c r="D170" s="2341"/>
      <c r="E170" s="2341"/>
      <c r="F170" s="2341"/>
      <c r="G170" s="2341"/>
      <c r="H170" s="2341"/>
      <c r="I170" s="2341"/>
      <c r="J170" s="2341"/>
      <c r="K170" s="2341"/>
      <c r="L170" s="2341"/>
      <c r="M170" s="2341"/>
      <c r="N170" s="2341"/>
      <c r="O170" s="2342" t="s">
        <v>397</v>
      </c>
      <c r="P170" s="2342"/>
      <c r="Q170" s="2342"/>
      <c r="R170" s="2342"/>
      <c r="S170" s="2343"/>
    </row>
    <row r="171" spans="2:19">
      <c r="B171" s="301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71" s="3014"/>
      <c r="D171" s="3014"/>
      <c r="E171" s="3014"/>
      <c r="F171" s="3014"/>
      <c r="G171" s="3014"/>
      <c r="H171" s="3014"/>
      <c r="I171" s="3014"/>
      <c r="J171" s="3014"/>
      <c r="K171" s="3014"/>
      <c r="L171" s="3014"/>
      <c r="M171" s="3014"/>
      <c r="N171" s="3014"/>
      <c r="O171" s="3014"/>
      <c r="P171" s="3014"/>
      <c r="Q171" s="3014"/>
      <c r="R171" s="3014"/>
      <c r="S171" s="3014"/>
    </row>
    <row r="172" spans="2:19">
      <c r="B172" s="3015"/>
      <c r="C172" s="3015"/>
      <c r="D172" s="3015"/>
      <c r="E172" s="3015"/>
      <c r="F172" s="3015"/>
      <c r="G172" s="3015"/>
      <c r="H172" s="3015"/>
      <c r="I172" s="3015"/>
      <c r="J172" s="3015"/>
      <c r="K172" s="3015"/>
      <c r="L172" s="3015"/>
      <c r="M172" s="3015"/>
      <c r="N172" s="3015"/>
      <c r="O172" s="3015"/>
      <c r="P172" s="3015"/>
      <c r="Q172" s="3015"/>
      <c r="R172" s="3015"/>
      <c r="S172" s="3015"/>
    </row>
    <row r="173" spans="2:19">
      <c r="B173" s="3015"/>
      <c r="C173" s="3015"/>
      <c r="D173" s="3015"/>
      <c r="E173" s="3015"/>
      <c r="F173" s="3015"/>
      <c r="G173" s="3015"/>
      <c r="H173" s="3015"/>
      <c r="I173" s="3015"/>
      <c r="J173" s="3015"/>
      <c r="K173" s="3015"/>
      <c r="L173" s="3015"/>
      <c r="M173" s="3015"/>
      <c r="N173" s="3015"/>
      <c r="O173" s="3015"/>
      <c r="P173" s="3015"/>
      <c r="Q173" s="3015"/>
      <c r="R173" s="3015"/>
      <c r="S173" s="3015"/>
    </row>
    <row r="174" spans="2:19">
      <c r="C174" s="28"/>
      <c r="D174" s="28"/>
    </row>
    <row r="175" spans="2:19">
      <c r="C175" s="28"/>
      <c r="D175" s="28"/>
    </row>
  </sheetData>
  <sheetProtection password="CA4F" sheet="1" objects="1" scenarios="1" formatRows="0" selectLockedCells="1"/>
  <mergeCells count="372">
    <mergeCell ref="B171:S173"/>
    <mergeCell ref="B4:H5"/>
    <mergeCell ref="S102:S103"/>
    <mergeCell ref="P104:R104"/>
    <mergeCell ref="P119:R119"/>
    <mergeCell ref="P120:R120"/>
    <mergeCell ref="S98:S101"/>
    <mergeCell ref="P102:R103"/>
    <mergeCell ref="K56:M56"/>
    <mergeCell ref="P53:R56"/>
    <mergeCell ref="K58:M58"/>
    <mergeCell ref="K59:M59"/>
    <mergeCell ref="K60:M60"/>
    <mergeCell ref="K57:M57"/>
    <mergeCell ref="P57:R60"/>
    <mergeCell ref="K61:M61"/>
    <mergeCell ref="K68:M68"/>
    <mergeCell ref="P65:R68"/>
    <mergeCell ref="K62:M62"/>
    <mergeCell ref="K63:M63"/>
    <mergeCell ref="K64:M64"/>
    <mergeCell ref="P61:R64"/>
    <mergeCell ref="K65:M65"/>
    <mergeCell ref="K66:M66"/>
    <mergeCell ref="E84:M84"/>
    <mergeCell ref="E85:M85"/>
    <mergeCell ref="B87:B92"/>
    <mergeCell ref="C87:C92"/>
    <mergeCell ref="D87:D92"/>
    <mergeCell ref="S84:S95"/>
    <mergeCell ref="O84:O86"/>
    <mergeCell ref="N84:N86"/>
    <mergeCell ref="P84:R86"/>
    <mergeCell ref="B93:B94"/>
    <mergeCell ref="C93:C94"/>
    <mergeCell ref="D93:D94"/>
    <mergeCell ref="E86:M86"/>
    <mergeCell ref="E91:I91"/>
    <mergeCell ref="E92:I92"/>
    <mergeCell ref="P93:R95"/>
    <mergeCell ref="P77:R78"/>
    <mergeCell ref="E83:M83"/>
    <mergeCell ref="S77:S78"/>
    <mergeCell ref="E78:M78"/>
    <mergeCell ref="E79:M79"/>
    <mergeCell ref="E81:M81"/>
    <mergeCell ref="E80:M80"/>
    <mergeCell ref="N79:N80"/>
    <mergeCell ref="E82:M82"/>
    <mergeCell ref="O79:O80"/>
    <mergeCell ref="P79:R80"/>
    <mergeCell ref="O81:O82"/>
    <mergeCell ref="N81:N82"/>
    <mergeCell ref="P81:R82"/>
    <mergeCell ref="S81:S82"/>
    <mergeCell ref="D38:D39"/>
    <mergeCell ref="E38:M38"/>
    <mergeCell ref="E40:M40"/>
    <mergeCell ref="E47:M47"/>
    <mergeCell ref="E48:M48"/>
    <mergeCell ref="P49:R52"/>
    <mergeCell ref="K49:M49"/>
    <mergeCell ref="K50:M50"/>
    <mergeCell ref="K51:M51"/>
    <mergeCell ref="K52:M52"/>
    <mergeCell ref="P47:R47"/>
    <mergeCell ref="P48:R48"/>
    <mergeCell ref="E49:J52"/>
    <mergeCell ref="P22:R22"/>
    <mergeCell ref="P23:R23"/>
    <mergeCell ref="P24:R25"/>
    <mergeCell ref="E23:M23"/>
    <mergeCell ref="D28:D29"/>
    <mergeCell ref="E28:M28"/>
    <mergeCell ref="E29:M29"/>
    <mergeCell ref="D26:D27"/>
    <mergeCell ref="E26:M26"/>
    <mergeCell ref="S24:S25"/>
    <mergeCell ref="E22:M22"/>
    <mergeCell ref="E24:M24"/>
    <mergeCell ref="E25:M25"/>
    <mergeCell ref="S22:S23"/>
    <mergeCell ref="P45:R46"/>
    <mergeCell ref="N42:N44"/>
    <mergeCell ref="O42:O44"/>
    <mergeCell ref="P42:R44"/>
    <mergeCell ref="N34:N35"/>
    <mergeCell ref="O34:O35"/>
    <mergeCell ref="P34:R35"/>
    <mergeCell ref="E34:M34"/>
    <mergeCell ref="S34:S35"/>
    <mergeCell ref="E35:M35"/>
    <mergeCell ref="E36:M36"/>
    <mergeCell ref="E39:M39"/>
    <mergeCell ref="P38:R39"/>
    <mergeCell ref="P36:R36"/>
    <mergeCell ref="P37:R37"/>
    <mergeCell ref="S26:S27"/>
    <mergeCell ref="E27:M27"/>
    <mergeCell ref="P30:R31"/>
    <mergeCell ref="E32:M32"/>
    <mergeCell ref="P16:R17"/>
    <mergeCell ref="S16:S17"/>
    <mergeCell ref="E16:M17"/>
    <mergeCell ref="C16:C17"/>
    <mergeCell ref="D16:D17"/>
    <mergeCell ref="P18:R18"/>
    <mergeCell ref="E19:M19"/>
    <mergeCell ref="P19:R19"/>
    <mergeCell ref="D20:D21"/>
    <mergeCell ref="E20:M21"/>
    <mergeCell ref="N20:N21"/>
    <mergeCell ref="P20:R21"/>
    <mergeCell ref="S20:S21"/>
    <mergeCell ref="E18:M18"/>
    <mergeCell ref="N16:N17"/>
    <mergeCell ref="I5:S5"/>
    <mergeCell ref="B6:D6"/>
    <mergeCell ref="E6:M6"/>
    <mergeCell ref="B7:S7"/>
    <mergeCell ref="M1:M2"/>
    <mergeCell ref="N1:O1"/>
    <mergeCell ref="P1:S1"/>
    <mergeCell ref="P6:R6"/>
    <mergeCell ref="I1:L3"/>
    <mergeCell ref="I4:L4"/>
    <mergeCell ref="A1:H3"/>
    <mergeCell ref="S10:S11"/>
    <mergeCell ref="E11:M11"/>
    <mergeCell ref="B12:C12"/>
    <mergeCell ref="E12:M12"/>
    <mergeCell ref="E8:M8"/>
    <mergeCell ref="E9:M9"/>
    <mergeCell ref="B10:C11"/>
    <mergeCell ref="E10:M10"/>
    <mergeCell ref="N10:N11"/>
    <mergeCell ref="P10:R11"/>
    <mergeCell ref="P12:R12"/>
    <mergeCell ref="P8:R8"/>
    <mergeCell ref="P9:R9"/>
    <mergeCell ref="B13:C13"/>
    <mergeCell ref="E13:M13"/>
    <mergeCell ref="N14:N15"/>
    <mergeCell ref="S14:S15"/>
    <mergeCell ref="P14:R15"/>
    <mergeCell ref="P13:R13"/>
    <mergeCell ref="E14:M15"/>
    <mergeCell ref="D14:D15"/>
    <mergeCell ref="C14:C15"/>
    <mergeCell ref="S32:S33"/>
    <mergeCell ref="E33:M33"/>
    <mergeCell ref="E30:M30"/>
    <mergeCell ref="S30:S31"/>
    <mergeCell ref="E31:M31"/>
    <mergeCell ref="P32:R33"/>
    <mergeCell ref="S28:S29"/>
    <mergeCell ref="P26:R27"/>
    <mergeCell ref="P28:R29"/>
    <mergeCell ref="S40:S41"/>
    <mergeCell ref="E41:M41"/>
    <mergeCell ref="E37:M37"/>
    <mergeCell ref="E45:M45"/>
    <mergeCell ref="N45:N46"/>
    <mergeCell ref="O45:O46"/>
    <mergeCell ref="S45:S46"/>
    <mergeCell ref="E46:M46"/>
    <mergeCell ref="E42:M42"/>
    <mergeCell ref="S42:S44"/>
    <mergeCell ref="E43:M43"/>
    <mergeCell ref="E44:M44"/>
    <mergeCell ref="P40:R41"/>
    <mergeCell ref="S38:S39"/>
    <mergeCell ref="S49:S68"/>
    <mergeCell ref="E53:J56"/>
    <mergeCell ref="K53:M53"/>
    <mergeCell ref="K54:M54"/>
    <mergeCell ref="K55:M55"/>
    <mergeCell ref="E69:M69"/>
    <mergeCell ref="E70:M70"/>
    <mergeCell ref="E71:M71"/>
    <mergeCell ref="E72:M72"/>
    <mergeCell ref="E57:J60"/>
    <mergeCell ref="E65:J68"/>
    <mergeCell ref="E61:J64"/>
    <mergeCell ref="N71:N72"/>
    <mergeCell ref="O71:O72"/>
    <mergeCell ref="K67:M67"/>
    <mergeCell ref="P98:R101"/>
    <mergeCell ref="P97:R97"/>
    <mergeCell ref="P87:R92"/>
    <mergeCell ref="S79:S80"/>
    <mergeCell ref="E77:M77"/>
    <mergeCell ref="O69:O70"/>
    <mergeCell ref="S69:S72"/>
    <mergeCell ref="P69:R72"/>
    <mergeCell ref="N75:N76"/>
    <mergeCell ref="O75:O76"/>
    <mergeCell ref="P75:R76"/>
    <mergeCell ref="P73:R73"/>
    <mergeCell ref="E74:M74"/>
    <mergeCell ref="E75:M75"/>
    <mergeCell ref="P74:R74"/>
    <mergeCell ref="E76:M76"/>
    <mergeCell ref="J90:K90"/>
    <mergeCell ref="J91:K91"/>
    <mergeCell ref="J92:K92"/>
    <mergeCell ref="E88:K88"/>
    <mergeCell ref="E87:M87"/>
    <mergeCell ref="P96:R96"/>
    <mergeCell ref="P83:R83"/>
    <mergeCell ref="E73:M73"/>
    <mergeCell ref="N102:N103"/>
    <mergeCell ref="O102:O103"/>
    <mergeCell ref="E102:M102"/>
    <mergeCell ref="E103:M103"/>
    <mergeCell ref="E89:I89"/>
    <mergeCell ref="E90:I90"/>
    <mergeCell ref="E93:M93"/>
    <mergeCell ref="E94:M94"/>
    <mergeCell ref="E95:M95"/>
    <mergeCell ref="N93:N95"/>
    <mergeCell ref="O93:O95"/>
    <mergeCell ref="N98:N99"/>
    <mergeCell ref="E99:M99"/>
    <mergeCell ref="E100:M100"/>
    <mergeCell ref="E101:M101"/>
    <mergeCell ref="E97:M97"/>
    <mergeCell ref="E98:M98"/>
    <mergeCell ref="L88:M92"/>
    <mergeCell ref="N87:N92"/>
    <mergeCell ref="O87:O92"/>
    <mergeCell ref="J89:K89"/>
    <mergeCell ref="E96:M96"/>
    <mergeCell ref="O98:O100"/>
    <mergeCell ref="E107:M107"/>
    <mergeCell ref="S108:S111"/>
    <mergeCell ref="B111:D111"/>
    <mergeCell ref="E111:M111"/>
    <mergeCell ref="N111:R111"/>
    <mergeCell ref="E104:M104"/>
    <mergeCell ref="E105:M105"/>
    <mergeCell ref="E106:M106"/>
    <mergeCell ref="O106:O107"/>
    <mergeCell ref="S105:S107"/>
    <mergeCell ref="P105:R107"/>
    <mergeCell ref="E109:M109"/>
    <mergeCell ref="E110:M110"/>
    <mergeCell ref="E108:O108"/>
    <mergeCell ref="P108:R110"/>
    <mergeCell ref="E117:M117"/>
    <mergeCell ref="E119:M119"/>
    <mergeCell ref="E120:M120"/>
    <mergeCell ref="B113:S113"/>
    <mergeCell ref="E114:M114"/>
    <mergeCell ref="E115:M115"/>
    <mergeCell ref="E116:M116"/>
    <mergeCell ref="E123:M123"/>
    <mergeCell ref="E121:M121"/>
    <mergeCell ref="E118:M118"/>
    <mergeCell ref="P117:R118"/>
    <mergeCell ref="S117:S118"/>
    <mergeCell ref="P115:R115"/>
    <mergeCell ref="P116:R116"/>
    <mergeCell ref="P114:R114"/>
    <mergeCell ref="E125:M125"/>
    <mergeCell ref="N121:N122"/>
    <mergeCell ref="S121:S122"/>
    <mergeCell ref="P121:R122"/>
    <mergeCell ref="S124:S126"/>
    <mergeCell ref="P123:R123"/>
    <mergeCell ref="E126:M126"/>
    <mergeCell ref="P124:R126"/>
    <mergeCell ref="E124:M124"/>
    <mergeCell ref="E122:M122"/>
    <mergeCell ref="E130:M130"/>
    <mergeCell ref="E131:M131"/>
    <mergeCell ref="E132:M132"/>
    <mergeCell ref="E133:M133"/>
    <mergeCell ref="E127:M127"/>
    <mergeCell ref="B128:C128"/>
    <mergeCell ref="E128:M128"/>
    <mergeCell ref="S135:S136"/>
    <mergeCell ref="E136:M136"/>
    <mergeCell ref="O128:O129"/>
    <mergeCell ref="N133:N134"/>
    <mergeCell ref="O130:O134"/>
    <mergeCell ref="P130:R134"/>
    <mergeCell ref="S130:S134"/>
    <mergeCell ref="P127:R127"/>
    <mergeCell ref="P128:R128"/>
    <mergeCell ref="P129:R129"/>
    <mergeCell ref="E129:F129"/>
    <mergeCell ref="G129:M129"/>
    <mergeCell ref="E137:M137"/>
    <mergeCell ref="E134:M134"/>
    <mergeCell ref="E135:M135"/>
    <mergeCell ref="N135:N136"/>
    <mergeCell ref="O135:O136"/>
    <mergeCell ref="P135:R136"/>
    <mergeCell ref="P138:R138"/>
    <mergeCell ref="B137:C137"/>
    <mergeCell ref="P137:R137"/>
    <mergeCell ref="E141:M141"/>
    <mergeCell ref="E142:M142"/>
    <mergeCell ref="E143:M143"/>
    <mergeCell ref="E138:M138"/>
    <mergeCell ref="E139:M139"/>
    <mergeCell ref="E140:M140"/>
    <mergeCell ref="S140:S143"/>
    <mergeCell ref="P140:R143"/>
    <mergeCell ref="P139:R139"/>
    <mergeCell ref="O141:O142"/>
    <mergeCell ref="P150:R150"/>
    <mergeCell ref="B152:S152"/>
    <mergeCell ref="E153:M153"/>
    <mergeCell ref="E154:M154"/>
    <mergeCell ref="E149:M149"/>
    <mergeCell ref="P153:R153"/>
    <mergeCell ref="O148:O149"/>
    <mergeCell ref="P154:R154"/>
    <mergeCell ref="E144:M144"/>
    <mergeCell ref="S144:S146"/>
    <mergeCell ref="E145:M145"/>
    <mergeCell ref="E146:M146"/>
    <mergeCell ref="S148:S149"/>
    <mergeCell ref="P148:R148"/>
    <mergeCell ref="P149:R149"/>
    <mergeCell ref="P147:R147"/>
    <mergeCell ref="P144:R146"/>
    <mergeCell ref="N144:N146"/>
    <mergeCell ref="O144:O146"/>
    <mergeCell ref="E148:M148"/>
    <mergeCell ref="B170:N170"/>
    <mergeCell ref="O170:S170"/>
    <mergeCell ref="E162:M162"/>
    <mergeCell ref="E163:M163"/>
    <mergeCell ref="B166:S166"/>
    <mergeCell ref="P167:R167"/>
    <mergeCell ref="P168:R168"/>
    <mergeCell ref="P162:R162"/>
    <mergeCell ref="E160:M160"/>
    <mergeCell ref="N160:N161"/>
    <mergeCell ref="O160:O161"/>
    <mergeCell ref="E161:M161"/>
    <mergeCell ref="P160:R161"/>
    <mergeCell ref="E167:M167"/>
    <mergeCell ref="E168:M168"/>
    <mergeCell ref="B169:S169"/>
    <mergeCell ref="E112:M112"/>
    <mergeCell ref="P112:R112"/>
    <mergeCell ref="E164:H164"/>
    <mergeCell ref="I164:M164"/>
    <mergeCell ref="E165:M165"/>
    <mergeCell ref="O162:O165"/>
    <mergeCell ref="P163:R165"/>
    <mergeCell ref="S162:S165"/>
    <mergeCell ref="P155:R155"/>
    <mergeCell ref="P156:R156"/>
    <mergeCell ref="E157:M157"/>
    <mergeCell ref="E158:M158"/>
    <mergeCell ref="E155:M155"/>
    <mergeCell ref="E156:M156"/>
    <mergeCell ref="P158:R158"/>
    <mergeCell ref="P159:R159"/>
    <mergeCell ref="P157:R157"/>
    <mergeCell ref="O155:O156"/>
    <mergeCell ref="E159:M159"/>
    <mergeCell ref="O158:O159"/>
    <mergeCell ref="E150:M150"/>
    <mergeCell ref="E151:M151"/>
    <mergeCell ref="E147:M147"/>
    <mergeCell ref="P151:R151"/>
  </mergeCells>
  <conditionalFormatting sqref="O42">
    <cfRule type="expression" dxfId="1087" priority="218" stopIfTrue="1">
      <formula>AND(O42&gt;0,O45&gt;0)</formula>
    </cfRule>
  </conditionalFormatting>
  <conditionalFormatting sqref="O98">
    <cfRule type="expression" dxfId="1086" priority="214" stopIfTrue="1">
      <formula>AND(O98&lt;&gt;0,O99&lt;&gt;0)</formula>
    </cfRule>
  </conditionalFormatting>
  <conditionalFormatting sqref="O34">
    <cfRule type="expression" dxfId="1085" priority="223" stopIfTrue="1">
      <formula>AND(O34&gt;0,OR($O$25&gt;0,$O$27&gt;0,$O$29&gt;0,$O$31&gt;0,$O$33&gt;0))</formula>
    </cfRule>
  </conditionalFormatting>
  <conditionalFormatting sqref="O38">
    <cfRule type="expression" dxfId="1084" priority="13">
      <formula>$A$37="x"</formula>
    </cfRule>
    <cfRule type="expression" dxfId="1083" priority="187" stopIfTrue="1">
      <formula>AND($A$37&lt;&gt;"x",OR(O38="Not Met",O38=""))</formula>
    </cfRule>
    <cfRule type="expression" dxfId="1082" priority="224" stopIfTrue="1">
      <formula>AND(O39&gt;0,O45&gt;0)</formula>
    </cfRule>
  </conditionalFormatting>
  <conditionalFormatting sqref="O45">
    <cfRule type="expression" dxfId="1081" priority="225" stopIfTrue="1">
      <formula>AND(O45&lt;&gt;0,OR(O39&gt;0,O41&gt;0,O42&gt;0))</formula>
    </cfRule>
  </conditionalFormatting>
  <conditionalFormatting sqref="O47 O140 O117 O119">
    <cfRule type="expression" dxfId="1080" priority="185" stopIfTrue="1">
      <formula>OR(O47="Not Met",O47="")</formula>
    </cfRule>
  </conditionalFormatting>
  <conditionalFormatting sqref="O109:O110">
    <cfRule type="expression" dxfId="1079" priority="183" stopIfTrue="1">
      <formula>OR(startSingleorMulti&lt;&gt;"Multi-Unit", startMultiUnits&lt;2)</formula>
    </cfRule>
  </conditionalFormatting>
  <conditionalFormatting sqref="I1">
    <cfRule type="expression" dxfId="1078" priority="171" stopIfTrue="1">
      <formula>levelStatement="This project has not met all the requirements for Bronze, Silver, Gold, or Emerald."</formula>
    </cfRule>
  </conditionalFormatting>
  <conditionalFormatting sqref="O74">
    <cfRule type="expression" dxfId="1077" priority="170" stopIfTrue="1">
      <formula>$O$74="Met"</formula>
    </cfRule>
  </conditionalFormatting>
  <conditionalFormatting sqref="N111:R111 N112 P112">
    <cfRule type="expression" dxfId="1076" priority="168" stopIfTrue="1">
      <formula>$N$111="This project is labelled Multi-Unit &amp; has 2 or more units. It is eligible for points in 901.14."</formula>
    </cfRule>
  </conditionalFormatting>
  <conditionalFormatting sqref="O4">
    <cfRule type="expression" dxfId="1075" priority="167" stopIfTrue="1">
      <formula>$O$4="Not Met"</formula>
    </cfRule>
  </conditionalFormatting>
  <conditionalFormatting sqref="O3">
    <cfRule type="expression" dxfId="1074" priority="166" stopIfTrue="1">
      <formula>$O$3="Not Met"</formula>
    </cfRule>
  </conditionalFormatting>
  <conditionalFormatting sqref="P10:R12 P14:R21 P24:R33 P38:R43 P45:R46 P49 P53 P57 P61 P69 P74:R74 P77:R79 P81:R81 P84:R85 P87:R87 P93 P98:R99 P102:R104 P105 P117:R117 P119:R120 P123:R126 P130:R137 P158:R159 P155:R156 P148:R151 P140:R146 P167:R168 P34:S35 P108">
    <cfRule type="beginsWith" dxfId="1073" priority="160" operator="beginsWith" text="*">
      <formula>LEFT(P10,LEN("*"))="*"</formula>
    </cfRule>
  </conditionalFormatting>
  <conditionalFormatting sqref="O18">
    <cfRule type="expression" dxfId="1072" priority="154" stopIfTrue="1">
      <formula>OR(O18="Not Met", O18="")</formula>
    </cfRule>
  </conditionalFormatting>
  <conditionalFormatting sqref="O32">
    <cfRule type="expression" dxfId="1071" priority="510" stopIfTrue="1">
      <formula>OR(O32="Not Met", O32="")</formula>
    </cfRule>
    <cfRule type="expression" dxfId="1070" priority="511" stopIfTrue="1">
      <formula>AND($O$32="Met", $O$34&lt;&gt;"")</formula>
    </cfRule>
  </conditionalFormatting>
  <conditionalFormatting sqref="O30">
    <cfRule type="expression" dxfId="1069" priority="512" stopIfTrue="1">
      <formula>OR(O30="Not Met", O30="")</formula>
    </cfRule>
    <cfRule type="expression" dxfId="1068" priority="513" stopIfTrue="1">
      <formula>AND($O$30="Met", $O$34&lt;&gt;"")</formula>
    </cfRule>
  </conditionalFormatting>
  <conditionalFormatting sqref="O28">
    <cfRule type="expression" dxfId="1067" priority="514" stopIfTrue="1">
      <formula>OR(O28="Not Met", O28="")</formula>
    </cfRule>
    <cfRule type="expression" dxfId="1066" priority="515" stopIfTrue="1">
      <formula>AND($O$28="Met", $O$34&lt;&gt;"")</formula>
    </cfRule>
  </conditionalFormatting>
  <conditionalFormatting sqref="O24">
    <cfRule type="expression" dxfId="1065" priority="516" stopIfTrue="1">
      <formula>OR(O24="Not Met", O24="")</formula>
    </cfRule>
    <cfRule type="expression" dxfId="1064" priority="517" stopIfTrue="1">
      <formula>AND($O$24="Met", $O$34&lt;&gt;"")</formula>
    </cfRule>
  </conditionalFormatting>
  <conditionalFormatting sqref="O26">
    <cfRule type="expression" dxfId="1063" priority="142" stopIfTrue="1">
      <formula>OR(O26="Not Met", O26="")</formula>
    </cfRule>
    <cfRule type="expression" dxfId="1062" priority="143" stopIfTrue="1">
      <formula>AND($O$26="Met", $O$34&lt;&gt;"")</formula>
    </cfRule>
  </conditionalFormatting>
  <conditionalFormatting sqref="O40">
    <cfRule type="expression" dxfId="1061" priority="12">
      <formula>$A$37="x"</formula>
    </cfRule>
    <cfRule type="expression" dxfId="1060" priority="140" stopIfTrue="1">
      <formula>AND($A$37&lt;&gt;"x",OR(O40="Not Met",O40=""))</formula>
    </cfRule>
    <cfRule type="expression" dxfId="1059" priority="141" stopIfTrue="1">
      <formula>AND(O41&gt;0,O45&gt;0)</formula>
    </cfRule>
  </conditionalFormatting>
  <conditionalFormatting sqref="P47:R47">
    <cfRule type="expression" dxfId="1058" priority="17">
      <formula>AND($O$47="")</formula>
    </cfRule>
    <cfRule type="expression" dxfId="1057" priority="18" stopIfTrue="1">
      <formula>AND($O$47="N/A")</formula>
    </cfRule>
    <cfRule type="beginsWith" dxfId="1056" priority="135" operator="beginsWith" text="*">
      <formula>LEFT(P47,LEN("*"))="*"</formula>
    </cfRule>
  </conditionalFormatting>
  <conditionalFormatting sqref="P65">
    <cfRule type="beginsWith" dxfId="1055" priority="130" operator="beginsWith" text="*">
      <formula>LEFT(P65,LEN("*"))="*"</formula>
    </cfRule>
  </conditionalFormatting>
  <conditionalFormatting sqref="O121">
    <cfRule type="expression" dxfId="1054" priority="518" stopIfTrue="1">
      <formula>AND(O121&lt;&gt;0,SUM(O121:O121)&gt;5)</formula>
    </cfRule>
  </conditionalFormatting>
  <conditionalFormatting sqref="P121:R122">
    <cfRule type="containsBlanks" dxfId="1053" priority="79">
      <formula>LEN(TRIM(P121))=0</formula>
    </cfRule>
    <cfRule type="beginsWith" dxfId="1052" priority="109" operator="beginsWith" text="*">
      <formula>LEFT(P121,LEN("*"))="*"</formula>
    </cfRule>
  </conditionalFormatting>
  <conditionalFormatting sqref="O130:O134">
    <cfRule type="expression" dxfId="1051" priority="105">
      <formula>AND(VentNeeded=1,OR($O$130="",$O$130="Not Met"))</formula>
    </cfRule>
  </conditionalFormatting>
  <conditionalFormatting sqref="P162:R162">
    <cfRule type="beginsWith" dxfId="1050" priority="102" operator="beginsWith" text="*">
      <formula>LEFT(P162,LEN("*"))="*"</formula>
    </cfRule>
  </conditionalFormatting>
  <conditionalFormatting sqref="P163:R163">
    <cfRule type="beginsWith" dxfId="1049" priority="101" operator="beginsWith" text="*">
      <formula>LEFT(P163,LEN("*"))="*"</formula>
    </cfRule>
  </conditionalFormatting>
  <conditionalFormatting sqref="O151">
    <cfRule type="expression" dxfId="1048" priority="93">
      <formula>OR(O151="Not Met",O151="")</formula>
    </cfRule>
  </conditionalFormatting>
  <conditionalFormatting sqref="O49">
    <cfRule type="expression" dxfId="1047" priority="67">
      <formula>AND($O$49&lt;&gt;"",OR($O$53,$O$57,$O$61,$O$65)&lt;&gt;"")</formula>
    </cfRule>
    <cfRule type="expression" dxfId="1046" priority="69">
      <formula>OR($O$53,$O$57,$O$61,$O$65)&lt;&gt;""</formula>
    </cfRule>
  </conditionalFormatting>
  <conditionalFormatting sqref="O53">
    <cfRule type="expression" dxfId="1045" priority="66">
      <formula>AND($O$53&lt;&gt;"",OR($O$49,$O$57,$O$61,$O$65)&lt;&gt;"")</formula>
    </cfRule>
    <cfRule type="expression" dxfId="1044" priority="68">
      <formula>OR($O$49,$O$57,$O$61,$O$65)&lt;&gt;""</formula>
    </cfRule>
  </conditionalFormatting>
  <conditionalFormatting sqref="O57">
    <cfRule type="expression" dxfId="1043" priority="64">
      <formula>AND($O$57&lt;&gt;"",OR($O$49,$O$53,$O$61,$O$65)&lt;&gt;"")</formula>
    </cfRule>
    <cfRule type="expression" dxfId="1042" priority="65">
      <formula>OR($O$49,$O$53,$O$61,$O$65)&lt;&gt;""</formula>
    </cfRule>
  </conditionalFormatting>
  <conditionalFormatting sqref="O61">
    <cfRule type="expression" dxfId="1041" priority="62">
      <formula>AND($O$61&lt;&gt;"",OR($O$49,$O$53,$O$57,$O$65)&lt;&gt;"")</formula>
    </cfRule>
    <cfRule type="expression" dxfId="1040" priority="63">
      <formula>OR($O$49,$O$53,$O$57,$O$65)&lt;&gt;""</formula>
    </cfRule>
  </conditionalFormatting>
  <conditionalFormatting sqref="O65">
    <cfRule type="expression" dxfId="1039" priority="60">
      <formula>AND($O$65&lt;&gt;"",OR($O$49,$O$53,$O$57,$O$61)&lt;&gt;"")</formula>
    </cfRule>
    <cfRule type="expression" dxfId="1038" priority="61">
      <formula>OR($O$49,$O$53,$O$57,$O$61)&lt;&gt;""</formula>
    </cfRule>
  </conditionalFormatting>
  <conditionalFormatting sqref="O50">
    <cfRule type="expression" dxfId="1037" priority="58">
      <formula>AND($O$50&lt;&gt;"",OR($O$54,$O$58,$O$62,$O$66)&lt;&gt;"")</formula>
    </cfRule>
    <cfRule type="expression" dxfId="1036" priority="59">
      <formula>OR($O$54,$O$58,$O$62,$O$66)&lt;&gt;""</formula>
    </cfRule>
  </conditionalFormatting>
  <conditionalFormatting sqref="O54">
    <cfRule type="expression" dxfId="1035" priority="56">
      <formula>AND($O$54&lt;&gt;"",OR($O$50,$O$58,$O$62,$O$66)&lt;&gt;"")</formula>
    </cfRule>
    <cfRule type="expression" dxfId="1034" priority="57">
      <formula>OR($O$50,$O$58,$O$62,$O$66)&lt;&gt;""</formula>
    </cfRule>
  </conditionalFormatting>
  <conditionalFormatting sqref="O58">
    <cfRule type="expression" dxfId="1033" priority="54">
      <formula>AND($O$58&lt;&gt;"",OR($O$50,$O$54,$O$62,$O$66)&lt;&gt;"")</formula>
    </cfRule>
    <cfRule type="expression" dxfId="1032" priority="55">
      <formula>OR($O$50,$O$54,$O$62,$O$66)&lt;&gt;""</formula>
    </cfRule>
  </conditionalFormatting>
  <conditionalFormatting sqref="O62">
    <cfRule type="expression" dxfId="1031" priority="52">
      <formula>AND($O$62&lt;&gt;"",OR($O$50,$O$54,$O$58,$O$66)&lt;&gt;"")</formula>
    </cfRule>
    <cfRule type="expression" dxfId="1030" priority="53">
      <formula>OR($O$50,$O$54,$O$58,$O$66)&lt;&gt;""</formula>
    </cfRule>
  </conditionalFormatting>
  <conditionalFormatting sqref="O66">
    <cfRule type="expression" dxfId="1029" priority="50">
      <formula>AND($O$66&lt;&gt;"",OR($O$50,$O$54,$O$58,$O$62)&lt;&gt;"")</formula>
    </cfRule>
    <cfRule type="expression" dxfId="1028" priority="51">
      <formula>OR($O$50,$O$54,$O$58,$O$62)&lt;&gt;""</formula>
    </cfRule>
  </conditionalFormatting>
  <conditionalFormatting sqref="O51">
    <cfRule type="expression" dxfId="1027" priority="48">
      <formula>AND($O$51&lt;&gt;"",OR($O$55,$O$59,$O$63,$O$67)&lt;&gt;"")</formula>
    </cfRule>
    <cfRule type="expression" dxfId="1026" priority="49">
      <formula>OR($O$55,$O$59,$O$63,$O$67)&lt;&gt;""</formula>
    </cfRule>
  </conditionalFormatting>
  <conditionalFormatting sqref="O55">
    <cfRule type="expression" dxfId="1025" priority="46">
      <formula>AND($O$55&lt;&gt;"",OR($O$51,$O$59,$O$63,$O$67)&lt;&gt;"")</formula>
    </cfRule>
    <cfRule type="expression" dxfId="1024" priority="47">
      <formula>OR($O$51,$O$59,$O$63,$O$67)&lt;&gt;""</formula>
    </cfRule>
  </conditionalFormatting>
  <conditionalFormatting sqref="O59">
    <cfRule type="expression" dxfId="1023" priority="44">
      <formula>AND($O$59&lt;&gt;"",OR($O$51,$O$55,$O$63,$O$67)&lt;&gt;"")</formula>
    </cfRule>
    <cfRule type="expression" dxfId="1022" priority="45">
      <formula>OR($O$51,$O$55,$O$63,$O$67)&lt;&gt;""</formula>
    </cfRule>
  </conditionalFormatting>
  <conditionalFormatting sqref="O63">
    <cfRule type="expression" dxfId="1021" priority="42">
      <formula>AND($O$63&lt;&gt;"",OR($O$51,$O$55,$O$59,$O$67)&lt;&gt;"")</formula>
    </cfRule>
    <cfRule type="expression" dxfId="1020" priority="43">
      <formula>OR($O$51,$O$55,$O$59,$O$67)&lt;&gt;""</formula>
    </cfRule>
  </conditionalFormatting>
  <conditionalFormatting sqref="O67">
    <cfRule type="expression" dxfId="1019" priority="40">
      <formula>AND($O$67&lt;&gt;"",OR($O$51,$O$55,$O$59,$O$63)&lt;&gt;"")</formula>
    </cfRule>
    <cfRule type="expression" dxfId="1018" priority="41">
      <formula>OR($O$51,$O$55,$O$59,$O$63)&lt;&gt;""</formula>
    </cfRule>
  </conditionalFormatting>
  <conditionalFormatting sqref="O52">
    <cfRule type="expression" dxfId="1017" priority="38">
      <formula>AND($O$52&lt;&gt;"",OR($O$56,$O$60,$O$64,$O$68)&lt;&gt;"")</formula>
    </cfRule>
    <cfRule type="expression" dxfId="1016" priority="39">
      <formula>OR($O$56,$O$60,$O$64,$O$68)&lt;&gt;""</formula>
    </cfRule>
  </conditionalFormatting>
  <conditionalFormatting sqref="O56">
    <cfRule type="expression" dxfId="1015" priority="36">
      <formula>AND($O$56&lt;&gt;"",OR($O$52,$O$60,$O$64,$O$68)&lt;&gt;"")</formula>
    </cfRule>
    <cfRule type="expression" dxfId="1014" priority="37">
      <formula>OR($O$52,$O$60,$O$64,$O$68)&lt;&gt;""</formula>
    </cfRule>
  </conditionalFormatting>
  <conditionalFormatting sqref="O60">
    <cfRule type="expression" dxfId="1013" priority="34">
      <formula>AND($O$60&lt;&gt;"",OR($O$52,$O$56,$O$64,$O$68)&lt;&gt;"")</formula>
    </cfRule>
    <cfRule type="expression" dxfId="1012" priority="35">
      <formula>OR($O$52,$O$56,$O$64,$O$68)&lt;&gt;""</formula>
    </cfRule>
  </conditionalFormatting>
  <conditionalFormatting sqref="O64">
    <cfRule type="expression" dxfId="1011" priority="32">
      <formula>AND($O$64&lt;&gt;"",OR($O$52,$O$56,$O$60,$O$68)&lt;&gt;"")</formula>
    </cfRule>
    <cfRule type="expression" dxfId="1010" priority="33">
      <formula>OR($O$52,$O$56,$O$60,$O$68)&lt;&gt;""</formula>
    </cfRule>
  </conditionalFormatting>
  <conditionalFormatting sqref="O68">
    <cfRule type="expression" dxfId="1009" priority="30">
      <formula>AND($O$68&lt;&gt;"",OR($O$52,$O$56,$O$60,$O$64)&lt;&gt;"")</formula>
    </cfRule>
    <cfRule type="expression" dxfId="1008" priority="31">
      <formula>OR($O$52,$O$56,$O$60,$O$64)&lt;&gt;""</formula>
    </cfRule>
  </conditionalFormatting>
  <conditionalFormatting sqref="O38">
    <cfRule type="expression" dxfId="1007" priority="71">
      <formula>OR(AND($O$38="No attached garage",$O$40="Met"),AND($O$38="Met",$O$40="No attached garage"))</formula>
    </cfRule>
    <cfRule type="expression" dxfId="1006" priority="72">
      <formula>AND($O$42=4,$O$38="No attached garage")</formula>
    </cfRule>
  </conditionalFormatting>
  <conditionalFormatting sqref="O40">
    <cfRule type="expression" dxfId="1005" priority="70">
      <formula>OR(AND($O$38="Met",$O$40="No attached garage"),AND($O$38="No attached garage",$O$40="Met"))</formula>
    </cfRule>
    <cfRule type="expression" dxfId="1004" priority="73">
      <formula>AND($O$42=4,$O$40="No attached garage")</formula>
    </cfRule>
  </conditionalFormatting>
  <conditionalFormatting sqref="O42:O44">
    <cfRule type="expression" dxfId="1003" priority="1">
      <formula>AND($O$42&gt;0,startSingleorMulti="Multi-Unit")</formula>
    </cfRule>
    <cfRule type="expression" dxfId="1002" priority="10">
      <formula>AND($A$37="x",$O$42&gt;0)</formula>
    </cfRule>
    <cfRule type="expression" dxfId="1001" priority="11">
      <formula>$A$37="x"</formula>
    </cfRule>
    <cfRule type="expression" dxfId="1000" priority="74">
      <formula>AND($O$42=4,OR($O$38="No attached garage",$O$40="No attached garage"))</formula>
    </cfRule>
  </conditionalFormatting>
  <conditionalFormatting sqref="O18:O19">
    <cfRule type="expression" dxfId="999" priority="75">
      <formula>AND($O$19=7,$O$18="No gas fireplace or heating equipment")</formula>
    </cfRule>
  </conditionalFormatting>
  <conditionalFormatting sqref="G129:M129">
    <cfRule type="notContainsBlanks" dxfId="998" priority="808">
      <formula>LEN(TRIM(G129))&gt;0</formula>
    </cfRule>
  </conditionalFormatting>
  <conditionalFormatting sqref="O93:O95">
    <cfRule type="expression" dxfId="997" priority="26">
      <formula>AND($O$84&lt;&gt;0,$O$93&lt;&gt;0)</formula>
    </cfRule>
    <cfRule type="expression" dxfId="996" priority="122">
      <formula>$O$84=5</formula>
    </cfRule>
  </conditionalFormatting>
  <conditionalFormatting sqref="O84:O86">
    <cfRule type="expression" dxfId="995" priority="24">
      <formula>AND($O$84&lt;&gt;0,$O$93&lt;&gt;0)</formula>
    </cfRule>
    <cfRule type="expression" dxfId="994" priority="217">
      <formula>$O$93=8</formula>
    </cfRule>
  </conditionalFormatting>
  <conditionalFormatting sqref="O130:O134">
    <cfRule type="expression" dxfId="993" priority="1012">
      <formula>AND(choice902.2.1="N/A - air infiltration rate greater than 5 ACH50",OR(AND(ch7blowerdoor&lt;&gt;"",ch7blowerdoor&lt;5),AND(ch7ACH50&lt;&gt;"",ch7ACH50&lt;5)))</formula>
    </cfRule>
  </conditionalFormatting>
  <conditionalFormatting sqref="O135:O136">
    <cfRule type="expression" dxfId="992" priority="20">
      <formula>AND($O$135=8,OR($O$128=0,$O$128="N/A"))</formula>
    </cfRule>
  </conditionalFormatting>
  <conditionalFormatting sqref="O137">
    <cfRule type="expression" dxfId="991" priority="22">
      <formula>AND(claim902.2.3=3,claim703.3.1&gt;0,claim703.3.2&gt;0)</formula>
    </cfRule>
    <cfRule type="expression" dxfId="990" priority="23">
      <formula>AND(claim703.3.1&lt;&gt;"",claim703.3.2&lt;&gt;"")</formula>
    </cfRule>
  </conditionalFormatting>
  <conditionalFormatting sqref="O20">
    <cfRule type="expression" dxfId="989" priority="15">
      <formula>AND($A$20="x",$O$20&lt;&gt;"")</formula>
    </cfRule>
    <cfRule type="expression" dxfId="988" priority="16">
      <formula>$A$20="x"</formula>
    </cfRule>
  </conditionalFormatting>
  <conditionalFormatting sqref="O45:O46">
    <cfRule type="expression" dxfId="987" priority="8">
      <formula>AND($A$45="x",$O$45&gt;0)</formula>
    </cfRule>
    <cfRule type="expression" dxfId="986" priority="9">
      <formula>$A$45="x"</formula>
    </cfRule>
  </conditionalFormatting>
  <conditionalFormatting sqref="O144">
    <cfRule type="expression" dxfId="985" priority="1013" stopIfTrue="1">
      <formula>AND($O$140="Met",$O$144=0)</formula>
    </cfRule>
  </conditionalFormatting>
  <conditionalFormatting sqref="O87:O92">
    <cfRule type="expression" dxfId="984" priority="7">
      <formula>AND($O$87&gt;0,AND($O$84="",$O$93=""))</formula>
    </cfRule>
  </conditionalFormatting>
  <conditionalFormatting sqref="O110">
    <cfRule type="expression" dxfId="983" priority="21">
      <formula>AND($O$109&lt;&gt;"", OR(startMultiUnits&lt;2, startSingleorMulti&lt;&gt;"Multi-Unit"))</formula>
    </cfRule>
  </conditionalFormatting>
  <conditionalFormatting sqref="O109">
    <cfRule type="expression" dxfId="982" priority="6">
      <formula>AND($O$109&lt;&gt;"", OR(startMultiUnits&lt;2, startSingleorMulti&lt;&gt;"Multi-Unit"))</formula>
    </cfRule>
  </conditionalFormatting>
  <conditionalFormatting sqref="O144:O146">
    <cfRule type="expression" dxfId="981" priority="5">
      <formula>AND($O$141&gt;0,$O$144&gt;0)</formula>
    </cfRule>
  </conditionalFormatting>
  <conditionalFormatting sqref="O141:O142">
    <cfRule type="expression" dxfId="980" priority="4">
      <formula>AND($O$141&lt;&gt;"",$O$144&gt;0)</formula>
    </cfRule>
  </conditionalFormatting>
  <conditionalFormatting sqref="O112">
    <cfRule type="expression" dxfId="979" priority="3" stopIfTrue="1">
      <formula>OR(O112="Not Met",O112="")</formula>
    </cfRule>
  </conditionalFormatting>
  <conditionalFormatting sqref="O96">
    <cfRule type="expression" dxfId="978" priority="2" stopIfTrue="1">
      <formula>OR(O96="Not Met",O96="")</formula>
    </cfRule>
  </conditionalFormatting>
  <dataValidations count="45">
    <dataValidation type="list" operator="equal" allowBlank="1" showInputMessage="1" showErrorMessage="1" errorTitle="Invalid value" error="Leave cell blank or select an option from the dropdown list provided." sqref="O10" xr:uid="{00000000-0002-0000-0500-000000000000}">
      <formula1>dd901.1.1</formula1>
    </dataValidation>
    <dataValidation type="list" allowBlank="1" showInputMessage="1" showErrorMessage="1" errorTitle="Invalid Entry" error="Select an option from the dropdown list provided." sqref="O140" xr:uid="{00000000-0002-0000-0500-000001000000}">
      <formula1>dd902.3</formula1>
    </dataValidation>
    <dataValidation type="list" allowBlank="1" showInputMessage="1" showErrorMessage="1" errorTitle="Invalid Entry" error="Leave cell blank or select an option from the dropdown list provided." sqref="O157" xr:uid="{00000000-0002-0000-0500-000002000000}">
      <formula1>dd903.2</formula1>
    </dataValidation>
    <dataValidation type="whole" operator="equal" allowBlank="1" showInputMessage="1" showErrorMessage="1" errorTitle="Invalid entry" error="Leave cell blank or enter the number 2." sqref="O49:O56" xr:uid="{00000000-0002-0000-0500-000003000000}">
      <formula1>2</formula1>
    </dataValidation>
    <dataValidation type="whole" operator="equal" allowBlank="1" showInputMessage="1" showErrorMessage="1" errorTitle="Invalid value" error="Leave cell blank or enter the number 1." sqref="O87 O109:O110" xr:uid="{00000000-0002-0000-0500-000004000000}">
      <formula1>1</formula1>
    </dataValidation>
    <dataValidation type="whole" operator="equal" allowBlank="1" showInputMessage="1" showErrorMessage="1" errorTitle="Invalid value" error="Leave cell blank or enter the number 7." sqref="O34 O144:O146" xr:uid="{00000000-0002-0000-0500-000005000000}">
      <formula1>7</formula1>
    </dataValidation>
    <dataValidation type="whole" operator="equal" allowBlank="1" showInputMessage="1" showErrorMessage="1" errorTitle="Invalid value" error="Leave cell blank or enter the number 3." sqref="O150 O137 O148 O104" xr:uid="{00000000-0002-0000-0500-000006000000}">
      <formula1>3</formula1>
    </dataValidation>
    <dataValidation type="whole" operator="equal" allowBlank="1" showInputMessage="1" showErrorMessage="1" errorTitle="Invalid value" error="Leave cell blank or enter the number 10." sqref="O45:O46" xr:uid="{00000000-0002-0000-0500-000007000000}">
      <formula1>10</formula1>
    </dataValidation>
    <dataValidation type="whole" operator="equal" allowBlank="1" showInputMessage="1" showErrorMessage="1" errorTitle="Invalid value" error="Leave cell blank or enter the number 6." sqref="O77 O79" xr:uid="{00000000-0002-0000-0500-000008000000}">
      <formula1>6</formula1>
    </dataValidation>
    <dataValidation type="whole" operator="equal" allowBlank="1" showInputMessage="1" showErrorMessage="1" errorTitle="Invalid value" error="Leave cell blank or enter the number 4." sqref="O102 O81 O135:O136" xr:uid="{00000000-0002-0000-0500-000009000000}">
      <formula1>4</formula1>
    </dataValidation>
    <dataValidation type="whole" operator="equal" allowBlank="1" showInputMessage="1" showErrorMessage="1" errorTitle="Invalid value" error="Leave cell blank or enter the number 5." sqref="O12 O84" xr:uid="{00000000-0002-0000-0500-00000A000000}">
      <formula1>5</formula1>
    </dataValidation>
    <dataValidation type="whole" operator="equal" allowBlank="1" showInputMessage="1" showErrorMessage="1" errorTitle="Invalid value" error="Leave cell blank or enter the number 8." sqref="O120 O93 O123 O42:O44" xr:uid="{00000000-0002-0000-0500-00000B000000}">
      <formula1>8</formula1>
    </dataValidation>
    <dataValidation type="whole" operator="equal" allowBlank="1" showInputMessage="1" showErrorMessage="1" errorTitle="Invalid value" error="Leave cell blank or enter the number 2." sqref="O167:O168 O78" xr:uid="{00000000-0002-0000-0500-00000C000000}">
      <formula1>2</formula1>
    </dataValidation>
    <dataValidation type="list" operator="equal" allowBlank="1" showInputMessage="1" showErrorMessage="1" errorTitle="Invalid value" error="Leave cell blank or select an option from the dropdown list provided." sqref="O14" xr:uid="{00000000-0002-0000-0500-00000D000000}">
      <formula1>dd901.1.3_1</formula1>
    </dataValidation>
    <dataValidation type="list" operator="equal" allowBlank="1" showInputMessage="1" showErrorMessage="1" errorTitle="Invalid value" error="Leave cell blank or select an option from the dropdown list provided." sqref="O16" xr:uid="{00000000-0002-0000-0500-00000E000000}">
      <formula1>dd901.1.3_2</formula1>
    </dataValidation>
    <dataValidation type="list" allowBlank="1" showInputMessage="1" showErrorMessage="1" errorTitle="Invalid Entry" error="Select an option from the dropdown list provided." sqref="O18" xr:uid="{00000000-0002-0000-0500-00000F000000}">
      <formula1>dd901.1.4</formula1>
    </dataValidation>
    <dataValidation type="whole" operator="equal" allowBlank="1" showInputMessage="1" showErrorMessage="1" errorTitle="Invalid Entry" error="Leave blank or enter the number 7." sqref="O19" xr:uid="{00000000-0002-0000-0500-000010000000}">
      <formula1>7</formula1>
    </dataValidation>
    <dataValidation type="list" operator="equal" allowBlank="1" showInputMessage="1" showErrorMessage="1" errorTitle="Invalid value" error="Leave cell blank or select an option from the dropdown list provided." sqref="O20" xr:uid="{00000000-0002-0000-0500-000011000000}">
      <formula1>dd901.1.6</formula1>
    </dataValidation>
    <dataValidation type="list" allowBlank="1" showInputMessage="1" showErrorMessage="1" errorTitle="Invalid Entry" error="Select an option from the dropdown list provided." sqref="O24" xr:uid="{00000000-0002-0000-0500-000012000000}">
      <formula1>dd901.2.1_1</formula1>
    </dataValidation>
    <dataValidation type="list" allowBlank="1" showInputMessage="1" showErrorMessage="1" errorTitle="Invalid Entry" error="Select an option from the dropdown list provided." sqref="O28" xr:uid="{00000000-0002-0000-0500-000013000000}">
      <formula1>dd901.2.1_3</formula1>
    </dataValidation>
    <dataValidation type="list" allowBlank="1" showInputMessage="1" showErrorMessage="1" errorTitle="Invalid Entry" error="Select an option from the dropdown list provided." sqref="O32" xr:uid="{00000000-0002-0000-0500-000014000000}">
      <formula1>dd901.2.1_5</formula1>
    </dataValidation>
    <dataValidation type="list" allowBlank="1" showInputMessage="1" showErrorMessage="1" errorTitle="Invalid Entry" error="Select an option from the dropdown list provided." sqref="O38" xr:uid="{00000000-0002-0000-0500-000015000000}">
      <formula1>dd901.3_1_a</formula1>
    </dataValidation>
    <dataValidation type="list" allowBlank="1" showInputMessage="1" showErrorMessage="1" errorTitle="Invalid Entry" error="Select an option from the dropdown list provided." sqref="O40" xr:uid="{00000000-0002-0000-0500-000016000000}">
      <formula1>dd901.3_1_b</formula1>
    </dataValidation>
    <dataValidation type="list" allowBlank="1" showInputMessage="1" showErrorMessage="1" errorTitle="Invalid Entry" error="Select an option from the dropdown list provided." sqref="O47" xr:uid="{00000000-0002-0000-0500-000017000000}">
      <formula1>dd901.4_1</formula1>
    </dataValidation>
    <dataValidation type="whole" operator="equal" allowBlank="1" showInputMessage="1" showErrorMessage="1" errorTitle="Invalid entry" error="Leave cell blank or enter the number 3." sqref="O57:O60" xr:uid="{00000000-0002-0000-0500-000018000000}">
      <formula1>3</formula1>
    </dataValidation>
    <dataValidation type="whole" operator="equal" allowBlank="1" showInputMessage="1" showErrorMessage="1" errorTitle="Invalid entry" error="Leave cell blank or enter the number 4." sqref="O61:O68" xr:uid="{00000000-0002-0000-0500-000019000000}">
      <formula1>4</formula1>
    </dataValidation>
    <dataValidation type="list" operator="equal" allowBlank="1" showInputMessage="1" showErrorMessage="1" errorTitle="Invalid value" error="Leave cell blank or select an option from the dropdown list provided." sqref="O69" xr:uid="{00000000-0002-0000-0500-00001A000000}">
      <formula1>dd901.5</formula1>
    </dataValidation>
    <dataValidation type="list" allowBlank="1" showInputMessage="1" showErrorMessage="1" errorTitle="Invalid Entry" error="Select an option from the dropdown list provided." sqref="O74" xr:uid="{00000000-0002-0000-0500-00001B000000}">
      <formula1>dd901.6_1</formula1>
    </dataValidation>
    <dataValidation type="list" operator="equal" allowBlank="1" showInputMessage="1" showErrorMessage="1" errorTitle="Invalid value" error="Leave cell blank or select an option from the dropdown list provided." sqref="O98:O100" xr:uid="{00000000-0002-0000-0500-00001C000000}">
      <formula1>dd901.10</formula1>
    </dataValidation>
    <dataValidation type="list" operator="equal" allowBlank="1" showInputMessage="1" showErrorMessage="1" errorTitle="Invalid value" error="Leave cell blank or select an option from the dropdown list provided." sqref="O105" xr:uid="{00000000-0002-0000-0500-00001D000000}">
      <formula1>dd901.13</formula1>
    </dataValidation>
    <dataValidation type="list" allowBlank="1" showInputMessage="1" showErrorMessage="1" errorTitle="Invalid Entry" error="Select an option from the dropdown list provided." sqref="O117" xr:uid="{00000000-0002-0000-0500-00001E000000}">
      <formula1>dd902.1.1_1</formula1>
    </dataValidation>
    <dataValidation type="list" allowBlank="1" showInputMessage="1" showErrorMessage="1" errorTitle="Invalid Entry" error="Select an option from the dropdown list provided." sqref="O119" xr:uid="{00000000-0002-0000-0500-00001F000000}">
      <formula1>dd902.1.1_2</formula1>
    </dataValidation>
    <dataValidation type="list" operator="equal" allowBlank="1" showInputMessage="1" showErrorMessage="1" errorTitle="Invalid value" error="Leave cell blank or select an option from the dropdown list provided." sqref="O121" xr:uid="{00000000-0002-0000-0500-000020000000}">
      <formula1>dd902.1.2</formula1>
    </dataValidation>
    <dataValidation type="list" operator="greaterThan" allowBlank="1" showInputMessage="1" showErrorMessage="1" errorTitle="Invalid value" error="Leave cell blank or select an option from the dropdown list provided." sqref="O126" xr:uid="{00000000-0002-0000-0500-000021000000}">
      <formula1>dd902.1.4_2</formula1>
    </dataValidation>
    <dataValidation type="list" operator="greaterThan" allowBlank="1" showInputMessage="1" showErrorMessage="1" errorTitle="Invalid value" error="Leave cell blank or select an option from the dropdown list provided." sqref="O125" xr:uid="{00000000-0002-0000-0500-000022000000}">
      <formula1>dd902.1.4_1</formula1>
    </dataValidation>
    <dataValidation type="list" allowBlank="1" showInputMessage="1" showErrorMessage="1" errorTitle="Invalid value" error="Leave cell blank or select an option from the dropdown list provided." sqref="O130:O134" xr:uid="{00000000-0002-0000-0500-000023000000}">
      <formula1>dd902.2.1</formula1>
    </dataValidation>
    <dataValidation type="list" operator="equal" allowBlank="1" showInputMessage="1" showErrorMessage="1" errorTitle="Invalid value" error="Leave cell blank or select an option from the dropdown list provided." sqref="O160" xr:uid="{00000000-0002-0000-0500-000024000000}">
      <formula1>dd903.3</formula1>
    </dataValidation>
    <dataValidation type="list" operator="equal" allowBlank="1" showInputMessage="1" showErrorMessage="1" errorTitle="Invalid value" error="Leave cell blank or select an option from the dropdown list provided." sqref="O154" xr:uid="{00000000-0002-0000-0500-000025000000}">
      <formula1>dd903.1</formula1>
    </dataValidation>
    <dataValidation type="list" allowBlank="1" showInputMessage="1" showErrorMessage="1" errorTitle="Invalid Entry" error="Select an option from the dropdown list provided." sqref="O151" xr:uid="{00000000-0002-0000-0500-000026000000}">
      <formula1>dd902.6</formula1>
    </dataValidation>
    <dataValidation type="list" operator="equal" allowBlank="1" showInputMessage="1" showErrorMessage="1" errorTitle="Invalid value" error="Leave cell blank or select an option from the dropdown list provided." sqref="O147" xr:uid="{00000000-0002-0000-0500-000027000000}">
      <formula1>dd902.4</formula1>
    </dataValidation>
    <dataValidation type="list" allowBlank="1" showInputMessage="1" showErrorMessage="1" errorTitle="Invalid Entry" error="Select an option from the dropdown list provided." sqref="O26" xr:uid="{00000000-0002-0000-0500-000028000000}">
      <formula1>dd901.2.1_2</formula1>
    </dataValidation>
    <dataValidation type="list" allowBlank="1" showInputMessage="1" showErrorMessage="1" errorTitle="Invalid Entry" error="Select an option from the dropdown list provided." sqref="O30" xr:uid="{00000000-0002-0000-0500-000029000000}">
      <formula1>dd901.2.1_4</formula1>
    </dataValidation>
    <dataValidation type="list" allowBlank="1" showInputMessage="1" showErrorMessage="1" sqref="O96" xr:uid="{00000000-0002-0000-0500-00002A000000}">
      <formula1>"Met, Not Met, Not Occupied During Remodel, No new interior paint"</formula1>
    </dataValidation>
    <dataValidation type="list" allowBlank="1" showInputMessage="1" showErrorMessage="1" sqref="O112" xr:uid="{00000000-0002-0000-0500-00002B000000}">
      <formula1>"Met, Not Met, Newer than 1978, Tested &amp; no lead present"</formula1>
    </dataValidation>
    <dataValidation operator="equal" allowBlank="1" showInputMessage="1" showErrorMessage="1" errorTitle="Invalid entry" error="Leave cell blank or enter the number 2." sqref="B7:S7" xr:uid="{00000000-0002-0000-0500-00002C000000}"/>
  </dataValidations>
  <hyperlinks>
    <hyperlink ref="E43:M43" location="appendixA" display="See Appendix A" xr:uid="{00000000-0004-0000-0500-000000000000}"/>
    <hyperlink ref="E139:M139" location="figure9_1" display="See Figure 9(1)" xr:uid="{00000000-0004-0000-0500-000001000000}"/>
    <hyperlink ref="E161" location="'Figure 6(3)'!A1" display="See Figure 6(3)." xr:uid="{00000000-0004-0000-0500-000002000000}"/>
    <hyperlink ref="E161:M161" location="figure6_1" display="See Figure 6(1)." xr:uid="{00000000-0004-0000-0500-000003000000}"/>
    <hyperlink ref="O170:S170" location="'Ch10'!A1" display="Proceed to Chapter 10 &gt;&gt;" xr:uid="{00000000-0004-0000-0500-000004000000}"/>
    <hyperlink ref="E72:M72" location="appendixD" display="See Appendix D" xr:uid="{00000000-0004-0000-0500-000005000000}"/>
    <hyperlink ref="E76:M76" location="appendixD" display="See Appendix D" xr:uid="{00000000-0004-0000-0500-000006000000}"/>
    <hyperlink ref="E80:M80" location="appendixD" display="See Appendix D" xr:uid="{00000000-0004-0000-0500-000007000000}"/>
    <hyperlink ref="E94:M94" location="app901.10_3" display="See Appendix D" xr:uid="{00000000-0004-0000-0500-000008000000}"/>
    <hyperlink ref="E99:M99" location="appendixD" display="See Appendix D" xr:uid="{00000000-0004-0000-0500-000009000000}"/>
    <hyperlink ref="E103:M103" location="appendixD" display="See Appendix D" xr:uid="{00000000-0004-0000-0500-00000A000000}"/>
    <hyperlink ref="E85:M85" location="app901.9.1" display="See Table 901.9.1" xr:uid="{00000000-0004-0000-0500-00000B000000}"/>
    <hyperlink ref="E82:M82" location="appendixD" display="See Appendix D" xr:uid="{00000000-0004-0000-0500-00000C000000}"/>
    <hyperlink ref="E129:F129" location="appendixB" display="See Appendix B" xr:uid="{00000000-0004-0000-0500-00000D000000}"/>
  </hyperlinks>
  <pageMargins left="0.7" right="0.7" top="0.75" bottom="0.75" header="0.3" footer="0.3"/>
  <pageSetup scale="54" fitToHeight="0"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143"/>
  <sheetViews>
    <sheetView topLeftCell="B1" zoomScaleNormal="100" workbookViewId="0">
      <pane ySplit="6" topLeftCell="A7" activePane="bottomLeft" state="frozen"/>
      <selection activeCell="N10" sqref="N10:N12"/>
      <selection pane="bottomLeft" activeCell="O12" sqref="O12"/>
    </sheetView>
  </sheetViews>
  <sheetFormatPr baseColWidth="10" defaultColWidth="9.1640625" defaultRowHeight="15"/>
  <cols>
    <col min="1" max="1" width="5.6640625" style="28" hidden="1" customWidth="1"/>
    <col min="2" max="2" width="6.6640625" style="28" customWidth="1"/>
    <col min="3" max="3" width="4.33203125" style="195" customWidth="1"/>
    <col min="4" max="4" width="3.6640625" style="195" customWidth="1"/>
    <col min="5" max="12" width="8.6640625" style="28" customWidth="1"/>
    <col min="13" max="13" width="10.6640625" style="28" bestFit="1" customWidth="1"/>
    <col min="14" max="14" width="15.6640625" style="28" customWidth="1"/>
    <col min="15" max="15" width="10.6640625" style="28" customWidth="1"/>
    <col min="16" max="17" width="11.6640625" style="28" customWidth="1"/>
    <col min="18" max="18" width="11.6640625" style="41" customWidth="1"/>
    <col min="19" max="19" width="11.6640625" style="28" customWidth="1"/>
    <col min="20" max="16384" width="9.1640625" style="28"/>
  </cols>
  <sheetData>
    <row r="1" spans="1:19" ht="15" customHeight="1">
      <c r="B1" s="3284"/>
      <c r="C1" s="3284"/>
      <c r="D1" s="3284"/>
      <c r="E1" s="3284"/>
      <c r="F1" s="3284"/>
      <c r="G1" s="3284"/>
      <c r="H1" s="3284"/>
      <c r="I1" s="2989" t="str">
        <f>levelStatement</f>
        <v>This project has not met all the requirements for Bronze, Silver, Gold, or Emerald.</v>
      </c>
      <c r="J1" s="2989"/>
      <c r="K1" s="2989"/>
      <c r="L1" s="3192"/>
      <c r="M1" s="2123">
        <v>2012</v>
      </c>
      <c r="N1" s="3020" t="s">
        <v>0</v>
      </c>
      <c r="O1" s="3020"/>
      <c r="P1" s="3020" t="s">
        <v>1</v>
      </c>
      <c r="Q1" s="3020"/>
      <c r="R1" s="3020"/>
      <c r="S1" s="3020"/>
    </row>
    <row r="2" spans="1:19" ht="15" customHeight="1">
      <c r="B2" s="3284"/>
      <c r="C2" s="3284"/>
      <c r="D2" s="3284"/>
      <c r="E2" s="3284"/>
      <c r="F2" s="3284"/>
      <c r="G2" s="3284"/>
      <c r="H2" s="3284"/>
      <c r="I2" s="2989"/>
      <c r="J2" s="2989"/>
      <c r="K2" s="2989"/>
      <c r="L2" s="3192"/>
      <c r="M2" s="2124"/>
      <c r="N2" s="1" t="s">
        <v>2</v>
      </c>
      <c r="O2" s="1" t="s">
        <v>3</v>
      </c>
      <c r="P2" s="2" t="s">
        <v>4</v>
      </c>
      <c r="Q2" s="3" t="s">
        <v>5</v>
      </c>
      <c r="R2" s="4" t="s">
        <v>6</v>
      </c>
      <c r="S2" s="5" t="s">
        <v>7</v>
      </c>
    </row>
    <row r="3" spans="1:19" ht="15" customHeight="1">
      <c r="B3" s="3284"/>
      <c r="C3" s="3284"/>
      <c r="D3" s="3284"/>
      <c r="E3" s="3284"/>
      <c r="F3" s="3284"/>
      <c r="G3" s="3284"/>
      <c r="H3" s="3284"/>
      <c r="I3" s="2989"/>
      <c r="J3" s="2989"/>
      <c r="K3" s="2989"/>
      <c r="L3" s="3192"/>
      <c r="M3" s="6" t="s">
        <v>8</v>
      </c>
      <c r="N3" s="772">
        <f>SUM(O9,O35,O38,O49,O62)</f>
        <v>0</v>
      </c>
      <c r="O3" s="770" t="str">
        <f>IF(OR(AND(startSingleorMulti="Single-Family", choice1001.1_1="Met", choice1001.1_2="Met", choice1001.1_3="Met"), AND(startSingleorMulti="Multi-Unit", choice1003.1_1="Met", choice1003.1_2="Met", choice1003.1_3="Met", choice1003.2_1="Met", choice1003.2_2="Met", choice1003.3_1="Met")), "Met", "Not Met")</f>
        <v>Not Met</v>
      </c>
      <c r="P3" s="7" t="s">
        <v>2613</v>
      </c>
      <c r="Q3" s="7" t="s">
        <v>2613</v>
      </c>
      <c r="R3" s="7" t="s">
        <v>2613</v>
      </c>
      <c r="S3" s="7" t="s">
        <v>2613</v>
      </c>
    </row>
    <row r="4" spans="1:19" ht="15" customHeight="1">
      <c r="B4" s="2885" t="s">
        <v>2601</v>
      </c>
      <c r="C4" s="2885"/>
      <c r="D4" s="2885"/>
      <c r="E4" s="2885"/>
      <c r="F4" s="2885"/>
      <c r="G4" s="2885"/>
      <c r="H4" s="2885"/>
      <c r="I4" s="2120" t="str">
        <f>CONCATENATE("Revised ",TEXT(startRevisionDate,"mmmm dd, yyyy"))</f>
        <v>Revised January 26, 2018</v>
      </c>
      <c r="J4" s="2120"/>
      <c r="K4" s="2120"/>
      <c r="L4" s="2121"/>
      <c r="M4" s="1605" t="s">
        <v>10</v>
      </c>
      <c r="N4" s="1606">
        <f>projectTotal</f>
        <v>0</v>
      </c>
      <c r="O4" s="1607" t="str">
        <f>IF(SUM(projectMandatoryCount)=4,"Met","Not Met")</f>
        <v>Not Met</v>
      </c>
      <c r="P4" s="1601">
        <f>SUM(bronzeMinimum)</f>
        <v>88</v>
      </c>
      <c r="Q4" s="1601">
        <f>SUM(silverMinimum)</f>
        <v>125</v>
      </c>
      <c r="R4" s="1601">
        <f>SUM(goldMinimum)</f>
        <v>181</v>
      </c>
      <c r="S4" s="1601">
        <f>SUM(emeraldMinimum)</f>
        <v>225</v>
      </c>
    </row>
    <row r="5" spans="1:19" ht="17.25" customHeight="1" thickBot="1">
      <c r="B5" s="2886"/>
      <c r="C5" s="2886"/>
      <c r="D5" s="2886"/>
      <c r="E5" s="2886"/>
      <c r="F5" s="2886"/>
      <c r="G5" s="2886"/>
      <c r="H5" s="2886"/>
      <c r="I5" s="2272" t="str">
        <f>CONCATENATE(copyright," All rights reserved.  See full notice at bottom of this sheet")</f>
        <v>© 2013 Home Innovation Research Labs, Inc. All rights reserved.  See full notice at bottom of this sheet</v>
      </c>
      <c r="J5" s="2272"/>
      <c r="K5" s="2272"/>
      <c r="L5" s="2272"/>
      <c r="M5" s="2272"/>
      <c r="N5" s="2272"/>
      <c r="O5" s="2272"/>
      <c r="P5" s="2272"/>
      <c r="Q5" s="2272"/>
      <c r="R5" s="2272"/>
      <c r="S5" s="2272"/>
    </row>
    <row r="6" spans="1:19" ht="30.75" customHeight="1" thickBot="1">
      <c r="B6" s="3021" t="s">
        <v>11</v>
      </c>
      <c r="C6" s="3010"/>
      <c r="D6" s="3011"/>
      <c r="E6" s="3007" t="s">
        <v>398</v>
      </c>
      <c r="F6" s="3007"/>
      <c r="G6" s="3007"/>
      <c r="H6" s="3007"/>
      <c r="I6" s="3007"/>
      <c r="J6" s="3007"/>
      <c r="K6" s="3007"/>
      <c r="L6" s="3007"/>
      <c r="M6" s="3007"/>
      <c r="N6" s="977" t="s">
        <v>13</v>
      </c>
      <c r="O6" s="977" t="s">
        <v>210</v>
      </c>
      <c r="P6" s="3009" t="s">
        <v>211</v>
      </c>
      <c r="Q6" s="3010"/>
      <c r="R6" s="3011"/>
      <c r="S6" s="160" t="s">
        <v>15</v>
      </c>
    </row>
    <row r="7" spans="1:19" ht="17.25" customHeight="1">
      <c r="B7" s="3282" t="s">
        <v>2498</v>
      </c>
      <c r="C7" s="3282"/>
      <c r="D7" s="3282"/>
      <c r="E7" s="3282"/>
      <c r="F7" s="3282"/>
      <c r="G7" s="3282"/>
      <c r="H7" s="3282"/>
      <c r="I7" s="3282"/>
      <c r="J7" s="3282"/>
      <c r="K7" s="3282"/>
      <c r="L7" s="3282"/>
      <c r="M7" s="3282"/>
      <c r="N7" s="3282"/>
      <c r="O7" s="3282"/>
      <c r="P7" s="3282"/>
      <c r="Q7" s="3282"/>
      <c r="R7" s="3282"/>
      <c r="S7" s="3282"/>
    </row>
    <row r="8" spans="1:19" ht="16" thickBot="1">
      <c r="B8" s="175">
        <v>11.100099999999999</v>
      </c>
      <c r="C8" s="176"/>
      <c r="D8" s="176"/>
      <c r="E8" s="3283" t="s">
        <v>994</v>
      </c>
      <c r="F8" s="3283"/>
      <c r="G8" s="3283"/>
      <c r="H8" s="3283"/>
      <c r="I8" s="3283"/>
      <c r="J8" s="3283"/>
      <c r="K8" s="3283"/>
      <c r="L8" s="3283"/>
      <c r="M8" s="3283"/>
      <c r="N8" s="991"/>
      <c r="O8" s="991"/>
      <c r="P8" s="2309"/>
      <c r="Q8" s="2309"/>
      <c r="R8" s="2309"/>
      <c r="S8" s="83"/>
    </row>
    <row r="9" spans="1:19" ht="30" customHeight="1" thickTop="1">
      <c r="B9" s="2103" t="s">
        <v>2499</v>
      </c>
      <c r="C9" s="2104"/>
      <c r="D9" s="2389"/>
      <c r="E9" s="2303" t="s">
        <v>399</v>
      </c>
      <c r="F9" s="3279"/>
      <c r="G9" s="3279"/>
      <c r="H9" s="3279"/>
      <c r="I9" s="3279"/>
      <c r="J9" s="3279"/>
      <c r="K9" s="3279"/>
      <c r="L9" s="3279"/>
      <c r="M9" s="3279"/>
      <c r="N9" s="3247" t="s">
        <v>2134</v>
      </c>
      <c r="O9" s="3242">
        <f>IF(ROUNDDOWN(((COUNTIF(claim1001.1_man,"Met")/2)),0)&gt;8,8,ROUNDDOWN(((COUNTIF(claim1001.1_man,"Met")/2)),0))</f>
        <v>0</v>
      </c>
      <c r="P9" s="3269"/>
      <c r="Q9" s="3270"/>
      <c r="R9" s="3271"/>
      <c r="S9" s="3285" t="s">
        <v>18</v>
      </c>
    </row>
    <row r="10" spans="1:19" s="163" customFormat="1" ht="45" customHeight="1">
      <c r="A10" s="542"/>
      <c r="B10" s="2105"/>
      <c r="C10" s="457"/>
      <c r="D10" s="2390"/>
      <c r="E10" s="2239" t="s">
        <v>998</v>
      </c>
      <c r="F10" s="2239"/>
      <c r="G10" s="2239"/>
      <c r="H10" s="2239"/>
      <c r="I10" s="2239"/>
      <c r="J10" s="2239"/>
      <c r="K10" s="2239"/>
      <c r="L10" s="2239"/>
      <c r="M10" s="2239"/>
      <c r="N10" s="3239"/>
      <c r="O10" s="3243"/>
      <c r="P10" s="3251"/>
      <c r="Q10" s="3252"/>
      <c r="R10" s="3272"/>
      <c r="S10" s="2561"/>
    </row>
    <row r="11" spans="1:19" s="163" customFormat="1" ht="30" customHeight="1">
      <c r="A11" s="542"/>
      <c r="B11" s="2105"/>
      <c r="C11" s="457"/>
      <c r="D11" s="2390"/>
      <c r="E11" s="3240" t="str">
        <f>IF(startSingleorMulti="Single-Family",CONCATENATE("This project is ",startSingleorMulti," &amp; is eligible for points in 1001.1."),(IF(startSingleorMulti="Multi-Unit",CONCATENATE("This project is ",startSingleorMulti," &amp; is NOT eligible for points in 1001.1."),"To claim points in Chapter 10, you must select Single-Family or Multi-Unit on the Start Here! worksheet.")))</f>
        <v>To claim points in Chapter 10, you must select Single-Family or Multi-Unit on the Start Here! worksheet.</v>
      </c>
      <c r="F11" s="3240"/>
      <c r="G11" s="3240"/>
      <c r="H11" s="3240"/>
      <c r="I11" s="3240"/>
      <c r="J11" s="3240"/>
      <c r="K11" s="3240"/>
      <c r="L11" s="3240"/>
      <c r="M11" s="3240"/>
      <c r="N11" s="3239"/>
      <c r="O11" s="3244"/>
      <c r="P11" s="3251"/>
      <c r="Q11" s="3252"/>
      <c r="R11" s="3272"/>
      <c r="S11" s="2561"/>
    </row>
    <row r="12" spans="1:19" ht="45">
      <c r="B12" s="982"/>
      <c r="C12" s="983">
        <v>1</v>
      </c>
      <c r="D12" s="983"/>
      <c r="E12" s="2302" t="s">
        <v>400</v>
      </c>
      <c r="F12" s="2651"/>
      <c r="G12" s="2651"/>
      <c r="H12" s="2651"/>
      <c r="I12" s="2651"/>
      <c r="J12" s="2651"/>
      <c r="K12" s="2651"/>
      <c r="L12" s="2651"/>
      <c r="M12" s="2651"/>
      <c r="N12" s="985" t="s">
        <v>401</v>
      </c>
      <c r="O12" s="619"/>
      <c r="P12" s="3280"/>
      <c r="Q12" s="2849"/>
      <c r="R12" s="3281"/>
      <c r="S12" s="636"/>
    </row>
    <row r="13" spans="1:19" ht="45">
      <c r="B13" s="982"/>
      <c r="C13" s="980">
        <v>2</v>
      </c>
      <c r="D13" s="980"/>
      <c r="E13" s="2318" t="s">
        <v>402</v>
      </c>
      <c r="F13" s="3245"/>
      <c r="G13" s="3245"/>
      <c r="H13" s="3245"/>
      <c r="I13" s="3245"/>
      <c r="J13" s="3245"/>
      <c r="K13" s="3245"/>
      <c r="L13" s="3245"/>
      <c r="M13" s="3245"/>
      <c r="N13" s="190" t="s">
        <v>401</v>
      </c>
      <c r="O13" s="617"/>
      <c r="P13" s="3160"/>
      <c r="Q13" s="2871"/>
      <c r="R13" s="3078"/>
      <c r="S13" s="637"/>
    </row>
    <row r="14" spans="1:19" ht="45">
      <c r="B14" s="982"/>
      <c r="C14" s="980">
        <v>3</v>
      </c>
      <c r="D14" s="980"/>
      <c r="E14" s="2320" t="s">
        <v>2249</v>
      </c>
      <c r="F14" s="3278"/>
      <c r="G14" s="3278"/>
      <c r="H14" s="3278"/>
      <c r="I14" s="3278"/>
      <c r="J14" s="3278"/>
      <c r="K14" s="3278"/>
      <c r="L14" s="3278"/>
      <c r="M14" s="3278"/>
      <c r="N14" s="190" t="s">
        <v>401</v>
      </c>
      <c r="O14" s="617"/>
      <c r="P14" s="3160"/>
      <c r="Q14" s="2871"/>
      <c r="R14" s="3078"/>
      <c r="S14" s="635"/>
    </row>
    <row r="15" spans="1:19">
      <c r="B15" s="982"/>
      <c r="C15" s="980">
        <v>4</v>
      </c>
      <c r="D15" s="980"/>
      <c r="E15" s="2318" t="s">
        <v>412</v>
      </c>
      <c r="F15" s="3245"/>
      <c r="G15" s="3245"/>
      <c r="H15" s="3245"/>
      <c r="I15" s="3245"/>
      <c r="J15" s="3245"/>
      <c r="K15" s="3245"/>
      <c r="L15" s="3245"/>
      <c r="M15" s="3245"/>
      <c r="N15" s="25">
        <v>0.5</v>
      </c>
      <c r="O15" s="1176"/>
      <c r="P15" s="3160"/>
      <c r="Q15" s="2871"/>
      <c r="R15" s="3078"/>
      <c r="S15" s="635"/>
    </row>
    <row r="16" spans="1:19" ht="30" customHeight="1">
      <c r="B16" s="982"/>
      <c r="C16" s="980">
        <v>5</v>
      </c>
      <c r="D16" s="980"/>
      <c r="E16" s="2318" t="s">
        <v>403</v>
      </c>
      <c r="F16" s="3245"/>
      <c r="G16" s="3245"/>
      <c r="H16" s="3245"/>
      <c r="I16" s="3245"/>
      <c r="J16" s="3245"/>
      <c r="K16" s="3245"/>
      <c r="L16" s="3245"/>
      <c r="M16" s="3245"/>
      <c r="N16" s="25">
        <v>0.5</v>
      </c>
      <c r="O16" s="1176"/>
      <c r="P16" s="3160"/>
      <c r="Q16" s="2871"/>
      <c r="R16" s="3078"/>
      <c r="S16" s="635"/>
    </row>
    <row r="17" spans="2:19" ht="30" customHeight="1">
      <c r="B17" s="982"/>
      <c r="C17" s="980">
        <v>6</v>
      </c>
      <c r="D17" s="980"/>
      <c r="E17" s="2318" t="s">
        <v>404</v>
      </c>
      <c r="F17" s="3245"/>
      <c r="G17" s="3245"/>
      <c r="H17" s="3245"/>
      <c r="I17" s="3245"/>
      <c r="J17" s="3245"/>
      <c r="K17" s="3245"/>
      <c r="L17" s="3245"/>
      <c r="M17" s="3245"/>
      <c r="N17" s="19">
        <v>0.5</v>
      </c>
      <c r="O17" s="1177"/>
      <c r="P17" s="3160"/>
      <c r="Q17" s="2871"/>
      <c r="R17" s="3078"/>
      <c r="S17" s="635"/>
    </row>
    <row r="18" spans="2:19" ht="30" customHeight="1">
      <c r="B18" s="982"/>
      <c r="C18" s="980">
        <v>7</v>
      </c>
      <c r="D18" s="980"/>
      <c r="E18" s="3287" t="s">
        <v>405</v>
      </c>
      <c r="F18" s="3288"/>
      <c r="G18" s="3288"/>
      <c r="H18" s="3288"/>
      <c r="I18" s="3288"/>
      <c r="J18" s="3288"/>
      <c r="K18" s="3288"/>
      <c r="L18" s="3288"/>
      <c r="M18" s="3288"/>
      <c r="N18" s="19">
        <v>0.5</v>
      </c>
      <c r="O18" s="1177"/>
      <c r="P18" s="3160"/>
      <c r="Q18" s="2871"/>
      <c r="R18" s="3078"/>
      <c r="S18" s="635"/>
    </row>
    <row r="19" spans="2:19" ht="30" customHeight="1">
      <c r="B19" s="982"/>
      <c r="C19" s="980">
        <v>8</v>
      </c>
      <c r="D19" s="980"/>
      <c r="E19" s="2318" t="s">
        <v>406</v>
      </c>
      <c r="F19" s="3245"/>
      <c r="G19" s="3245"/>
      <c r="H19" s="3245"/>
      <c r="I19" s="3245"/>
      <c r="J19" s="3245"/>
      <c r="K19" s="3245"/>
      <c r="L19" s="3245"/>
      <c r="M19" s="3245"/>
      <c r="N19" s="25">
        <v>0.5</v>
      </c>
      <c r="O19" s="1176"/>
      <c r="P19" s="3160"/>
      <c r="Q19" s="2871"/>
      <c r="R19" s="3078"/>
      <c r="S19" s="635"/>
    </row>
    <row r="20" spans="2:19" ht="30" customHeight="1">
      <c r="B20" s="982"/>
      <c r="C20" s="980">
        <v>9</v>
      </c>
      <c r="D20" s="980"/>
      <c r="E20" s="2318" t="s">
        <v>407</v>
      </c>
      <c r="F20" s="3245"/>
      <c r="G20" s="3245"/>
      <c r="H20" s="3245"/>
      <c r="I20" s="3245"/>
      <c r="J20" s="3245"/>
      <c r="K20" s="3245"/>
      <c r="L20" s="3245"/>
      <c r="M20" s="3245"/>
      <c r="N20" s="25">
        <v>0.5</v>
      </c>
      <c r="O20" s="1176"/>
      <c r="P20" s="3160"/>
      <c r="Q20" s="2871"/>
      <c r="R20" s="3078"/>
      <c r="S20" s="635"/>
    </row>
    <row r="21" spans="2:19" ht="30" customHeight="1">
      <c r="B21" s="982"/>
      <c r="C21" s="980">
        <v>10</v>
      </c>
      <c r="D21" s="980"/>
      <c r="E21" s="2318" t="s">
        <v>408</v>
      </c>
      <c r="F21" s="3245"/>
      <c r="G21" s="3245"/>
      <c r="H21" s="3245"/>
      <c r="I21" s="3245"/>
      <c r="J21" s="3245"/>
      <c r="K21" s="3245"/>
      <c r="L21" s="3245"/>
      <c r="M21" s="3245"/>
      <c r="N21" s="25">
        <v>0.5</v>
      </c>
      <c r="O21" s="1176"/>
      <c r="P21" s="3160"/>
      <c r="Q21" s="2871"/>
      <c r="R21" s="3078"/>
      <c r="S21" s="635"/>
    </row>
    <row r="22" spans="2:19" ht="75" customHeight="1">
      <c r="B22" s="982"/>
      <c r="C22" s="980">
        <v>11</v>
      </c>
      <c r="D22" s="980"/>
      <c r="E22" s="2318" t="s">
        <v>409</v>
      </c>
      <c r="F22" s="3245"/>
      <c r="G22" s="3245"/>
      <c r="H22" s="3245"/>
      <c r="I22" s="3245"/>
      <c r="J22" s="3245"/>
      <c r="K22" s="3245"/>
      <c r="L22" s="3245"/>
      <c r="M22" s="3245"/>
      <c r="N22" s="611">
        <v>0.5</v>
      </c>
      <c r="O22" s="1178"/>
      <c r="P22" s="3160"/>
      <c r="Q22" s="2871"/>
      <c r="R22" s="3078"/>
      <c r="S22" s="635"/>
    </row>
    <row r="23" spans="2:19" ht="60" customHeight="1">
      <c r="B23" s="982"/>
      <c r="C23" s="980">
        <v>12</v>
      </c>
      <c r="D23" s="980"/>
      <c r="E23" s="2318" t="s">
        <v>410</v>
      </c>
      <c r="F23" s="3245"/>
      <c r="G23" s="3245"/>
      <c r="H23" s="3245"/>
      <c r="I23" s="3245"/>
      <c r="J23" s="3245"/>
      <c r="K23" s="3245"/>
      <c r="L23" s="3245"/>
      <c r="M23" s="3245"/>
      <c r="N23" s="391">
        <v>0.5</v>
      </c>
      <c r="O23" s="1179"/>
      <c r="P23" s="3160"/>
      <c r="Q23" s="2871"/>
      <c r="R23" s="3078"/>
      <c r="S23" s="635"/>
    </row>
    <row r="24" spans="2:19" ht="45" customHeight="1">
      <c r="B24" s="982"/>
      <c r="C24" s="980">
        <v>13</v>
      </c>
      <c r="D24" s="980"/>
      <c r="E24" s="2318" t="s">
        <v>411</v>
      </c>
      <c r="F24" s="3245"/>
      <c r="G24" s="3245"/>
      <c r="H24" s="3245"/>
      <c r="I24" s="3245"/>
      <c r="J24" s="3245"/>
      <c r="K24" s="3245"/>
      <c r="L24" s="3245"/>
      <c r="M24" s="3245"/>
      <c r="N24" s="391">
        <v>0.5</v>
      </c>
      <c r="O24" s="1179"/>
      <c r="P24" s="3160"/>
      <c r="Q24" s="2871"/>
      <c r="R24" s="3078"/>
      <c r="S24" s="635"/>
    </row>
    <row r="25" spans="2:19" ht="30" customHeight="1">
      <c r="B25" s="180"/>
      <c r="C25" s="988">
        <v>14</v>
      </c>
      <c r="D25" s="988"/>
      <c r="E25" s="2392" t="s">
        <v>413</v>
      </c>
      <c r="F25" s="2392"/>
      <c r="G25" s="2392"/>
      <c r="H25" s="2392"/>
      <c r="I25" s="2392"/>
      <c r="J25" s="2392"/>
      <c r="K25" s="2392"/>
      <c r="L25" s="2392"/>
      <c r="M25" s="2392"/>
      <c r="N25" s="608">
        <v>0.5</v>
      </c>
      <c r="O25" s="1180"/>
      <c r="P25" s="3160"/>
      <c r="Q25" s="2871"/>
      <c r="R25" s="3078"/>
      <c r="S25" s="635"/>
    </row>
    <row r="26" spans="2:19" ht="15" customHeight="1">
      <c r="B26" s="180"/>
      <c r="C26" s="988">
        <v>15</v>
      </c>
      <c r="D26" s="988"/>
      <c r="E26" s="3042" t="s">
        <v>414</v>
      </c>
      <c r="F26" s="3241"/>
      <c r="G26" s="3241"/>
      <c r="H26" s="3241"/>
      <c r="I26" s="3241"/>
      <c r="J26" s="3241"/>
      <c r="K26" s="3241"/>
      <c r="L26" s="3241"/>
      <c r="M26" s="3241"/>
      <c r="N26" s="607">
        <v>0.5</v>
      </c>
      <c r="O26" s="1179"/>
      <c r="P26" s="3160"/>
      <c r="Q26" s="2871"/>
      <c r="R26" s="3078"/>
      <c r="S26" s="635"/>
    </row>
    <row r="27" spans="2:19" ht="30" customHeight="1">
      <c r="B27" s="180"/>
      <c r="C27" s="988">
        <v>16</v>
      </c>
      <c r="D27" s="988"/>
      <c r="E27" s="2392" t="s">
        <v>415</v>
      </c>
      <c r="F27" s="2392"/>
      <c r="G27" s="2392"/>
      <c r="H27" s="2392"/>
      <c r="I27" s="2392"/>
      <c r="J27" s="2392"/>
      <c r="K27" s="2392"/>
      <c r="L27" s="2392"/>
      <c r="M27" s="2392"/>
      <c r="N27" s="608">
        <v>0.5</v>
      </c>
      <c r="O27" s="1180"/>
      <c r="P27" s="3160"/>
      <c r="Q27" s="2871"/>
      <c r="R27" s="3078"/>
      <c r="S27" s="635"/>
    </row>
    <row r="28" spans="2:19" ht="30" customHeight="1">
      <c r="B28" s="180"/>
      <c r="C28" s="988">
        <v>17</v>
      </c>
      <c r="D28" s="988"/>
      <c r="E28" s="3042" t="s">
        <v>416</v>
      </c>
      <c r="F28" s="3241"/>
      <c r="G28" s="3241"/>
      <c r="H28" s="3241"/>
      <c r="I28" s="3241"/>
      <c r="J28" s="3241"/>
      <c r="K28" s="3241"/>
      <c r="L28" s="3241"/>
      <c r="M28" s="3241"/>
      <c r="N28" s="609">
        <v>0.5</v>
      </c>
      <c r="O28" s="1179"/>
      <c r="P28" s="3160"/>
      <c r="Q28" s="2871"/>
      <c r="R28" s="3078"/>
      <c r="S28" s="635"/>
    </row>
    <row r="29" spans="2:19">
      <c r="B29" s="180"/>
      <c r="C29" s="988">
        <v>18</v>
      </c>
      <c r="D29" s="988"/>
      <c r="E29" s="3042" t="s">
        <v>417</v>
      </c>
      <c r="F29" s="3241"/>
      <c r="G29" s="3241"/>
      <c r="H29" s="3241"/>
      <c r="I29" s="3241"/>
      <c r="J29" s="3241"/>
      <c r="K29" s="3241"/>
      <c r="L29" s="3241"/>
      <c r="M29" s="3241"/>
      <c r="N29" s="610">
        <v>0.5</v>
      </c>
      <c r="O29" s="1179"/>
      <c r="P29" s="3160"/>
      <c r="Q29" s="2871"/>
      <c r="R29" s="3078"/>
      <c r="S29" s="635"/>
    </row>
    <row r="30" spans="2:19" ht="30" customHeight="1">
      <c r="B30" s="180"/>
      <c r="C30" s="988">
        <v>19</v>
      </c>
      <c r="D30" s="988"/>
      <c r="E30" s="3042" t="s">
        <v>418</v>
      </c>
      <c r="F30" s="3241"/>
      <c r="G30" s="3241"/>
      <c r="H30" s="3241"/>
      <c r="I30" s="3241"/>
      <c r="J30" s="3241"/>
      <c r="K30" s="3241"/>
      <c r="L30" s="3241"/>
      <c r="M30" s="3241"/>
      <c r="N30" s="610">
        <v>0.5</v>
      </c>
      <c r="O30" s="1179"/>
      <c r="P30" s="3160"/>
      <c r="Q30" s="2871"/>
      <c r="R30" s="3078"/>
      <c r="S30" s="635"/>
    </row>
    <row r="31" spans="2:19" ht="30" customHeight="1">
      <c r="B31" s="180"/>
      <c r="C31" s="988">
        <v>20</v>
      </c>
      <c r="D31" s="988"/>
      <c r="E31" s="3042" t="s">
        <v>419</v>
      </c>
      <c r="F31" s="3241"/>
      <c r="G31" s="3241"/>
      <c r="H31" s="3241"/>
      <c r="I31" s="3241"/>
      <c r="J31" s="3241"/>
      <c r="K31" s="3241"/>
      <c r="L31" s="3241"/>
      <c r="M31" s="3241"/>
      <c r="N31" s="987">
        <v>0.5</v>
      </c>
      <c r="O31" s="1181"/>
      <c r="P31" s="3273"/>
      <c r="Q31" s="2909"/>
      <c r="R31" s="3068"/>
      <c r="S31" s="635"/>
    </row>
    <row r="32" spans="2:19" ht="30" customHeight="1">
      <c r="B32" s="180"/>
      <c r="C32" s="614">
        <v>21</v>
      </c>
      <c r="D32" s="614"/>
      <c r="E32" s="3131" t="s">
        <v>992</v>
      </c>
      <c r="F32" s="3131"/>
      <c r="G32" s="3131"/>
      <c r="H32" s="3131"/>
      <c r="I32" s="3131"/>
      <c r="J32" s="3131"/>
      <c r="K32" s="3131"/>
      <c r="L32" s="3131"/>
      <c r="M32" s="3131"/>
      <c r="N32" s="987">
        <v>0.5</v>
      </c>
      <c r="O32" s="1181"/>
      <c r="P32" s="2912"/>
      <c r="Q32" s="2912"/>
      <c r="R32" s="2912"/>
      <c r="S32" s="1010"/>
    </row>
    <row r="33" spans="1:19" ht="30" customHeight="1">
      <c r="B33" s="180"/>
      <c r="C33" s="1906">
        <v>22</v>
      </c>
      <c r="D33" s="1906"/>
      <c r="E33" s="3274" t="s">
        <v>2250</v>
      </c>
      <c r="F33" s="3275"/>
      <c r="G33" s="3275"/>
      <c r="H33" s="3275"/>
      <c r="I33" s="3275"/>
      <c r="J33" s="3275"/>
      <c r="K33" s="3275"/>
      <c r="L33" s="3275"/>
      <c r="M33" s="3275"/>
      <c r="N33" s="1901">
        <v>0.5</v>
      </c>
      <c r="O33" s="1913"/>
      <c r="P33" s="1902"/>
      <c r="Q33" s="1902"/>
      <c r="R33" s="1902"/>
      <c r="S33" s="1908"/>
    </row>
    <row r="34" spans="1:19">
      <c r="B34" s="2559" t="s">
        <v>2500</v>
      </c>
      <c r="C34" s="2559"/>
      <c r="D34" s="2559"/>
      <c r="E34" s="2559"/>
      <c r="F34" s="2559"/>
      <c r="G34" s="2559"/>
      <c r="H34" s="2559"/>
      <c r="I34" s="2559"/>
      <c r="J34" s="2559"/>
      <c r="K34" s="2559"/>
      <c r="L34" s="2559"/>
      <c r="M34" s="2559"/>
      <c r="N34" s="2559"/>
      <c r="O34" s="2559"/>
      <c r="P34" s="2559"/>
      <c r="Q34" s="2559"/>
      <c r="R34" s="2559"/>
      <c r="S34" s="2559"/>
    </row>
    <row r="35" spans="1:19" ht="150" customHeight="1">
      <c r="B35" s="3276" t="s">
        <v>2501</v>
      </c>
      <c r="C35" s="3277"/>
      <c r="D35" s="981"/>
      <c r="E35" s="2302" t="s">
        <v>2251</v>
      </c>
      <c r="F35" s="2651"/>
      <c r="G35" s="2651"/>
      <c r="H35" s="2651"/>
      <c r="I35" s="2651"/>
      <c r="J35" s="2651"/>
      <c r="K35" s="2651"/>
      <c r="L35" s="2651"/>
      <c r="M35" s="2651"/>
      <c r="N35" s="975">
        <v>8</v>
      </c>
      <c r="O35" s="984"/>
      <c r="P35" s="2869"/>
      <c r="Q35" s="2721"/>
      <c r="R35" s="2721"/>
      <c r="S35" s="978" t="s">
        <v>18</v>
      </c>
    </row>
    <row r="36" spans="1:19">
      <c r="B36" s="2559" t="s">
        <v>2502</v>
      </c>
      <c r="C36" s="2559"/>
      <c r="D36" s="2559"/>
      <c r="E36" s="2559"/>
      <c r="F36" s="2559"/>
      <c r="G36" s="2559"/>
      <c r="H36" s="2559"/>
      <c r="I36" s="2559"/>
      <c r="J36" s="2559"/>
      <c r="K36" s="2559"/>
      <c r="L36" s="2559"/>
      <c r="M36" s="2559"/>
      <c r="N36" s="2559"/>
      <c r="O36" s="2559"/>
      <c r="P36" s="2559"/>
      <c r="Q36" s="2559"/>
      <c r="R36" s="2559"/>
      <c r="S36" s="2559"/>
    </row>
    <row r="37" spans="1:19" ht="90" customHeight="1" thickBot="1">
      <c r="B37" s="990" t="s">
        <v>2503</v>
      </c>
      <c r="C37" s="620"/>
      <c r="D37" s="620"/>
      <c r="E37" s="2302" t="s">
        <v>993</v>
      </c>
      <c r="F37" s="2302"/>
      <c r="G37" s="2302"/>
      <c r="H37" s="2302"/>
      <c r="I37" s="2302"/>
      <c r="J37" s="2302"/>
      <c r="K37" s="2302"/>
      <c r="L37" s="2302"/>
      <c r="M37" s="2302"/>
      <c r="N37" s="979"/>
      <c r="O37" s="979"/>
      <c r="P37" s="3237"/>
      <c r="Q37" s="3237"/>
      <c r="R37" s="3237"/>
      <c r="S37" s="83"/>
    </row>
    <row r="38" spans="1:19" ht="50" customHeight="1" thickTop="1">
      <c r="B38" s="2106" t="s">
        <v>2504</v>
      </c>
      <c r="C38" s="2054"/>
      <c r="D38" s="3286"/>
      <c r="E38" s="3254" t="s">
        <v>420</v>
      </c>
      <c r="F38" s="3255"/>
      <c r="G38" s="3255"/>
      <c r="H38" s="3255"/>
      <c r="I38" s="3255"/>
      <c r="J38" s="3255"/>
      <c r="K38" s="3255"/>
      <c r="L38" s="3255"/>
      <c r="M38" s="3255"/>
      <c r="N38" s="3238" t="s">
        <v>421</v>
      </c>
      <c r="O38" s="3263">
        <f>ROUNDDOWN(((COUNTIF(claim1003.1_man,"Met")/2)),0)</f>
        <v>0</v>
      </c>
      <c r="P38" s="3248"/>
      <c r="Q38" s="3249"/>
      <c r="R38" s="3250"/>
      <c r="S38" s="3264" t="s">
        <v>18</v>
      </c>
    </row>
    <row r="39" spans="1:19" s="163" customFormat="1" ht="45" customHeight="1">
      <c r="A39" s="542"/>
      <c r="B39" s="2105"/>
      <c r="C39" s="457"/>
      <c r="D39" s="2390"/>
      <c r="E39" s="2239" t="s">
        <v>996</v>
      </c>
      <c r="F39" s="2239"/>
      <c r="G39" s="2239"/>
      <c r="H39" s="2239"/>
      <c r="I39" s="2239"/>
      <c r="J39" s="2239"/>
      <c r="K39" s="2239"/>
      <c r="L39" s="2239"/>
      <c r="M39" s="2239"/>
      <c r="N39" s="3239"/>
      <c r="O39" s="3243"/>
      <c r="P39" s="3251"/>
      <c r="Q39" s="3252"/>
      <c r="R39" s="3253"/>
      <c r="S39" s="2258"/>
    </row>
    <row r="40" spans="1:19" s="163" customFormat="1" ht="30" customHeight="1">
      <c r="A40" s="542"/>
      <c r="B40" s="2105"/>
      <c r="C40" s="457"/>
      <c r="D40" s="2390"/>
      <c r="E40" s="3240" t="str">
        <f>IF(startSingleorMulti="Single-Family",CONCATENATE("This project is ",startSingleorMulti," &amp; is NOT eligible for points in 1003.1."),(IF(startSingleorMulti="Multi-Unit",CONCATENATE("This project is ",startSingleorMulti," &amp; is eligible for points in 1003.1."),"To claim points in Chapter 10, you must select Single-Family or Multi-Unit on the Start Here! worksheet.")))</f>
        <v>To claim points in Chapter 10, you must select Single-Family or Multi-Unit on the Start Here! worksheet.</v>
      </c>
      <c r="F40" s="3240"/>
      <c r="G40" s="3240"/>
      <c r="H40" s="3240"/>
      <c r="I40" s="3240"/>
      <c r="J40" s="3240"/>
      <c r="K40" s="3240"/>
      <c r="L40" s="3240"/>
      <c r="M40" s="3240"/>
      <c r="N40" s="3239"/>
      <c r="O40" s="3244"/>
      <c r="P40" s="3251"/>
      <c r="Q40" s="3252"/>
      <c r="R40" s="3253"/>
      <c r="S40" s="2258"/>
    </row>
    <row r="41" spans="1:19" ht="45" customHeight="1">
      <c r="B41" s="180"/>
      <c r="C41" s="989">
        <v>1</v>
      </c>
      <c r="D41" s="989"/>
      <c r="E41" s="3266" t="s">
        <v>422</v>
      </c>
      <c r="F41" s="3266"/>
      <c r="G41" s="3266"/>
      <c r="H41" s="3266"/>
      <c r="I41" s="3266"/>
      <c r="J41" s="3266"/>
      <c r="K41" s="3266"/>
      <c r="L41" s="3266"/>
      <c r="M41" s="3266"/>
      <c r="N41" s="621" t="s">
        <v>423</v>
      </c>
      <c r="O41" s="619"/>
      <c r="P41" s="3160"/>
      <c r="Q41" s="2871"/>
      <c r="R41" s="3078"/>
      <c r="S41" s="636"/>
    </row>
    <row r="42" spans="1:19" ht="45" customHeight="1">
      <c r="B42" s="180"/>
      <c r="C42" s="622">
        <v>2</v>
      </c>
      <c r="D42" s="622"/>
      <c r="E42" s="3086" t="s">
        <v>424</v>
      </c>
      <c r="F42" s="3267"/>
      <c r="G42" s="3267"/>
      <c r="H42" s="3267"/>
      <c r="I42" s="3267"/>
      <c r="J42" s="3267"/>
      <c r="K42" s="3267"/>
      <c r="L42" s="3267"/>
      <c r="M42" s="3267"/>
      <c r="N42" s="155" t="s">
        <v>423</v>
      </c>
      <c r="O42" s="617"/>
      <c r="P42" s="3160"/>
      <c r="Q42" s="2871"/>
      <c r="R42" s="3078"/>
      <c r="S42" s="637"/>
    </row>
    <row r="43" spans="1:19" ht="45" customHeight="1">
      <c r="B43" s="180"/>
      <c r="C43" s="622">
        <v>3</v>
      </c>
      <c r="D43" s="622"/>
      <c r="E43" s="3086" t="s">
        <v>425</v>
      </c>
      <c r="F43" s="3086"/>
      <c r="G43" s="3086"/>
      <c r="H43" s="3086"/>
      <c r="I43" s="3086"/>
      <c r="J43" s="3086"/>
      <c r="K43" s="3086"/>
      <c r="L43" s="3086"/>
      <c r="M43" s="3086"/>
      <c r="N43" s="155" t="s">
        <v>423</v>
      </c>
      <c r="O43" s="617"/>
      <c r="P43" s="3160"/>
      <c r="Q43" s="2871"/>
      <c r="R43" s="3078"/>
      <c r="S43" s="637"/>
    </row>
    <row r="44" spans="1:19" ht="30" customHeight="1">
      <c r="B44" s="180"/>
      <c r="C44" s="622">
        <v>4</v>
      </c>
      <c r="D44" s="622"/>
      <c r="E44" s="3086" t="s">
        <v>426</v>
      </c>
      <c r="F44" s="3086"/>
      <c r="G44" s="3086"/>
      <c r="H44" s="3086"/>
      <c r="I44" s="3086"/>
      <c r="J44" s="3086"/>
      <c r="K44" s="3086"/>
      <c r="L44" s="3086"/>
      <c r="M44" s="3086"/>
      <c r="N44" s="986">
        <v>0.5</v>
      </c>
      <c r="O44" s="1182"/>
      <c r="P44" s="3160"/>
      <c r="Q44" s="2871"/>
      <c r="R44" s="3078"/>
      <c r="S44" s="637"/>
    </row>
    <row r="45" spans="1:19" ht="30" customHeight="1">
      <c r="B45" s="180"/>
      <c r="C45" s="622">
        <v>5</v>
      </c>
      <c r="D45" s="622"/>
      <c r="E45" s="3265" t="s">
        <v>427</v>
      </c>
      <c r="F45" s="3265"/>
      <c r="G45" s="3265"/>
      <c r="H45" s="3265"/>
      <c r="I45" s="3265"/>
      <c r="J45" s="3265"/>
      <c r="K45" s="3265"/>
      <c r="L45" s="3265"/>
      <c r="M45" s="3265"/>
      <c r="N45" s="624">
        <v>0.5</v>
      </c>
      <c r="O45" s="1182"/>
      <c r="P45" s="3160"/>
      <c r="Q45" s="2871"/>
      <c r="R45" s="3078"/>
      <c r="S45" s="637"/>
    </row>
    <row r="46" spans="1:19" ht="30" customHeight="1">
      <c r="B46" s="180"/>
      <c r="C46" s="622">
        <v>6</v>
      </c>
      <c r="D46" s="622"/>
      <c r="E46" s="3086" t="s">
        <v>408</v>
      </c>
      <c r="F46" s="3086"/>
      <c r="G46" s="3086"/>
      <c r="H46" s="3086"/>
      <c r="I46" s="3086"/>
      <c r="J46" s="3086"/>
      <c r="K46" s="3086"/>
      <c r="L46" s="3086"/>
      <c r="M46" s="3086"/>
      <c r="N46" s="376">
        <v>0.5</v>
      </c>
      <c r="O46" s="1182"/>
      <c r="P46" s="3160"/>
      <c r="Q46" s="2871"/>
      <c r="R46" s="3078"/>
      <c r="S46" s="637"/>
    </row>
    <row r="47" spans="1:19" ht="30" customHeight="1">
      <c r="B47" s="180"/>
      <c r="C47" s="622">
        <v>7</v>
      </c>
      <c r="D47" s="622"/>
      <c r="E47" s="3265" t="s">
        <v>428</v>
      </c>
      <c r="F47" s="3265"/>
      <c r="G47" s="3265"/>
      <c r="H47" s="3265"/>
      <c r="I47" s="3265"/>
      <c r="J47" s="3265"/>
      <c r="K47" s="3265"/>
      <c r="L47" s="3265"/>
      <c r="M47" s="3265"/>
      <c r="N47" s="624">
        <v>0.5</v>
      </c>
      <c r="O47" s="1182"/>
      <c r="P47" s="3160"/>
      <c r="Q47" s="2871"/>
      <c r="R47" s="3078"/>
      <c r="S47" s="637"/>
    </row>
    <row r="48" spans="1:19" ht="30" customHeight="1" thickBot="1">
      <c r="B48" s="180"/>
      <c r="C48" s="625">
        <v>8</v>
      </c>
      <c r="D48" s="625"/>
      <c r="E48" s="3138" t="s">
        <v>429</v>
      </c>
      <c r="F48" s="3268"/>
      <c r="G48" s="3268"/>
      <c r="H48" s="3268"/>
      <c r="I48" s="3268"/>
      <c r="J48" s="3268"/>
      <c r="K48" s="3268"/>
      <c r="L48" s="3268"/>
      <c r="M48" s="3268"/>
      <c r="N48" s="626">
        <v>0.5</v>
      </c>
      <c r="O48" s="1183"/>
      <c r="P48" s="3246"/>
      <c r="Q48" s="2721"/>
      <c r="R48" s="3069"/>
      <c r="S48" s="638"/>
    </row>
    <row r="49" spans="1:19" ht="60" customHeight="1" thickTop="1">
      <c r="B49" s="2103" t="s">
        <v>2505</v>
      </c>
      <c r="C49" s="2104"/>
      <c r="D49" s="2389"/>
      <c r="E49" s="2819" t="s">
        <v>999</v>
      </c>
      <c r="F49" s="2788"/>
      <c r="G49" s="2788"/>
      <c r="H49" s="2788"/>
      <c r="I49" s="2788"/>
      <c r="J49" s="2788"/>
      <c r="K49" s="2788"/>
      <c r="L49" s="2788"/>
      <c r="M49" s="2788"/>
      <c r="N49" s="3247" t="s">
        <v>421</v>
      </c>
      <c r="O49" s="3242">
        <f>ROUNDDOWN(((COUNTIF(claim1003.2_man,"Met")/2)),0)</f>
        <v>0</v>
      </c>
      <c r="P49" s="3248"/>
      <c r="Q49" s="3249"/>
      <c r="R49" s="3250"/>
      <c r="S49" s="2444" t="s">
        <v>18</v>
      </c>
    </row>
    <row r="50" spans="1:19" s="163" customFormat="1" ht="45" customHeight="1">
      <c r="A50" s="542"/>
      <c r="B50" s="2105"/>
      <c r="C50" s="457"/>
      <c r="D50" s="2390"/>
      <c r="E50" s="2239" t="s">
        <v>997</v>
      </c>
      <c r="F50" s="2239"/>
      <c r="G50" s="2239"/>
      <c r="H50" s="2239"/>
      <c r="I50" s="2239"/>
      <c r="J50" s="2239"/>
      <c r="K50" s="2239"/>
      <c r="L50" s="2239"/>
      <c r="M50" s="2239"/>
      <c r="N50" s="3239"/>
      <c r="O50" s="3243"/>
      <c r="P50" s="3251"/>
      <c r="Q50" s="3252"/>
      <c r="R50" s="3253"/>
      <c r="S50" s="2258"/>
    </row>
    <row r="51" spans="1:19" s="163" customFormat="1" ht="30" customHeight="1">
      <c r="A51" s="542"/>
      <c r="B51" s="2105"/>
      <c r="C51" s="457"/>
      <c r="D51" s="2390"/>
      <c r="E51" s="3240" t="str">
        <f>IF(startSingleorMulti="Single-Family",CONCATENATE("This project is ",startSingleorMulti," &amp; is NOT eligible for points in 1003.2."),(IF(startSingleorMulti="Multi-Unit",CONCATENATE("This project is ",startSingleorMulti," &amp; is eligible for points in 1003.2."),"To claim points in Chapter 10, you must select Single-Family or Multi-Unit on the Start Here! worksheet.")))</f>
        <v>To claim points in Chapter 10, you must select Single-Family or Multi-Unit on the Start Here! worksheet.</v>
      </c>
      <c r="F51" s="3240"/>
      <c r="G51" s="3240"/>
      <c r="H51" s="3240"/>
      <c r="I51" s="3240"/>
      <c r="J51" s="3240"/>
      <c r="K51" s="3240"/>
      <c r="L51" s="3240"/>
      <c r="M51" s="3240"/>
      <c r="N51" s="3239"/>
      <c r="O51" s="3244"/>
      <c r="P51" s="3251"/>
      <c r="Q51" s="3252"/>
      <c r="R51" s="3253"/>
      <c r="S51" s="2258"/>
    </row>
    <row r="52" spans="1:19" ht="30">
      <c r="B52" s="982"/>
      <c r="C52" s="983">
        <v>1</v>
      </c>
      <c r="D52" s="983"/>
      <c r="E52" s="2302" t="s">
        <v>430</v>
      </c>
      <c r="F52" s="2651"/>
      <c r="G52" s="2651"/>
      <c r="H52" s="2651"/>
      <c r="I52" s="2651"/>
      <c r="J52" s="2651"/>
      <c r="K52" s="2651"/>
      <c r="L52" s="2651"/>
      <c r="M52" s="2651"/>
      <c r="N52" s="985" t="s">
        <v>423</v>
      </c>
      <c r="O52" s="612"/>
      <c r="P52" s="3160"/>
      <c r="Q52" s="2871"/>
      <c r="R52" s="3078"/>
      <c r="S52" s="636"/>
    </row>
    <row r="53" spans="1:19" ht="30">
      <c r="B53" s="982"/>
      <c r="C53" s="980">
        <v>2</v>
      </c>
      <c r="D53" s="980"/>
      <c r="E53" s="2318" t="s">
        <v>431</v>
      </c>
      <c r="F53" s="3245"/>
      <c r="G53" s="3245"/>
      <c r="H53" s="3245"/>
      <c r="I53" s="3245"/>
      <c r="J53" s="3245"/>
      <c r="K53" s="3245"/>
      <c r="L53" s="3245"/>
      <c r="M53" s="3245"/>
      <c r="N53" s="190" t="s">
        <v>423</v>
      </c>
      <c r="O53" s="613"/>
      <c r="P53" s="3160"/>
      <c r="Q53" s="2871"/>
      <c r="R53" s="3078"/>
      <c r="S53" s="637"/>
    </row>
    <row r="54" spans="1:19">
      <c r="B54" s="982"/>
      <c r="C54" s="980">
        <v>3</v>
      </c>
      <c r="D54" s="980"/>
      <c r="E54" s="2318" t="s">
        <v>416</v>
      </c>
      <c r="F54" s="3245"/>
      <c r="G54" s="3245"/>
      <c r="H54" s="3245"/>
      <c r="I54" s="3245"/>
      <c r="J54" s="3245"/>
      <c r="K54" s="3245"/>
      <c r="L54" s="3245"/>
      <c r="M54" s="3245"/>
      <c r="N54" s="634">
        <v>0.5</v>
      </c>
      <c r="O54" s="613"/>
      <c r="P54" s="3160"/>
      <c r="Q54" s="2871"/>
      <c r="R54" s="3078"/>
      <c r="S54" s="637"/>
    </row>
    <row r="55" spans="1:19" ht="45" customHeight="1">
      <c r="B55" s="982"/>
      <c r="C55" s="980">
        <v>4</v>
      </c>
      <c r="D55" s="980"/>
      <c r="E55" s="2318" t="s">
        <v>432</v>
      </c>
      <c r="F55" s="3245"/>
      <c r="G55" s="3245"/>
      <c r="H55" s="3245"/>
      <c r="I55" s="3245"/>
      <c r="J55" s="3245"/>
      <c r="K55" s="3245"/>
      <c r="L55" s="3245"/>
      <c r="M55" s="3245"/>
      <c r="N55" s="25">
        <v>0.5</v>
      </c>
      <c r="O55" s="613"/>
      <c r="P55" s="3160"/>
      <c r="Q55" s="2871"/>
      <c r="R55" s="3078"/>
      <c r="S55" s="637"/>
    </row>
    <row r="56" spans="1:19" ht="45" customHeight="1">
      <c r="B56" s="982"/>
      <c r="C56" s="980">
        <v>5</v>
      </c>
      <c r="D56" s="980"/>
      <c r="E56" s="2318" t="s">
        <v>433</v>
      </c>
      <c r="F56" s="3245"/>
      <c r="G56" s="3245"/>
      <c r="H56" s="3245"/>
      <c r="I56" s="3245"/>
      <c r="J56" s="3245"/>
      <c r="K56" s="3245"/>
      <c r="L56" s="3245"/>
      <c r="M56" s="3245"/>
      <c r="N56" s="25">
        <v>0.5</v>
      </c>
      <c r="O56" s="613"/>
      <c r="P56" s="3160"/>
      <c r="Q56" s="2871"/>
      <c r="R56" s="3078"/>
      <c r="S56" s="637"/>
    </row>
    <row r="57" spans="1:19">
      <c r="B57" s="982"/>
      <c r="C57" s="980">
        <v>6</v>
      </c>
      <c r="D57" s="980"/>
      <c r="E57" s="2318" t="s">
        <v>434</v>
      </c>
      <c r="F57" s="3245"/>
      <c r="G57" s="3245"/>
      <c r="H57" s="3245"/>
      <c r="I57" s="3245"/>
      <c r="J57" s="3245"/>
      <c r="K57" s="3245"/>
      <c r="L57" s="3245"/>
      <c r="M57" s="3245"/>
      <c r="N57" s="25">
        <v>0.5</v>
      </c>
      <c r="O57" s="613"/>
      <c r="P57" s="3160"/>
      <c r="Q57" s="2871"/>
      <c r="R57" s="3078"/>
      <c r="S57" s="637"/>
    </row>
    <row r="58" spans="1:19" ht="30" customHeight="1">
      <c r="B58" s="982"/>
      <c r="C58" s="980">
        <v>7</v>
      </c>
      <c r="D58" s="980"/>
      <c r="E58" s="2318" t="s">
        <v>435</v>
      </c>
      <c r="F58" s="3245"/>
      <c r="G58" s="3245"/>
      <c r="H58" s="3245"/>
      <c r="I58" s="3245"/>
      <c r="J58" s="3245"/>
      <c r="K58" s="3245"/>
      <c r="L58" s="3245"/>
      <c r="M58" s="3245"/>
      <c r="N58" s="25">
        <v>0.5</v>
      </c>
      <c r="O58" s="613"/>
      <c r="P58" s="3160"/>
      <c r="Q58" s="2871"/>
      <c r="R58" s="3078"/>
      <c r="S58" s="637"/>
    </row>
    <row r="59" spans="1:19" ht="30" customHeight="1">
      <c r="B59" s="982"/>
      <c r="C59" s="980">
        <v>8</v>
      </c>
      <c r="D59" s="980"/>
      <c r="E59" s="2318" t="s">
        <v>436</v>
      </c>
      <c r="F59" s="3245"/>
      <c r="G59" s="3245"/>
      <c r="H59" s="3245"/>
      <c r="I59" s="3245"/>
      <c r="J59" s="3245"/>
      <c r="K59" s="3245"/>
      <c r="L59" s="3245"/>
      <c r="M59" s="3245"/>
      <c r="N59" s="25">
        <v>0.5</v>
      </c>
      <c r="O59" s="613"/>
      <c r="P59" s="3160"/>
      <c r="Q59" s="2871"/>
      <c r="R59" s="3078"/>
      <c r="S59" s="637"/>
    </row>
    <row r="60" spans="1:19">
      <c r="B60" s="982"/>
      <c r="C60" s="980">
        <v>9</v>
      </c>
      <c r="D60" s="980"/>
      <c r="E60" s="2318" t="s">
        <v>437</v>
      </c>
      <c r="F60" s="3245"/>
      <c r="G60" s="3245"/>
      <c r="H60" s="3245"/>
      <c r="I60" s="3245"/>
      <c r="J60" s="3245"/>
      <c r="K60" s="3245"/>
      <c r="L60" s="3245"/>
      <c r="M60" s="3245"/>
      <c r="N60" s="25">
        <v>0.5</v>
      </c>
      <c r="O60" s="613"/>
      <c r="P60" s="3160"/>
      <c r="Q60" s="2871"/>
      <c r="R60" s="3078"/>
      <c r="S60" s="637"/>
    </row>
    <row r="61" spans="1:19" ht="45" customHeight="1" thickBot="1">
      <c r="B61" s="982"/>
      <c r="C61" s="980">
        <v>10</v>
      </c>
      <c r="D61" s="980"/>
      <c r="E61" s="2318" t="s">
        <v>438</v>
      </c>
      <c r="F61" s="3245"/>
      <c r="G61" s="3245"/>
      <c r="H61" s="3245"/>
      <c r="I61" s="3245"/>
      <c r="J61" s="3245"/>
      <c r="K61" s="3245"/>
      <c r="L61" s="3245"/>
      <c r="M61" s="3245"/>
      <c r="N61" s="628">
        <v>0.5</v>
      </c>
      <c r="O61" s="627"/>
      <c r="P61" s="3246"/>
      <c r="Q61" s="2721"/>
      <c r="R61" s="3069"/>
      <c r="S61" s="638"/>
    </row>
    <row r="62" spans="1:19" ht="60" customHeight="1" thickTop="1">
      <c r="B62" s="2103" t="s">
        <v>2506</v>
      </c>
      <c r="C62" s="2104"/>
      <c r="D62" s="2389"/>
      <c r="E62" s="2819" t="s">
        <v>1000</v>
      </c>
      <c r="F62" s="2788"/>
      <c r="G62" s="2788"/>
      <c r="H62" s="2788"/>
      <c r="I62" s="2788"/>
      <c r="J62" s="2788"/>
      <c r="K62" s="2788"/>
      <c r="L62" s="2788"/>
      <c r="M62" s="2788"/>
      <c r="N62" s="3247" t="s">
        <v>421</v>
      </c>
      <c r="O62" s="3242">
        <f>ROUNDDOWN(((COUNTIF(claim1003.3_man,"Met")/2)),0)</f>
        <v>0</v>
      </c>
      <c r="P62" s="3248"/>
      <c r="Q62" s="3249"/>
      <c r="R62" s="3250"/>
      <c r="S62" s="2444" t="s">
        <v>18</v>
      </c>
    </row>
    <row r="63" spans="1:19" s="163" customFormat="1" ht="45" customHeight="1">
      <c r="A63" s="542"/>
      <c r="B63" s="2105"/>
      <c r="C63" s="457"/>
      <c r="D63" s="2390"/>
      <c r="E63" s="2239" t="s">
        <v>995</v>
      </c>
      <c r="F63" s="2239"/>
      <c r="G63" s="2239"/>
      <c r="H63" s="2239"/>
      <c r="I63" s="2239"/>
      <c r="J63" s="2239"/>
      <c r="K63" s="2239"/>
      <c r="L63" s="2239"/>
      <c r="M63" s="2239"/>
      <c r="N63" s="3239"/>
      <c r="O63" s="3243"/>
      <c r="P63" s="3251"/>
      <c r="Q63" s="3252"/>
      <c r="R63" s="3253"/>
      <c r="S63" s="2258"/>
    </row>
    <row r="64" spans="1:19" s="163" customFormat="1" ht="30" customHeight="1">
      <c r="A64" s="542"/>
      <c r="B64" s="2105"/>
      <c r="C64" s="457"/>
      <c r="D64" s="2390"/>
      <c r="E64" s="3240" t="str">
        <f>IF(startSingleorMulti="Single-Family",CONCATENATE("This project is ",startSingleorMulti," &amp; is NOT eligible for points in 1003.3."),(IF(startSingleorMulti="Multi-Unit",CONCATENATE("This project is ",startSingleorMulti," &amp; is eligible for points in 1003.3."),"To claim points in Chapter 10, you must select Single-Family or Multi-Unit on the Start Here! worksheet.")))</f>
        <v>To claim points in Chapter 10, you must select Single-Family or Multi-Unit on the Start Here! worksheet.</v>
      </c>
      <c r="F64" s="3240"/>
      <c r="G64" s="3240"/>
      <c r="H64" s="3240"/>
      <c r="I64" s="3240"/>
      <c r="J64" s="3240"/>
      <c r="K64" s="3240"/>
      <c r="L64" s="3240"/>
      <c r="M64" s="3240"/>
      <c r="N64" s="3239"/>
      <c r="O64" s="3244"/>
      <c r="P64" s="3251"/>
      <c r="Q64" s="3252"/>
      <c r="R64" s="3253"/>
      <c r="S64" s="2258"/>
    </row>
    <row r="65" spans="2:19" ht="45" customHeight="1">
      <c r="B65" s="982"/>
      <c r="C65" s="983">
        <v>1</v>
      </c>
      <c r="D65" s="983"/>
      <c r="E65" s="2302" t="s">
        <v>439</v>
      </c>
      <c r="F65" s="2651"/>
      <c r="G65" s="2651"/>
      <c r="H65" s="2651"/>
      <c r="I65" s="2651"/>
      <c r="J65" s="2651"/>
      <c r="K65" s="2651"/>
      <c r="L65" s="2651"/>
      <c r="M65" s="2651"/>
      <c r="N65" s="629" t="s">
        <v>423</v>
      </c>
      <c r="O65" s="631"/>
      <c r="P65" s="3259"/>
      <c r="Q65" s="2547"/>
      <c r="R65" s="3183"/>
      <c r="S65" s="636"/>
    </row>
    <row r="66" spans="2:19" ht="60" customHeight="1">
      <c r="B66" s="982"/>
      <c r="C66" s="980">
        <v>2</v>
      </c>
      <c r="D66" s="980"/>
      <c r="E66" s="2318" t="s">
        <v>410</v>
      </c>
      <c r="F66" s="3245"/>
      <c r="G66" s="3245"/>
      <c r="H66" s="3245"/>
      <c r="I66" s="3245"/>
      <c r="J66" s="3245"/>
      <c r="K66" s="3245"/>
      <c r="L66" s="3245"/>
      <c r="M66" s="3245"/>
      <c r="N66" s="391">
        <v>0.5</v>
      </c>
      <c r="O66" s="632"/>
      <c r="P66" s="3259"/>
      <c r="Q66" s="2547"/>
      <c r="R66" s="3183"/>
      <c r="S66" s="637"/>
    </row>
    <row r="67" spans="2:19" ht="105" customHeight="1">
      <c r="B67" s="982"/>
      <c r="C67" s="980">
        <v>3</v>
      </c>
      <c r="D67" s="980"/>
      <c r="E67" s="2318" t="s">
        <v>440</v>
      </c>
      <c r="F67" s="3245"/>
      <c r="G67" s="3245"/>
      <c r="H67" s="3245"/>
      <c r="I67" s="3245"/>
      <c r="J67" s="3245"/>
      <c r="K67" s="3245"/>
      <c r="L67" s="3245"/>
      <c r="M67" s="3245"/>
      <c r="N67" s="391">
        <v>0.5</v>
      </c>
      <c r="O67" s="632"/>
      <c r="P67" s="3259"/>
      <c r="Q67" s="2547"/>
      <c r="R67" s="3183"/>
      <c r="S67" s="637"/>
    </row>
    <row r="68" spans="2:19" ht="30" customHeight="1">
      <c r="B68" s="982"/>
      <c r="C68" s="980">
        <v>4</v>
      </c>
      <c r="D68" s="980"/>
      <c r="E68" s="2318" t="s">
        <v>413</v>
      </c>
      <c r="F68" s="3245"/>
      <c r="G68" s="3245"/>
      <c r="H68" s="3245"/>
      <c r="I68" s="3245"/>
      <c r="J68" s="3245"/>
      <c r="K68" s="3245"/>
      <c r="L68" s="3245"/>
      <c r="M68" s="3245"/>
      <c r="N68" s="391">
        <v>0.5</v>
      </c>
      <c r="O68" s="632"/>
      <c r="P68" s="3259"/>
      <c r="Q68" s="2547"/>
      <c r="R68" s="3183"/>
      <c r="S68" s="637"/>
    </row>
    <row r="69" spans="2:19" ht="30" customHeight="1">
      <c r="B69" s="982"/>
      <c r="C69" s="980">
        <v>5</v>
      </c>
      <c r="D69" s="980"/>
      <c r="E69" s="2318" t="s">
        <v>414</v>
      </c>
      <c r="F69" s="3245"/>
      <c r="G69" s="3245"/>
      <c r="H69" s="3245"/>
      <c r="I69" s="3245"/>
      <c r="J69" s="3245"/>
      <c r="K69" s="3245"/>
      <c r="L69" s="3245"/>
      <c r="M69" s="3245"/>
      <c r="N69" s="391">
        <v>0.5</v>
      </c>
      <c r="O69" s="632"/>
      <c r="P69" s="3259"/>
      <c r="Q69" s="2547"/>
      <c r="R69" s="3183"/>
      <c r="S69" s="637"/>
    </row>
    <row r="70" spans="2:19" ht="30" customHeight="1">
      <c r="B70" s="982"/>
      <c r="C70" s="980">
        <v>6</v>
      </c>
      <c r="D70" s="980"/>
      <c r="E70" s="2318" t="s">
        <v>418</v>
      </c>
      <c r="F70" s="3245"/>
      <c r="G70" s="3245"/>
      <c r="H70" s="3245"/>
      <c r="I70" s="3245"/>
      <c r="J70" s="3245"/>
      <c r="K70" s="3245"/>
      <c r="L70" s="3245"/>
      <c r="M70" s="3245"/>
      <c r="N70" s="391">
        <v>0.5</v>
      </c>
      <c r="O70" s="632"/>
      <c r="P70" s="3259"/>
      <c r="Q70" s="2547"/>
      <c r="R70" s="3183"/>
      <c r="S70" s="637"/>
    </row>
    <row r="71" spans="2:19" ht="30" customHeight="1">
      <c r="B71" s="982"/>
      <c r="C71" s="980">
        <v>7</v>
      </c>
      <c r="D71" s="980"/>
      <c r="E71" s="2318" t="s">
        <v>417</v>
      </c>
      <c r="F71" s="3245"/>
      <c r="G71" s="3245"/>
      <c r="H71" s="3245"/>
      <c r="I71" s="3245"/>
      <c r="J71" s="3245"/>
      <c r="K71" s="3245"/>
      <c r="L71" s="3245"/>
      <c r="M71" s="3245"/>
      <c r="N71" s="391">
        <v>0.5</v>
      </c>
      <c r="O71" s="632"/>
      <c r="P71" s="3259"/>
      <c r="Q71" s="2547"/>
      <c r="R71" s="3183"/>
      <c r="S71" s="637"/>
    </row>
    <row r="72" spans="2:19" ht="30" customHeight="1">
      <c r="B72" s="982"/>
      <c r="C72" s="980">
        <v>8</v>
      </c>
      <c r="D72" s="980"/>
      <c r="E72" s="2318" t="s">
        <v>441</v>
      </c>
      <c r="F72" s="3245"/>
      <c r="G72" s="3245"/>
      <c r="H72" s="3245"/>
      <c r="I72" s="3245"/>
      <c r="J72" s="3245"/>
      <c r="K72" s="3245"/>
      <c r="L72" s="3245"/>
      <c r="M72" s="3245"/>
      <c r="N72" s="391">
        <v>0.5</v>
      </c>
      <c r="O72" s="632"/>
      <c r="P72" s="3259"/>
      <c r="Q72" s="2547"/>
      <c r="R72" s="3183"/>
      <c r="S72" s="637"/>
    </row>
    <row r="73" spans="2:19" ht="30" customHeight="1" thickBot="1">
      <c r="B73" s="992"/>
      <c r="C73" s="194">
        <v>9</v>
      </c>
      <c r="D73" s="194"/>
      <c r="E73" s="3258" t="s">
        <v>442</v>
      </c>
      <c r="F73" s="3258"/>
      <c r="G73" s="3258"/>
      <c r="H73" s="3258"/>
      <c r="I73" s="3258"/>
      <c r="J73" s="3258"/>
      <c r="K73" s="3258"/>
      <c r="L73" s="3258"/>
      <c r="M73" s="3258"/>
      <c r="N73" s="630">
        <v>0.5</v>
      </c>
      <c r="O73" s="633"/>
      <c r="P73" s="3260"/>
      <c r="Q73" s="3261"/>
      <c r="R73" s="3262"/>
      <c r="S73" s="639"/>
    </row>
    <row r="74" spans="2:19" customFormat="1" ht="16" thickBot="1">
      <c r="B74" s="2893"/>
      <c r="C74" s="2893"/>
      <c r="D74" s="2893"/>
      <c r="E74" s="2893"/>
      <c r="F74" s="2893"/>
      <c r="G74" s="2893"/>
      <c r="H74" s="2893"/>
      <c r="I74" s="2893"/>
      <c r="J74" s="2893"/>
      <c r="K74" s="2893"/>
      <c r="L74" s="2893"/>
      <c r="M74" s="2893"/>
      <c r="N74" s="2893"/>
      <c r="O74" s="2893"/>
      <c r="P74" s="2893"/>
      <c r="Q74" s="2893"/>
      <c r="R74" s="2893"/>
      <c r="S74" s="2893"/>
    </row>
    <row r="75" spans="2:19" customFormat="1" ht="20" customHeight="1" thickBot="1">
      <c r="B75" s="2340" t="s">
        <v>443</v>
      </c>
      <c r="C75" s="2341"/>
      <c r="D75" s="2341"/>
      <c r="E75" s="2341"/>
      <c r="F75" s="2341"/>
      <c r="G75" s="2341"/>
      <c r="H75" s="2341"/>
      <c r="I75" s="2341"/>
      <c r="J75" s="2341"/>
      <c r="K75" s="2341"/>
      <c r="L75" s="2341"/>
      <c r="M75" s="2341"/>
      <c r="N75" s="2341"/>
      <c r="O75" s="3256"/>
      <c r="P75" s="3256"/>
      <c r="Q75" s="3256"/>
      <c r="R75" s="3256"/>
      <c r="S75" s="3257"/>
    </row>
    <row r="76" spans="2:19">
      <c r="B76" s="301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76" s="3014"/>
      <c r="D76" s="3014"/>
      <c r="E76" s="3014"/>
      <c r="F76" s="3014"/>
      <c r="G76" s="3014"/>
      <c r="H76" s="3014"/>
      <c r="I76" s="3014"/>
      <c r="J76" s="3014"/>
      <c r="K76" s="3014"/>
      <c r="L76" s="3014"/>
      <c r="M76" s="3014"/>
      <c r="N76" s="3014"/>
      <c r="O76" s="3014"/>
      <c r="P76" s="3014"/>
      <c r="Q76" s="3014"/>
      <c r="R76" s="3014"/>
      <c r="S76" s="3014"/>
    </row>
    <row r="77" spans="2:19">
      <c r="B77" s="3015"/>
      <c r="C77" s="3015"/>
      <c r="D77" s="3015"/>
      <c r="E77" s="3015"/>
      <c r="F77" s="3015"/>
      <c r="G77" s="3015"/>
      <c r="H77" s="3015"/>
      <c r="I77" s="3015"/>
      <c r="J77" s="3015"/>
      <c r="K77" s="3015"/>
      <c r="L77" s="3015"/>
      <c r="M77" s="3015"/>
      <c r="N77" s="3015"/>
      <c r="O77" s="3015"/>
      <c r="P77" s="3015"/>
      <c r="Q77" s="3015"/>
      <c r="R77" s="3015"/>
      <c r="S77" s="3015"/>
    </row>
    <row r="78" spans="2:19">
      <c r="B78" s="3015"/>
      <c r="C78" s="3015"/>
      <c r="D78" s="3015"/>
      <c r="E78" s="3015"/>
      <c r="F78" s="3015"/>
      <c r="G78" s="3015"/>
      <c r="H78" s="3015"/>
      <c r="I78" s="3015"/>
      <c r="J78" s="3015"/>
      <c r="K78" s="3015"/>
      <c r="L78" s="3015"/>
      <c r="M78" s="3015"/>
      <c r="N78" s="3015"/>
      <c r="O78" s="3015"/>
      <c r="P78" s="3015"/>
      <c r="Q78" s="3015"/>
      <c r="R78" s="3015"/>
      <c r="S78" s="3015"/>
    </row>
    <row r="79" spans="2:19">
      <c r="B79" s="3015"/>
      <c r="C79" s="3015"/>
      <c r="D79" s="3015"/>
      <c r="E79" s="3015"/>
      <c r="F79" s="3015"/>
      <c r="G79" s="3015"/>
      <c r="H79" s="3015"/>
      <c r="I79" s="3015"/>
      <c r="J79" s="3015"/>
      <c r="K79" s="3015"/>
      <c r="L79" s="3015"/>
      <c r="M79" s="3015"/>
      <c r="N79" s="3015"/>
      <c r="O79" s="3015"/>
      <c r="P79" s="3015"/>
      <c r="Q79" s="3015"/>
      <c r="R79" s="3015"/>
      <c r="S79" s="3015"/>
    </row>
    <row r="105" spans="14:14" ht="45" customHeight="1">
      <c r="N105" s="106"/>
    </row>
    <row r="108" spans="14:14" ht="45" customHeight="1">
      <c r="N108" s="106"/>
    </row>
    <row r="117" spans="2:20">
      <c r="B117"/>
      <c r="C117"/>
      <c r="D117"/>
      <c r="E117"/>
      <c r="F117"/>
      <c r="G117"/>
      <c r="H117"/>
      <c r="I117"/>
      <c r="J117"/>
      <c r="K117"/>
      <c r="L117"/>
      <c r="M117"/>
      <c r="N117"/>
      <c r="O117"/>
      <c r="P117"/>
      <c r="Q117"/>
      <c r="R117"/>
      <c r="S117"/>
      <c r="T117"/>
    </row>
    <row r="118" spans="2:20">
      <c r="B118"/>
      <c r="C118"/>
      <c r="D118"/>
      <c r="E118"/>
      <c r="F118"/>
      <c r="G118"/>
      <c r="H118"/>
      <c r="I118"/>
      <c r="J118"/>
      <c r="K118"/>
      <c r="L118"/>
      <c r="M118"/>
      <c r="N118"/>
      <c r="O118"/>
      <c r="P118"/>
      <c r="Q118"/>
      <c r="R118"/>
      <c r="S118"/>
      <c r="T118"/>
    </row>
    <row r="119" spans="2:20">
      <c r="B119"/>
      <c r="C119"/>
      <c r="D119"/>
      <c r="E119"/>
      <c r="F119"/>
      <c r="G119"/>
      <c r="H119"/>
      <c r="I119"/>
      <c r="J119"/>
      <c r="K119"/>
      <c r="L119"/>
      <c r="M119"/>
      <c r="N119"/>
      <c r="O119"/>
      <c r="P119"/>
      <c r="Q119"/>
      <c r="R119"/>
      <c r="S119"/>
      <c r="T119"/>
    </row>
    <row r="120" spans="2:20" ht="15" customHeight="1">
      <c r="B120"/>
      <c r="C120"/>
      <c r="D120"/>
      <c r="E120"/>
      <c r="F120"/>
      <c r="G120"/>
      <c r="H120"/>
      <c r="I120"/>
      <c r="J120"/>
      <c r="K120"/>
      <c r="L120"/>
      <c r="M120"/>
      <c r="N120"/>
      <c r="O120"/>
      <c r="P120"/>
      <c r="Q120"/>
      <c r="R120"/>
      <c r="S120"/>
      <c r="T120"/>
    </row>
    <row r="121" spans="2:20" ht="15" customHeight="1">
      <c r="B121"/>
      <c r="C121"/>
      <c r="D121"/>
      <c r="E121"/>
      <c r="F121"/>
      <c r="G121"/>
      <c r="H121"/>
      <c r="I121"/>
      <c r="J121"/>
      <c r="K121"/>
      <c r="L121"/>
      <c r="M121"/>
      <c r="N121"/>
      <c r="O121"/>
      <c r="P121"/>
      <c r="Q121"/>
      <c r="R121"/>
      <c r="S121"/>
      <c r="T121"/>
    </row>
    <row r="122" spans="2:20">
      <c r="B122"/>
      <c r="C122"/>
      <c r="D122"/>
      <c r="E122"/>
      <c r="F122"/>
      <c r="G122"/>
      <c r="H122"/>
      <c r="I122"/>
      <c r="J122"/>
      <c r="K122"/>
      <c r="L122"/>
      <c r="M122"/>
      <c r="N122"/>
      <c r="O122"/>
      <c r="P122"/>
      <c r="Q122"/>
      <c r="R122"/>
      <c r="S122"/>
      <c r="T122"/>
    </row>
    <row r="123" spans="2:20">
      <c r="B123"/>
      <c r="C123"/>
      <c r="D123"/>
      <c r="E123"/>
      <c r="F123"/>
      <c r="G123"/>
      <c r="H123"/>
      <c r="I123"/>
      <c r="J123"/>
      <c r="K123"/>
      <c r="L123"/>
      <c r="M123"/>
      <c r="N123"/>
      <c r="O123"/>
      <c r="P123"/>
      <c r="Q123"/>
      <c r="R123"/>
      <c r="S123"/>
      <c r="T123"/>
    </row>
    <row r="124" spans="2:20">
      <c r="B124"/>
      <c r="C124"/>
      <c r="D124"/>
      <c r="E124"/>
      <c r="F124"/>
      <c r="G124"/>
      <c r="H124"/>
      <c r="I124"/>
      <c r="J124"/>
      <c r="K124"/>
      <c r="L124"/>
      <c r="M124"/>
      <c r="N124"/>
      <c r="O124"/>
      <c r="P124"/>
      <c r="Q124"/>
      <c r="R124"/>
      <c r="S124"/>
      <c r="T124"/>
    </row>
    <row r="125" spans="2:20">
      <c r="B125"/>
      <c r="C125"/>
      <c r="D125"/>
      <c r="E125"/>
      <c r="F125"/>
      <c r="G125"/>
      <c r="H125"/>
      <c r="I125"/>
      <c r="J125"/>
      <c r="K125"/>
      <c r="L125"/>
      <c r="M125"/>
      <c r="N125"/>
      <c r="O125"/>
      <c r="P125"/>
      <c r="Q125"/>
      <c r="R125"/>
      <c r="S125"/>
      <c r="T125"/>
    </row>
    <row r="126" spans="2:20">
      <c r="B126"/>
      <c r="C126"/>
      <c r="D126"/>
      <c r="E126"/>
      <c r="F126"/>
      <c r="G126"/>
      <c r="H126"/>
      <c r="I126"/>
      <c r="J126"/>
      <c r="K126"/>
      <c r="L126"/>
      <c r="M126"/>
      <c r="N126"/>
      <c r="O126"/>
      <c r="P126"/>
      <c r="Q126"/>
      <c r="R126"/>
      <c r="S126"/>
      <c r="T126"/>
    </row>
    <row r="127" spans="2:20">
      <c r="B127"/>
      <c r="C127"/>
      <c r="D127"/>
      <c r="E127"/>
      <c r="F127"/>
      <c r="G127"/>
      <c r="H127"/>
      <c r="I127"/>
      <c r="J127"/>
      <c r="K127"/>
      <c r="L127"/>
      <c r="M127"/>
      <c r="N127"/>
      <c r="O127"/>
      <c r="P127"/>
      <c r="Q127"/>
      <c r="R127"/>
      <c r="S127"/>
      <c r="T127"/>
    </row>
    <row r="128" spans="2:20">
      <c r="B128"/>
      <c r="C128"/>
      <c r="D128"/>
      <c r="E128"/>
      <c r="F128"/>
      <c r="G128"/>
      <c r="H128"/>
      <c r="I128"/>
      <c r="J128"/>
      <c r="K128"/>
      <c r="L128"/>
      <c r="M128"/>
      <c r="N128"/>
      <c r="O128"/>
      <c r="P128"/>
      <c r="Q128"/>
      <c r="R128"/>
      <c r="S128"/>
      <c r="T128"/>
    </row>
    <row r="129" spans="2:20">
      <c r="B129"/>
      <c r="C129"/>
      <c r="D129"/>
      <c r="E129"/>
      <c r="F129"/>
      <c r="G129"/>
      <c r="H129"/>
      <c r="I129"/>
      <c r="J129"/>
      <c r="K129"/>
      <c r="L129"/>
      <c r="M129"/>
      <c r="N129"/>
      <c r="O129"/>
      <c r="P129"/>
      <c r="Q129"/>
      <c r="R129"/>
      <c r="S129"/>
      <c r="T129"/>
    </row>
    <row r="130" spans="2:20">
      <c r="B130"/>
      <c r="C130"/>
      <c r="D130"/>
      <c r="E130"/>
      <c r="F130"/>
      <c r="G130"/>
      <c r="H130"/>
      <c r="I130"/>
      <c r="J130"/>
      <c r="K130"/>
      <c r="L130"/>
      <c r="M130"/>
      <c r="N130"/>
      <c r="O130"/>
      <c r="P130"/>
      <c r="Q130"/>
      <c r="R130"/>
      <c r="S130"/>
      <c r="T130"/>
    </row>
    <row r="131" spans="2:20">
      <c r="B131"/>
      <c r="C131"/>
      <c r="D131"/>
      <c r="E131"/>
      <c r="F131"/>
      <c r="G131"/>
      <c r="H131"/>
      <c r="I131"/>
      <c r="J131"/>
      <c r="K131"/>
      <c r="L131"/>
      <c r="M131"/>
      <c r="N131"/>
      <c r="O131"/>
      <c r="P131"/>
      <c r="Q131"/>
      <c r="R131"/>
      <c r="S131"/>
      <c r="T131"/>
    </row>
    <row r="132" spans="2:20">
      <c r="B132"/>
      <c r="C132"/>
      <c r="D132"/>
      <c r="E132"/>
      <c r="F132"/>
      <c r="G132"/>
      <c r="H132"/>
      <c r="I132"/>
      <c r="J132"/>
      <c r="K132"/>
      <c r="L132"/>
      <c r="M132"/>
      <c r="N132"/>
      <c r="O132"/>
      <c r="P132"/>
      <c r="Q132"/>
      <c r="R132"/>
      <c r="S132"/>
      <c r="T132"/>
    </row>
    <row r="133" spans="2:20">
      <c r="B133"/>
      <c r="C133"/>
      <c r="D133"/>
      <c r="E133"/>
      <c r="F133"/>
      <c r="G133"/>
      <c r="H133"/>
      <c r="I133"/>
      <c r="J133"/>
      <c r="K133"/>
      <c r="L133"/>
      <c r="M133"/>
      <c r="N133"/>
      <c r="O133"/>
      <c r="P133"/>
      <c r="Q133"/>
      <c r="R133"/>
      <c r="S133"/>
      <c r="T133"/>
    </row>
    <row r="134" spans="2:20">
      <c r="B134"/>
      <c r="C134"/>
      <c r="D134"/>
      <c r="E134"/>
      <c r="F134"/>
      <c r="G134"/>
      <c r="H134"/>
      <c r="I134"/>
      <c r="J134"/>
      <c r="K134"/>
      <c r="L134"/>
      <c r="M134"/>
      <c r="N134"/>
      <c r="O134"/>
      <c r="P134"/>
      <c r="Q134"/>
      <c r="R134"/>
      <c r="S134"/>
      <c r="T134"/>
    </row>
    <row r="135" spans="2:20">
      <c r="B135"/>
      <c r="C135"/>
      <c r="D135"/>
      <c r="E135"/>
      <c r="F135"/>
      <c r="G135"/>
      <c r="H135"/>
      <c r="I135"/>
      <c r="J135"/>
      <c r="K135"/>
      <c r="L135"/>
      <c r="M135"/>
      <c r="N135"/>
      <c r="O135"/>
      <c r="P135"/>
      <c r="Q135"/>
      <c r="R135"/>
      <c r="S135"/>
      <c r="T135"/>
    </row>
    <row r="136" spans="2:20">
      <c r="B136"/>
      <c r="C136"/>
      <c r="D136"/>
      <c r="E136"/>
      <c r="F136"/>
      <c r="G136"/>
      <c r="H136"/>
      <c r="I136"/>
      <c r="J136"/>
      <c r="K136"/>
      <c r="L136"/>
      <c r="M136"/>
      <c r="N136"/>
      <c r="O136"/>
      <c r="P136"/>
      <c r="Q136"/>
      <c r="R136"/>
      <c r="S136"/>
      <c r="T136"/>
    </row>
    <row r="137" spans="2:20">
      <c r="B137"/>
      <c r="C137"/>
      <c r="D137"/>
      <c r="E137"/>
      <c r="F137"/>
      <c r="G137"/>
      <c r="H137"/>
      <c r="I137"/>
      <c r="J137"/>
      <c r="K137"/>
      <c r="L137"/>
      <c r="M137"/>
      <c r="N137"/>
      <c r="O137"/>
      <c r="P137"/>
      <c r="Q137"/>
      <c r="R137"/>
      <c r="S137"/>
      <c r="T137"/>
    </row>
    <row r="138" spans="2:20">
      <c r="B138"/>
      <c r="C138"/>
      <c r="D138"/>
      <c r="E138"/>
      <c r="F138"/>
      <c r="G138"/>
      <c r="H138"/>
      <c r="I138"/>
      <c r="J138"/>
      <c r="K138"/>
      <c r="L138"/>
      <c r="M138"/>
      <c r="N138"/>
      <c r="O138"/>
      <c r="P138"/>
      <c r="Q138"/>
      <c r="R138"/>
      <c r="S138"/>
      <c r="T138"/>
    </row>
    <row r="139" spans="2:20">
      <c r="B139"/>
      <c r="C139"/>
      <c r="D139"/>
      <c r="E139"/>
      <c r="F139"/>
      <c r="G139"/>
      <c r="H139"/>
      <c r="I139"/>
      <c r="J139"/>
      <c r="K139"/>
      <c r="L139"/>
      <c r="M139"/>
      <c r="N139"/>
      <c r="O139"/>
      <c r="P139"/>
      <c r="Q139"/>
      <c r="R139"/>
      <c r="S139"/>
      <c r="T139"/>
    </row>
    <row r="140" spans="2:20">
      <c r="B140"/>
      <c r="C140"/>
      <c r="D140"/>
      <c r="E140"/>
      <c r="F140"/>
      <c r="G140"/>
      <c r="H140"/>
      <c r="I140"/>
      <c r="J140"/>
      <c r="K140"/>
      <c r="L140"/>
      <c r="M140"/>
      <c r="N140"/>
      <c r="O140"/>
      <c r="P140"/>
      <c r="Q140"/>
      <c r="R140"/>
      <c r="S140"/>
      <c r="T140"/>
    </row>
    <row r="141" spans="2:20">
      <c r="B141"/>
      <c r="C141"/>
      <c r="D141"/>
      <c r="E141"/>
      <c r="F141"/>
      <c r="G141"/>
      <c r="H141"/>
      <c r="I141"/>
      <c r="J141"/>
      <c r="K141"/>
      <c r="L141"/>
      <c r="M141"/>
      <c r="N141"/>
      <c r="O141"/>
      <c r="P141"/>
      <c r="Q141"/>
      <c r="R141"/>
      <c r="S141"/>
      <c r="T141"/>
    </row>
    <row r="142" spans="2:20">
      <c r="B142"/>
      <c r="C142"/>
      <c r="D142"/>
      <c r="E142"/>
      <c r="F142"/>
      <c r="G142"/>
      <c r="H142"/>
      <c r="I142"/>
      <c r="J142"/>
      <c r="K142"/>
      <c r="L142"/>
      <c r="M142"/>
      <c r="N142"/>
      <c r="O142"/>
      <c r="P142"/>
      <c r="Q142"/>
      <c r="R142"/>
      <c r="S142"/>
      <c r="T142"/>
    </row>
    <row r="143" spans="2:20">
      <c r="B143"/>
      <c r="C143"/>
      <c r="D143"/>
      <c r="E143"/>
      <c r="F143"/>
      <c r="G143"/>
      <c r="H143"/>
      <c r="I143"/>
      <c r="J143"/>
      <c r="K143"/>
      <c r="L143"/>
      <c r="M143"/>
      <c r="N143"/>
      <c r="O143"/>
      <c r="P143"/>
      <c r="Q143"/>
      <c r="R143"/>
      <c r="S143"/>
      <c r="T143"/>
    </row>
  </sheetData>
  <sheetProtection password="CA4F" sheet="1" objects="1" scenarios="1" formatRows="0" selectLockedCells="1"/>
  <mergeCells count="154">
    <mergeCell ref="B76:S79"/>
    <mergeCell ref="B4:H5"/>
    <mergeCell ref="E19:M19"/>
    <mergeCell ref="E20:M20"/>
    <mergeCell ref="E21:M21"/>
    <mergeCell ref="P19:R19"/>
    <mergeCell ref="P20:R20"/>
    <mergeCell ref="P21:R21"/>
    <mergeCell ref="E25:M25"/>
    <mergeCell ref="E26:M26"/>
    <mergeCell ref="E22:M22"/>
    <mergeCell ref="E23:M23"/>
    <mergeCell ref="E24:M24"/>
    <mergeCell ref="P22:R22"/>
    <mergeCell ref="P23:R23"/>
    <mergeCell ref="P24:R24"/>
    <mergeCell ref="P25:R25"/>
    <mergeCell ref="P26:R26"/>
    <mergeCell ref="S62:S64"/>
    <mergeCell ref="D49:D51"/>
    <mergeCell ref="D62:D64"/>
    <mergeCell ref="D38:D40"/>
    <mergeCell ref="E18:M18"/>
    <mergeCell ref="E12:M12"/>
    <mergeCell ref="M1:M2"/>
    <mergeCell ref="N1:O1"/>
    <mergeCell ref="P1:S1"/>
    <mergeCell ref="I5:S5"/>
    <mergeCell ref="E10:M10"/>
    <mergeCell ref="E11:M11"/>
    <mergeCell ref="B6:D6"/>
    <mergeCell ref="E6:M6"/>
    <mergeCell ref="B7:S7"/>
    <mergeCell ref="E8:M8"/>
    <mergeCell ref="P6:R6"/>
    <mergeCell ref="P8:R8"/>
    <mergeCell ref="D9:D11"/>
    <mergeCell ref="I1:L3"/>
    <mergeCell ref="I4:L4"/>
    <mergeCell ref="B1:H3"/>
    <mergeCell ref="S9:S11"/>
    <mergeCell ref="B35:C35"/>
    <mergeCell ref="E13:M13"/>
    <mergeCell ref="E14:M14"/>
    <mergeCell ref="E9:M9"/>
    <mergeCell ref="N9:N11"/>
    <mergeCell ref="O9:O11"/>
    <mergeCell ref="P12:R12"/>
    <mergeCell ref="P13:R13"/>
    <mergeCell ref="P14:R14"/>
    <mergeCell ref="P16:R16"/>
    <mergeCell ref="E47:M47"/>
    <mergeCell ref="E48:M48"/>
    <mergeCell ref="P17:R17"/>
    <mergeCell ref="P18:R18"/>
    <mergeCell ref="E16:M16"/>
    <mergeCell ref="E17:M17"/>
    <mergeCell ref="E15:M15"/>
    <mergeCell ref="P15:R15"/>
    <mergeCell ref="P9:R11"/>
    <mergeCell ref="B34:S34"/>
    <mergeCell ref="E35:M35"/>
    <mergeCell ref="E27:M27"/>
    <mergeCell ref="E28:M28"/>
    <mergeCell ref="E29:M29"/>
    <mergeCell ref="P27:R27"/>
    <mergeCell ref="P28:R28"/>
    <mergeCell ref="P29:R29"/>
    <mergeCell ref="P30:R30"/>
    <mergeCell ref="P31:R31"/>
    <mergeCell ref="E32:M32"/>
    <mergeCell ref="P32:R32"/>
    <mergeCell ref="P35:R35"/>
    <mergeCell ref="E30:M30"/>
    <mergeCell ref="E33:M33"/>
    <mergeCell ref="E50:M50"/>
    <mergeCell ref="E51:M51"/>
    <mergeCell ref="E52:M52"/>
    <mergeCell ref="E49:M49"/>
    <mergeCell ref="O49:O51"/>
    <mergeCell ref="O38:O40"/>
    <mergeCell ref="E39:M39"/>
    <mergeCell ref="P38:R40"/>
    <mergeCell ref="S38:S40"/>
    <mergeCell ref="P47:R47"/>
    <mergeCell ref="P48:R48"/>
    <mergeCell ref="P49:R51"/>
    <mergeCell ref="E44:M44"/>
    <mergeCell ref="E45:M45"/>
    <mergeCell ref="E46:M46"/>
    <mergeCell ref="P46:R46"/>
    <mergeCell ref="E41:M41"/>
    <mergeCell ref="E42:M42"/>
    <mergeCell ref="E43:M43"/>
    <mergeCell ref="P41:R41"/>
    <mergeCell ref="P42:R42"/>
    <mergeCell ref="P43:R43"/>
    <mergeCell ref="P44:R44"/>
    <mergeCell ref="P45:R45"/>
    <mergeCell ref="E57:M57"/>
    <mergeCell ref="E58:M58"/>
    <mergeCell ref="E53:M53"/>
    <mergeCell ref="E54:M54"/>
    <mergeCell ref="E55:M55"/>
    <mergeCell ref="P53:R53"/>
    <mergeCell ref="P54:R54"/>
    <mergeCell ref="P55:R55"/>
    <mergeCell ref="P56:R56"/>
    <mergeCell ref="P57:R57"/>
    <mergeCell ref="P58:R58"/>
    <mergeCell ref="B75:N75"/>
    <mergeCell ref="O75:S75"/>
    <mergeCell ref="E71:M71"/>
    <mergeCell ref="E72:M72"/>
    <mergeCell ref="E73:M73"/>
    <mergeCell ref="P72:R72"/>
    <mergeCell ref="P73:R73"/>
    <mergeCell ref="P65:R65"/>
    <mergeCell ref="P66:R66"/>
    <mergeCell ref="P67:R67"/>
    <mergeCell ref="P68:R68"/>
    <mergeCell ref="P69:R69"/>
    <mergeCell ref="P70:R70"/>
    <mergeCell ref="P71:R71"/>
    <mergeCell ref="E68:M68"/>
    <mergeCell ref="E69:M69"/>
    <mergeCell ref="E70:M70"/>
    <mergeCell ref="E65:M65"/>
    <mergeCell ref="E66:M66"/>
    <mergeCell ref="E67:M67"/>
    <mergeCell ref="P37:R37"/>
    <mergeCell ref="N38:N40"/>
    <mergeCell ref="E40:M40"/>
    <mergeCell ref="E31:M31"/>
    <mergeCell ref="B74:S74"/>
    <mergeCell ref="O62:O64"/>
    <mergeCell ref="E63:M63"/>
    <mergeCell ref="E64:M64"/>
    <mergeCell ref="E59:M59"/>
    <mergeCell ref="E60:M60"/>
    <mergeCell ref="E61:M61"/>
    <mergeCell ref="P59:R59"/>
    <mergeCell ref="P60:R60"/>
    <mergeCell ref="P61:R61"/>
    <mergeCell ref="N62:N64"/>
    <mergeCell ref="P62:R64"/>
    <mergeCell ref="E62:M62"/>
    <mergeCell ref="S49:S51"/>
    <mergeCell ref="P52:R52"/>
    <mergeCell ref="N49:N51"/>
    <mergeCell ref="B36:S36"/>
    <mergeCell ref="E37:M37"/>
    <mergeCell ref="E38:M38"/>
    <mergeCell ref="E56:M56"/>
  </mergeCells>
  <conditionalFormatting sqref="I1">
    <cfRule type="expression" dxfId="977" priority="209" stopIfTrue="1">
      <formula>levelStatement="This project has not met all the requirements for Bronze, Silver, Gold, or Emerald."</formula>
    </cfRule>
  </conditionalFormatting>
  <conditionalFormatting sqref="O12">
    <cfRule type="expression" dxfId="976" priority="176" stopIfTrue="1">
      <formula>AND($O$12="Met", startSingleorMulti&lt;&gt;"Single-Family")</formula>
    </cfRule>
    <cfRule type="expression" dxfId="975" priority="206" stopIfTrue="1">
      <formula>$O$12="Met"</formula>
    </cfRule>
    <cfRule type="expression" dxfId="974" priority="208" stopIfTrue="1">
      <formula>startSingleorMulti&lt;&gt;"Single-Family"</formula>
    </cfRule>
  </conditionalFormatting>
  <conditionalFormatting sqref="O41">
    <cfRule type="expression" dxfId="973" priority="186" stopIfTrue="1">
      <formula>AND($O$41="Met", startSingleorMulti&lt;&gt;"Multi-Unit")</formula>
    </cfRule>
    <cfRule type="expression" dxfId="972" priority="205" stopIfTrue="1">
      <formula>$O$41="Met"</formula>
    </cfRule>
    <cfRule type="expression" dxfId="971" priority="207" stopIfTrue="1">
      <formula>AND($O$41&lt;&gt;"Met",startSingleorMulti&lt;&gt;"Multi-Unit")</formula>
    </cfRule>
  </conditionalFormatting>
  <conditionalFormatting sqref="O52">
    <cfRule type="expression" dxfId="970" priority="108" stopIfTrue="1">
      <formula>AND($O$52="Met", startSingleorMulti&lt;&gt;"Multi-Unit")</formula>
    </cfRule>
    <cfRule type="expression" dxfId="969" priority="196" stopIfTrue="1">
      <formula>AND($O$52&lt;&gt;"Met", startSingleorMulti&lt;&gt;"Multi-Unit")</formula>
    </cfRule>
    <cfRule type="expression" dxfId="968" priority="204" stopIfTrue="1">
      <formula>$O$52="Met"</formula>
    </cfRule>
  </conditionalFormatting>
  <conditionalFormatting sqref="O53">
    <cfRule type="expression" dxfId="967" priority="107" stopIfTrue="1">
      <formula>AND($O$53="Met", startSingleorMulti&lt;&gt;"Multi-Unit")</formula>
    </cfRule>
    <cfRule type="expression" dxfId="966" priority="195" stopIfTrue="1">
      <formula>AND($O$53&lt;&gt;"Met", startSingleorMulti&lt;&gt;"Multi-Unit")</formula>
    </cfRule>
    <cfRule type="expression" dxfId="965" priority="203" stopIfTrue="1">
      <formula>$O$53="Met"</formula>
    </cfRule>
  </conditionalFormatting>
  <conditionalFormatting sqref="O65">
    <cfRule type="expression" dxfId="964" priority="177" stopIfTrue="1">
      <formula>AND($O$65="Met", startSingleorMulti&lt;&gt;"Multi-Unit")</formula>
    </cfRule>
    <cfRule type="expression" dxfId="963" priority="193" stopIfTrue="1">
      <formula>AND($O$65&lt;&gt;"Met",startSingleorMulti&lt;&gt;"Multi-Unit")</formula>
    </cfRule>
    <cfRule type="expression" dxfId="962" priority="201" stopIfTrue="1">
      <formula>$O$65="Met"</formula>
    </cfRule>
  </conditionalFormatting>
  <conditionalFormatting sqref="O16">
    <cfRule type="expression" dxfId="961" priority="173" stopIfTrue="1">
      <formula>AND($O$16="Met", startSingleorMulti&lt;&gt;"Single-Family")</formula>
    </cfRule>
    <cfRule type="expression" dxfId="960" priority="191" stopIfTrue="1">
      <formula>AND($O$16&lt;&gt;"Met",startSingleorMulti&lt;&gt;"Single-Family")</formula>
    </cfRule>
  </conditionalFormatting>
  <conditionalFormatting sqref="E64:M64">
    <cfRule type="expression" dxfId="959" priority="184" stopIfTrue="1">
      <formula>startSingleorMulti&lt;&gt;"Multi-Unit"</formula>
    </cfRule>
    <cfRule type="expression" dxfId="958" priority="185" stopIfTrue="1">
      <formula>startSingleorMulti="Multi-Unit"</formula>
    </cfRule>
  </conditionalFormatting>
  <conditionalFormatting sqref="E51:M51">
    <cfRule type="expression" dxfId="957" priority="182" stopIfTrue="1">
      <formula>startSingleorMulti&lt;&gt;"Multi-Unit"</formula>
    </cfRule>
    <cfRule type="expression" dxfId="956" priority="183" stopIfTrue="1">
      <formula>startSingleorMulti="Multi-Unit"</formula>
    </cfRule>
  </conditionalFormatting>
  <conditionalFormatting sqref="E40:M40">
    <cfRule type="expression" dxfId="955" priority="180" stopIfTrue="1">
      <formula>startSingleorMulti&lt;&gt;"Multi-Unit"</formula>
    </cfRule>
    <cfRule type="expression" dxfId="954" priority="181" stopIfTrue="1">
      <formula>startSingleorMulti="Multi-Unit"</formula>
    </cfRule>
  </conditionalFormatting>
  <conditionalFormatting sqref="E11:M11">
    <cfRule type="expression" dxfId="953" priority="178" stopIfTrue="1">
      <formula>startSingleorMulti&lt;&gt;"Single-Family"</formula>
    </cfRule>
    <cfRule type="expression" dxfId="952" priority="179" stopIfTrue="1">
      <formula>startSingleorMulti="Single-Family"</formula>
    </cfRule>
  </conditionalFormatting>
  <conditionalFormatting sqref="O17">
    <cfRule type="expression" dxfId="951" priority="172" stopIfTrue="1">
      <formula>AND($O$17="Met", startSingleorMulti&lt;&gt;"Single-Family")</formula>
    </cfRule>
    <cfRule type="expression" dxfId="950" priority="190" stopIfTrue="1">
      <formula>AND($O$17&lt;&gt;"Met", startSingleorMulti&lt;&gt;"Single-Family")</formula>
    </cfRule>
  </conditionalFormatting>
  <conditionalFormatting sqref="O18">
    <cfRule type="expression" dxfId="949" priority="170" stopIfTrue="1">
      <formula>AND($O$18&lt;&gt;"Met", startSingleorMulti&lt;&gt;"Single-Family")</formula>
    </cfRule>
    <cfRule type="expression" dxfId="948" priority="171" stopIfTrue="1">
      <formula>AND($O$18="Met",startSingleorMulti&lt;&gt;"Single-Family")</formula>
    </cfRule>
  </conditionalFormatting>
  <conditionalFormatting sqref="O19">
    <cfRule type="expression" dxfId="947" priority="155" stopIfTrue="1">
      <formula>AND($O$19="Met", startSingleorMulti&lt;&gt;"Single-Family")</formula>
    </cfRule>
    <cfRule type="expression" dxfId="946" priority="169" stopIfTrue="1">
      <formula>AND($O$19&lt;&gt;"Met", startSingleorMulti&lt;&gt;"Single-Family")</formula>
    </cfRule>
  </conditionalFormatting>
  <conditionalFormatting sqref="O20">
    <cfRule type="expression" dxfId="945" priority="154" stopIfTrue="1">
      <formula>AND($O$20="Met", startSingleorMulti&lt;&gt;"Single-Family")</formula>
    </cfRule>
    <cfRule type="expression" dxfId="944" priority="168" stopIfTrue="1">
      <formula>AND($O$20&lt;&gt;"Met", startSingleorMulti&lt;&gt;"Single-Family")</formula>
    </cfRule>
  </conditionalFormatting>
  <conditionalFormatting sqref="O21">
    <cfRule type="expression" dxfId="943" priority="153" stopIfTrue="1">
      <formula>AND($O$21="Met", startSingleorMulti&lt;&gt;"Single-Family")</formula>
    </cfRule>
    <cfRule type="expression" dxfId="942" priority="167" stopIfTrue="1">
      <formula>AND($O$21&lt;&gt;"Met", startSingleorMulti&lt;&gt;"Single-Family")</formula>
    </cfRule>
  </conditionalFormatting>
  <conditionalFormatting sqref="O22">
    <cfRule type="expression" dxfId="941" priority="152" stopIfTrue="1">
      <formula>AND($O$22="Met", startSingleorMulti&lt;&gt;"Single-Family")</formula>
    </cfRule>
    <cfRule type="expression" dxfId="940" priority="166" stopIfTrue="1">
      <formula>AND($O$22&lt;&gt;"Met",startSingleorMulti&lt;&gt;"Single-Family")</formula>
    </cfRule>
  </conditionalFormatting>
  <conditionalFormatting sqref="O23">
    <cfRule type="expression" dxfId="939" priority="151" stopIfTrue="1">
      <formula>AND($O$23="Met", startSingleorMulti&lt;&gt;"Single-Family")</formula>
    </cfRule>
    <cfRule type="expression" dxfId="938" priority="165" stopIfTrue="1">
      <formula>AND($O$23&lt;&gt;"Met", startSingleorMulti&lt;&gt;"Single-Family")</formula>
    </cfRule>
  </conditionalFormatting>
  <conditionalFormatting sqref="O24">
    <cfRule type="expression" dxfId="937" priority="150" stopIfTrue="1">
      <formula>AND($O$24="Met", startSingleorMulti&lt;&gt;"Single-Family")</formula>
    </cfRule>
    <cfRule type="expression" dxfId="936" priority="164" stopIfTrue="1">
      <formula>AND($O$24&lt;&gt;"Met", startSingleorMulti&lt;&gt;"Single-Family")</formula>
    </cfRule>
  </conditionalFormatting>
  <conditionalFormatting sqref="O15">
    <cfRule type="expression" dxfId="935" priority="149" stopIfTrue="1">
      <formula>AND($O$15="Met", startSingleorMulti&lt;&gt;"Single-Family")</formula>
    </cfRule>
    <cfRule type="expression" dxfId="934" priority="163" stopIfTrue="1">
      <formula>AND($O$15&lt;&gt;"Met", startSingleorMulti&lt;&gt;"Single-Family")</formula>
    </cfRule>
  </conditionalFormatting>
  <conditionalFormatting sqref="O25">
    <cfRule type="expression" dxfId="933" priority="148" stopIfTrue="1">
      <formula>AND($O$25="Met", startSingleorMulti&lt;&gt;"Single-Family")</formula>
    </cfRule>
    <cfRule type="expression" dxfId="932" priority="162" stopIfTrue="1">
      <formula>AND($O$25&lt;&gt;"Met", startSingleorMulti&lt;&gt;"Single-Family")</formula>
    </cfRule>
  </conditionalFormatting>
  <conditionalFormatting sqref="O26">
    <cfRule type="expression" dxfId="931" priority="147" stopIfTrue="1">
      <formula>AND($O$26="Met", startSingleorMulti&lt;&gt;"Single-Family")</formula>
    </cfRule>
    <cfRule type="expression" dxfId="930" priority="161" stopIfTrue="1">
      <formula>AND($O$26&lt;&gt;"Met", startSingleorMulti&lt;&gt;"Single-Family")</formula>
    </cfRule>
  </conditionalFormatting>
  <conditionalFormatting sqref="O27">
    <cfRule type="expression" dxfId="929" priority="146" stopIfTrue="1">
      <formula>AND($O$27="Met", startSingleorMulti&lt;&gt;"Single-Family")</formula>
    </cfRule>
    <cfRule type="expression" dxfId="928" priority="160" stopIfTrue="1">
      <formula>AND($O$27&lt;&gt;"Met", startSingleorMulti&lt;&gt;"Single-Family")</formula>
    </cfRule>
  </conditionalFormatting>
  <conditionalFormatting sqref="O28">
    <cfRule type="expression" dxfId="927" priority="145" stopIfTrue="1">
      <formula>AND($O$28="Met", startSingleorMulti&lt;&gt;"Single-Family")</formula>
    </cfRule>
    <cfRule type="expression" dxfId="926" priority="159" stopIfTrue="1">
      <formula>AND($O$28&lt;&gt;"Met", startSingleorMulti&lt;&gt;"Single-Family")</formula>
    </cfRule>
  </conditionalFormatting>
  <conditionalFormatting sqref="O29">
    <cfRule type="expression" dxfId="925" priority="144" stopIfTrue="1">
      <formula>AND($O$29="Met", startSingleorMulti&lt;&gt;"Single-Family")</formula>
    </cfRule>
    <cfRule type="expression" dxfId="924" priority="158" stopIfTrue="1">
      <formula>AND($O$29&lt;&gt;"Met", startSingleorMulti&lt;&gt;"Single-Family")</formula>
    </cfRule>
  </conditionalFormatting>
  <conditionalFormatting sqref="O30">
    <cfRule type="expression" dxfId="923" priority="143" stopIfTrue="1">
      <formula>AND($O$30="Met", startSingleorMulti&lt;&gt;"Single-Family")</formula>
    </cfRule>
    <cfRule type="expression" dxfId="922" priority="157" stopIfTrue="1">
      <formula>AND($O$30&lt;&gt;"Met", startSingleorMulti&lt;&gt;"Single-Family")</formula>
    </cfRule>
  </conditionalFormatting>
  <conditionalFormatting sqref="O9">
    <cfRule type="expression" dxfId="921" priority="80" stopIfTrue="1">
      <formula>AND(startSingleorMulti&lt;&gt;"Single-family",COUNTBLANK(claim1001.1_man)=20)</formula>
    </cfRule>
    <cfRule type="expression" dxfId="920" priority="84" stopIfTrue="1">
      <formula>AND(startSingleorMulti&lt;&gt;"Single-Family", COUNTIF(claim1001.1_man,"&lt;&gt;0")&gt;0)</formula>
    </cfRule>
    <cfRule type="expression" dxfId="919" priority="141" stopIfTrue="1">
      <formula>AND(O12="Met",O13="Met",O14="Met")</formula>
    </cfRule>
  </conditionalFormatting>
  <conditionalFormatting sqref="O38:O40">
    <cfRule type="expression" dxfId="918" priority="83" stopIfTrue="1">
      <formula>AND(startSingleorMulti&lt;&gt;"Multi-Unit",COUNTBLANK(claim1003.1_man)=8)</formula>
    </cfRule>
    <cfRule type="expression" dxfId="917" priority="87" stopIfTrue="1">
      <formula>AND(startSingleorMulti&lt;&gt;"Multi-Unit",COUNTIF(claim1003.1_man,"&lt;&gt;NULL")&gt;0)</formula>
    </cfRule>
    <cfRule type="expression" dxfId="916" priority="140" stopIfTrue="1">
      <formula>AND(startSingleorMulti="Multi-Unit",COUNTIF(claim1003.1_man,"&lt;&gt;Met")&lt;4, AND(O41="Met",O42="Met",O43="Met"))</formula>
    </cfRule>
  </conditionalFormatting>
  <conditionalFormatting sqref="O42">
    <cfRule type="expression" dxfId="915" priority="137" stopIfTrue="1">
      <formula>AND($O$42="Met", startSingleorMulti&lt;&gt;"Multi-Unit")</formula>
    </cfRule>
    <cfRule type="expression" dxfId="914" priority="138" stopIfTrue="1">
      <formula>$O$42="Met"</formula>
    </cfRule>
    <cfRule type="expression" dxfId="913" priority="139" stopIfTrue="1">
      <formula>AND($O$42&lt;&gt;"Met",startSingleorMulti&lt;&gt;"Multi-Unit")</formula>
    </cfRule>
  </conditionalFormatting>
  <conditionalFormatting sqref="O43">
    <cfRule type="expression" dxfId="912" priority="134" stopIfTrue="1">
      <formula>AND($O$43="Met", startSingleorMulti&lt;&gt;"Multi-Unit")</formula>
    </cfRule>
    <cfRule type="expression" dxfId="911" priority="135" stopIfTrue="1">
      <formula>$O$43="Met"</formula>
    </cfRule>
    <cfRule type="expression" dxfId="910" priority="136" stopIfTrue="1">
      <formula>AND($O$43&lt;&gt;"Met",startSingleorMulti&lt;&gt;"Multi-Unit")</formula>
    </cfRule>
  </conditionalFormatting>
  <conditionalFormatting sqref="O44">
    <cfRule type="expression" dxfId="909" priority="79">
      <formula>AND(startSingleorMulti="Multi-Unit",COUNTIF($O$44:$O$48,"Met")&gt;1)</formula>
    </cfRule>
    <cfRule type="expression" dxfId="908" priority="133" stopIfTrue="1">
      <formula>AND($O$44&lt;&gt;"Met",startSingleorMulti&lt;&gt;"Multi-Unit")</formula>
    </cfRule>
    <cfRule type="expression" dxfId="907" priority="192" stopIfTrue="1">
      <formula>AND($O$44="Met", startSingleorMulti&lt;&gt;"Multi-Unit")</formula>
    </cfRule>
  </conditionalFormatting>
  <conditionalFormatting sqref="O45">
    <cfRule type="expression" dxfId="906" priority="78">
      <formula>AND(startSingleorMulti="Multi-Unit",COUNTIF($O$44:$O$48,"Met")&gt;1)</formula>
    </cfRule>
    <cfRule type="expression" dxfId="905" priority="113" stopIfTrue="1">
      <formula>AND($O$45="Met", startSingleorMulti&lt;&gt;"Multi-Unit")</formula>
    </cfRule>
    <cfRule type="expression" dxfId="904" priority="132" stopIfTrue="1">
      <formula>AND($O$45&lt;&gt;"Met",startSingleorMulti&lt;&gt;"Multi-Unit")</formula>
    </cfRule>
  </conditionalFormatting>
  <conditionalFormatting sqref="O46">
    <cfRule type="expression" dxfId="903" priority="77">
      <formula>AND(startSingleorMulti="Multi-Unit",COUNTIF($O$44:$O$48,"Met")&gt;1)</formula>
    </cfRule>
    <cfRule type="expression" dxfId="902" priority="112" stopIfTrue="1">
      <formula>AND($O$46="Met",startSingleorMulti&lt;&gt;"Multi-Unit")</formula>
    </cfRule>
    <cfRule type="expression" dxfId="901" priority="131" stopIfTrue="1">
      <formula>AND($O$46&lt;&gt;"Met",startSingleorMulti&lt;&gt;"Multi-Unit")</formula>
    </cfRule>
  </conditionalFormatting>
  <conditionalFormatting sqref="O47">
    <cfRule type="expression" dxfId="900" priority="76">
      <formula>AND(startSingleorMulti="Multi-Unit",COUNTIF($O$44:$O$48,"Met")&gt;1)</formula>
    </cfRule>
    <cfRule type="expression" dxfId="899" priority="111" stopIfTrue="1">
      <formula>AND($O$47="Met",startSingleorMulti&lt;&gt;"Multi-Unit")</formula>
    </cfRule>
    <cfRule type="expression" dxfId="898" priority="130" stopIfTrue="1">
      <formula>AND($O$47&lt;&gt;"Met",startSingleorMulti&lt;&gt;"Multi-Unit")</formula>
    </cfRule>
  </conditionalFormatting>
  <conditionalFormatting sqref="O48">
    <cfRule type="expression" dxfId="897" priority="75">
      <formula>AND(startSingleorMulti="Multi-Unit",COUNTIF($O$44:$O$48,"Met")&gt;1)</formula>
    </cfRule>
    <cfRule type="expression" dxfId="896" priority="110" stopIfTrue="1">
      <formula>AND($O$48="Met",startSingleorMulti&lt;&gt;"Multi-Unit")</formula>
    </cfRule>
    <cfRule type="expression" dxfId="895" priority="129" stopIfTrue="1">
      <formula>AND($O$48&lt;&gt;"Met",startSingleorMulti&lt;&gt;"Multi-Unit")</formula>
    </cfRule>
  </conditionalFormatting>
  <conditionalFormatting sqref="O55">
    <cfRule type="expression" dxfId="894" priority="74" stopIfTrue="1">
      <formula>AND($O$55="Met", startSingleorMulti&lt;&gt;"Multi-Unit")</formula>
    </cfRule>
    <cfRule type="expression" dxfId="893" priority="105">
      <formula>AND(startSingleorMulti="Multi-Unit",COUNTIF($O$54:$O$61,"Met")&gt;2)</formula>
    </cfRule>
    <cfRule type="expression" dxfId="892" priority="128" stopIfTrue="1">
      <formula>AND($O$55&lt;&gt;"Met",startSingleorMulti&lt;&gt;"Multi-Unit")</formula>
    </cfRule>
  </conditionalFormatting>
  <conditionalFormatting sqref="O56">
    <cfRule type="expression" dxfId="891" priority="73">
      <formula>AND(startSingleorMulti="Multi-Unit",COUNTIF($O$54:$O$61,"Met")&gt;2)</formula>
    </cfRule>
    <cfRule type="expression" dxfId="890" priority="104" stopIfTrue="1">
      <formula>AND($O$56="Met", startSingleorMulti&lt;&gt;"Multi-Unit")</formula>
    </cfRule>
    <cfRule type="expression" dxfId="889" priority="127" stopIfTrue="1">
      <formula>AND($O$56&lt;&gt;"Met",startSingleorMulti&lt;&gt;"Multi-Unit")</formula>
    </cfRule>
  </conditionalFormatting>
  <conditionalFormatting sqref="O57">
    <cfRule type="expression" dxfId="888" priority="72">
      <formula>AND(startSingleorMulti="Multi-Unit",COUNTIF($O$54:$O$61,"Met")&gt;2)</formula>
    </cfRule>
    <cfRule type="expression" dxfId="887" priority="103" stopIfTrue="1">
      <formula>AND($O$57="Met", startSingleorMulti&lt;&gt;"Multi-Unit")</formula>
    </cfRule>
    <cfRule type="expression" dxfId="886" priority="126" stopIfTrue="1">
      <formula>AND($O$57&lt;&gt;"Met",startSingleorMulti&lt;&gt;"Multi-Unit")</formula>
    </cfRule>
  </conditionalFormatting>
  <conditionalFormatting sqref="O58">
    <cfRule type="expression" dxfId="885" priority="71">
      <formula>AND(startSingleorMulti="Multi-Unit",COUNTIF($O$54:$O$61,"Met")&gt;2)</formula>
    </cfRule>
    <cfRule type="expression" dxfId="884" priority="102" stopIfTrue="1">
      <formula>AND($O$58="Met", startSingleorMulti&lt;&gt;"Multi-Unit")</formula>
    </cfRule>
    <cfRule type="expression" dxfId="883" priority="125" stopIfTrue="1">
      <formula>AND($O$58&lt;&gt;"Met",startSingleorMulti&lt;&gt;"Multi-Unit")</formula>
    </cfRule>
  </conditionalFormatting>
  <conditionalFormatting sqref="O59">
    <cfRule type="expression" dxfId="882" priority="70">
      <formula>AND(startSingleorMulti="Multi-Unit",COUNTIF($O$54:$O$61,"Met")&gt;2)</formula>
    </cfRule>
    <cfRule type="expression" dxfId="881" priority="101" stopIfTrue="1">
      <formula>AND($O$59="Met", startSingleorMulti&lt;&gt;"Multi-Unit")</formula>
    </cfRule>
    <cfRule type="expression" dxfId="880" priority="124" stopIfTrue="1">
      <formula>AND($O$59&lt;&gt;"Met",startSingleorMulti&lt;&gt;"Multi-Unit")</formula>
    </cfRule>
  </conditionalFormatting>
  <conditionalFormatting sqref="O60">
    <cfRule type="expression" dxfId="879" priority="69">
      <formula>AND(startSingleorMulti="Multi-Unit",COUNTIF($O$54:$O$61,"Met")&gt;2)</formula>
    </cfRule>
    <cfRule type="expression" dxfId="878" priority="100" stopIfTrue="1">
      <formula>AND($O$60="Met", startSingleorMulti&lt;&gt;"Multi-Unit")</formula>
    </cfRule>
    <cfRule type="expression" dxfId="877" priority="123" stopIfTrue="1">
      <formula>AND($O$60&lt;&gt;"Met",startSingleorMulti&lt;&gt;"Multi-Unit")</formula>
    </cfRule>
  </conditionalFormatting>
  <conditionalFormatting sqref="O61">
    <cfRule type="expression" dxfId="876" priority="68">
      <formula>AND(startSingleorMulti="Multi-Unit",COUNTIF($O$54:$O$61,"Met")&gt;2)</formula>
    </cfRule>
    <cfRule type="expression" dxfId="875" priority="99" stopIfTrue="1">
      <formula>AND($O$61="Met", startSingleorMulti&lt;&gt;"Multi-Unit")</formula>
    </cfRule>
    <cfRule type="expression" dxfId="874" priority="122" stopIfTrue="1">
      <formula>AND($O$61&lt;&gt;"Met",startSingleorMulti&lt;&gt;"Multi-Unit")</formula>
    </cfRule>
  </conditionalFormatting>
  <conditionalFormatting sqref="O66">
    <cfRule type="expression" dxfId="873" priority="67">
      <formula>AND(startSingleorMulti="Multi-Unit",COUNTIF($O$66:$O$73,"Met")&gt;3)</formula>
    </cfRule>
    <cfRule type="expression" dxfId="872" priority="97" stopIfTrue="1">
      <formula>AND($O$66="Met", startSingleorMulti&lt;&gt;"Multi-Unit")</formula>
    </cfRule>
    <cfRule type="expression" dxfId="871" priority="121" stopIfTrue="1">
      <formula>AND($O$66&lt;&gt;"Met",startSingleorMulti&lt;&gt;"Multi-Unit")</formula>
    </cfRule>
  </conditionalFormatting>
  <conditionalFormatting sqref="O67">
    <cfRule type="expression" dxfId="870" priority="66">
      <formula>AND(startSingleorMulti="Multi-Unit",COUNTIF($O$66:$O$73,"Met")&gt;3)</formula>
    </cfRule>
    <cfRule type="expression" dxfId="869" priority="96" stopIfTrue="1">
      <formula>AND($O$67="Met", startSingleorMulti&lt;&gt;"Multi-Unit")</formula>
    </cfRule>
    <cfRule type="expression" dxfId="868" priority="120" stopIfTrue="1">
      <formula>AND($O$67&lt;&gt;"Met",startSingleorMulti&lt;&gt;"Multi-Unit")</formula>
    </cfRule>
  </conditionalFormatting>
  <conditionalFormatting sqref="O68">
    <cfRule type="expression" dxfId="867" priority="65">
      <formula>AND(startSingleorMulti="Multi-Unit",COUNTIF($O$66:$O$73,"Met")&gt;3)</formula>
    </cfRule>
    <cfRule type="expression" dxfId="866" priority="95" stopIfTrue="1">
      <formula>AND($O$68="Met", startSingleorMulti&lt;&gt;"Multi-Unit")</formula>
    </cfRule>
    <cfRule type="expression" dxfId="865" priority="119" stopIfTrue="1">
      <formula>AND($O$68&lt;&gt;"Met",startSingleorMulti&lt;&gt;"Multi-Unit")</formula>
    </cfRule>
  </conditionalFormatting>
  <conditionalFormatting sqref="O69">
    <cfRule type="expression" dxfId="864" priority="64">
      <formula>AND(startSingleorMulti="Multi-Unit",COUNTIF($O$66:$O$73,"Met")&gt;3)</formula>
    </cfRule>
    <cfRule type="expression" dxfId="863" priority="94" stopIfTrue="1">
      <formula>AND($O$69="Met", startSingleorMulti&lt;&gt;"Multi-Unit")</formula>
    </cfRule>
    <cfRule type="expression" dxfId="862" priority="118" stopIfTrue="1">
      <formula>AND($O$69&lt;&gt;"Met",startSingleorMulti&lt;&gt;"Multi-Unit")</formula>
    </cfRule>
  </conditionalFormatting>
  <conditionalFormatting sqref="O70">
    <cfRule type="expression" dxfId="861" priority="63">
      <formula>AND(startSingleorMulti="Multi-Unit",COUNTIF($O$66:$O$73,"Met")&gt;3)</formula>
    </cfRule>
    <cfRule type="expression" dxfId="860" priority="93" stopIfTrue="1">
      <formula>AND($O$70="Met", startSingleorMulti&lt;&gt;"Multi-Unit")</formula>
    </cfRule>
    <cfRule type="expression" dxfId="859" priority="117" stopIfTrue="1">
      <formula>AND($O$70&lt;&gt;"Met",startSingleorMulti&lt;&gt;"Multi-Unit")</formula>
    </cfRule>
  </conditionalFormatting>
  <conditionalFormatting sqref="O71">
    <cfRule type="expression" dxfId="858" priority="62">
      <formula>AND(startSingleorMulti="Multi-Unit",COUNTIF($O$66:$O$73,"Met")&gt;3)</formula>
    </cfRule>
    <cfRule type="expression" dxfId="857" priority="92" stopIfTrue="1">
      <formula>AND($O$71="Met", startSingleorMulti&lt;&gt;"Multi-Unit")</formula>
    </cfRule>
    <cfRule type="expression" dxfId="856" priority="116" stopIfTrue="1">
      <formula>AND($O$71&lt;&gt;"Met",startSingleorMulti&lt;&gt;"Multi-Unit")</formula>
    </cfRule>
  </conditionalFormatting>
  <conditionalFormatting sqref="O72">
    <cfRule type="expression" dxfId="855" priority="61">
      <formula>AND(startSingleorMulti="Multi-Unit",COUNTIF($O$66:$O$73,"Met")&gt;3)</formula>
    </cfRule>
    <cfRule type="expression" dxfId="854" priority="91" stopIfTrue="1">
      <formula>AND($O$72="Met", startSingleorMulti&lt;&gt;"Multi-Unit")</formula>
    </cfRule>
    <cfRule type="expression" dxfId="853" priority="115" stopIfTrue="1">
      <formula>AND($O$72&lt;&gt;"Met",startSingleorMulti&lt;&gt;"Multi-Unit")</formula>
    </cfRule>
  </conditionalFormatting>
  <conditionalFormatting sqref="O73">
    <cfRule type="expression" dxfId="852" priority="60">
      <formula>AND(startSingleorMulti="Multi-Unit",COUNTIF($O$66:$O$73,"Met")&gt;3)</formula>
    </cfRule>
    <cfRule type="expression" dxfId="851" priority="90" stopIfTrue="1">
      <formula>AND($O$73="Met", startSingleorMulti&lt;&gt;"Multi-Unit")</formula>
    </cfRule>
    <cfRule type="expression" dxfId="850" priority="114" stopIfTrue="1">
      <formula>AND($O$73&lt;&gt;"Met",startSingleorMulti&lt;&gt;"Multi-Unit")</formula>
    </cfRule>
  </conditionalFormatting>
  <conditionalFormatting sqref="O49:O51">
    <cfRule type="expression" dxfId="849" priority="82" stopIfTrue="1">
      <formula>AND(startSingleorMulti&lt;&gt;"Multi-Unit",COUNTBLANK(claim1003.2_man)=10)</formula>
    </cfRule>
    <cfRule type="expression" dxfId="848" priority="86" stopIfTrue="1">
      <formula>AND(startSingleorMulti&lt;&gt;"Multi-Unit",COUNTIF(claim1003.2_man,"&lt;&gt;NULL")&gt;0)</formula>
    </cfRule>
    <cfRule type="expression" dxfId="847" priority="109" stopIfTrue="1">
      <formula>AND(startSingleorMulti="Multi-Unit",COUNTIF(claim1003.2_man,"&lt;&gt;Met")&lt;6, AND(O52="Met",O53="Met"))</formula>
    </cfRule>
  </conditionalFormatting>
  <conditionalFormatting sqref="O62:O64">
    <cfRule type="expression" dxfId="846" priority="81" stopIfTrue="1">
      <formula>AND(startSingleorMulti&lt;&gt;"Multi-Unit",COUNTBLANK(claim1003.3_man)=9)</formula>
    </cfRule>
    <cfRule type="expression" dxfId="845" priority="85" stopIfTrue="1">
      <formula>AND(startSingleorMulti&lt;&gt;"Multi-Unit",COUNTIF(claim1003.3_man,"&lt;&gt;NULL")&gt;0)</formula>
    </cfRule>
    <cfRule type="expression" dxfId="844" priority="98" stopIfTrue="1">
      <formula>AND(startSingleorMulti="Multi-Unit",COUNTIF(claim1003.3_man,"&lt;&gt;Met")&lt;5, O65="Met")</formula>
    </cfRule>
  </conditionalFormatting>
  <conditionalFormatting sqref="O4">
    <cfRule type="expression" dxfId="843" priority="89" stopIfTrue="1">
      <formula>$O$4="Not Met"</formula>
    </cfRule>
  </conditionalFormatting>
  <conditionalFormatting sqref="O3">
    <cfRule type="expression" dxfId="842" priority="88" stopIfTrue="1">
      <formula>$O$3="Not Met"</formula>
    </cfRule>
  </conditionalFormatting>
  <conditionalFormatting sqref="O13">
    <cfRule type="expression" dxfId="841" priority="57" stopIfTrue="1">
      <formula>AND($O$13="Met", startSingleorMulti&lt;&gt;"Single-Family")</formula>
    </cfRule>
    <cfRule type="expression" dxfId="840" priority="58" stopIfTrue="1">
      <formula>$O$13="Met"</formula>
    </cfRule>
    <cfRule type="expression" dxfId="839" priority="59" stopIfTrue="1">
      <formula>startSingleorMulti&lt;&gt;"Single-Family"</formula>
    </cfRule>
  </conditionalFormatting>
  <conditionalFormatting sqref="O14">
    <cfRule type="expression" dxfId="838" priority="54" stopIfTrue="1">
      <formula>AND($O$14="Met", startSingleorMulti&lt;&gt;"Single-Family")</formula>
    </cfRule>
    <cfRule type="expression" dxfId="837" priority="55" stopIfTrue="1">
      <formula>$O$14="Met"</formula>
    </cfRule>
    <cfRule type="expression" dxfId="836" priority="56" stopIfTrue="1">
      <formula>startSingleorMulti&lt;&gt;"Single-Family"</formula>
    </cfRule>
  </conditionalFormatting>
  <conditionalFormatting sqref="P12:R12">
    <cfRule type="beginsWith" dxfId="835" priority="53" operator="beginsWith" text="*">
      <formula>LEFT(P12,LEN("*"))="*"</formula>
    </cfRule>
  </conditionalFormatting>
  <conditionalFormatting sqref="P13">
    <cfRule type="beginsWith" dxfId="834" priority="52" operator="beginsWith" text="*">
      <formula>LEFT(P13,LEN("*"))="*"</formula>
    </cfRule>
  </conditionalFormatting>
  <conditionalFormatting sqref="P14:R14">
    <cfRule type="beginsWith" dxfId="833" priority="51" operator="beginsWith" text="*">
      <formula>LEFT(P14,LEN("*"))="*"</formula>
    </cfRule>
  </conditionalFormatting>
  <conditionalFormatting sqref="P15:R15">
    <cfRule type="beginsWith" dxfId="832" priority="50" operator="beginsWith" text="*">
      <formula>LEFT(P15,LEN("*"))="*"</formula>
    </cfRule>
  </conditionalFormatting>
  <conditionalFormatting sqref="P16:R16">
    <cfRule type="beginsWith" dxfId="831" priority="49" operator="beginsWith" text="*">
      <formula>LEFT(P16,LEN("*"))="*"</formula>
    </cfRule>
  </conditionalFormatting>
  <conditionalFormatting sqref="P17:R17">
    <cfRule type="beginsWith" dxfId="830" priority="48" operator="beginsWith" text="*">
      <formula>LEFT(P17,LEN("*"))="*"</formula>
    </cfRule>
  </conditionalFormatting>
  <conditionalFormatting sqref="P18:R18">
    <cfRule type="beginsWith" dxfId="829" priority="47" operator="beginsWith" text="*">
      <formula>LEFT(P18,LEN("*"))="*"</formula>
    </cfRule>
  </conditionalFormatting>
  <conditionalFormatting sqref="P19:R19">
    <cfRule type="beginsWith" dxfId="828" priority="46" operator="beginsWith" text="*">
      <formula>LEFT(P19,LEN("*"))="*"</formula>
    </cfRule>
  </conditionalFormatting>
  <conditionalFormatting sqref="P20:R20">
    <cfRule type="beginsWith" dxfId="827" priority="45" operator="beginsWith" text="*">
      <formula>LEFT(P20,LEN("*"))="*"</formula>
    </cfRule>
  </conditionalFormatting>
  <conditionalFormatting sqref="P21:R21">
    <cfRule type="beginsWith" dxfId="826" priority="44" operator="beginsWith" text="*">
      <formula>LEFT(P21,LEN("*"))="*"</formula>
    </cfRule>
  </conditionalFormatting>
  <conditionalFormatting sqref="P22:R22">
    <cfRule type="beginsWith" dxfId="825" priority="43" operator="beginsWith" text="*">
      <formula>LEFT(P22,LEN("*"))="*"</formula>
    </cfRule>
  </conditionalFormatting>
  <conditionalFormatting sqref="P23:R23">
    <cfRule type="beginsWith" dxfId="824" priority="42" operator="beginsWith" text="*">
      <formula>LEFT(P23,LEN("*"))="*"</formula>
    </cfRule>
  </conditionalFormatting>
  <conditionalFormatting sqref="P24:R24">
    <cfRule type="beginsWith" dxfId="823" priority="41" operator="beginsWith" text="*">
      <formula>LEFT(P24,LEN("*"))="*"</formula>
    </cfRule>
  </conditionalFormatting>
  <conditionalFormatting sqref="P25:R25">
    <cfRule type="beginsWith" dxfId="822" priority="40" operator="beginsWith" text="*">
      <formula>LEFT(P25,LEN("*"))="*"</formula>
    </cfRule>
  </conditionalFormatting>
  <conditionalFormatting sqref="P26:R26">
    <cfRule type="beginsWith" dxfId="821" priority="39" operator="beginsWith" text="*">
      <formula>LEFT(P26,LEN("*"))="*"</formula>
    </cfRule>
  </conditionalFormatting>
  <conditionalFormatting sqref="P27:R27">
    <cfRule type="beginsWith" dxfId="820" priority="38" operator="beginsWith" text="*">
      <formula>LEFT(P27,LEN("*"))="*"</formula>
    </cfRule>
  </conditionalFormatting>
  <conditionalFormatting sqref="P28:R28">
    <cfRule type="beginsWith" dxfId="819" priority="37" operator="beginsWith" text="*">
      <formula>LEFT(P28,LEN("*"))="*"</formula>
    </cfRule>
  </conditionalFormatting>
  <conditionalFormatting sqref="P29:R29">
    <cfRule type="beginsWith" dxfId="818" priority="36" operator="beginsWith" text="*">
      <formula>LEFT(P29,LEN("*"))="*"</formula>
    </cfRule>
  </conditionalFormatting>
  <conditionalFormatting sqref="P30:R30">
    <cfRule type="beginsWith" dxfId="817" priority="35" operator="beginsWith" text="*">
      <formula>LEFT(P30,LEN("*"))="*"</formula>
    </cfRule>
  </conditionalFormatting>
  <conditionalFormatting sqref="P31:R31 P32:P33">
    <cfRule type="beginsWith" dxfId="816" priority="34" operator="beginsWith" text="*">
      <formula>LEFT(P31,LEN("*"))="*"</formula>
    </cfRule>
  </conditionalFormatting>
  <conditionalFormatting sqref="O54">
    <cfRule type="expression" dxfId="815" priority="31">
      <formula>AND(startSingleorMulti="Multi-Unit",COUNTIF($O$54:$O$61,"Met")&gt;2)</formula>
    </cfRule>
    <cfRule type="expression" dxfId="814" priority="32" stopIfTrue="1">
      <formula>AND($O$54="Met", startSingleorMulti&lt;&gt;"Multi-Unit")</formula>
    </cfRule>
    <cfRule type="expression" dxfId="813" priority="33" stopIfTrue="1">
      <formula>AND($O$54&lt;&gt;"Met",startSingleorMulti&lt;&gt;"Multi-Unit")</formula>
    </cfRule>
  </conditionalFormatting>
  <conditionalFormatting sqref="P35:R35">
    <cfRule type="beginsWith" dxfId="812" priority="30" operator="beginsWith" text="*">
      <formula>LEFT(P35,LEN("*"))="*"</formula>
    </cfRule>
  </conditionalFormatting>
  <conditionalFormatting sqref="P41:R41">
    <cfRule type="beginsWith" dxfId="811" priority="29" operator="beginsWith" text="*">
      <formula>LEFT(P41,LEN("*"))="*"</formula>
    </cfRule>
  </conditionalFormatting>
  <conditionalFormatting sqref="P42:R42">
    <cfRule type="beginsWith" dxfId="810" priority="28" operator="beginsWith" text="*">
      <formula>LEFT(P42,LEN("*"))="*"</formula>
    </cfRule>
  </conditionalFormatting>
  <conditionalFormatting sqref="P43:R43">
    <cfRule type="beginsWith" dxfId="809" priority="27" operator="beginsWith" text="*">
      <formula>LEFT(P43,LEN("*"))="*"</formula>
    </cfRule>
  </conditionalFormatting>
  <conditionalFormatting sqref="P44:R44">
    <cfRule type="beginsWith" dxfId="808" priority="26" operator="beginsWith" text="*">
      <formula>LEFT(P44,LEN("*"))="*"</formula>
    </cfRule>
  </conditionalFormatting>
  <conditionalFormatting sqref="P45:R45">
    <cfRule type="beginsWith" dxfId="807" priority="25" operator="beginsWith" text="*">
      <formula>LEFT(P45,LEN("*"))="*"</formula>
    </cfRule>
  </conditionalFormatting>
  <conditionalFormatting sqref="P46:R46">
    <cfRule type="beginsWith" dxfId="806" priority="24" operator="beginsWith" text="*">
      <formula>LEFT(P46,LEN("*"))="*"</formula>
    </cfRule>
  </conditionalFormatting>
  <conditionalFormatting sqref="P47:R47">
    <cfRule type="beginsWith" dxfId="805" priority="23" operator="beginsWith" text="*">
      <formula>LEFT(P47,LEN("*"))="*"</formula>
    </cfRule>
  </conditionalFormatting>
  <conditionalFormatting sqref="P48:R48">
    <cfRule type="beginsWith" dxfId="804" priority="22" operator="beginsWith" text="*">
      <formula>LEFT(P48,LEN("*"))="*"</formula>
    </cfRule>
  </conditionalFormatting>
  <conditionalFormatting sqref="P52:R52">
    <cfRule type="beginsWith" dxfId="803" priority="21" operator="beginsWith" text="*">
      <formula>LEFT(P52,LEN("*"))="*"</formula>
    </cfRule>
  </conditionalFormatting>
  <conditionalFormatting sqref="P53:R53">
    <cfRule type="beginsWith" dxfId="802" priority="20" operator="beginsWith" text="*">
      <formula>LEFT(P53,LEN("*"))="*"</formula>
    </cfRule>
  </conditionalFormatting>
  <conditionalFormatting sqref="P54:R54">
    <cfRule type="beginsWith" dxfId="801" priority="19" operator="beginsWith" text="*">
      <formula>LEFT(P54,LEN("*"))="*"</formula>
    </cfRule>
  </conditionalFormatting>
  <conditionalFormatting sqref="P55:R55">
    <cfRule type="beginsWith" dxfId="800" priority="18" operator="beginsWith" text="*">
      <formula>LEFT(P55,LEN("*"))="*"</formula>
    </cfRule>
  </conditionalFormatting>
  <conditionalFormatting sqref="P56:R56">
    <cfRule type="beginsWith" dxfId="799" priority="17" operator="beginsWith" text="*">
      <formula>LEFT(P56,LEN("*"))="*"</formula>
    </cfRule>
  </conditionalFormatting>
  <conditionalFormatting sqref="P57:R57">
    <cfRule type="beginsWith" dxfId="798" priority="16" operator="beginsWith" text="*">
      <formula>LEFT(P57,LEN("*"))="*"</formula>
    </cfRule>
  </conditionalFormatting>
  <conditionalFormatting sqref="P58:R58">
    <cfRule type="beginsWith" dxfId="797" priority="15" operator="beginsWith" text="*">
      <formula>LEFT(P58,LEN("*"))="*"</formula>
    </cfRule>
  </conditionalFormatting>
  <conditionalFormatting sqref="P59:R59">
    <cfRule type="beginsWith" dxfId="796" priority="14" operator="beginsWith" text="*">
      <formula>LEFT(P59,LEN("*"))="*"</formula>
    </cfRule>
  </conditionalFormatting>
  <conditionalFormatting sqref="P60:R60">
    <cfRule type="beginsWith" dxfId="795" priority="13" operator="beginsWith" text="*">
      <formula>LEFT(P60,LEN("*"))="*"</formula>
    </cfRule>
  </conditionalFormatting>
  <conditionalFormatting sqref="P61:R61">
    <cfRule type="beginsWith" dxfId="794" priority="12" operator="beginsWith" text="*">
      <formula>LEFT(P61,LEN("*"))="*"</formula>
    </cfRule>
  </conditionalFormatting>
  <conditionalFormatting sqref="P65:R65">
    <cfRule type="beginsWith" dxfId="793" priority="11" operator="beginsWith" text="*">
      <formula>LEFT(P65,LEN("*"))="*"</formula>
    </cfRule>
  </conditionalFormatting>
  <conditionalFormatting sqref="P66:R66">
    <cfRule type="beginsWith" dxfId="792" priority="10" operator="beginsWith" text="*">
      <formula>LEFT(P66,LEN("*"))="*"</formula>
    </cfRule>
  </conditionalFormatting>
  <conditionalFormatting sqref="P67:R67">
    <cfRule type="beginsWith" dxfId="791" priority="9" operator="beginsWith" text="*">
      <formula>LEFT(P67,LEN("*"))="*"</formula>
    </cfRule>
  </conditionalFormatting>
  <conditionalFormatting sqref="P68:R68">
    <cfRule type="beginsWith" dxfId="790" priority="8" operator="beginsWith" text="*">
      <formula>LEFT(P68,LEN("*"))="*"</formula>
    </cfRule>
  </conditionalFormatting>
  <conditionalFormatting sqref="P69:R69">
    <cfRule type="beginsWith" dxfId="789" priority="7" operator="beginsWith" text="*">
      <formula>LEFT(P69,LEN("*"))="*"</formula>
    </cfRule>
  </conditionalFormatting>
  <conditionalFormatting sqref="P70:R70">
    <cfRule type="beginsWith" dxfId="788" priority="6" operator="beginsWith" text="*">
      <formula>LEFT(P70,LEN("*"))="*"</formula>
    </cfRule>
  </conditionalFormatting>
  <conditionalFormatting sqref="P71:R71">
    <cfRule type="beginsWith" dxfId="787" priority="5" operator="beginsWith" text="*">
      <formula>LEFT(P71,LEN("*"))="*"</formula>
    </cfRule>
  </conditionalFormatting>
  <conditionalFormatting sqref="P72:R72">
    <cfRule type="beginsWith" dxfId="786" priority="4" operator="beginsWith" text="*">
      <formula>LEFT(P72,LEN("*"))="*"</formula>
    </cfRule>
  </conditionalFormatting>
  <conditionalFormatting sqref="P73:R73">
    <cfRule type="beginsWith" dxfId="785" priority="3" operator="beginsWith" text="*">
      <formula>LEFT(P73,LEN("*"))="*"</formula>
    </cfRule>
  </conditionalFormatting>
  <conditionalFormatting sqref="O31">
    <cfRule type="expression" dxfId="784" priority="142" stopIfTrue="1">
      <formula>AND($O$31="Met", startSingleorMulti&lt;&gt;"Single-Family")</formula>
    </cfRule>
    <cfRule type="expression" dxfId="783" priority="156" stopIfTrue="1">
      <formula>AND($O$31&lt;&gt;"Met", startSingleorMulti&lt;&gt;"Single-Family")</formula>
    </cfRule>
  </conditionalFormatting>
  <conditionalFormatting sqref="O32:O33">
    <cfRule type="expression" dxfId="782" priority="1" stopIfTrue="1">
      <formula>AND($O$32="Met", startSingleorMulti&lt;&gt;"Single-Family")</formula>
    </cfRule>
    <cfRule type="expression" dxfId="781" priority="2" stopIfTrue="1">
      <formula>AND($O$32&lt;&gt;"Met", startSingleorMulti&lt;&gt;"Single-Family")</formula>
    </cfRule>
  </conditionalFormatting>
  <dataValidations count="6">
    <dataValidation type="whole" operator="equal" allowBlank="1" showInputMessage="1" showErrorMessage="1" errorTitle="Invalid value" error="Leave cell blank or enter the number 8." sqref="O35" xr:uid="{00000000-0002-0000-0600-000000000000}">
      <formula1>8</formula1>
    </dataValidation>
    <dataValidation type="list" errorStyle="warning" allowBlank="1" showInputMessage="1" showErrorMessage="1" errorTitle="Invalid Entry" error="Select an option from the dropdown list provided." sqref="O65 O41:O43 O52:O53" xr:uid="{00000000-0002-0000-0600-000001000000}">
      <formula1>ddMetNotMet</formula1>
    </dataValidation>
    <dataValidation type="list" allowBlank="1" showInputMessage="1" showErrorMessage="1" errorTitle="Invalid Entry" error="Select an option from the dropdown list provided." sqref="O54:O61 O66:O73 O44:O48 O15:O33" xr:uid="{00000000-0002-0000-0600-000002000000}">
      <formula1>ddMetNotMet</formula1>
    </dataValidation>
    <dataValidation type="list" allowBlank="1" showInputMessage="1" showErrorMessage="1" errorTitle="Invalid Entry" error="Select an option from the dropdown list provided." sqref="O12" xr:uid="{00000000-0002-0000-0600-000003000000}">
      <formula1>dd1001.1_1</formula1>
    </dataValidation>
    <dataValidation type="list" allowBlank="1" showInputMessage="1" showErrorMessage="1" errorTitle="Invalid Entry" error="Select an option from the dropdown list provided." sqref="O13" xr:uid="{00000000-0002-0000-0600-000004000000}">
      <formula1>dd1001.1_2</formula1>
    </dataValidation>
    <dataValidation type="list" allowBlank="1" showInputMessage="1" showErrorMessage="1" errorTitle="Invalid Entry" error="Select an option from the dropdown list provided." sqref="O14" xr:uid="{00000000-0002-0000-0600-000005000000}">
      <formula1>dd1001.1_3</formula1>
    </dataValidation>
  </dataValidation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1:Y513"/>
  <sheetViews>
    <sheetView showZeros="0" topLeftCell="C1" zoomScaleNormal="100" workbookViewId="0">
      <pane ySplit="10" topLeftCell="A11" activePane="bottomLeft" state="frozen"/>
      <selection activeCell="N10" sqref="N10:N12"/>
      <selection pane="bottomLeft" activeCell="G9" sqref="G9"/>
    </sheetView>
  </sheetViews>
  <sheetFormatPr baseColWidth="10" defaultColWidth="9.1640625" defaultRowHeight="15"/>
  <cols>
    <col min="1" max="1" width="4.5" style="28" hidden="1" customWidth="1"/>
    <col min="2" max="2" width="5.5" style="28" hidden="1" customWidth="1"/>
    <col min="3" max="3" width="77.5" style="28" bestFit="1" customWidth="1"/>
    <col min="4" max="4" width="19.1640625" style="278" bestFit="1" customWidth="1"/>
    <col min="5" max="5" width="14.83203125" style="279" customWidth="1"/>
    <col min="6" max="6" width="30.6640625" style="162" customWidth="1"/>
    <col min="7" max="7" width="45.5" style="28" customWidth="1"/>
    <col min="8" max="8" width="9.1640625" style="28" customWidth="1"/>
    <col min="9" max="23" width="9.1640625" style="28"/>
    <col min="24" max="25" width="0" style="28" hidden="1" customWidth="1"/>
    <col min="26" max="16384" width="9.1640625" style="28"/>
  </cols>
  <sheetData>
    <row r="1" spans="3:25" ht="45" customHeight="1">
      <c r="C1" s="1612"/>
      <c r="D1" s="3491">
        <v>2012</v>
      </c>
      <c r="E1" s="3491"/>
      <c r="F1" s="1626" t="str">
        <f>CONCATENATE("Revised ",TEXT(startRevisionDate,"mmmm dd, yyyy"))</f>
        <v>Revised January 26, 2018</v>
      </c>
      <c r="G1" s="1627"/>
      <c r="H1" s="196">
        <f>SUBTOTAL(3,C11:G512)</f>
        <v>1497</v>
      </c>
      <c r="X1" s="197" t="s">
        <v>444</v>
      </c>
      <c r="Y1" s="198" t="str">
        <f>finalLevelReached</f>
        <v>Nothing</v>
      </c>
    </row>
    <row r="2" spans="3:25" ht="49.5" customHeight="1" thickBot="1">
      <c r="C2" s="1613" t="s">
        <v>2254</v>
      </c>
      <c r="D2" s="2272"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2272"/>
      <c r="F2" s="2272"/>
      <c r="G2" s="2272"/>
    </row>
    <row r="3" spans="3:25" ht="18.75" customHeight="1" thickBot="1">
      <c r="C3" s="3437" t="s">
        <v>445</v>
      </c>
      <c r="D3" s="3438"/>
      <c r="E3" s="3438"/>
      <c r="F3" s="3438"/>
      <c r="G3" s="3438"/>
    </row>
    <row r="4" spans="3:25">
      <c r="C4" s="199" t="s">
        <v>446</v>
      </c>
      <c r="D4" s="3439" t="str">
        <f>IF(startBuilderName="","",startBuilderName)</f>
        <v/>
      </c>
      <c r="E4" s="3439"/>
      <c r="F4" s="200" t="s">
        <v>447</v>
      </c>
      <c r="G4" s="544" t="str">
        <f>IF(startBuilderPhone="", "", startBuilderPhone)</f>
        <v/>
      </c>
    </row>
    <row r="5" spans="3:25" ht="30" customHeight="1">
      <c r="C5" s="201" t="s">
        <v>448</v>
      </c>
      <c r="D5" s="3447" t="str">
        <f>IF(startHomeAddress="", "", CONCATENATE(startHomeAddress, ", ", startHomeCity, ", ", startHomeCity, " ", startHomeZip))</f>
        <v/>
      </c>
      <c r="E5" s="3447"/>
      <c r="F5" s="202" t="s">
        <v>449</v>
      </c>
      <c r="G5" s="543" t="str">
        <f>IF(startSingleorMulti="", "", startSingleorMulti)</f>
        <v/>
      </c>
    </row>
    <row r="6" spans="3:25">
      <c r="C6" s="199" t="s">
        <v>155</v>
      </c>
      <c r="D6" s="3443" t="str">
        <f>IF(startLot="", "", startLot)</f>
        <v/>
      </c>
      <c r="E6" s="3443"/>
      <c r="F6" s="201" t="s">
        <v>450</v>
      </c>
      <c r="G6" s="543" t="str">
        <f>IF(startMultiUnits="", "", startMultiUnits)</f>
        <v/>
      </c>
    </row>
    <row r="7" spans="3:25">
      <c r="C7" s="199" t="s">
        <v>451</v>
      </c>
      <c r="D7" s="3443" t="str">
        <f>IF(startClimateZone="", "", startClimateZone)</f>
        <v/>
      </c>
      <c r="E7" s="3443"/>
      <c r="F7" s="201" t="s">
        <v>159</v>
      </c>
      <c r="G7" s="543" t="str">
        <f>IF(startSquareFootage="", "", startSquareFootage)</f>
        <v/>
      </c>
    </row>
    <row r="8" spans="3:25">
      <c r="C8" s="948" t="s">
        <v>1565</v>
      </c>
      <c r="D8" s="3462">
        <f>startCounty</f>
        <v>0</v>
      </c>
      <c r="E8" s="3462"/>
      <c r="F8" s="201" t="s">
        <v>453</v>
      </c>
      <c r="G8" s="543">
        <f>startProjectDesc</f>
        <v>0</v>
      </c>
    </row>
    <row r="9" spans="3:25" ht="17" thickBot="1">
      <c r="C9" s="203" t="str">
        <f>IF(H1&lt;1484, "Filtering is on. Clear the filter to see the entire Designer's Report.", "")</f>
        <v/>
      </c>
      <c r="D9" s="204"/>
      <c r="E9" s="28"/>
      <c r="F9" s="199" t="s">
        <v>452</v>
      </c>
      <c r="G9" s="920" t="str">
        <f>IF(startHERSIndex="","Not entered",startHERSIndex)</f>
        <v>Not entered</v>
      </c>
      <c r="H9"/>
    </row>
    <row r="10" spans="3:25" ht="33" thickTop="1">
      <c r="C10" s="205" t="s">
        <v>454</v>
      </c>
      <c r="D10" s="206" t="s">
        <v>13</v>
      </c>
      <c r="E10" s="206" t="s">
        <v>14</v>
      </c>
      <c r="F10" s="3454" t="s">
        <v>1921</v>
      </c>
      <c r="G10" s="3455"/>
    </row>
    <row r="11" spans="3:25">
      <c r="C11" s="3444" t="s">
        <v>455</v>
      </c>
      <c r="D11" s="3445"/>
      <c r="E11" s="3445"/>
      <c r="F11" s="3445"/>
      <c r="G11" s="3446"/>
    </row>
    <row r="12" spans="3:25" ht="16" thickBot="1">
      <c r="C12" s="3444" t="s">
        <v>456</v>
      </c>
      <c r="D12" s="3445"/>
      <c r="E12" s="3445"/>
      <c r="F12" s="3445"/>
      <c r="G12" s="3446"/>
    </row>
    <row r="13" spans="3:25" ht="31" thickTop="1">
      <c r="C13" s="209" t="s">
        <v>1002</v>
      </c>
      <c r="D13" s="210"/>
      <c r="E13" s="210"/>
      <c r="F13" s="3448"/>
      <c r="G13" s="3449"/>
    </row>
    <row r="14" spans="3:25" ht="30">
      <c r="C14" s="207" t="s">
        <v>1003</v>
      </c>
      <c r="D14" s="996">
        <v>4</v>
      </c>
      <c r="E14" s="994">
        <f>claim501.2_1</f>
        <v>0</v>
      </c>
      <c r="F14" s="3294">
        <f>note501.2_1</f>
        <v>0</v>
      </c>
      <c r="G14" s="3295"/>
    </row>
    <row r="15" spans="3:25" ht="30">
      <c r="C15" s="207" t="s">
        <v>1004</v>
      </c>
      <c r="D15" s="996">
        <v>5</v>
      </c>
      <c r="E15" s="994">
        <f>claim501.2_2</f>
        <v>0</v>
      </c>
      <c r="F15" s="3294">
        <f>note501.2_2</f>
        <v>0</v>
      </c>
      <c r="G15" s="3295"/>
    </row>
    <row r="16" spans="3:25" ht="60">
      <c r="C16" s="1109" t="s">
        <v>1005</v>
      </c>
      <c r="D16" s="1103">
        <v>4</v>
      </c>
      <c r="E16" s="208">
        <f>claim501.2_3</f>
        <v>0</v>
      </c>
      <c r="F16" s="3294">
        <f>note501.2_3</f>
        <v>0</v>
      </c>
      <c r="G16" s="3295"/>
    </row>
    <row r="17" spans="3:7" ht="45">
      <c r="C17" s="1109" t="s">
        <v>1006</v>
      </c>
      <c r="D17" s="1103">
        <v>5</v>
      </c>
      <c r="E17" s="208">
        <f>claim501.2_3</f>
        <v>0</v>
      </c>
      <c r="F17" s="3334">
        <f>note501.2_4</f>
        <v>0</v>
      </c>
      <c r="G17" s="3335"/>
    </row>
    <row r="18" spans="3:7">
      <c r="C18" s="3291" t="s">
        <v>457</v>
      </c>
      <c r="D18" s="3292"/>
      <c r="E18" s="3292"/>
      <c r="F18" s="3292"/>
      <c r="G18" s="3293"/>
    </row>
    <row r="19" spans="3:7" ht="45">
      <c r="C19" s="211" t="s">
        <v>1007</v>
      </c>
      <c r="D19" s="1104">
        <v>4</v>
      </c>
      <c r="E19" s="212">
        <f>claim502.1</f>
        <v>0</v>
      </c>
      <c r="F19" s="3348">
        <f>note502.1</f>
        <v>0</v>
      </c>
      <c r="G19" s="3349"/>
    </row>
    <row r="20" spans="3:7">
      <c r="C20" s="3291" t="s">
        <v>458</v>
      </c>
      <c r="D20" s="3292"/>
      <c r="E20" s="3292"/>
      <c r="F20" s="3292"/>
      <c r="G20" s="3293"/>
    </row>
    <row r="21" spans="3:7" ht="30" customHeight="1">
      <c r="C21" s="213" t="s">
        <v>1008</v>
      </c>
      <c r="D21" s="214"/>
      <c r="E21" s="214"/>
      <c r="F21" s="3456"/>
      <c r="G21" s="3457"/>
    </row>
    <row r="22" spans="3:7" ht="30" customHeight="1">
      <c r="C22" s="207" t="s">
        <v>1009</v>
      </c>
      <c r="D22" s="996">
        <v>5</v>
      </c>
      <c r="E22" s="994">
        <f>claim503.1_1</f>
        <v>0</v>
      </c>
      <c r="F22" s="3294">
        <f>note503.1_1</f>
        <v>0</v>
      </c>
      <c r="G22" s="3295"/>
    </row>
    <row r="23" spans="3:7" ht="30" customHeight="1">
      <c r="C23" s="207" t="s">
        <v>1010</v>
      </c>
      <c r="D23" s="996">
        <v>6</v>
      </c>
      <c r="E23" s="994">
        <f>claim503.1_2</f>
        <v>0</v>
      </c>
      <c r="F23" s="3294">
        <f>note503.1_2</f>
        <v>0</v>
      </c>
      <c r="G23" s="3295"/>
    </row>
    <row r="24" spans="3:7" ht="30" customHeight="1">
      <c r="C24" s="207" t="s">
        <v>1011</v>
      </c>
      <c r="D24" s="996">
        <v>4</v>
      </c>
      <c r="E24" s="994">
        <f>claim503.1_3</f>
        <v>0</v>
      </c>
      <c r="F24" s="3294">
        <f>note503.1_3</f>
        <v>0</v>
      </c>
      <c r="G24" s="3295"/>
    </row>
    <row r="25" spans="3:7" ht="30" customHeight="1">
      <c r="C25" s="207" t="s">
        <v>1012</v>
      </c>
      <c r="D25" s="996">
        <v>4</v>
      </c>
      <c r="E25" s="994">
        <f>claim503.1_4</f>
        <v>0</v>
      </c>
      <c r="F25" s="3294">
        <f>note503.1_4</f>
        <v>0</v>
      </c>
      <c r="G25" s="3295"/>
    </row>
    <row r="26" spans="3:7" ht="15" customHeight="1">
      <c r="C26" s="207" t="s">
        <v>1013</v>
      </c>
      <c r="D26" s="996">
        <v>3</v>
      </c>
      <c r="E26" s="994">
        <f>claim503.1_5</f>
        <v>0</v>
      </c>
      <c r="F26" s="3294">
        <f>note503.1_5</f>
        <v>0</v>
      </c>
      <c r="G26" s="3295"/>
    </row>
    <row r="27" spans="3:7" ht="30" customHeight="1">
      <c r="C27" s="1109" t="s">
        <v>1014</v>
      </c>
      <c r="D27" s="1103">
        <v>4</v>
      </c>
      <c r="E27" s="208">
        <f>claim503.1_6</f>
        <v>0</v>
      </c>
      <c r="F27" s="3294">
        <f>note503.1_6</f>
        <v>0</v>
      </c>
      <c r="G27" s="3295"/>
    </row>
    <row r="28" spans="3:7" ht="30" customHeight="1" thickBot="1">
      <c r="C28" s="1109" t="s">
        <v>1015</v>
      </c>
      <c r="D28" s="1103">
        <v>5</v>
      </c>
      <c r="E28" s="208">
        <f>claim503.1_7</f>
        <v>0</v>
      </c>
      <c r="F28" s="3334">
        <f>note503.1_7</f>
        <v>0</v>
      </c>
      <c r="G28" s="3335"/>
    </row>
    <row r="29" spans="3:7" s="191" customFormat="1" ht="16" thickTop="1">
      <c r="C29" s="215" t="s">
        <v>1016</v>
      </c>
      <c r="D29" s="210"/>
      <c r="E29" s="210"/>
      <c r="F29" s="3448"/>
      <c r="G29" s="3449"/>
    </row>
    <row r="30" spans="3:7" ht="30" customHeight="1">
      <c r="C30" s="207" t="s">
        <v>1017</v>
      </c>
      <c r="D30" s="1011">
        <v>5</v>
      </c>
      <c r="E30" s="1042">
        <f>claim503.2_1</f>
        <v>0</v>
      </c>
      <c r="F30" s="3450">
        <f>note503.2_1</f>
        <v>0</v>
      </c>
      <c r="G30" s="3451"/>
    </row>
    <row r="31" spans="3:7" ht="30" customHeight="1">
      <c r="C31" s="207" t="s">
        <v>1018</v>
      </c>
      <c r="D31" s="996">
        <v>4</v>
      </c>
      <c r="E31" s="994">
        <f>claim503.2_2</f>
        <v>0</v>
      </c>
      <c r="F31" s="3294">
        <f>note503.2_2</f>
        <v>0</v>
      </c>
      <c r="G31" s="3295"/>
    </row>
    <row r="32" spans="3:7" ht="30">
      <c r="C32" s="207" t="s">
        <v>1019</v>
      </c>
      <c r="D32" s="1012"/>
      <c r="E32" s="1012"/>
      <c r="F32" s="3303"/>
      <c r="G32" s="3304"/>
    </row>
    <row r="33" spans="3:7" ht="15" customHeight="1">
      <c r="C33" s="216" t="s">
        <v>1020</v>
      </c>
      <c r="D33" s="996">
        <v>3</v>
      </c>
      <c r="E33" s="994" t="str">
        <f>IF(claim503.2_3=3,3,"")</f>
        <v/>
      </c>
      <c r="F33" s="3334">
        <f>note503.2_3</f>
        <v>0</v>
      </c>
      <c r="G33" s="3335"/>
    </row>
    <row r="34" spans="3:7" ht="15" customHeight="1">
      <c r="C34" s="216" t="s">
        <v>1021</v>
      </c>
      <c r="D34" s="996">
        <v>4</v>
      </c>
      <c r="E34" s="994" t="str">
        <f>IF(claim503.2_3=4,4,"")</f>
        <v/>
      </c>
      <c r="F34" s="3348"/>
      <c r="G34" s="3349"/>
    </row>
    <row r="35" spans="3:7" ht="15" customHeight="1">
      <c r="C35" s="216" t="s">
        <v>1022</v>
      </c>
      <c r="D35" s="996">
        <v>6</v>
      </c>
      <c r="E35" s="994" t="str">
        <f>IF(claim503.2_3=6,6,"")</f>
        <v/>
      </c>
      <c r="F35" s="3336"/>
      <c r="G35" s="3337"/>
    </row>
    <row r="36" spans="3:7" ht="39" customHeight="1">
      <c r="C36" s="207" t="s">
        <v>1023</v>
      </c>
      <c r="D36" s="996">
        <v>5</v>
      </c>
      <c r="E36" s="994">
        <f>claim503.2_4</f>
        <v>0</v>
      </c>
      <c r="F36" s="3294">
        <f>note503.2_4</f>
        <v>0</v>
      </c>
      <c r="G36" s="3295"/>
    </row>
    <row r="37" spans="3:7" ht="15" customHeight="1" thickBot="1">
      <c r="C37" s="1109" t="s">
        <v>1024</v>
      </c>
      <c r="D37" s="1103">
        <v>5</v>
      </c>
      <c r="E37" s="208">
        <f>claim503.2_5</f>
        <v>0</v>
      </c>
      <c r="F37" s="3334">
        <f>note503.2_5</f>
        <v>0</v>
      </c>
      <c r="G37" s="3335"/>
    </row>
    <row r="38" spans="3:7" ht="30" customHeight="1" thickTop="1">
      <c r="C38" s="217" t="s">
        <v>1025</v>
      </c>
      <c r="D38" s="218"/>
      <c r="E38" s="218"/>
      <c r="F38" s="3458"/>
      <c r="G38" s="3459"/>
    </row>
    <row r="39" spans="3:7" ht="30" customHeight="1">
      <c r="C39" s="207" t="s">
        <v>2528</v>
      </c>
      <c r="D39" s="1013">
        <v>5</v>
      </c>
      <c r="E39" s="994">
        <f>claim503.3_1</f>
        <v>0</v>
      </c>
      <c r="F39" s="3294">
        <f>note503.3_1</f>
        <v>0</v>
      </c>
      <c r="G39" s="3295"/>
    </row>
    <row r="40" spans="3:7" ht="96.75" customHeight="1">
      <c r="C40" s="207" t="s">
        <v>2529</v>
      </c>
      <c r="D40" s="1014">
        <v>5</v>
      </c>
      <c r="E40" s="1015">
        <f>claim503.3_2</f>
        <v>0</v>
      </c>
      <c r="F40" s="3294">
        <f>note503.3_2</f>
        <v>0</v>
      </c>
      <c r="G40" s="3295"/>
    </row>
    <row r="41" spans="3:7" ht="15" customHeight="1" thickBot="1">
      <c r="C41" s="1109" t="s">
        <v>1028</v>
      </c>
      <c r="D41" s="224">
        <v>5</v>
      </c>
      <c r="E41" s="208">
        <f>claim503.3_3</f>
        <v>0</v>
      </c>
      <c r="F41" s="3334">
        <f>note503.3_3</f>
        <v>0</v>
      </c>
      <c r="G41" s="3335"/>
    </row>
    <row r="42" spans="3:7" ht="90" customHeight="1" thickTop="1">
      <c r="C42" s="231" t="s">
        <v>1029</v>
      </c>
      <c r="D42" s="222"/>
      <c r="E42" s="222"/>
      <c r="F42" s="3448"/>
      <c r="G42" s="3449"/>
    </row>
    <row r="43" spans="3:7" ht="15" customHeight="1">
      <c r="C43" s="207" t="s">
        <v>1030</v>
      </c>
      <c r="D43" s="1013">
        <v>6</v>
      </c>
      <c r="E43" s="994">
        <f>claim503.4_1</f>
        <v>0</v>
      </c>
      <c r="F43" s="3294">
        <f>note503.4_1</f>
        <v>0</v>
      </c>
      <c r="G43" s="3295"/>
    </row>
    <row r="44" spans="3:7" ht="45" customHeight="1">
      <c r="C44" s="207" t="s">
        <v>1031</v>
      </c>
      <c r="D44" s="1013">
        <v>6</v>
      </c>
      <c r="E44" s="994">
        <f>claim503.4_2</f>
        <v>0</v>
      </c>
      <c r="F44" s="3294">
        <f>note503.4_2</f>
        <v>0</v>
      </c>
      <c r="G44" s="3295"/>
    </row>
    <row r="45" spans="3:7" ht="30">
      <c r="C45" s="223" t="s">
        <v>459</v>
      </c>
      <c r="D45" s="1016"/>
      <c r="E45" s="1016"/>
      <c r="F45" s="3303"/>
      <c r="G45" s="3304"/>
    </row>
    <row r="46" spans="3:7" ht="15" customHeight="1">
      <c r="C46" s="216" t="s">
        <v>1032</v>
      </c>
      <c r="D46" s="1013">
        <v>2</v>
      </c>
      <c r="E46" s="994" t="str">
        <f>IF(claim503.4_3=2,2,"")</f>
        <v/>
      </c>
      <c r="F46" s="3334">
        <f>note503.4_3</f>
        <v>0</v>
      </c>
      <c r="G46" s="3335"/>
    </row>
    <row r="47" spans="3:7" ht="15" customHeight="1">
      <c r="C47" s="216" t="s">
        <v>1033</v>
      </c>
      <c r="D47" s="1013">
        <v>4</v>
      </c>
      <c r="E47" s="994" t="str">
        <f>IF(claim503.4_3=4,4,"")</f>
        <v/>
      </c>
      <c r="F47" s="3348"/>
      <c r="G47" s="3349"/>
    </row>
    <row r="48" spans="3:7" ht="15" customHeight="1">
      <c r="C48" s="216" t="s">
        <v>1034</v>
      </c>
      <c r="D48" s="1013">
        <v>6</v>
      </c>
      <c r="E48" s="994" t="str">
        <f>IF(claim503.4_3=6,6,"")</f>
        <v/>
      </c>
      <c r="F48" s="3336"/>
      <c r="G48" s="3337"/>
    </row>
    <row r="49" spans="3:8" ht="48" customHeight="1">
      <c r="C49" s="1109" t="s">
        <v>1035</v>
      </c>
      <c r="D49" s="224">
        <v>5</v>
      </c>
      <c r="E49" s="208">
        <f>claim503.4_4</f>
        <v>0</v>
      </c>
      <c r="F49" s="3294">
        <f>note503.4_4</f>
        <v>0</v>
      </c>
      <c r="G49" s="3295"/>
    </row>
    <row r="50" spans="3:8" ht="45" customHeight="1" thickBot="1">
      <c r="C50" s="1109" t="s">
        <v>1036</v>
      </c>
      <c r="D50" s="224">
        <v>6</v>
      </c>
      <c r="E50" s="208">
        <f>claim503.4_5</f>
        <v>0</v>
      </c>
      <c r="F50" s="3294">
        <f>note503.4_5</f>
        <v>0</v>
      </c>
      <c r="G50" s="3295"/>
    </row>
    <row r="51" spans="3:8" ht="60" customHeight="1" thickTop="1">
      <c r="C51" s="209" t="s">
        <v>1037</v>
      </c>
      <c r="D51" s="3452" t="str">
        <f>IF(choice503.5_type="","No landscape plan type selected.",CONCATENATE(choice503.5_type," selected"))</f>
        <v>No landscape plan type selected.</v>
      </c>
      <c r="E51" s="3453"/>
      <c r="F51" s="3448"/>
      <c r="G51" s="3449"/>
    </row>
    <row r="52" spans="3:8" ht="60" customHeight="1">
      <c r="C52" s="207" t="s">
        <v>1038</v>
      </c>
      <c r="D52" s="1008" t="str">
        <f>IF(points503.5_1=0,"0",points503.5_1)</f>
        <v>0</v>
      </c>
      <c r="E52" s="994">
        <f>claim503.5_1</f>
        <v>0</v>
      </c>
      <c r="F52" s="3294">
        <f>note503.5_1</f>
        <v>0</v>
      </c>
      <c r="G52" s="3295"/>
    </row>
    <row r="53" spans="3:8" ht="42" customHeight="1">
      <c r="C53" s="207" t="s">
        <v>1039</v>
      </c>
      <c r="D53" s="1008" t="str">
        <f>IF(points503.5_2=0,"0",points503.5_2)</f>
        <v>0</v>
      </c>
      <c r="E53" s="994">
        <f>claim503.5_2</f>
        <v>0</v>
      </c>
      <c r="F53" s="3294">
        <f>note503.5_2</f>
        <v>0</v>
      </c>
      <c r="G53" s="3295"/>
    </row>
    <row r="54" spans="3:8" ht="45" customHeight="1">
      <c r="C54" s="207" t="s">
        <v>1040</v>
      </c>
      <c r="D54" s="1017"/>
      <c r="E54" s="1017"/>
      <c r="F54" s="3303"/>
      <c r="G54" s="3304"/>
    </row>
    <row r="55" spans="3:8" ht="30" customHeight="1">
      <c r="C55" s="216" t="s">
        <v>1041</v>
      </c>
      <c r="D55" s="1008" t="str">
        <f>IF(points503.5_3a=0,"0",points503.5_3a)</f>
        <v>0</v>
      </c>
      <c r="E55" s="1053" t="str">
        <f>IF(choice503.5_3="0% or WaterSense",claim503.5_3,"")</f>
        <v/>
      </c>
      <c r="F55" s="3334">
        <f>note503.5_3</f>
        <v>0</v>
      </c>
      <c r="G55" s="3335"/>
      <c r="H55" s="993"/>
    </row>
    <row r="56" spans="3:8" ht="30" customHeight="1">
      <c r="C56" s="216" t="s">
        <v>1042</v>
      </c>
      <c r="D56" s="1008" t="str">
        <f>IF(points503.5_3b=0,"0",points503.5_3b)</f>
        <v>0</v>
      </c>
      <c r="E56" s="1054" t="str">
        <f>IF(choice503.5_3="&gt;0% - &lt;20%",claim503.5_3,"")</f>
        <v/>
      </c>
      <c r="F56" s="3348"/>
      <c r="G56" s="3349"/>
    </row>
    <row r="57" spans="3:8" ht="30" customHeight="1">
      <c r="C57" s="216" t="s">
        <v>1043</v>
      </c>
      <c r="D57" s="1008" t="str">
        <f>IF(points503.5_3c=0,"0",points503.5_3c)</f>
        <v>0</v>
      </c>
      <c r="E57" s="1054" t="str">
        <f>IF(choice503.5_3="20% - &lt;40%",claim503.5_3,"")</f>
        <v/>
      </c>
      <c r="F57" s="3348"/>
      <c r="G57" s="3349"/>
    </row>
    <row r="58" spans="3:8" ht="30" customHeight="1">
      <c r="C58" s="216" t="s">
        <v>1044</v>
      </c>
      <c r="D58" s="1008" t="str">
        <f>IF(points503.5_3d=0,"0",points503.5_3d)</f>
        <v>0</v>
      </c>
      <c r="E58" s="1054" t="str">
        <f>IF(choice503.5_3="40% - 60%",claim503.5_3,"")</f>
        <v/>
      </c>
      <c r="F58" s="3336"/>
      <c r="G58" s="3337"/>
    </row>
    <row r="59" spans="3:8" ht="30" customHeight="1">
      <c r="C59" s="225" t="s">
        <v>1045</v>
      </c>
      <c r="D59" s="996" t="str">
        <f>IF(points503.5_4=0,"0",points503.5_4)</f>
        <v>0</v>
      </c>
      <c r="E59" s="994">
        <f>claim503.5_4</f>
        <v>0</v>
      </c>
      <c r="F59" s="3294">
        <f>note503.5_4</f>
        <v>0</v>
      </c>
      <c r="G59" s="3295"/>
    </row>
    <row r="60" spans="3:8" ht="75" customHeight="1">
      <c r="C60" s="225" t="s">
        <v>1046</v>
      </c>
      <c r="D60" s="996" t="str">
        <f>IF(points503.5_5=0,"0",points503.5_5)</f>
        <v>0</v>
      </c>
      <c r="E60" s="994">
        <f>claim503.5_5</f>
        <v>0</v>
      </c>
      <c r="F60" s="3294">
        <f>note503.5_5</f>
        <v>0</v>
      </c>
      <c r="G60" s="3295"/>
    </row>
    <row r="61" spans="3:8" ht="30" customHeight="1">
      <c r="C61" s="225" t="s">
        <v>1047</v>
      </c>
      <c r="D61" s="996" t="str">
        <f>IF(points503.5_6=0,"0",points503.5_6)</f>
        <v>0</v>
      </c>
      <c r="E61" s="994">
        <f>claim503.5_6</f>
        <v>0</v>
      </c>
      <c r="F61" s="3294">
        <f>note503.5_6</f>
        <v>0</v>
      </c>
      <c r="G61" s="3295"/>
    </row>
    <row r="62" spans="3:8" ht="45" customHeight="1">
      <c r="C62" s="225" t="s">
        <v>1048</v>
      </c>
      <c r="D62" s="1013">
        <v>3</v>
      </c>
      <c r="E62" s="994">
        <f>claim503.5_7</f>
        <v>0</v>
      </c>
      <c r="F62" s="3294">
        <f>note503.5_7</f>
        <v>0</v>
      </c>
      <c r="G62" s="3295"/>
    </row>
    <row r="63" spans="3:8" ht="30" customHeight="1" thickBot="1">
      <c r="C63" s="226" t="s">
        <v>1049</v>
      </c>
      <c r="D63" s="227">
        <v>4</v>
      </c>
      <c r="E63" s="221">
        <f>claim503.5_8</f>
        <v>0</v>
      </c>
      <c r="F63" s="3334">
        <f>note503.5_8</f>
        <v>0</v>
      </c>
      <c r="G63" s="3335"/>
    </row>
    <row r="64" spans="3:8" ht="30.75" customHeight="1" thickTop="1">
      <c r="C64" s="209" t="s">
        <v>1676</v>
      </c>
      <c r="D64" s="643"/>
      <c r="E64" s="644"/>
      <c r="F64" s="3324"/>
      <c r="G64" s="3325"/>
    </row>
    <row r="65" spans="3:7" ht="30.75" customHeight="1">
      <c r="C65" s="207" t="s">
        <v>1050</v>
      </c>
      <c r="D65" s="1013">
        <v>3</v>
      </c>
      <c r="E65" s="994">
        <f>claim503.6_1</f>
        <v>0</v>
      </c>
      <c r="F65" s="3294">
        <f>note503.6_1</f>
        <v>0</v>
      </c>
      <c r="G65" s="3295"/>
    </row>
    <row r="66" spans="3:7" ht="30.75" customHeight="1">
      <c r="C66" s="207" t="s">
        <v>1051</v>
      </c>
      <c r="D66" s="1013">
        <v>3</v>
      </c>
      <c r="E66" s="994">
        <f>claim503.6_2</f>
        <v>0</v>
      </c>
      <c r="F66" s="3294">
        <f>note503.6_2</f>
        <v>0</v>
      </c>
      <c r="G66" s="3295"/>
    </row>
    <row r="67" spans="3:7" ht="30.75" customHeight="1">
      <c r="C67" s="207" t="s">
        <v>1052</v>
      </c>
      <c r="D67" s="1013">
        <v>3</v>
      </c>
      <c r="E67" s="994">
        <f>claim503.6_3</f>
        <v>0</v>
      </c>
      <c r="F67" s="3294">
        <f>note503.6_3</f>
        <v>0</v>
      </c>
      <c r="G67" s="3295"/>
    </row>
    <row r="68" spans="3:7" ht="30.75" customHeight="1" thickBot="1">
      <c r="C68" s="219" t="s">
        <v>1053</v>
      </c>
      <c r="D68" s="227">
        <v>3</v>
      </c>
      <c r="E68" s="221">
        <f>claim503.6_4</f>
        <v>0</v>
      </c>
      <c r="F68" s="3301">
        <f>note503.6_4</f>
        <v>0</v>
      </c>
      <c r="G68" s="3302"/>
    </row>
    <row r="69" spans="3:7" ht="15" customHeight="1" thickTop="1">
      <c r="C69" s="231" t="s">
        <v>1054</v>
      </c>
      <c r="D69" s="232"/>
      <c r="E69" s="232"/>
      <c r="F69" s="3460"/>
      <c r="G69" s="3461"/>
    </row>
    <row r="70" spans="3:7" ht="30" customHeight="1">
      <c r="C70" s="207" t="s">
        <v>1055</v>
      </c>
      <c r="D70" s="1013">
        <v>4</v>
      </c>
      <c r="E70" s="994">
        <f>claim503.7_1</f>
        <v>0</v>
      </c>
      <c r="F70" s="3294">
        <f>note503.7_1</f>
        <v>0</v>
      </c>
      <c r="G70" s="3295"/>
    </row>
    <row r="71" spans="3:7">
      <c r="C71" s="1109" t="s">
        <v>1056</v>
      </c>
      <c r="D71" s="224">
        <v>4</v>
      </c>
      <c r="E71" s="208">
        <f>claim503.7_2</f>
        <v>0</v>
      </c>
      <c r="F71" s="3334">
        <f>note503.7_2</f>
        <v>0</v>
      </c>
      <c r="G71" s="3335"/>
    </row>
    <row r="72" spans="3:7">
      <c r="C72" s="3291" t="s">
        <v>460</v>
      </c>
      <c r="D72" s="3292"/>
      <c r="E72" s="3292"/>
      <c r="F72" s="3292"/>
      <c r="G72" s="3293"/>
    </row>
    <row r="73" spans="3:7" ht="60" customHeight="1" thickBot="1">
      <c r="C73" s="1111" t="s">
        <v>1057</v>
      </c>
      <c r="D73" s="233">
        <v>4</v>
      </c>
      <c r="E73" s="234">
        <f>claim504.1</f>
        <v>0</v>
      </c>
      <c r="F73" s="3365">
        <f>note504.1</f>
        <v>0</v>
      </c>
      <c r="G73" s="3366"/>
    </row>
    <row r="74" spans="3:7" ht="30" customHeight="1" thickTop="1">
      <c r="C74" s="231" t="s">
        <v>1058</v>
      </c>
      <c r="D74" s="875"/>
      <c r="E74" s="875"/>
      <c r="F74" s="3448"/>
      <c r="G74" s="3449"/>
    </row>
    <row r="75" spans="3:7" ht="15" customHeight="1">
      <c r="C75" s="207" t="s">
        <v>1059</v>
      </c>
      <c r="D75" s="235">
        <v>3</v>
      </c>
      <c r="E75" s="994">
        <f>claim504.2_1</f>
        <v>0</v>
      </c>
      <c r="F75" s="3294">
        <f>note504.2_1</f>
        <v>0</v>
      </c>
      <c r="G75" s="3295"/>
    </row>
    <row r="76" spans="3:7" ht="30" customHeight="1">
      <c r="C76" s="207" t="s">
        <v>1060</v>
      </c>
      <c r="D76" s="235">
        <v>5</v>
      </c>
      <c r="E76" s="994">
        <f>claim504.2_2</f>
        <v>0</v>
      </c>
      <c r="F76" s="3294">
        <f>note504.2_2</f>
        <v>0</v>
      </c>
      <c r="G76" s="3295"/>
    </row>
    <row r="77" spans="3:7" ht="30" customHeight="1" thickBot="1">
      <c r="C77" s="1109" t="s">
        <v>1061</v>
      </c>
      <c r="D77" s="236">
        <v>4</v>
      </c>
      <c r="E77" s="208">
        <f>claim504.2_3</f>
        <v>0</v>
      </c>
      <c r="F77" s="3334">
        <f>note504.2_3</f>
        <v>0</v>
      </c>
      <c r="G77" s="3335"/>
    </row>
    <row r="78" spans="3:7" ht="31" thickTop="1">
      <c r="C78" s="209" t="s">
        <v>1062</v>
      </c>
      <c r="D78" s="210"/>
      <c r="E78" s="210"/>
      <c r="F78" s="3448"/>
      <c r="G78" s="3449"/>
    </row>
    <row r="79" spans="3:7" ht="30" customHeight="1">
      <c r="C79" s="207" t="s">
        <v>1063</v>
      </c>
      <c r="D79" s="1013">
        <v>5</v>
      </c>
      <c r="E79" s="994">
        <f>claim504.3_1</f>
        <v>0</v>
      </c>
      <c r="F79" s="3294">
        <f>note504.3_1</f>
        <v>0</v>
      </c>
      <c r="G79" s="3295"/>
    </row>
    <row r="80" spans="3:7" ht="15" customHeight="1">
      <c r="C80" s="207" t="s">
        <v>1064</v>
      </c>
      <c r="D80" s="1013">
        <v>5</v>
      </c>
      <c r="E80" s="994">
        <f>claim504.3_2</f>
        <v>0</v>
      </c>
      <c r="F80" s="3294">
        <f>note504.3_2</f>
        <v>0</v>
      </c>
      <c r="G80" s="3295"/>
    </row>
    <row r="81" spans="3:7" ht="30" customHeight="1">
      <c r="C81" s="207" t="s">
        <v>1065</v>
      </c>
      <c r="D81" s="1013">
        <v>5</v>
      </c>
      <c r="E81" s="994">
        <f>claim504.3_3</f>
        <v>0</v>
      </c>
      <c r="F81" s="3294">
        <f>note504.3_3</f>
        <v>0</v>
      </c>
      <c r="G81" s="3295"/>
    </row>
    <row r="82" spans="3:7" ht="30" customHeight="1">
      <c r="C82" s="207" t="s">
        <v>1066</v>
      </c>
      <c r="D82" s="1013">
        <v>5</v>
      </c>
      <c r="E82" s="994">
        <f>claim504.3_4</f>
        <v>0</v>
      </c>
      <c r="F82" s="3294">
        <f>note504.3_4</f>
        <v>0</v>
      </c>
      <c r="G82" s="3295"/>
    </row>
    <row r="83" spans="3:7" ht="60" customHeight="1">
      <c r="C83" s="207" t="s">
        <v>1067</v>
      </c>
      <c r="D83" s="1013">
        <v>4</v>
      </c>
      <c r="E83" s="994">
        <f>claim504.3_5</f>
        <v>0</v>
      </c>
      <c r="F83" s="3294">
        <f>note504.3_5</f>
        <v>0</v>
      </c>
      <c r="G83" s="3295"/>
    </row>
    <row r="84" spans="3:7" ht="45" customHeight="1">
      <c r="C84" s="207" t="s">
        <v>1068</v>
      </c>
      <c r="D84" s="1013">
        <v>3</v>
      </c>
      <c r="E84" s="994">
        <f>claim504.3_6</f>
        <v>0</v>
      </c>
      <c r="F84" s="3294">
        <f>note504.3_6</f>
        <v>0</v>
      </c>
      <c r="G84" s="3295"/>
    </row>
    <row r="85" spans="3:7" ht="15" customHeight="1">
      <c r="C85" s="207" t="s">
        <v>1069</v>
      </c>
      <c r="D85" s="1013">
        <v>3</v>
      </c>
      <c r="E85" s="994">
        <f>claim504.3_7</f>
        <v>0</v>
      </c>
      <c r="F85" s="3294">
        <f>note504.3_7</f>
        <v>0</v>
      </c>
      <c r="G85" s="3295"/>
    </row>
    <row r="86" spans="3:7" ht="45" customHeight="1">
      <c r="C86" s="1109" t="s">
        <v>2530</v>
      </c>
      <c r="D86" s="224">
        <v>5</v>
      </c>
      <c r="E86" s="208">
        <f>claim504.3_8</f>
        <v>0</v>
      </c>
      <c r="F86" s="3334">
        <f>note504.3_8</f>
        <v>0</v>
      </c>
      <c r="G86" s="3335"/>
    </row>
    <row r="87" spans="3:7" ht="15" customHeight="1" thickBot="1">
      <c r="C87" s="1109" t="s">
        <v>1070</v>
      </c>
      <c r="D87" s="224">
        <v>3</v>
      </c>
      <c r="E87" s="208">
        <f>claim504.3_9</f>
        <v>0</v>
      </c>
      <c r="F87" s="3469">
        <f>note504.3_9</f>
        <v>0</v>
      </c>
      <c r="G87" s="3470"/>
    </row>
    <row r="88" spans="3:7">
      <c r="C88" s="3440" t="s">
        <v>461</v>
      </c>
      <c r="D88" s="3441"/>
      <c r="E88" s="3441"/>
      <c r="F88" s="3441"/>
      <c r="G88" s="3442"/>
    </row>
    <row r="89" spans="3:7" ht="30" customHeight="1">
      <c r="C89" s="211" t="s">
        <v>1071</v>
      </c>
      <c r="D89" s="645"/>
      <c r="E89" s="646"/>
      <c r="F89" s="3471"/>
      <c r="G89" s="3472"/>
    </row>
    <row r="90" spans="3:7" ht="39.75" customHeight="1">
      <c r="C90" s="207" t="s">
        <v>1072</v>
      </c>
      <c r="D90" s="1013">
        <v>5</v>
      </c>
      <c r="E90" s="994">
        <f>claim505.1_1</f>
        <v>0</v>
      </c>
      <c r="F90" s="3294">
        <f>note505.1_1</f>
        <v>0</v>
      </c>
      <c r="G90" s="3295"/>
    </row>
    <row r="91" spans="3:7" ht="30" customHeight="1">
      <c r="C91" s="207" t="s">
        <v>1073</v>
      </c>
      <c r="D91" s="996" t="str">
        <f>IF(startSingleorMulti&lt;&gt;"Multi-Unit",CONCATENATE(0," - Not a Multi-Unit project"),5)</f>
        <v>0 - Not a Multi-Unit project</v>
      </c>
      <c r="E91" s="994">
        <f>claim505.1_2</f>
        <v>0</v>
      </c>
      <c r="F91" s="3294">
        <f>note505.1_2</f>
        <v>0</v>
      </c>
      <c r="G91" s="3295"/>
    </row>
    <row r="92" spans="3:7" ht="15" customHeight="1">
      <c r="C92" s="207" t="s">
        <v>1074</v>
      </c>
      <c r="D92" s="999"/>
      <c r="E92" s="997"/>
      <c r="F92" s="3303"/>
      <c r="G92" s="3304"/>
    </row>
    <row r="93" spans="3:7" ht="30" customHeight="1">
      <c r="C93" s="216" t="s">
        <v>1075</v>
      </c>
      <c r="D93" s="1013">
        <v>4</v>
      </c>
      <c r="E93" s="994" t="str">
        <f>IF(claim505.1_3=4,4,"")</f>
        <v/>
      </c>
      <c r="F93" s="3334">
        <f>note505.1_3</f>
        <v>0</v>
      </c>
      <c r="G93" s="3335"/>
    </row>
    <row r="94" spans="3:7" ht="30" customHeight="1">
      <c r="C94" s="216" t="s">
        <v>1076</v>
      </c>
      <c r="D94" s="1013">
        <v>5</v>
      </c>
      <c r="E94" s="994" t="str">
        <f>IF(claim505.1_3=5,5,"")</f>
        <v/>
      </c>
      <c r="F94" s="3348"/>
      <c r="G94" s="3349"/>
    </row>
    <row r="95" spans="3:7" ht="30" customHeight="1" thickBot="1">
      <c r="C95" s="259" t="s">
        <v>1077</v>
      </c>
      <c r="D95" s="227">
        <v>6</v>
      </c>
      <c r="E95" s="994" t="str">
        <f>IF(claim505.1_3=6,6,"")</f>
        <v/>
      </c>
      <c r="F95" s="3365"/>
      <c r="G95" s="3366"/>
    </row>
    <row r="96" spans="3:7" ht="16" thickTop="1">
      <c r="C96" s="231" t="s">
        <v>1078</v>
      </c>
      <c r="D96" s="647"/>
      <c r="E96" s="644"/>
      <c r="F96" s="3324"/>
      <c r="G96" s="3325"/>
    </row>
    <row r="97" spans="3:7" ht="135" customHeight="1">
      <c r="C97" s="207" t="s">
        <v>1079</v>
      </c>
      <c r="D97" s="1011">
        <v>5</v>
      </c>
      <c r="E97" s="1015">
        <f>claim505.2_1</f>
        <v>0</v>
      </c>
      <c r="F97" s="3369">
        <f>note505.2_1</f>
        <v>0</v>
      </c>
      <c r="G97" s="3370"/>
    </row>
    <row r="98" spans="3:7" ht="120" customHeight="1" thickBot="1">
      <c r="C98" s="1109" t="s">
        <v>1080</v>
      </c>
      <c r="D98" s="648">
        <v>5</v>
      </c>
      <c r="E98" s="649">
        <f>claim505.2_2</f>
        <v>0</v>
      </c>
      <c r="F98" s="3467">
        <f>note505.2_2</f>
        <v>0</v>
      </c>
      <c r="G98" s="3468"/>
    </row>
    <row r="99" spans="3:7" ht="30" customHeight="1" thickTop="1">
      <c r="C99" s="1018" t="s">
        <v>1081</v>
      </c>
      <c r="D99" s="650"/>
      <c r="E99" s="651"/>
      <c r="F99" s="3473"/>
      <c r="G99" s="3474"/>
    </row>
    <row r="100" spans="3:7" ht="16">
      <c r="C100" s="1019" t="s">
        <v>1082</v>
      </c>
      <c r="D100" s="1020">
        <v>5</v>
      </c>
      <c r="E100" s="1021" t="str">
        <f>IF(claim505.3=5,5,"")</f>
        <v/>
      </c>
      <c r="F100" s="3475">
        <f>note505.3</f>
        <v>0</v>
      </c>
      <c r="G100" s="3476"/>
    </row>
    <row r="101" spans="3:7" ht="16">
      <c r="C101" s="1019" t="s">
        <v>1083</v>
      </c>
      <c r="D101" s="1020">
        <v>8</v>
      </c>
      <c r="E101" s="1021" t="str">
        <f>IF(claim505.3=8,8,"")</f>
        <v/>
      </c>
      <c r="F101" s="3477"/>
      <c r="G101" s="3478"/>
    </row>
    <row r="102" spans="3:7" ht="17" thickBot="1">
      <c r="C102" s="1022" t="s">
        <v>1084</v>
      </c>
      <c r="D102" s="652">
        <v>11</v>
      </c>
      <c r="E102" s="653" t="str">
        <f>IF(claim505.3=11,11,"")</f>
        <v/>
      </c>
      <c r="F102" s="3479"/>
      <c r="G102" s="3480"/>
    </row>
    <row r="103" spans="3:7" ht="17" thickTop="1" thickBot="1">
      <c r="C103" s="1023" t="s">
        <v>1085</v>
      </c>
      <c r="D103" s="656">
        <v>8</v>
      </c>
      <c r="E103" s="657">
        <f>claim505.4</f>
        <v>0</v>
      </c>
      <c r="F103" s="3465">
        <f>note505.4</f>
        <v>0</v>
      </c>
      <c r="G103" s="3466"/>
    </row>
    <row r="104" spans="3:7" ht="45" customHeight="1" thickTop="1">
      <c r="C104" s="1024" t="s">
        <v>1086</v>
      </c>
      <c r="D104" s="654">
        <v>3</v>
      </c>
      <c r="E104" s="655">
        <f>claim505.5</f>
        <v>0</v>
      </c>
      <c r="F104" s="3463">
        <f>note505.5</f>
        <v>0</v>
      </c>
      <c r="G104" s="3464"/>
    </row>
    <row r="105" spans="3:7">
      <c r="C105" s="3426"/>
      <c r="D105" s="3427"/>
      <c r="E105" s="3427"/>
      <c r="F105" s="3427"/>
      <c r="G105" s="3428"/>
    </row>
    <row r="106" spans="3:7">
      <c r="C106" s="3291" t="s">
        <v>462</v>
      </c>
      <c r="D106" s="3292"/>
      <c r="E106" s="3292"/>
      <c r="F106" s="3292"/>
      <c r="G106" s="3293"/>
    </row>
    <row r="107" spans="3:7">
      <c r="C107" s="3291" t="s">
        <v>463</v>
      </c>
      <c r="D107" s="3292"/>
      <c r="E107" s="3292"/>
      <c r="F107" s="3292"/>
      <c r="G107" s="3293"/>
    </row>
    <row r="108" spans="3:7">
      <c r="C108" s="238" t="s">
        <v>464</v>
      </c>
      <c r="D108" s="214"/>
      <c r="E108" s="214"/>
      <c r="F108" s="3387"/>
      <c r="G108" s="3388"/>
    </row>
    <row r="109" spans="3:7" ht="15" customHeight="1">
      <c r="C109" s="239" t="s">
        <v>465</v>
      </c>
      <c r="D109" s="996">
        <v>15</v>
      </c>
      <c r="E109" s="994" t="str">
        <f>IF(claim601.1=D109,claim601.1,"")</f>
        <v/>
      </c>
      <c r="F109" s="3328">
        <f>note601.1</f>
        <v>0</v>
      </c>
      <c r="G109" s="3329"/>
    </row>
    <row r="110" spans="3:7" ht="15" customHeight="1">
      <c r="C110" s="239" t="s">
        <v>466</v>
      </c>
      <c r="D110" s="996">
        <v>12</v>
      </c>
      <c r="E110" s="994" t="str">
        <f>IF(claim601.1=D110,claim601.1,"")</f>
        <v/>
      </c>
      <c r="F110" s="3330"/>
      <c r="G110" s="3331"/>
    </row>
    <row r="111" spans="3:7" ht="15" customHeight="1">
      <c r="C111" s="239" t="s">
        <v>467</v>
      </c>
      <c r="D111" s="996">
        <v>9</v>
      </c>
      <c r="E111" s="994" t="str">
        <f>IF(claim601.1=D111,claim601.1,"")</f>
        <v/>
      </c>
      <c r="F111" s="3330"/>
      <c r="G111" s="3331"/>
    </row>
    <row r="112" spans="3:7" ht="15" customHeight="1">
      <c r="C112" s="239" t="s">
        <v>468</v>
      </c>
      <c r="D112" s="996">
        <v>6</v>
      </c>
      <c r="E112" s="994" t="str">
        <f>IF(claim601.1=D112,claim601.1,"")</f>
        <v/>
      </c>
      <c r="F112" s="3289"/>
      <c r="G112" s="3290"/>
    </row>
    <row r="113" spans="3:7" ht="31" thickBot="1">
      <c r="C113" s="240" t="s">
        <v>469</v>
      </c>
      <c r="D113" s="241"/>
      <c r="E113" s="241"/>
      <c r="F113" s="3432"/>
      <c r="G113" s="3433"/>
    </row>
    <row r="114" spans="3:7" ht="31" thickTop="1">
      <c r="C114" s="231" t="s">
        <v>1512</v>
      </c>
      <c r="D114" s="647"/>
      <c r="E114" s="644"/>
      <c r="F114" s="3324"/>
      <c r="G114" s="3325"/>
    </row>
    <row r="115" spans="3:7" ht="30">
      <c r="C115" s="265" t="s">
        <v>1513</v>
      </c>
      <c r="D115" s="996">
        <v>3</v>
      </c>
      <c r="E115" s="1015">
        <f>claim601.2_1</f>
        <v>0</v>
      </c>
      <c r="F115" s="3294">
        <f>note601.2_1</f>
        <v>0</v>
      </c>
      <c r="G115" s="3295"/>
    </row>
    <row r="116" spans="3:7" ht="45">
      <c r="C116" s="265" t="s">
        <v>1514</v>
      </c>
      <c r="D116" s="996">
        <v>3</v>
      </c>
      <c r="E116" s="1015">
        <f>claim601.2_2</f>
        <v>0</v>
      </c>
      <c r="F116" s="3294">
        <f>note601.2_2</f>
        <v>0</v>
      </c>
      <c r="G116" s="3295"/>
    </row>
    <row r="117" spans="3:7" ht="16" thickBot="1">
      <c r="C117" s="854" t="s">
        <v>1515</v>
      </c>
      <c r="D117" s="1103">
        <v>3</v>
      </c>
      <c r="E117" s="649">
        <f>claim601.2_3</f>
        <v>0</v>
      </c>
      <c r="F117" s="3334">
        <f>note601.2_3</f>
        <v>0</v>
      </c>
      <c r="G117" s="3335"/>
    </row>
    <row r="118" spans="3:7" ht="31" thickTop="1">
      <c r="C118" s="231" t="s">
        <v>1516</v>
      </c>
      <c r="D118" s="243"/>
      <c r="E118" s="243"/>
      <c r="F118" s="3326"/>
      <c r="G118" s="3327"/>
    </row>
    <row r="119" spans="3:7">
      <c r="C119" s="207" t="s">
        <v>471</v>
      </c>
      <c r="D119" s="996">
        <v>3</v>
      </c>
      <c r="E119" s="994">
        <f>claim601.3_1</f>
        <v>0</v>
      </c>
      <c r="F119" s="3320">
        <f>note601.3_1</f>
        <v>0</v>
      </c>
      <c r="G119" s="3321"/>
    </row>
    <row r="120" spans="3:7">
      <c r="C120" s="207" t="s">
        <v>472</v>
      </c>
      <c r="D120" s="996">
        <v>3</v>
      </c>
      <c r="E120" s="994">
        <f>claim601.3_2</f>
        <v>0</v>
      </c>
      <c r="F120" s="3320">
        <f>note601.3_2</f>
        <v>0</v>
      </c>
      <c r="G120" s="3321"/>
    </row>
    <row r="121" spans="3:7">
      <c r="C121" s="207" t="s">
        <v>473</v>
      </c>
      <c r="D121" s="996">
        <v>3</v>
      </c>
      <c r="E121" s="994">
        <f>claim601.3_3</f>
        <v>0</v>
      </c>
      <c r="F121" s="3320">
        <f>note601.3_3</f>
        <v>0</v>
      </c>
      <c r="G121" s="3321"/>
    </row>
    <row r="122" spans="3:7">
      <c r="C122" s="207" t="s">
        <v>474</v>
      </c>
      <c r="D122" s="996">
        <v>3</v>
      </c>
      <c r="E122" s="994">
        <f>claim601.3_4</f>
        <v>0</v>
      </c>
      <c r="F122" s="3320">
        <f>note601.3_4</f>
        <v>0</v>
      </c>
      <c r="G122" s="3321"/>
    </row>
    <row r="123" spans="3:7" ht="16" thickBot="1">
      <c r="C123" s="219" t="s">
        <v>475</v>
      </c>
      <c r="D123" s="220">
        <v>1</v>
      </c>
      <c r="E123" s="221">
        <f>claim601.3_5</f>
        <v>0</v>
      </c>
      <c r="F123" s="3340">
        <f>note601.3_5</f>
        <v>0</v>
      </c>
      <c r="G123" s="3341"/>
    </row>
    <row r="124" spans="3:7" ht="45" customHeight="1" thickTop="1" thickBot="1">
      <c r="C124" s="230" t="s">
        <v>1517</v>
      </c>
      <c r="D124" s="242">
        <v>4</v>
      </c>
      <c r="E124" s="229">
        <f>claim601.4</f>
        <v>0</v>
      </c>
      <c r="F124" s="3316">
        <f>note601.4</f>
        <v>0</v>
      </c>
      <c r="G124" s="3317"/>
    </row>
    <row r="125" spans="3:7" ht="46" thickTop="1">
      <c r="C125" s="231" t="s">
        <v>1518</v>
      </c>
      <c r="D125" s="232"/>
      <c r="E125" s="232"/>
      <c r="F125" s="3326"/>
      <c r="G125" s="3327"/>
    </row>
    <row r="126" spans="3:7">
      <c r="C126" s="207" t="s">
        <v>476</v>
      </c>
      <c r="D126" s="1011">
        <v>4</v>
      </c>
      <c r="E126" s="994">
        <f>claim601.5_1</f>
        <v>0</v>
      </c>
      <c r="F126" s="3320">
        <f>note601.5_1</f>
        <v>0</v>
      </c>
      <c r="G126" s="3321"/>
    </row>
    <row r="127" spans="3:7">
      <c r="C127" s="207" t="s">
        <v>477</v>
      </c>
      <c r="D127" s="1011">
        <v>4</v>
      </c>
      <c r="E127" s="994">
        <f>claim601.5_2</f>
        <v>0</v>
      </c>
      <c r="F127" s="3320">
        <f>note601.5_2</f>
        <v>0</v>
      </c>
      <c r="G127" s="3321"/>
    </row>
    <row r="128" spans="3:7">
      <c r="C128" s="207" t="s">
        <v>478</v>
      </c>
      <c r="D128" s="1011">
        <v>4</v>
      </c>
      <c r="E128" s="994">
        <f>claim601.5_3</f>
        <v>0</v>
      </c>
      <c r="F128" s="3320">
        <f>note601.5_3</f>
        <v>0</v>
      </c>
      <c r="G128" s="3321"/>
    </row>
    <row r="129" spans="2:7">
      <c r="C129" s="207" t="s">
        <v>479</v>
      </c>
      <c r="D129" s="1011">
        <v>13</v>
      </c>
      <c r="E129" s="994">
        <f>claim601.5_4</f>
        <v>0</v>
      </c>
      <c r="F129" s="3320">
        <f>note601.5_4</f>
        <v>0</v>
      </c>
      <c r="G129" s="3321"/>
    </row>
    <row r="130" spans="2:7" ht="16" thickBot="1">
      <c r="C130" s="219" t="s">
        <v>480</v>
      </c>
      <c r="D130" s="244">
        <v>13</v>
      </c>
      <c r="E130" s="221">
        <f>claim601.5_5</f>
        <v>0</v>
      </c>
      <c r="F130" s="3340">
        <f>note601.5_5</f>
        <v>0</v>
      </c>
      <c r="G130" s="3341"/>
    </row>
    <row r="131" spans="2:7" ht="46" thickTop="1">
      <c r="C131" s="231" t="s">
        <v>1519</v>
      </c>
      <c r="D131" s="243"/>
      <c r="E131" s="243"/>
      <c r="F131" s="3326"/>
      <c r="G131" s="3327"/>
    </row>
    <row r="132" spans="2:7">
      <c r="C132" s="207" t="s">
        <v>481</v>
      </c>
      <c r="D132" s="996">
        <v>4</v>
      </c>
      <c r="E132" s="994" t="str">
        <f>IF(claim601.6=D132,claim601.6,"")</f>
        <v/>
      </c>
      <c r="F132" s="3405">
        <f>note601.6</f>
        <v>0</v>
      </c>
      <c r="G132" s="3406"/>
    </row>
    <row r="133" spans="2:7">
      <c r="C133" s="207" t="s">
        <v>482</v>
      </c>
      <c r="D133" s="996">
        <v>6</v>
      </c>
      <c r="E133" s="994" t="str">
        <f>IF(claim601.6=D133,claim601.6,"")</f>
        <v/>
      </c>
      <c r="F133" s="3407"/>
      <c r="G133" s="3408"/>
    </row>
    <row r="134" spans="2:7" ht="16" thickBot="1">
      <c r="C134" s="219" t="s">
        <v>483</v>
      </c>
      <c r="D134" s="220">
        <v>8</v>
      </c>
      <c r="E134" s="221" t="str">
        <f>IF(claim601.6=D134,claim601.6,"")</f>
        <v/>
      </c>
      <c r="F134" s="3409"/>
      <c r="G134" s="3410"/>
    </row>
    <row r="135" spans="2:7" ht="16" thickTop="1">
      <c r="C135" s="231" t="s">
        <v>1789</v>
      </c>
      <c r="D135" s="245" t="s">
        <v>484</v>
      </c>
      <c r="E135" s="246">
        <f>claim601.7</f>
        <v>0</v>
      </c>
      <c r="F135" s="3324"/>
      <c r="G135" s="3325"/>
    </row>
    <row r="136" spans="2:7" ht="30">
      <c r="C136" s="265" t="s">
        <v>1523</v>
      </c>
      <c r="D136" s="996" t="s">
        <v>1520</v>
      </c>
      <c r="E136" s="1025" t="str">
        <f>IF(choice601.7_1&gt;0,CONCATENATE(choice601.7_1," materials or assemblies"),"")</f>
        <v/>
      </c>
      <c r="F136" s="3334">
        <f>note601.7</f>
        <v>0</v>
      </c>
      <c r="G136" s="3335"/>
    </row>
    <row r="137" spans="2:7" ht="30">
      <c r="C137" s="265" t="s">
        <v>1524</v>
      </c>
      <c r="D137" s="996" t="s">
        <v>1521</v>
      </c>
      <c r="E137" s="1025" t="str">
        <f>IF(choice601.7_2&gt;0,CONCATENATE(choice601.7_2," materials or assemblies"),"")</f>
        <v/>
      </c>
      <c r="F137" s="3348"/>
      <c r="G137" s="3349"/>
    </row>
    <row r="138" spans="2:7" ht="31" thickBot="1">
      <c r="C138" s="1088" t="s">
        <v>1525</v>
      </c>
      <c r="D138" s="220" t="s">
        <v>1522</v>
      </c>
      <c r="E138" s="1025" t="str">
        <f>IF(choice601.7_3&gt;0,CONCATENATE(choice601.7_3," materials or assemblies"),"")</f>
        <v/>
      </c>
      <c r="F138" s="3365"/>
      <c r="G138" s="3366"/>
    </row>
    <row r="139" spans="2:7" ht="30" customHeight="1" thickTop="1" thickBot="1">
      <c r="C139" s="230" t="s">
        <v>1790</v>
      </c>
      <c r="D139" s="242">
        <v>3</v>
      </c>
      <c r="E139" s="229">
        <f>claim601.8</f>
        <v>0</v>
      </c>
      <c r="F139" s="3401">
        <f>note601.8</f>
        <v>0</v>
      </c>
      <c r="G139" s="3402"/>
    </row>
    <row r="140" spans="2:7" ht="32" thickTop="1" thickBot="1">
      <c r="C140" s="247" t="s">
        <v>1791</v>
      </c>
      <c r="D140" s="1106">
        <v>4</v>
      </c>
      <c r="E140" s="248">
        <f>claim601.9</f>
        <v>0</v>
      </c>
      <c r="F140" s="3403">
        <f>note601.9</f>
        <v>0</v>
      </c>
      <c r="G140" s="3404"/>
    </row>
    <row r="141" spans="2:7">
      <c r="C141" s="3429" t="s">
        <v>485</v>
      </c>
      <c r="D141" s="3430"/>
      <c r="E141" s="3430"/>
      <c r="F141" s="3430"/>
      <c r="G141" s="3431"/>
    </row>
    <row r="142" spans="2:7" s="876" customFormat="1">
      <c r="C142" s="878" t="s">
        <v>1526</v>
      </c>
      <c r="D142" s="877"/>
      <c r="E142" s="877"/>
      <c r="F142" s="3389"/>
      <c r="G142" s="3390"/>
    </row>
    <row r="143" spans="2:7" s="876" customFormat="1" ht="45" customHeight="1">
      <c r="B143" s="876" t="str">
        <f>'11.6'!B50</f>
        <v/>
      </c>
      <c r="C143" s="1026" t="s">
        <v>1527</v>
      </c>
      <c r="D143" s="879" t="s">
        <v>3</v>
      </c>
      <c r="E143" s="1070">
        <f>IF(B143&lt;&gt;"x",claim602.1.1.1,"No slabs")</f>
        <v>0</v>
      </c>
      <c r="F143" s="3391">
        <f>note602.1.1.1</f>
        <v>0</v>
      </c>
      <c r="G143" s="3392"/>
    </row>
    <row r="144" spans="2:7" s="876" customFormat="1" ht="30" customHeight="1" thickBot="1">
      <c r="C144" s="1027" t="s">
        <v>1528</v>
      </c>
      <c r="D144" s="881">
        <v>3</v>
      </c>
      <c r="E144" s="886">
        <f>claim602.1.1.2</f>
        <v>0</v>
      </c>
      <c r="F144" s="3357">
        <f>note602.1.1.2</f>
        <v>0</v>
      </c>
      <c r="G144" s="3358"/>
    </row>
    <row r="145" spans="1:7" s="876" customFormat="1" ht="47" thickTop="1" thickBot="1">
      <c r="C145" s="1028" t="s">
        <v>1529</v>
      </c>
      <c r="D145" s="884">
        <v>4</v>
      </c>
      <c r="E145" s="1114">
        <f>claim602.1.2</f>
        <v>0</v>
      </c>
      <c r="F145" s="3393">
        <f>note602.1.2</f>
        <v>0</v>
      </c>
      <c r="G145" s="3394"/>
    </row>
    <row r="146" spans="1:7" s="876" customFormat="1" ht="16" thickTop="1">
      <c r="C146" s="1029" t="s">
        <v>1530</v>
      </c>
      <c r="D146" s="885"/>
      <c r="E146" s="885"/>
      <c r="F146" s="3395"/>
      <c r="G146" s="3396"/>
    </row>
    <row r="147" spans="1:7" s="876" customFormat="1" ht="37.5" customHeight="1">
      <c r="A147" s="876" t="str">
        <f>'11.6'!A55</f>
        <v/>
      </c>
      <c r="B147" s="876" t="str">
        <f>'11.6'!B55</f>
        <v/>
      </c>
      <c r="C147" s="1030" t="s">
        <v>1531</v>
      </c>
      <c r="D147" s="880" t="s">
        <v>3</v>
      </c>
      <c r="E147" s="883">
        <f>claim602.1.3.1</f>
        <v>0</v>
      </c>
      <c r="F147" s="3355">
        <f>note602.1.3.1</f>
        <v>0</v>
      </c>
      <c r="G147" s="3356"/>
    </row>
    <row r="148" spans="1:7" s="876" customFormat="1" ht="31" thickBot="1">
      <c r="C148" s="1031" t="s">
        <v>1532</v>
      </c>
      <c r="D148" s="881">
        <v>4</v>
      </c>
      <c r="E148" s="886">
        <f>claim602.1.3.2</f>
        <v>0</v>
      </c>
      <c r="F148" s="3357">
        <f>note602.1.3.2</f>
        <v>0</v>
      </c>
      <c r="G148" s="3358"/>
    </row>
    <row r="149" spans="1:7" s="876" customFormat="1" ht="16" thickTop="1">
      <c r="C149" s="1029" t="s">
        <v>1533</v>
      </c>
      <c r="D149" s="885"/>
      <c r="E149" s="887"/>
      <c r="F149" s="3359"/>
      <c r="G149" s="3360"/>
    </row>
    <row r="150" spans="1:7" s="876" customFormat="1" ht="30">
      <c r="C150" s="1030" t="s">
        <v>1534</v>
      </c>
      <c r="D150" s="882"/>
      <c r="E150" s="888"/>
      <c r="F150" s="3353"/>
      <c r="G150" s="3354"/>
    </row>
    <row r="151" spans="1:7" s="876" customFormat="1" ht="30">
      <c r="C151" s="1032" t="s">
        <v>1535</v>
      </c>
      <c r="D151" s="880">
        <v>6</v>
      </c>
      <c r="E151" s="883">
        <f>claim602.1.4.1</f>
        <v>0</v>
      </c>
      <c r="F151" s="3355">
        <f>note602.1.4.1_1</f>
        <v>0</v>
      </c>
      <c r="G151" s="3356"/>
    </row>
    <row r="152" spans="1:7" s="876" customFormat="1" ht="46" thickBot="1">
      <c r="B152" s="876" t="str">
        <f>'11.6'!B60</f>
        <v/>
      </c>
      <c r="C152" s="1033" t="s">
        <v>1536</v>
      </c>
      <c r="D152" s="881" t="s">
        <v>388</v>
      </c>
      <c r="E152" s="886">
        <f>IF(B152&lt;&gt;"x",claim602.1.4.1_2,"No crawlspace")</f>
        <v>0</v>
      </c>
      <c r="F152" s="3357">
        <f>note602.1.4.1_2</f>
        <v>0</v>
      </c>
      <c r="G152" s="3358"/>
    </row>
    <row r="153" spans="1:7" s="876" customFormat="1" ht="46" thickTop="1">
      <c r="C153" s="1029" t="s">
        <v>1537</v>
      </c>
      <c r="D153" s="885"/>
      <c r="E153" s="887"/>
      <c r="F153" s="3359"/>
      <c r="G153" s="3360"/>
    </row>
    <row r="154" spans="1:7" s="876" customFormat="1" ht="30">
      <c r="C154" s="1032" t="s">
        <v>1538</v>
      </c>
      <c r="D154" s="880">
        <v>8</v>
      </c>
      <c r="E154" s="883">
        <f>claim602.1.4.2_1</f>
        <v>0</v>
      </c>
      <c r="F154" s="3355">
        <f>note602.1.4.2_1</f>
        <v>0</v>
      </c>
      <c r="G154" s="3356"/>
    </row>
    <row r="155" spans="1:7" s="876" customFormat="1" ht="46" thickBot="1">
      <c r="B155" s="876" t="str">
        <f>'11.6'!B64</f>
        <v/>
      </c>
      <c r="C155" s="1033" t="s">
        <v>1539</v>
      </c>
      <c r="D155" s="881" t="s">
        <v>388</v>
      </c>
      <c r="E155" s="886">
        <f>IF(B155="x","No crawlspace",claim602.1.4.2_2)</f>
        <v>0</v>
      </c>
      <c r="F155" s="3357">
        <f>note602.1.4.2_2</f>
        <v>0</v>
      </c>
      <c r="G155" s="3358"/>
    </row>
    <row r="156" spans="1:7" s="876" customFormat="1" ht="32" thickTop="1" thickBot="1">
      <c r="C156" s="1034" t="s">
        <v>1540</v>
      </c>
      <c r="D156" s="889">
        <v>4</v>
      </c>
      <c r="E156" s="890">
        <f>claim602.1.5</f>
        <v>0</v>
      </c>
      <c r="F156" s="3383">
        <f>note602.1.5</f>
        <v>0</v>
      </c>
      <c r="G156" s="3384"/>
    </row>
    <row r="157" spans="1:7" s="876" customFormat="1" ht="16" thickTop="1">
      <c r="C157" s="1035" t="s">
        <v>1541</v>
      </c>
      <c r="D157" s="885"/>
      <c r="E157" s="887"/>
      <c r="F157" s="3359"/>
      <c r="G157" s="3360"/>
    </row>
    <row r="158" spans="1:7" s="876" customFormat="1">
      <c r="C158" s="1036" t="s">
        <v>1542</v>
      </c>
      <c r="D158" s="880">
        <v>2</v>
      </c>
      <c r="E158" s="883" t="str">
        <f>IF(claim602.1.6=D158,claim602.1.6,"")</f>
        <v/>
      </c>
      <c r="F158" s="3379">
        <f>note602.1.6</f>
        <v>0</v>
      </c>
      <c r="G158" s="3380"/>
    </row>
    <row r="159" spans="1:7" s="876" customFormat="1">
      <c r="C159" s="1036" t="s">
        <v>1543</v>
      </c>
      <c r="D159" s="880">
        <v>4</v>
      </c>
      <c r="E159" s="883" t="str">
        <f>IF(claim602.1.6=D159,claim602.1.6,"")</f>
        <v/>
      </c>
      <c r="F159" s="3397"/>
      <c r="G159" s="3398"/>
    </row>
    <row r="160" spans="1:7" s="876" customFormat="1" ht="16" thickBot="1">
      <c r="C160" s="1037" t="s">
        <v>1544</v>
      </c>
      <c r="D160" s="881">
        <v>6</v>
      </c>
      <c r="E160" s="886" t="str">
        <f>IF(claim602.1.6=D160,claim602.1.6,"")</f>
        <v/>
      </c>
      <c r="F160" s="3385"/>
      <c r="G160" s="3386"/>
    </row>
    <row r="161" spans="3:7" s="876" customFormat="1" ht="16" thickTop="1">
      <c r="C161" s="1035" t="s">
        <v>1545</v>
      </c>
      <c r="D161" s="885"/>
      <c r="E161" s="887"/>
      <c r="F161" s="3359"/>
      <c r="G161" s="3360"/>
    </row>
    <row r="162" spans="3:7" s="876" customFormat="1">
      <c r="C162" s="1038" t="s">
        <v>1546</v>
      </c>
      <c r="D162" s="891"/>
      <c r="E162" s="892"/>
      <c r="F162" s="3399"/>
      <c r="G162" s="3400"/>
    </row>
    <row r="163" spans="3:7" s="876" customFormat="1" ht="30">
      <c r="C163" s="1036" t="s">
        <v>1547</v>
      </c>
      <c r="D163" s="880">
        <v>2</v>
      </c>
      <c r="E163" s="883">
        <f>claim602.1.7.1_1</f>
        <v>0</v>
      </c>
      <c r="F163" s="3355">
        <f>note602.1.7.1_1</f>
        <v>0</v>
      </c>
      <c r="G163" s="3356"/>
    </row>
    <row r="164" spans="3:7" s="876" customFormat="1">
      <c r="C164" s="3375" t="s">
        <v>1548</v>
      </c>
      <c r="D164" s="3377" t="s">
        <v>1550</v>
      </c>
      <c r="E164" s="883">
        <f>choice602.1.7.1_2</f>
        <v>0</v>
      </c>
      <c r="F164" s="3379">
        <f>note602.1.7.1_2</f>
        <v>0</v>
      </c>
      <c r="G164" s="3380"/>
    </row>
    <row r="165" spans="3:7" s="876" customFormat="1">
      <c r="C165" s="3376"/>
      <c r="D165" s="3378"/>
      <c r="E165" s="1071">
        <f>claim602.1.7.1_2</f>
        <v>0</v>
      </c>
      <c r="F165" s="3381"/>
      <c r="G165" s="3382"/>
    </row>
    <row r="166" spans="3:7" s="876" customFormat="1" ht="31" thickBot="1">
      <c r="C166" s="1037" t="s">
        <v>1549</v>
      </c>
      <c r="D166" s="881">
        <v>4</v>
      </c>
      <c r="E166" s="886">
        <f>claim602.1.7.1_3</f>
        <v>0</v>
      </c>
      <c r="F166" s="3357">
        <f>note602.1.7.1_3</f>
        <v>0</v>
      </c>
      <c r="G166" s="3358"/>
    </row>
    <row r="167" spans="3:7" s="876" customFormat="1" ht="32" thickTop="1" thickBot="1">
      <c r="C167" s="1034" t="s">
        <v>1551</v>
      </c>
      <c r="D167" s="889">
        <v>2</v>
      </c>
      <c r="E167" s="890">
        <f>claim602.1.7.2</f>
        <v>0</v>
      </c>
      <c r="F167" s="3383">
        <f>note602.1.7.2</f>
        <v>0</v>
      </c>
      <c r="G167" s="3384"/>
    </row>
    <row r="168" spans="3:7" s="876" customFormat="1" ht="32" thickTop="1" thickBot="1">
      <c r="C168" s="1039" t="s">
        <v>1552</v>
      </c>
      <c r="D168" s="893" t="s">
        <v>295</v>
      </c>
      <c r="E168" s="1072">
        <f>claim602.1.8</f>
        <v>0</v>
      </c>
      <c r="F168" s="3385">
        <f>note602.1.8</f>
        <v>0</v>
      </c>
      <c r="G168" s="3386"/>
    </row>
    <row r="169" spans="3:7" ht="61" thickTop="1">
      <c r="C169" s="249" t="s">
        <v>1553</v>
      </c>
      <c r="D169" s="214"/>
      <c r="E169" s="214"/>
      <c r="F169" s="3387"/>
      <c r="G169" s="3388"/>
    </row>
    <row r="170" spans="3:7" ht="132" customHeight="1">
      <c r="C170" s="207" t="s">
        <v>1554</v>
      </c>
      <c r="D170" s="996" t="s">
        <v>295</v>
      </c>
      <c r="E170" s="1015">
        <f>claim602.1.9_1</f>
        <v>0</v>
      </c>
      <c r="F170" s="3320">
        <f>note602.1.9_1</f>
        <v>0</v>
      </c>
      <c r="G170" s="3321"/>
    </row>
    <row r="171" spans="3:7">
      <c r="C171" s="207" t="s">
        <v>1555</v>
      </c>
      <c r="D171" s="996">
        <v>2</v>
      </c>
      <c r="E171" s="994">
        <f>claim602.1.9_2</f>
        <v>0</v>
      </c>
      <c r="F171" s="3320">
        <f>note602.1.9_2</f>
        <v>0</v>
      </c>
      <c r="G171" s="3321"/>
    </row>
    <row r="172" spans="3:7">
      <c r="C172" s="207" t="s">
        <v>1556</v>
      </c>
      <c r="D172" s="996">
        <v>3</v>
      </c>
      <c r="E172" s="994">
        <f>claim602.1.9_3</f>
        <v>0</v>
      </c>
      <c r="F172" s="3320">
        <f>note602.1.9_3</f>
        <v>0</v>
      </c>
      <c r="G172" s="3321"/>
    </row>
    <row r="173" spans="3:7" ht="66" customHeight="1">
      <c r="C173" s="207" t="s">
        <v>1557</v>
      </c>
      <c r="D173" s="996">
        <v>3</v>
      </c>
      <c r="E173" s="994">
        <f>claim602.1.9_4</f>
        <v>0</v>
      </c>
      <c r="F173" s="3320">
        <f>note602.1.9_4</f>
        <v>0</v>
      </c>
      <c r="G173" s="3321"/>
    </row>
    <row r="174" spans="3:7">
      <c r="C174" s="207" t="s">
        <v>1558</v>
      </c>
      <c r="D174" s="1041"/>
      <c r="E174" s="997"/>
      <c r="F174" s="3322"/>
      <c r="G174" s="3323"/>
    </row>
    <row r="175" spans="3:7" ht="30">
      <c r="C175" s="894" t="s">
        <v>1559</v>
      </c>
      <c r="D175" s="996">
        <v>4</v>
      </c>
      <c r="E175" s="994" t="str">
        <f>IF(claim602.1.9_5=D175,claim602.1.9_5,"")</f>
        <v/>
      </c>
      <c r="F175" s="3328">
        <f>note602.1.9_5</f>
        <v>0</v>
      </c>
      <c r="G175" s="3329"/>
    </row>
    <row r="176" spans="3:7" ht="30">
      <c r="C176" s="894" t="s">
        <v>1560</v>
      </c>
      <c r="D176" s="996">
        <v>2</v>
      </c>
      <c r="E176" s="994" t="str">
        <f>IF(claim602.1.9_5=D176,claim602.1.9_5,"")</f>
        <v/>
      </c>
      <c r="F176" s="3289"/>
      <c r="G176" s="3290"/>
    </row>
    <row r="177" spans="3:7" ht="30">
      <c r="C177" s="207" t="s">
        <v>1561</v>
      </c>
      <c r="D177" s="996">
        <v>2</v>
      </c>
      <c r="E177" s="994">
        <f>claim602.1.9_6</f>
        <v>0</v>
      </c>
      <c r="F177" s="3320">
        <f>note602.1.9_6</f>
        <v>0</v>
      </c>
      <c r="G177" s="3321"/>
    </row>
    <row r="178" spans="3:7" ht="16" thickBot="1">
      <c r="C178" s="1109" t="s">
        <v>1562</v>
      </c>
      <c r="D178" s="1103">
        <v>2</v>
      </c>
      <c r="E178" s="208">
        <f>claim602.1.9_7</f>
        <v>0</v>
      </c>
      <c r="F178" s="3328">
        <f>note602.1.9_7</f>
        <v>0</v>
      </c>
      <c r="G178" s="3329"/>
    </row>
    <row r="179" spans="3:7" ht="16" thickTop="1">
      <c r="C179" s="895" t="s">
        <v>1761</v>
      </c>
      <c r="D179" s="232"/>
      <c r="E179" s="232"/>
      <c r="F179" s="3326"/>
      <c r="G179" s="3327"/>
    </row>
    <row r="180" spans="3:7">
      <c r="C180" s="207" t="s">
        <v>1853</v>
      </c>
      <c r="D180" s="996">
        <v>2</v>
      </c>
      <c r="E180" s="994">
        <f>IF(claim602.1.10=D180,D180,0)</f>
        <v>0</v>
      </c>
      <c r="F180" s="3328">
        <f>note602.1.10</f>
        <v>0</v>
      </c>
      <c r="G180" s="3329"/>
    </row>
    <row r="181" spans="3:7">
      <c r="C181" s="207" t="s">
        <v>1854</v>
      </c>
      <c r="D181" s="996">
        <v>4</v>
      </c>
      <c r="E181" s="994">
        <f>IF(claim602.1.10=D181,D181,0)</f>
        <v>0</v>
      </c>
      <c r="F181" s="3330"/>
      <c r="G181" s="3331"/>
    </row>
    <row r="182" spans="3:7" ht="16" thickBot="1">
      <c r="C182" s="219" t="s">
        <v>1855</v>
      </c>
      <c r="D182" s="220">
        <v>6</v>
      </c>
      <c r="E182" s="994" t="str">
        <f>IF(claim602.1.10=D182,claim602.1.10,"")</f>
        <v/>
      </c>
      <c r="F182" s="3361"/>
      <c r="G182" s="3362"/>
    </row>
    <row r="183" spans="3:7" ht="32" thickTop="1" thickBot="1">
      <c r="C183" s="228" t="s">
        <v>1762</v>
      </c>
      <c r="D183" s="1073" t="s">
        <v>295</v>
      </c>
      <c r="E183" s="229">
        <f>claim602.1.11</f>
        <v>0</v>
      </c>
      <c r="F183" s="3316">
        <f>note602.1.11</f>
        <v>0</v>
      </c>
      <c r="G183" s="3317"/>
    </row>
    <row r="184" spans="3:7" ht="17" thickTop="1" thickBot="1">
      <c r="C184" s="228" t="s">
        <v>1763</v>
      </c>
      <c r="D184" s="242">
        <v>4</v>
      </c>
      <c r="E184" s="229">
        <f>claim602.1.12</f>
        <v>0</v>
      </c>
      <c r="F184" s="3316">
        <f>note602.1.12</f>
        <v>0</v>
      </c>
      <c r="G184" s="3317"/>
    </row>
    <row r="185" spans="3:7" ht="50.25" customHeight="1" thickTop="1" thickBot="1">
      <c r="C185" s="228" t="s">
        <v>1764</v>
      </c>
      <c r="D185" s="1073" t="s">
        <v>295</v>
      </c>
      <c r="E185" s="229">
        <f>claim602.1.13</f>
        <v>0</v>
      </c>
      <c r="F185" s="3316">
        <f>note602.1.13</f>
        <v>0</v>
      </c>
      <c r="G185" s="3317"/>
    </row>
    <row r="186" spans="3:7" ht="30" customHeight="1" thickTop="1">
      <c r="C186" s="895" t="s">
        <v>1765</v>
      </c>
      <c r="D186" s="232"/>
      <c r="E186" s="232"/>
      <c r="F186" s="3326"/>
      <c r="G186" s="3327"/>
    </row>
    <row r="187" spans="3:7">
      <c r="C187" s="207" t="s">
        <v>1856</v>
      </c>
      <c r="D187" s="996">
        <v>2</v>
      </c>
      <c r="E187" s="994">
        <f>claim602.1.14_2</f>
        <v>0</v>
      </c>
      <c r="F187" s="3320">
        <f>note602.1.14_1</f>
        <v>0</v>
      </c>
      <c r="G187" s="3321"/>
    </row>
    <row r="188" spans="3:7">
      <c r="C188" s="207" t="s">
        <v>1857</v>
      </c>
      <c r="D188" s="996">
        <v>2</v>
      </c>
      <c r="E188" s="994">
        <f>claim602.1.14_2</f>
        <v>0</v>
      </c>
      <c r="F188" s="3320">
        <f>note602.1.14_2</f>
        <v>0</v>
      </c>
      <c r="G188" s="3321"/>
    </row>
    <row r="189" spans="3:7" ht="25.5" customHeight="1">
      <c r="C189" s="3344" t="s">
        <v>1858</v>
      </c>
      <c r="D189" s="3434" t="s">
        <v>1766</v>
      </c>
      <c r="E189" s="1192">
        <f>choice602.1.14_3</f>
        <v>0</v>
      </c>
      <c r="F189" s="3328">
        <f>note602.1.14_3</f>
        <v>0</v>
      </c>
      <c r="G189" s="3329"/>
    </row>
    <row r="190" spans="3:7" ht="18" customHeight="1" thickBot="1">
      <c r="C190" s="3436"/>
      <c r="D190" s="3435"/>
      <c r="E190" s="994" t="str">
        <f>IF(claim602.1.14_3=0,"0",claim602.1.14_3)</f>
        <v>0</v>
      </c>
      <c r="F190" s="3361"/>
      <c r="G190" s="3362"/>
    </row>
    <row r="191" spans="3:7" ht="54.75" customHeight="1" thickTop="1">
      <c r="C191" s="247" t="s">
        <v>1767</v>
      </c>
      <c r="D191" s="1077"/>
      <c r="E191" s="1069"/>
      <c r="F191" s="3346"/>
      <c r="G191" s="3347"/>
    </row>
    <row r="192" spans="3:7">
      <c r="C192" s="207" t="s">
        <v>1768</v>
      </c>
      <c r="D192" s="1074">
        <v>3</v>
      </c>
      <c r="E192" s="994">
        <f>IF(choice602.2="ENERGY STAR® cool roof",3,0)</f>
        <v>0</v>
      </c>
      <c r="F192" s="3328">
        <f>note602.2</f>
        <v>0</v>
      </c>
      <c r="G192" s="3329"/>
    </row>
    <row r="193" spans="3:8">
      <c r="C193" s="207" t="s">
        <v>1769</v>
      </c>
      <c r="D193" s="1074">
        <v>3</v>
      </c>
      <c r="E193" s="994">
        <f>IF(choice602.2="Vegetated roof system",3,0)</f>
        <v>0</v>
      </c>
      <c r="F193" s="3330"/>
      <c r="G193" s="3331"/>
    </row>
    <row r="194" spans="3:8" ht="16" thickBot="1">
      <c r="C194" s="219" t="s">
        <v>1770</v>
      </c>
      <c r="D194" s="1076">
        <v>3</v>
      </c>
      <c r="E194" s="221">
        <f>IF(choice602.2="Both",3,0)</f>
        <v>0</v>
      </c>
      <c r="F194" s="3361"/>
      <c r="G194" s="3362"/>
    </row>
    <row r="195" spans="3:8" ht="31" thickTop="1">
      <c r="C195" s="231" t="s">
        <v>1771</v>
      </c>
      <c r="D195" s="996">
        <v>4</v>
      </c>
      <c r="E195" s="1015">
        <f>claim602.3</f>
        <v>0</v>
      </c>
      <c r="F195" s="3332">
        <f>note602.3</f>
        <v>0</v>
      </c>
      <c r="G195" s="3333"/>
    </row>
    <row r="196" spans="3:8" ht="57" customHeight="1">
      <c r="C196" s="268" t="s">
        <v>1772</v>
      </c>
      <c r="D196" s="996" t="s">
        <v>3</v>
      </c>
      <c r="E196" s="1015">
        <f>claim602.4.1</f>
        <v>0</v>
      </c>
      <c r="F196" s="3320">
        <f>note602.4.1</f>
        <v>0</v>
      </c>
      <c r="G196" s="3321"/>
      <c r="H196" s="163"/>
    </row>
    <row r="197" spans="3:8" ht="16" thickBot="1">
      <c r="C197" s="1075" t="s">
        <v>1774</v>
      </c>
      <c r="D197" s="220">
        <v>1</v>
      </c>
      <c r="E197" s="221">
        <f>claim602.4.2</f>
        <v>0</v>
      </c>
      <c r="F197" s="3340">
        <f>note602.4.2</f>
        <v>0</v>
      </c>
      <c r="G197" s="3341"/>
    </row>
    <row r="198" spans="3:8" ht="16" thickTop="1">
      <c r="C198" s="1112" t="s">
        <v>1775</v>
      </c>
      <c r="D198" s="1106">
        <v>1</v>
      </c>
      <c r="E198" s="248">
        <f>claim602.4.3</f>
        <v>0</v>
      </c>
      <c r="F198" s="3481">
        <f>note602.4.3</f>
        <v>0</v>
      </c>
      <c r="G198" s="3482"/>
    </row>
    <row r="199" spans="3:8">
      <c r="C199" s="3291" t="s">
        <v>486</v>
      </c>
      <c r="D199" s="3292"/>
      <c r="E199" s="3292"/>
      <c r="F199" s="3292"/>
      <c r="G199" s="3293"/>
    </row>
    <row r="200" spans="3:8" ht="26.25" customHeight="1">
      <c r="C200" s="3492" t="s">
        <v>1776</v>
      </c>
      <c r="D200" s="3313" t="s">
        <v>487</v>
      </c>
      <c r="E200" s="212">
        <f>choice603.1</f>
        <v>0</v>
      </c>
      <c r="F200" s="3328">
        <f>note603.1</f>
        <v>0</v>
      </c>
      <c r="G200" s="3329"/>
    </row>
    <row r="201" spans="3:8" ht="16" thickBot="1">
      <c r="C201" s="3493"/>
      <c r="D201" s="3494"/>
      <c r="E201" s="221">
        <f>claim603.1</f>
        <v>0</v>
      </c>
      <c r="F201" s="3361"/>
      <c r="G201" s="3362"/>
    </row>
    <row r="202" spans="3:8" ht="30" customHeight="1" thickTop="1">
      <c r="C202" s="3495" t="s">
        <v>1777</v>
      </c>
      <c r="D202" s="3497" t="s">
        <v>470</v>
      </c>
      <c r="E202" s="1079">
        <f>choice603.2</f>
        <v>0</v>
      </c>
      <c r="F202" s="3481">
        <f>note603.2</f>
        <v>0</v>
      </c>
      <c r="G202" s="3482"/>
    </row>
    <row r="203" spans="3:8" ht="30" customHeight="1" thickBot="1">
      <c r="C203" s="3496"/>
      <c r="D203" s="3314"/>
      <c r="E203" s="208">
        <f>claim603.2</f>
        <v>0</v>
      </c>
      <c r="F203" s="3330"/>
      <c r="G203" s="3331"/>
    </row>
    <row r="204" spans="3:8" ht="31" thickTop="1">
      <c r="C204" s="231" t="s">
        <v>1778</v>
      </c>
      <c r="D204" s="245">
        <v>4</v>
      </c>
      <c r="E204" s="1078">
        <f>claim603.3</f>
        <v>0</v>
      </c>
      <c r="F204" s="3332">
        <f>note603.3</f>
        <v>0</v>
      </c>
      <c r="G204" s="3333"/>
    </row>
    <row r="205" spans="3:8">
      <c r="C205" s="3291" t="s">
        <v>488</v>
      </c>
      <c r="D205" s="3292"/>
      <c r="E205" s="3292"/>
      <c r="F205" s="3292"/>
      <c r="G205" s="3293"/>
    </row>
    <row r="206" spans="3:8">
      <c r="C206" s="1080" t="s">
        <v>1779</v>
      </c>
      <c r="D206" s="1082"/>
      <c r="E206" s="1083"/>
      <c r="F206" s="3322"/>
      <c r="G206" s="3323"/>
    </row>
    <row r="207" spans="3:8">
      <c r="C207" s="265" t="s">
        <v>808</v>
      </c>
      <c r="D207" s="996">
        <v>1</v>
      </c>
      <c r="E207" s="994">
        <f>IF(claim604.1.1=D207,D207,0)</f>
        <v>0</v>
      </c>
      <c r="F207" s="3334">
        <f>note604.1.1</f>
        <v>0</v>
      </c>
      <c r="G207" s="3335"/>
    </row>
    <row r="208" spans="3:8">
      <c r="C208" s="265" t="s">
        <v>809</v>
      </c>
      <c r="D208" s="996">
        <v>2</v>
      </c>
      <c r="E208" s="994">
        <f>IF(claim604.1.1=D208,D208,0)</f>
        <v>0</v>
      </c>
      <c r="F208" s="3348"/>
      <c r="G208" s="3349"/>
    </row>
    <row r="209" spans="3:7">
      <c r="C209" s="265" t="s">
        <v>810</v>
      </c>
      <c r="D209" s="996">
        <v>3</v>
      </c>
      <c r="E209" s="994">
        <f>IF(claim604.1.1=D209,D209,0)</f>
        <v>0</v>
      </c>
      <c r="F209" s="3336"/>
      <c r="G209" s="3337"/>
    </row>
    <row r="210" spans="3:7">
      <c r="C210" s="1081" t="s">
        <v>1780</v>
      </c>
      <c r="D210" s="1084"/>
      <c r="E210" s="1000"/>
      <c r="F210" s="3322"/>
      <c r="G210" s="3323"/>
    </row>
    <row r="211" spans="3:7">
      <c r="C211" s="265" t="s">
        <v>808</v>
      </c>
      <c r="D211" s="996">
        <v>2</v>
      </c>
      <c r="E211" s="994">
        <f>IF(claim604.1.2=D211,D211,0)</f>
        <v>0</v>
      </c>
      <c r="F211" s="3334">
        <f>note604.1.2</f>
        <v>0</v>
      </c>
      <c r="G211" s="3335"/>
    </row>
    <row r="212" spans="3:7">
      <c r="C212" s="265" t="s">
        <v>809</v>
      </c>
      <c r="D212" s="996">
        <v>4</v>
      </c>
      <c r="E212" s="994">
        <f>IF(claim604.1.2=D212,D212,0)</f>
        <v>0</v>
      </c>
      <c r="F212" s="3348"/>
      <c r="G212" s="3349"/>
    </row>
    <row r="213" spans="3:7">
      <c r="C213" s="265" t="s">
        <v>810</v>
      </c>
      <c r="D213" s="996">
        <v>6</v>
      </c>
      <c r="E213" s="994">
        <f>IF(claim604.1.2=D213,D213,0)</f>
        <v>0</v>
      </c>
      <c r="F213" s="3336"/>
      <c r="G213" s="3337"/>
    </row>
    <row r="214" spans="3:7">
      <c r="C214" s="3291" t="s">
        <v>489</v>
      </c>
      <c r="D214" s="3292"/>
      <c r="E214" s="3292"/>
      <c r="F214" s="3292"/>
      <c r="G214" s="3293"/>
    </row>
    <row r="215" spans="3:7" ht="31" thickBot="1">
      <c r="C215" s="1113" t="s">
        <v>1781</v>
      </c>
      <c r="D215" s="1104">
        <v>6</v>
      </c>
      <c r="E215" s="212">
        <f>claim605.1</f>
        <v>0</v>
      </c>
      <c r="F215" s="3340">
        <f>note605.1</f>
        <v>0</v>
      </c>
      <c r="G215" s="3341"/>
    </row>
    <row r="216" spans="3:7" ht="17" thickTop="1" thickBot="1">
      <c r="C216" s="230" t="s">
        <v>1782</v>
      </c>
      <c r="D216" s="242">
        <v>7</v>
      </c>
      <c r="E216" s="229">
        <f>claim605.2</f>
        <v>0</v>
      </c>
      <c r="F216" s="3316">
        <f>note605.2</f>
        <v>0</v>
      </c>
      <c r="G216" s="3317"/>
    </row>
    <row r="217" spans="3:7" ht="31" thickTop="1">
      <c r="C217" s="1113" t="s">
        <v>1783</v>
      </c>
      <c r="D217" s="1086"/>
      <c r="E217" s="646"/>
      <c r="F217" s="3346"/>
      <c r="G217" s="3347"/>
    </row>
    <row r="218" spans="3:7" ht="15" customHeight="1">
      <c r="C218" s="265" t="s">
        <v>818</v>
      </c>
      <c r="D218" s="996">
        <v>3</v>
      </c>
      <c r="E218" s="994">
        <f>IF(claim605.3=D218,D218,0)</f>
        <v>0</v>
      </c>
      <c r="F218" s="3334">
        <f>note605.3</f>
        <v>0</v>
      </c>
      <c r="G218" s="3335"/>
    </row>
    <row r="219" spans="3:7" ht="15" customHeight="1">
      <c r="C219" s="265" t="s">
        <v>817</v>
      </c>
      <c r="D219" s="996">
        <v>4</v>
      </c>
      <c r="E219" s="994">
        <f>IF(claim605.3=D219,D219,0)</f>
        <v>0</v>
      </c>
      <c r="F219" s="3348"/>
      <c r="G219" s="3349"/>
    </row>
    <row r="220" spans="3:7" ht="15" customHeight="1">
      <c r="C220" s="265" t="s">
        <v>816</v>
      </c>
      <c r="D220" s="996">
        <v>5</v>
      </c>
      <c r="E220" s="994">
        <f>IF(claim605.3=D220,D220,0)</f>
        <v>0</v>
      </c>
      <c r="F220" s="3348"/>
      <c r="G220" s="3349"/>
    </row>
    <row r="221" spans="3:7" ht="15" customHeight="1">
      <c r="C221" s="265" t="s">
        <v>815</v>
      </c>
      <c r="D221" s="996">
        <v>6</v>
      </c>
      <c r="E221" s="994">
        <f>IF(claim605.3=D221,D221,0)</f>
        <v>0</v>
      </c>
      <c r="F221" s="3336"/>
      <c r="G221" s="3337"/>
    </row>
    <row r="222" spans="3:7">
      <c r="C222" s="3291" t="s">
        <v>490</v>
      </c>
      <c r="D222" s="3292"/>
      <c r="E222" s="3292"/>
      <c r="F222" s="3292"/>
      <c r="G222" s="3293"/>
    </row>
    <row r="223" spans="3:7">
      <c r="C223" s="1113" t="s">
        <v>1788</v>
      </c>
      <c r="D223" s="252" t="s">
        <v>491</v>
      </c>
      <c r="E223" s="253">
        <f>claim606.1</f>
        <v>0</v>
      </c>
      <c r="F223" s="3334">
        <f>note606.1</f>
        <v>0</v>
      </c>
      <c r="G223" s="3335"/>
    </row>
    <row r="224" spans="3:7">
      <c r="C224" s="265" t="s">
        <v>1784</v>
      </c>
      <c r="D224" s="1011">
        <v>3</v>
      </c>
      <c r="E224" s="1087">
        <f>claim606.1_1</f>
        <v>0</v>
      </c>
      <c r="F224" s="3348"/>
      <c r="G224" s="3349"/>
    </row>
    <row r="225" spans="3:7">
      <c r="C225" s="265" t="s">
        <v>1785</v>
      </c>
      <c r="D225" s="1011">
        <v>6</v>
      </c>
      <c r="E225" s="1087">
        <f>claim606.1_2</f>
        <v>0</v>
      </c>
      <c r="F225" s="3348"/>
      <c r="G225" s="3349"/>
    </row>
    <row r="226" spans="3:7" ht="16" thickBot="1">
      <c r="C226" s="1088" t="s">
        <v>1786</v>
      </c>
      <c r="D226" s="244" t="s">
        <v>1787</v>
      </c>
      <c r="E226" s="1089">
        <f>claim606.1_3</f>
        <v>0</v>
      </c>
      <c r="F226" s="3365"/>
      <c r="G226" s="3366"/>
    </row>
    <row r="227" spans="3:7" ht="16" thickTop="1">
      <c r="C227" s="231" t="s">
        <v>1792</v>
      </c>
      <c r="D227" s="647"/>
      <c r="E227" s="644"/>
      <c r="F227" s="3324"/>
      <c r="G227" s="3325"/>
    </row>
    <row r="228" spans="3:7">
      <c r="C228" s="207" t="s">
        <v>492</v>
      </c>
      <c r="D228" s="996">
        <v>3</v>
      </c>
      <c r="E228" s="994">
        <f>claim606.2_1</f>
        <v>0</v>
      </c>
      <c r="F228" s="3328">
        <f>note606.2</f>
        <v>0</v>
      </c>
      <c r="G228" s="3329"/>
    </row>
    <row r="229" spans="3:7" ht="16" thickBot="1">
      <c r="C229" s="219" t="s">
        <v>493</v>
      </c>
      <c r="D229" s="220">
        <v>4</v>
      </c>
      <c r="E229" s="221">
        <f>claim606.2_2</f>
        <v>0</v>
      </c>
      <c r="F229" s="3361"/>
      <c r="G229" s="3362"/>
    </row>
    <row r="230" spans="3:7" ht="31" thickTop="1">
      <c r="C230" s="231" t="s">
        <v>1795</v>
      </c>
      <c r="D230" s="647"/>
      <c r="E230" s="644"/>
      <c r="F230" s="3363"/>
      <c r="G230" s="3364"/>
    </row>
    <row r="231" spans="3:7">
      <c r="C231" s="265" t="s">
        <v>824</v>
      </c>
      <c r="D231" s="1011">
        <v>2</v>
      </c>
      <c r="E231" s="994">
        <f>IF(claim606.3=D231,D231,0)</f>
        <v>0</v>
      </c>
      <c r="F231" s="3334">
        <f>note606.3</f>
        <v>0</v>
      </c>
      <c r="G231" s="3335"/>
    </row>
    <row r="232" spans="3:7">
      <c r="C232" s="265" t="s">
        <v>1793</v>
      </c>
      <c r="D232" s="1011">
        <v>4</v>
      </c>
      <c r="E232" s="994">
        <f>IF(claim606.3=D232,D232,0)</f>
        <v>0</v>
      </c>
      <c r="F232" s="3348"/>
      <c r="G232" s="3349"/>
    </row>
    <row r="233" spans="3:7">
      <c r="C233" s="265" t="s">
        <v>1796</v>
      </c>
      <c r="D233" s="1011">
        <v>6</v>
      </c>
      <c r="E233" s="994">
        <f>IF(claim606.3=D233,D233,0)</f>
        <v>0</v>
      </c>
      <c r="F233" s="3336"/>
      <c r="G233" s="3337"/>
    </row>
    <row r="234" spans="3:7">
      <c r="C234" s="3291" t="s">
        <v>1811</v>
      </c>
      <c r="D234" s="3292"/>
      <c r="E234" s="3292"/>
      <c r="F234" s="3292"/>
      <c r="G234" s="3293"/>
    </row>
    <row r="235" spans="3:7" ht="30">
      <c r="C235" s="1113" t="s">
        <v>1797</v>
      </c>
      <c r="D235" s="1104">
        <v>3</v>
      </c>
      <c r="E235" s="212">
        <f>claim607.1_1</f>
        <v>0</v>
      </c>
      <c r="F235" s="3294">
        <f>note607.1_1</f>
        <v>0</v>
      </c>
      <c r="G235" s="3295"/>
    </row>
    <row r="236" spans="3:7" ht="16" thickBot="1">
      <c r="C236" s="1110" t="s">
        <v>1798</v>
      </c>
      <c r="D236" s="1103">
        <v>3</v>
      </c>
      <c r="E236" s="208">
        <f>claim607.1_2</f>
        <v>0</v>
      </c>
      <c r="F236" s="3301">
        <f>note607.1_2</f>
        <v>0</v>
      </c>
      <c r="G236" s="3302"/>
    </row>
    <row r="237" spans="3:7" ht="16" thickTop="1">
      <c r="C237" s="209" t="s">
        <v>1799</v>
      </c>
      <c r="D237" s="245">
        <v>1</v>
      </c>
      <c r="E237" s="1078">
        <f>claim607.2</f>
        <v>0</v>
      </c>
      <c r="F237" s="3373">
        <f>note607.2</f>
        <v>0</v>
      </c>
      <c r="G237" s="3374"/>
    </row>
    <row r="238" spans="3:7">
      <c r="C238" s="3291" t="s">
        <v>1810</v>
      </c>
      <c r="D238" s="3292"/>
      <c r="E238" s="3292"/>
      <c r="F238" s="3292"/>
      <c r="G238" s="3293"/>
    </row>
    <row r="239" spans="3:7" ht="75">
      <c r="C239" s="1113" t="s">
        <v>1800</v>
      </c>
      <c r="D239" s="1086"/>
      <c r="E239" s="646"/>
      <c r="F239" s="3303"/>
      <c r="G239" s="3304"/>
    </row>
    <row r="240" spans="3:7">
      <c r="C240" s="265" t="s">
        <v>825</v>
      </c>
      <c r="D240" s="996">
        <v>3</v>
      </c>
      <c r="E240" s="1015">
        <f>IF(claim608.1=D240,D240,0)</f>
        <v>0</v>
      </c>
      <c r="F240" s="3334">
        <f>note608.1</f>
        <v>0</v>
      </c>
      <c r="G240" s="3335"/>
    </row>
    <row r="241" spans="3:7">
      <c r="C241" s="265" t="s">
        <v>826</v>
      </c>
      <c r="D241" s="996">
        <v>6</v>
      </c>
      <c r="E241" s="1015">
        <f>IF(claim608.1=D241,D241,0)</f>
        <v>0</v>
      </c>
      <c r="F241" s="3348"/>
      <c r="G241" s="3349"/>
    </row>
    <row r="242" spans="3:7">
      <c r="C242" s="265" t="s">
        <v>827</v>
      </c>
      <c r="D242" s="996">
        <v>9</v>
      </c>
      <c r="E242" s="1015">
        <f>IF(claim608.1=D242,D242,0)</f>
        <v>0</v>
      </c>
      <c r="F242" s="3336"/>
      <c r="G242" s="3337"/>
    </row>
    <row r="243" spans="3:7">
      <c r="C243" s="3291" t="s">
        <v>1808</v>
      </c>
      <c r="D243" s="3292"/>
      <c r="E243" s="3292"/>
      <c r="F243" s="3292"/>
      <c r="G243" s="3293"/>
    </row>
    <row r="244" spans="3:7" ht="18" customHeight="1">
      <c r="C244" s="1090" t="s">
        <v>1801</v>
      </c>
      <c r="D244" s="1086"/>
      <c r="E244" s="646"/>
      <c r="F244" s="3367"/>
      <c r="G244" s="3368"/>
    </row>
    <row r="245" spans="3:7">
      <c r="C245" s="265" t="s">
        <v>829</v>
      </c>
      <c r="D245" s="996">
        <v>2</v>
      </c>
      <c r="E245" s="1015">
        <f>IF(claim609.1=D245,D245,0)</f>
        <v>0</v>
      </c>
      <c r="F245" s="3334">
        <f>note609.1</f>
        <v>0</v>
      </c>
      <c r="G245" s="3335"/>
    </row>
    <row r="246" spans="3:7">
      <c r="C246" s="265" t="s">
        <v>818</v>
      </c>
      <c r="D246" s="996">
        <v>4</v>
      </c>
      <c r="E246" s="1015">
        <f>IF(claim609.1=D246,D246,0)</f>
        <v>0</v>
      </c>
      <c r="F246" s="3348"/>
      <c r="G246" s="3349"/>
    </row>
    <row r="247" spans="3:7">
      <c r="C247" s="265" t="s">
        <v>817</v>
      </c>
      <c r="D247" s="996">
        <v>6</v>
      </c>
      <c r="E247" s="1015">
        <f>IF(claim609.1=D247,D247,0)</f>
        <v>0</v>
      </c>
      <c r="F247" s="3348"/>
      <c r="G247" s="3349"/>
    </row>
    <row r="248" spans="3:7">
      <c r="C248" s="265" t="s">
        <v>816</v>
      </c>
      <c r="D248" s="996">
        <v>8</v>
      </c>
      <c r="E248" s="1015">
        <f>IF(claim609.1=D248,D248,0)</f>
        <v>0</v>
      </c>
      <c r="F248" s="3348"/>
      <c r="G248" s="3349"/>
    </row>
    <row r="249" spans="3:7">
      <c r="C249" s="265" t="s">
        <v>815</v>
      </c>
      <c r="D249" s="996">
        <v>10</v>
      </c>
      <c r="E249" s="1015">
        <f>IF(claim609.1=D249,D249,0)</f>
        <v>0</v>
      </c>
      <c r="F249" s="3336"/>
      <c r="G249" s="3337"/>
    </row>
    <row r="250" spans="3:7">
      <c r="C250" s="3291" t="s">
        <v>1807</v>
      </c>
      <c r="D250" s="3292"/>
      <c r="E250" s="3292"/>
      <c r="F250" s="3292"/>
      <c r="G250" s="3293"/>
    </row>
    <row r="251" spans="3:7" ht="39">
      <c r="C251" s="1113" t="s">
        <v>1802</v>
      </c>
      <c r="D251" s="510" t="s">
        <v>1608</v>
      </c>
      <c r="E251" s="212">
        <f>claim610.1</f>
        <v>0</v>
      </c>
      <c r="F251" s="3334">
        <f>note610.1</f>
        <v>0</v>
      </c>
      <c r="G251" s="3335"/>
    </row>
    <row r="252" spans="3:7" ht="30">
      <c r="C252" s="254" t="s">
        <v>1803</v>
      </c>
      <c r="D252" s="1091">
        <v>15</v>
      </c>
      <c r="E252" s="1046">
        <f>claim610.1.1</f>
        <v>0</v>
      </c>
      <c r="F252" s="3369">
        <f>note610.1.1</f>
        <v>0</v>
      </c>
      <c r="G252" s="3370"/>
    </row>
    <row r="253" spans="3:7" ht="45">
      <c r="C253" s="1110" t="s">
        <v>1804</v>
      </c>
      <c r="D253" s="517" t="s">
        <v>1994</v>
      </c>
      <c r="E253" s="1115">
        <f>claim610.1.2</f>
        <v>0</v>
      </c>
      <c r="F253" s="3371"/>
      <c r="G253" s="3372"/>
    </row>
    <row r="254" spans="3:7" ht="45">
      <c r="C254" s="207" t="s">
        <v>1805</v>
      </c>
      <c r="D254" s="1091" t="s">
        <v>1996</v>
      </c>
      <c r="E254" s="1046">
        <f>score610.1.2_1</f>
        <v>0</v>
      </c>
      <c r="F254" s="3328">
        <f>note610.1.2_1</f>
        <v>0</v>
      </c>
      <c r="G254" s="3329"/>
    </row>
    <row r="255" spans="3:7">
      <c r="C255" s="894" t="s">
        <v>1833</v>
      </c>
      <c r="D255" s="1097"/>
      <c r="E255" s="1046">
        <f>enter610.1.2_1_4meas</f>
        <v>0</v>
      </c>
      <c r="F255" s="3330"/>
      <c r="G255" s="3331"/>
    </row>
    <row r="256" spans="3:7">
      <c r="C256" s="894" t="s">
        <v>1834</v>
      </c>
      <c r="D256" s="1097"/>
      <c r="E256" s="1046">
        <f>enter610.1.2_1_5meas</f>
        <v>0</v>
      </c>
      <c r="F256" s="3289"/>
      <c r="G256" s="3290"/>
    </row>
    <row r="257" spans="3:7" ht="30">
      <c r="C257" s="207" t="s">
        <v>1835</v>
      </c>
      <c r="D257" s="1091" t="s">
        <v>1997</v>
      </c>
      <c r="E257" s="1046">
        <f>choice610.1.2_2</f>
        <v>0</v>
      </c>
      <c r="F257" s="3328">
        <f>note610.1.2_2</f>
        <v>0</v>
      </c>
      <c r="G257" s="3329"/>
    </row>
    <row r="258" spans="3:7">
      <c r="C258" s="894" t="s">
        <v>1836</v>
      </c>
      <c r="D258" s="1097"/>
      <c r="E258" s="1046">
        <f>enter610.1.2_2_walls</f>
        <v>0</v>
      </c>
      <c r="F258" s="3330"/>
      <c r="G258" s="3331"/>
    </row>
    <row r="259" spans="3:7">
      <c r="C259" s="894" t="s">
        <v>1837</v>
      </c>
      <c r="D259" s="1097"/>
      <c r="E259" s="1046">
        <f>enter610.1.2_2_walls</f>
        <v>0</v>
      </c>
      <c r="F259" s="3330"/>
      <c r="G259" s="3331"/>
    </row>
    <row r="260" spans="3:7">
      <c r="C260" s="894" t="s">
        <v>1838</v>
      </c>
      <c r="D260" s="1097"/>
      <c r="E260" s="1046">
        <f>enter610.1.2_2_interior</f>
        <v>0</v>
      </c>
      <c r="F260" s="3330"/>
      <c r="G260" s="3331"/>
    </row>
    <row r="261" spans="3:7">
      <c r="C261" s="894" t="s">
        <v>1839</v>
      </c>
      <c r="D261" s="1097"/>
      <c r="E261" s="1046">
        <f>enter610.1.2_2_floors</f>
        <v>0</v>
      </c>
      <c r="F261" s="3289"/>
      <c r="G261" s="3290"/>
    </row>
    <row r="262" spans="3:7">
      <c r="C262" s="3291" t="s">
        <v>1806</v>
      </c>
      <c r="D262" s="3292"/>
      <c r="E262" s="3292"/>
      <c r="F262" s="3292"/>
      <c r="G262" s="3293"/>
    </row>
    <row r="263" spans="3:7" ht="63" customHeight="1">
      <c r="C263" s="1113" t="s">
        <v>1812</v>
      </c>
      <c r="D263" s="1092"/>
      <c r="E263" s="646"/>
      <c r="F263" s="3303"/>
      <c r="G263" s="3304"/>
    </row>
    <row r="264" spans="3:7">
      <c r="C264" s="265" t="s">
        <v>836</v>
      </c>
      <c r="D264" s="1093">
        <v>1</v>
      </c>
      <c r="E264" s="994">
        <f t="shared" ref="E264:E273" si="0">IF(claim611.1=D264,D264,0)</f>
        <v>0</v>
      </c>
      <c r="F264" s="3334">
        <f>note611.1</f>
        <v>0</v>
      </c>
      <c r="G264" s="3335"/>
    </row>
    <row r="265" spans="3:7">
      <c r="C265" s="265" t="s">
        <v>837</v>
      </c>
      <c r="D265" s="1093">
        <v>2</v>
      </c>
      <c r="E265" s="994">
        <f t="shared" si="0"/>
        <v>0</v>
      </c>
      <c r="F265" s="3348"/>
      <c r="G265" s="3349"/>
    </row>
    <row r="266" spans="3:7">
      <c r="C266" s="265" t="s">
        <v>838</v>
      </c>
      <c r="D266" s="1093">
        <v>3</v>
      </c>
      <c r="E266" s="994">
        <f t="shared" si="0"/>
        <v>0</v>
      </c>
      <c r="F266" s="3348"/>
      <c r="G266" s="3349"/>
    </row>
    <row r="267" spans="3:7">
      <c r="C267" s="265" t="s">
        <v>839</v>
      </c>
      <c r="D267" s="1093">
        <v>4</v>
      </c>
      <c r="E267" s="994">
        <f t="shared" si="0"/>
        <v>0</v>
      </c>
      <c r="F267" s="3348"/>
      <c r="G267" s="3349"/>
    </row>
    <row r="268" spans="3:7">
      <c r="C268" s="265" t="s">
        <v>840</v>
      </c>
      <c r="D268" s="1093">
        <v>5</v>
      </c>
      <c r="E268" s="994">
        <f t="shared" si="0"/>
        <v>0</v>
      </c>
      <c r="F268" s="3348"/>
      <c r="G268" s="3349"/>
    </row>
    <row r="269" spans="3:7">
      <c r="C269" s="265" t="s">
        <v>841</v>
      </c>
      <c r="D269" s="1093">
        <v>6</v>
      </c>
      <c r="E269" s="994">
        <f t="shared" si="0"/>
        <v>0</v>
      </c>
      <c r="F269" s="3348"/>
      <c r="G269" s="3349"/>
    </row>
    <row r="270" spans="3:7">
      <c r="C270" s="265" t="s">
        <v>842</v>
      </c>
      <c r="D270" s="1093">
        <v>7</v>
      </c>
      <c r="E270" s="994">
        <f t="shared" si="0"/>
        <v>0</v>
      </c>
      <c r="F270" s="3348"/>
      <c r="G270" s="3349"/>
    </row>
    <row r="271" spans="3:7">
      <c r="C271" s="265" t="s">
        <v>843</v>
      </c>
      <c r="D271" s="1093">
        <v>8</v>
      </c>
      <c r="E271" s="994">
        <f t="shared" si="0"/>
        <v>0</v>
      </c>
      <c r="F271" s="3348"/>
      <c r="G271" s="3349"/>
    </row>
    <row r="272" spans="3:7">
      <c r="C272" s="265" t="s">
        <v>844</v>
      </c>
      <c r="D272" s="1093">
        <v>9</v>
      </c>
      <c r="E272" s="994">
        <f t="shared" si="0"/>
        <v>0</v>
      </c>
      <c r="F272" s="3348"/>
      <c r="G272" s="3349"/>
    </row>
    <row r="273" spans="3:7">
      <c r="C273" s="265" t="s">
        <v>1813</v>
      </c>
      <c r="D273" s="1093">
        <v>10</v>
      </c>
      <c r="E273" s="994">
        <f t="shared" si="0"/>
        <v>0</v>
      </c>
      <c r="F273" s="3336"/>
      <c r="G273" s="3337"/>
    </row>
    <row r="274" spans="3:7" ht="30">
      <c r="C274" s="1113" t="s">
        <v>1814</v>
      </c>
      <c r="D274" s="1094" t="s">
        <v>470</v>
      </c>
      <c r="E274" s="1095">
        <f>claim611.2</f>
        <v>0</v>
      </c>
      <c r="F274" s="3303"/>
      <c r="G274" s="3304"/>
    </row>
    <row r="275" spans="3:7">
      <c r="C275" s="265" t="s">
        <v>1815</v>
      </c>
      <c r="D275" s="1093">
        <v>3</v>
      </c>
      <c r="E275" s="994">
        <f>IF(claim611.2_1=D275,D275,0)</f>
        <v>0</v>
      </c>
      <c r="F275" s="3294">
        <f>note611.2_1</f>
        <v>0</v>
      </c>
      <c r="G275" s="3295"/>
    </row>
    <row r="276" spans="3:7">
      <c r="C276" s="265" t="s">
        <v>1816</v>
      </c>
      <c r="D276" s="1093">
        <v>3</v>
      </c>
      <c r="E276" s="994">
        <f>IF(claim611.2_2=D276,D276,0)</f>
        <v>0</v>
      </c>
      <c r="F276" s="3294">
        <f>note611.2_2</f>
        <v>0</v>
      </c>
      <c r="G276" s="3295"/>
    </row>
    <row r="277" spans="3:7">
      <c r="C277" s="265" t="s">
        <v>1817</v>
      </c>
      <c r="D277" s="1093">
        <v>3</v>
      </c>
      <c r="E277" s="994">
        <f>IF(claim611.2_3=D277,D277,0)</f>
        <v>0</v>
      </c>
      <c r="F277" s="3294">
        <f>note611.2_3</f>
        <v>0</v>
      </c>
      <c r="G277" s="3295"/>
    </row>
    <row r="278" spans="3:7">
      <c r="C278" s="265" t="s">
        <v>1818</v>
      </c>
      <c r="D278" s="1093">
        <v>3</v>
      </c>
      <c r="E278" s="994">
        <f>IF(claim611.2_4=D278,D278,0)</f>
        <v>0</v>
      </c>
      <c r="F278" s="3294">
        <f>note611.2_4</f>
        <v>0</v>
      </c>
      <c r="G278" s="3295"/>
    </row>
    <row r="279" spans="3:7">
      <c r="C279" s="265" t="s">
        <v>1819</v>
      </c>
      <c r="D279" s="1093">
        <v>3</v>
      </c>
      <c r="E279" s="994">
        <f>IF(claim611.2_5=D279,D279,0)</f>
        <v>0</v>
      </c>
      <c r="F279" s="3294">
        <f>note611.2_5</f>
        <v>0</v>
      </c>
      <c r="G279" s="3295"/>
    </row>
    <row r="280" spans="3:7">
      <c r="C280" s="265" t="s">
        <v>1820</v>
      </c>
      <c r="D280" s="1093">
        <v>3</v>
      </c>
      <c r="E280" s="994">
        <f>IF(claim611.2_6=D280,D280,0)</f>
        <v>0</v>
      </c>
      <c r="F280" s="3294">
        <f>note611.2_6</f>
        <v>0</v>
      </c>
      <c r="G280" s="3295"/>
    </row>
    <row r="281" spans="3:7" ht="30">
      <c r="C281" s="265" t="s">
        <v>1821</v>
      </c>
      <c r="D281" s="1093">
        <v>3</v>
      </c>
      <c r="E281" s="994">
        <f>IF(claim611.2_7=D281,D281,0)</f>
        <v>0</v>
      </c>
      <c r="F281" s="3294">
        <f>note611.2_7</f>
        <v>0</v>
      </c>
      <c r="G281" s="3295"/>
    </row>
    <row r="282" spans="3:7">
      <c r="C282" s="1113" t="s">
        <v>1822</v>
      </c>
      <c r="D282" s="1094" t="s">
        <v>470</v>
      </c>
      <c r="E282" s="1095">
        <f>claim611.2</f>
        <v>0</v>
      </c>
      <c r="F282" s="3303"/>
      <c r="G282" s="3304"/>
    </row>
    <row r="283" spans="3:7" ht="60">
      <c r="C283" s="265" t="s">
        <v>1823</v>
      </c>
      <c r="D283" s="1093">
        <v>3</v>
      </c>
      <c r="E283" s="994">
        <f>IF(claim611.3_1=D283,D283,0)</f>
        <v>0</v>
      </c>
      <c r="F283" s="3294">
        <f>note611.3_1</f>
        <v>0</v>
      </c>
      <c r="G283" s="3295"/>
    </row>
    <row r="284" spans="3:7" ht="45">
      <c r="C284" s="265" t="s">
        <v>1824</v>
      </c>
      <c r="D284" s="1093">
        <v>3</v>
      </c>
      <c r="E284" s="994">
        <f>IF(claim611.3_2=D284,D284,0)</f>
        <v>0</v>
      </c>
      <c r="F284" s="3294">
        <f>note611.3_2</f>
        <v>0</v>
      </c>
      <c r="G284" s="3295"/>
    </row>
    <row r="285" spans="3:7" ht="30">
      <c r="C285" s="265" t="s">
        <v>1825</v>
      </c>
      <c r="D285" s="1093">
        <v>3</v>
      </c>
      <c r="E285" s="994">
        <f>IF(claim611.3_3=D285,D285,0)</f>
        <v>0</v>
      </c>
      <c r="F285" s="3294">
        <f>note611.3_3</f>
        <v>0</v>
      </c>
      <c r="G285" s="3295"/>
    </row>
    <row r="286" spans="3:7" ht="30">
      <c r="C286" s="265" t="s">
        <v>1826</v>
      </c>
      <c r="D286" s="1093">
        <v>1</v>
      </c>
      <c r="E286" s="994">
        <f>IF(claim611.3_4=D286,D286,0)</f>
        <v>0</v>
      </c>
      <c r="F286" s="3294">
        <f>note611.3_4</f>
        <v>0</v>
      </c>
      <c r="G286" s="3295"/>
    </row>
    <row r="287" spans="3:7">
      <c r="C287" s="3305"/>
      <c r="D287" s="3306"/>
      <c r="E287" s="3306"/>
      <c r="F287" s="3306"/>
      <c r="G287" s="3307"/>
    </row>
    <row r="288" spans="3:7">
      <c r="C288" s="3291" t="s">
        <v>495</v>
      </c>
      <c r="D288" s="3292"/>
      <c r="E288" s="3292"/>
      <c r="F288" s="3292"/>
      <c r="G288" s="3293"/>
    </row>
    <row r="289" spans="3:7">
      <c r="C289" s="3291" t="s">
        <v>496</v>
      </c>
      <c r="D289" s="3292"/>
      <c r="E289" s="3292"/>
      <c r="F289" s="3292"/>
      <c r="G289" s="3293"/>
    </row>
    <row r="290" spans="3:7" ht="15" customHeight="1" thickBot="1">
      <c r="C290" s="3308" t="s">
        <v>497</v>
      </c>
      <c r="D290" s="3309"/>
      <c r="E290" s="3309"/>
      <c r="F290" s="3309"/>
      <c r="G290" s="3310"/>
    </row>
    <row r="291" spans="3:7" ht="16" thickTop="1">
      <c r="C291" s="250" t="s">
        <v>498</v>
      </c>
      <c r="D291" s="251"/>
      <c r="E291" s="251"/>
      <c r="F291" s="3326"/>
      <c r="G291" s="3327"/>
    </row>
    <row r="292" spans="3:7">
      <c r="C292" s="256" t="s">
        <v>499</v>
      </c>
      <c r="D292" s="1043"/>
      <c r="E292" s="1043"/>
      <c r="F292" s="3299"/>
      <c r="G292" s="3300"/>
    </row>
    <row r="293" spans="3:7" ht="25.5" customHeight="1">
      <c r="C293" s="207" t="s">
        <v>500</v>
      </c>
      <c r="D293" s="996" t="s">
        <v>3</v>
      </c>
      <c r="E293" s="2011">
        <f>claim701.4.1.1</f>
        <v>0</v>
      </c>
      <c r="F293" s="3294">
        <f>note701.4.1.1</f>
        <v>0</v>
      </c>
      <c r="G293" s="3295"/>
    </row>
    <row r="294" spans="3:7" ht="16" thickBot="1">
      <c r="C294" s="219" t="s">
        <v>501</v>
      </c>
      <c r="D294" s="220" t="s">
        <v>3</v>
      </c>
      <c r="E294" s="2012">
        <f xml:space="preserve"> claim701.4.1.2</f>
        <v>0</v>
      </c>
      <c r="F294" s="3301">
        <f>note701.4.1.2</f>
        <v>0</v>
      </c>
      <c r="G294" s="3302"/>
    </row>
    <row r="295" spans="3:7" ht="16" thickTop="1">
      <c r="C295" s="257" t="s">
        <v>502</v>
      </c>
      <c r="D295" s="258"/>
      <c r="E295" s="258"/>
      <c r="F295" s="3326"/>
      <c r="G295" s="3327"/>
    </row>
    <row r="296" spans="3:7">
      <c r="C296" s="207" t="s">
        <v>1840</v>
      </c>
      <c r="D296" s="996" t="s">
        <v>3</v>
      </c>
      <c r="E296" s="2013">
        <f>claim701.4.2.1</f>
        <v>0</v>
      </c>
      <c r="F296" s="3294">
        <f>note701.4.2.1</f>
        <v>0</v>
      </c>
      <c r="G296" s="3295"/>
    </row>
    <row r="297" spans="3:7" ht="16" thickBot="1">
      <c r="C297" s="219" t="s">
        <v>503</v>
      </c>
      <c r="D297" s="220" t="s">
        <v>3</v>
      </c>
      <c r="E297" s="1965">
        <f>claim701.4.2.2</f>
        <v>0</v>
      </c>
      <c r="F297" s="3301">
        <f>note701.4.2.2</f>
        <v>0</v>
      </c>
      <c r="G297" s="3302"/>
    </row>
    <row r="298" spans="3:7" ht="17" thickTop="1" thickBot="1">
      <c r="C298" s="219" t="s">
        <v>1841</v>
      </c>
      <c r="D298" s="220" t="s">
        <v>3</v>
      </c>
      <c r="E298" s="1965">
        <f xml:space="preserve"> claim701.4.2.3</f>
        <v>0</v>
      </c>
      <c r="F298" s="3301">
        <f>note701.4.2.3</f>
        <v>0</v>
      </c>
      <c r="G298" s="3302"/>
    </row>
    <row r="299" spans="3:7" ht="16" thickTop="1">
      <c r="C299" s="257" t="s">
        <v>504</v>
      </c>
      <c r="D299" s="258"/>
      <c r="E299" s="258"/>
      <c r="F299" s="3326"/>
      <c r="G299" s="3327"/>
    </row>
    <row r="300" spans="3:7">
      <c r="C300" s="207" t="s">
        <v>1842</v>
      </c>
      <c r="D300" s="998" t="s">
        <v>3</v>
      </c>
      <c r="E300" s="2014">
        <f>claim701.4.3.1</f>
        <v>0</v>
      </c>
      <c r="F300" s="3320">
        <f>note701.4.3.1</f>
        <v>0</v>
      </c>
      <c r="G300" s="3321"/>
    </row>
    <row r="301" spans="3:7" ht="45">
      <c r="C301" s="207" t="s">
        <v>1843</v>
      </c>
      <c r="D301" s="1127"/>
      <c r="E301" s="1000"/>
      <c r="F301" s="3299"/>
      <c r="G301" s="3300"/>
    </row>
    <row r="302" spans="3:7" ht="25" customHeight="1">
      <c r="C302" s="3311" t="s">
        <v>1844</v>
      </c>
      <c r="D302" s="3313" t="s">
        <v>3</v>
      </c>
      <c r="E302" s="1099">
        <f>IF(choice701.4.3.2="Testing Option", claim701.4.3.2,0)</f>
        <v>0</v>
      </c>
      <c r="F302" s="3328">
        <f>note701.4.3.2_1</f>
        <v>0</v>
      </c>
      <c r="G302" s="3329"/>
    </row>
    <row r="303" spans="3:7" ht="25" customHeight="1">
      <c r="C303" s="3312"/>
      <c r="D303" s="3314"/>
      <c r="E303" s="1100">
        <f>IF(ch7ACH50&lt;&gt;"",CONCATENATE(ch7ACH50," ACH50"),0)</f>
        <v>0</v>
      </c>
      <c r="F303" s="3330"/>
      <c r="G303" s="3331"/>
    </row>
    <row r="304" spans="3:7" ht="45">
      <c r="C304" s="894" t="s">
        <v>1845</v>
      </c>
      <c r="D304" s="3315"/>
      <c r="E304" s="1099">
        <f>IF(choice701.4.3.2="Visual Inspection Option", claim701.4.3.2,0)</f>
        <v>0</v>
      </c>
      <c r="F304" s="3320">
        <f>note701.4.3.2_2</f>
        <v>0</v>
      </c>
      <c r="G304" s="3321"/>
    </row>
    <row r="305" spans="3:11" ht="45">
      <c r="C305" s="207" t="s">
        <v>1848</v>
      </c>
      <c r="D305" s="1005" t="s">
        <v>3</v>
      </c>
      <c r="E305" s="1061">
        <f xml:space="preserve"> claim701.4.3.3</f>
        <v>0</v>
      </c>
      <c r="F305" s="3320">
        <f>note701.4.3.3</f>
        <v>0</v>
      </c>
      <c r="G305" s="3321"/>
    </row>
    <row r="306" spans="3:11" ht="39" customHeight="1" thickBot="1">
      <c r="C306" s="207" t="s">
        <v>1847</v>
      </c>
      <c r="D306" s="1005" t="s">
        <v>3</v>
      </c>
      <c r="E306" s="1205">
        <f xml:space="preserve"> claim701.4.3.4</f>
        <v>0</v>
      </c>
      <c r="F306" s="3320">
        <f>note701.4.3.4</f>
        <v>0</v>
      </c>
      <c r="G306" s="3321"/>
    </row>
    <row r="307" spans="3:11" ht="32" thickTop="1" thickBot="1">
      <c r="C307" s="260" t="s">
        <v>1846</v>
      </c>
      <c r="D307" s="1059" t="s">
        <v>3</v>
      </c>
      <c r="E307" s="2015">
        <f xml:space="preserve"> claim701.4.4</f>
        <v>0</v>
      </c>
      <c r="F307" s="3332">
        <f>note701.4.4</f>
        <v>0</v>
      </c>
      <c r="G307" s="3333"/>
    </row>
    <row r="308" spans="3:11" ht="17" thickTop="1" thickBot="1">
      <c r="C308" s="260" t="s">
        <v>1849</v>
      </c>
      <c r="D308" s="1059" t="s">
        <v>3</v>
      </c>
      <c r="E308" s="2016">
        <f>IF(AND(startHVAC1&lt;&gt;"Boiler",startHVAC2&lt;&gt;"Boiler",startHVAC3&lt;&gt;"Boiler",startHVAC1&lt;&gt;""), "N/A", claim701.4.5)</f>
        <v>0</v>
      </c>
      <c r="F308" s="3332">
        <f>note701.4.5</f>
        <v>0</v>
      </c>
      <c r="G308" s="3333"/>
    </row>
    <row r="309" spans="3:11" ht="15.75" customHeight="1" thickBot="1">
      <c r="C309" s="3296" t="s">
        <v>2524</v>
      </c>
      <c r="D309" s="3297"/>
      <c r="E309" s="3297"/>
      <c r="F309" s="3297"/>
      <c r="G309" s="3298"/>
    </row>
    <row r="310" spans="3:11" ht="35.25" customHeight="1">
      <c r="C310" s="1987"/>
      <c r="D310" s="1988" t="s">
        <v>2525</v>
      </c>
      <c r="E310" s="208">
        <f>'11.7'!P81</f>
        <v>0</v>
      </c>
      <c r="F310" s="3289"/>
      <c r="G310" s="3290"/>
      <c r="H310" s="1062"/>
      <c r="I310" s="1062"/>
      <c r="J310" s="1062"/>
      <c r="K310" s="1062"/>
    </row>
    <row r="311" spans="3:11">
      <c r="C311" s="3350"/>
      <c r="D311" s="3351"/>
      <c r="E311" s="3351"/>
      <c r="F311" s="3351"/>
      <c r="G311" s="3352"/>
    </row>
    <row r="312" spans="3:11">
      <c r="C312" s="3291" t="s">
        <v>505</v>
      </c>
      <c r="D312" s="3292"/>
      <c r="E312" s="3292"/>
      <c r="F312" s="3292"/>
      <c r="G312" s="3293"/>
    </row>
    <row r="313" spans="3:11">
      <c r="C313" s="3291" t="s">
        <v>2526</v>
      </c>
      <c r="D313" s="3292"/>
      <c r="E313" s="3292"/>
      <c r="F313" s="3292"/>
      <c r="G313" s="3293"/>
    </row>
    <row r="314" spans="3:11">
      <c r="C314" s="268"/>
      <c r="D314" s="996" t="s">
        <v>2525</v>
      </c>
      <c r="E314" s="994">
        <f>'11.8'!K56</f>
        <v>0</v>
      </c>
      <c r="F314" s="3320"/>
      <c r="G314" s="3321"/>
    </row>
    <row r="315" spans="3:11">
      <c r="C315" s="3414"/>
      <c r="D315" s="3415"/>
      <c r="E315" s="3415"/>
      <c r="F315" s="3415"/>
      <c r="G315" s="3416"/>
    </row>
    <row r="316" spans="3:11">
      <c r="C316" s="3417" t="s">
        <v>506</v>
      </c>
      <c r="D316" s="3418"/>
      <c r="E316" s="3418"/>
      <c r="F316" s="3418"/>
      <c r="G316" s="3419"/>
    </row>
    <row r="317" spans="3:11">
      <c r="C317" s="3291" t="s">
        <v>507</v>
      </c>
      <c r="D317" s="3292"/>
      <c r="E317" s="3292"/>
      <c r="F317" s="3292"/>
      <c r="G317" s="3293"/>
    </row>
    <row r="318" spans="3:11">
      <c r="C318" s="213" t="s">
        <v>508</v>
      </c>
      <c r="D318" s="264"/>
      <c r="E318" s="264"/>
      <c r="F318" s="3299"/>
      <c r="G318" s="3300"/>
    </row>
    <row r="319" spans="3:11" ht="35" customHeight="1">
      <c r="C319" s="3342" t="s">
        <v>1677</v>
      </c>
      <c r="D319" s="3313">
        <v>5</v>
      </c>
      <c r="E319" s="994" t="str">
        <f>IF(choice901.1.1="Met",5,IF(choice901.1.1="No natural draft","0",""))</f>
        <v/>
      </c>
      <c r="F319" s="3328">
        <f>note901.1.1</f>
        <v>0</v>
      </c>
      <c r="G319" s="3329"/>
    </row>
    <row r="320" spans="3:11" ht="35" customHeight="1">
      <c r="C320" s="3343"/>
      <c r="D320" s="3315"/>
      <c r="E320" s="994">
        <f>choice901.1.1</f>
        <v>0</v>
      </c>
      <c r="F320" s="3289"/>
      <c r="G320" s="3290"/>
    </row>
    <row r="321" spans="3:7" ht="30">
      <c r="C321" s="207" t="s">
        <v>1678</v>
      </c>
      <c r="D321" s="996">
        <v>5</v>
      </c>
      <c r="E321" s="994">
        <f>claim901.1.2</f>
        <v>0</v>
      </c>
      <c r="F321" s="3320">
        <f>note901.1.2</f>
        <v>0</v>
      </c>
      <c r="G321" s="3321"/>
    </row>
    <row r="322" spans="3:7" ht="30">
      <c r="C322" s="207" t="s">
        <v>1679</v>
      </c>
      <c r="D322" s="1044"/>
      <c r="E322" s="1044"/>
      <c r="F322" s="3299"/>
      <c r="G322" s="3300"/>
    </row>
    <row r="323" spans="3:7">
      <c r="C323" s="894" t="s">
        <v>1680</v>
      </c>
      <c r="D323" s="996">
        <v>3</v>
      </c>
      <c r="E323" s="994" t="str">
        <f>IF(choice901.1.3_1="Power Vent",3,"")</f>
        <v/>
      </c>
      <c r="F323" s="3328">
        <f>note901.1.3_1</f>
        <v>0</v>
      </c>
      <c r="G323" s="3329"/>
    </row>
    <row r="324" spans="3:7">
      <c r="C324" s="894" t="s">
        <v>1681</v>
      </c>
      <c r="D324" s="996">
        <v>5</v>
      </c>
      <c r="E324" s="994" t="str">
        <f>IF(choice901.1.3_1="Direct Vent",5,"")</f>
        <v/>
      </c>
      <c r="F324" s="3289"/>
      <c r="G324" s="3290"/>
    </row>
    <row r="325" spans="3:7">
      <c r="C325" s="894" t="s">
        <v>1682</v>
      </c>
      <c r="D325" s="996">
        <v>3</v>
      </c>
      <c r="E325" s="994" t="str">
        <f>IF(choice901.1.3_2="Power Vent",3,"")</f>
        <v/>
      </c>
      <c r="F325" s="3328">
        <f>note901.1.3_2</f>
        <v>0</v>
      </c>
      <c r="G325" s="3329"/>
    </row>
    <row r="326" spans="3:7">
      <c r="C326" s="894" t="s">
        <v>1683</v>
      </c>
      <c r="D326" s="996">
        <v>5</v>
      </c>
      <c r="E326" s="994" t="str">
        <f>IF(choice901.1.3_2="Direct Vent",5,"")</f>
        <v/>
      </c>
      <c r="F326" s="3289"/>
      <c r="G326" s="3290"/>
    </row>
    <row r="327" spans="3:7" ht="45">
      <c r="C327" s="207" t="s">
        <v>1684</v>
      </c>
      <c r="D327" s="996" t="s">
        <v>295</v>
      </c>
      <c r="E327" s="994">
        <f>claim901.1.4</f>
        <v>0</v>
      </c>
      <c r="F327" s="3320">
        <f>note901.1.4</f>
        <v>0</v>
      </c>
      <c r="G327" s="3321"/>
    </row>
    <row r="328" spans="3:7" ht="30">
      <c r="C328" s="1109" t="s">
        <v>1685</v>
      </c>
      <c r="D328" s="1103">
        <v>7</v>
      </c>
      <c r="E328" s="208">
        <f>claim901.1.5</f>
        <v>0</v>
      </c>
      <c r="F328" s="3328">
        <f>note901.1.5</f>
        <v>0</v>
      </c>
      <c r="G328" s="3329"/>
    </row>
    <row r="329" spans="3:7">
      <c r="C329" s="207" t="s">
        <v>1686</v>
      </c>
      <c r="D329" s="1041"/>
      <c r="E329" s="997"/>
      <c r="F329" s="3322"/>
      <c r="G329" s="3323"/>
    </row>
    <row r="330" spans="3:7">
      <c r="C330" s="1007" t="s">
        <v>1687</v>
      </c>
      <c r="D330" s="996">
        <v>2</v>
      </c>
      <c r="E330" s="994" t="str">
        <f>IF(choice901.1.6="Unconditioned space",2,"")</f>
        <v/>
      </c>
      <c r="F330" s="3328">
        <f>note901.1.6</f>
        <v>0</v>
      </c>
      <c r="G330" s="3329"/>
    </row>
    <row r="331" spans="3:7" ht="16" thickBot="1">
      <c r="C331" s="1055" t="s">
        <v>1688</v>
      </c>
      <c r="D331" s="1103">
        <v>5</v>
      </c>
      <c r="E331" s="208" t="str">
        <f>IF(choice901.1.6="Conditioned space",5,"")</f>
        <v/>
      </c>
      <c r="F331" s="3330"/>
      <c r="G331" s="3331"/>
    </row>
    <row r="332" spans="3:7" ht="16" thickTop="1">
      <c r="C332" s="231" t="s">
        <v>1689</v>
      </c>
      <c r="D332" s="232"/>
      <c r="E332" s="232"/>
      <c r="F332" s="3326"/>
      <c r="G332" s="3327"/>
    </row>
    <row r="333" spans="3:7" ht="30">
      <c r="C333" s="207" t="s">
        <v>1690</v>
      </c>
      <c r="D333" s="1044"/>
      <c r="E333" s="1044"/>
      <c r="F333" s="3299"/>
      <c r="G333" s="3300"/>
    </row>
    <row r="334" spans="3:7" ht="45" customHeight="1">
      <c r="C334" s="3311" t="s">
        <v>1691</v>
      </c>
      <c r="D334" s="3313" t="s">
        <v>1692</v>
      </c>
      <c r="E334" s="1193">
        <f>choice901.2.1_1</f>
        <v>0</v>
      </c>
      <c r="F334" s="3334">
        <f>note901.2.1_1</f>
        <v>0</v>
      </c>
      <c r="G334" s="3335"/>
    </row>
    <row r="335" spans="3:7" ht="20" customHeight="1">
      <c r="C335" s="3312"/>
      <c r="D335" s="3315"/>
      <c r="E335" s="1102" t="str">
        <f>IF(claim901.2.1_1=4,4,"0")</f>
        <v>0</v>
      </c>
      <c r="F335" s="3336"/>
      <c r="G335" s="3337"/>
    </row>
    <row r="336" spans="3:7" ht="25.5" customHeight="1">
      <c r="C336" s="3311" t="s">
        <v>1693</v>
      </c>
      <c r="D336" s="3313" t="s">
        <v>1694</v>
      </c>
      <c r="E336" s="1193">
        <f>choice901.2.1_2</f>
        <v>0</v>
      </c>
      <c r="F336" s="3334">
        <f>note901.2.1_2</f>
        <v>0</v>
      </c>
      <c r="G336" s="3335"/>
    </row>
    <row r="337" spans="3:7" ht="20" customHeight="1">
      <c r="C337" s="3312"/>
      <c r="D337" s="3315"/>
      <c r="E337" s="1102" t="str">
        <f>IF(claim901.2.1_2=6,6,"0")</f>
        <v>0</v>
      </c>
      <c r="F337" s="3336"/>
      <c r="G337" s="3337"/>
    </row>
    <row r="338" spans="3:7" ht="27" customHeight="1">
      <c r="C338" s="3311" t="s">
        <v>1695</v>
      </c>
      <c r="D338" s="3313" t="s">
        <v>1694</v>
      </c>
      <c r="E338" s="1102">
        <f>choice901.2.1_3</f>
        <v>0</v>
      </c>
      <c r="F338" s="3334">
        <f>note901.2.1_3</f>
        <v>0</v>
      </c>
      <c r="G338" s="3335"/>
    </row>
    <row r="339" spans="3:7" ht="20" customHeight="1">
      <c r="C339" s="3312"/>
      <c r="D339" s="3315"/>
      <c r="E339" s="1102" t="str">
        <f>IF(claim901.2.1_3=6,6,"0")</f>
        <v>0</v>
      </c>
      <c r="F339" s="3336"/>
      <c r="G339" s="3337"/>
    </row>
    <row r="340" spans="3:7" ht="24" customHeight="1">
      <c r="C340" s="3311" t="s">
        <v>1696</v>
      </c>
      <c r="D340" s="3313" t="s">
        <v>1694</v>
      </c>
      <c r="E340" s="1102">
        <f>choice901.2.1_4</f>
        <v>0</v>
      </c>
      <c r="F340" s="3334">
        <f>note901.2.1_4</f>
        <v>0</v>
      </c>
      <c r="G340" s="3335"/>
    </row>
    <row r="341" spans="3:7" ht="20" customHeight="1">
      <c r="C341" s="3312"/>
      <c r="D341" s="3315"/>
      <c r="E341" s="1102" t="str">
        <f>IF(claim901.2.1_4=6,6,"0")</f>
        <v>0</v>
      </c>
      <c r="F341" s="3336"/>
      <c r="G341" s="3337"/>
    </row>
    <row r="342" spans="3:7" ht="25.5" customHeight="1">
      <c r="C342" s="3311" t="s">
        <v>1697</v>
      </c>
      <c r="D342" s="3313" t="s">
        <v>1694</v>
      </c>
      <c r="E342" s="1102">
        <f>choice901.2.1_5</f>
        <v>0</v>
      </c>
      <c r="F342" s="3334">
        <f>note901.2.1_5</f>
        <v>0</v>
      </c>
      <c r="G342" s="3335"/>
    </row>
    <row r="343" spans="3:7" ht="20" customHeight="1">
      <c r="C343" s="3312"/>
      <c r="D343" s="3315"/>
      <c r="E343" s="1102" t="str">
        <f>IF(claim901.2.1_5=6,6,"0")</f>
        <v>0</v>
      </c>
      <c r="F343" s="3336"/>
      <c r="G343" s="3337"/>
    </row>
    <row r="344" spans="3:7" ht="30" customHeight="1" thickBot="1">
      <c r="C344" s="219" t="s">
        <v>1698</v>
      </c>
      <c r="D344" s="220">
        <v>7</v>
      </c>
      <c r="E344" s="221">
        <f>claim901.2.2</f>
        <v>0</v>
      </c>
      <c r="F344" s="3340">
        <f>note901.2.2</f>
        <v>0</v>
      </c>
      <c r="G344" s="3341"/>
    </row>
    <row r="345" spans="3:7" ht="16" thickTop="1">
      <c r="C345" s="231" t="s">
        <v>509</v>
      </c>
      <c r="D345" s="232"/>
      <c r="E345" s="232"/>
      <c r="F345" s="3326"/>
      <c r="G345" s="3327"/>
    </row>
    <row r="346" spans="3:7" ht="25.5" customHeight="1">
      <c r="C346" s="3344" t="s">
        <v>1699</v>
      </c>
      <c r="D346" s="3313" t="s">
        <v>510</v>
      </c>
      <c r="E346" s="1015">
        <f>choice901.3_1_a</f>
        <v>0</v>
      </c>
      <c r="F346" s="3334">
        <f>note901.3_1_a</f>
        <v>0</v>
      </c>
      <c r="G346" s="3335"/>
    </row>
    <row r="347" spans="3:7">
      <c r="C347" s="3345"/>
      <c r="D347" s="3315"/>
      <c r="E347" s="1015" t="str">
        <f>IF(claim901.3_1_a=0,"0",claim901.3_1_a)</f>
        <v>0</v>
      </c>
      <c r="F347" s="3336"/>
      <c r="G347" s="3337"/>
    </row>
    <row r="348" spans="3:7" ht="25.5" customHeight="1">
      <c r="C348" s="3344" t="s">
        <v>1700</v>
      </c>
      <c r="D348" s="3313" t="s">
        <v>510</v>
      </c>
      <c r="E348" s="1015">
        <f>choice901.3_1_b</f>
        <v>0</v>
      </c>
      <c r="F348" s="3334">
        <f>note901.3_1_b</f>
        <v>0</v>
      </c>
      <c r="G348" s="3335"/>
    </row>
    <row r="349" spans="3:7">
      <c r="C349" s="3345"/>
      <c r="D349" s="3315"/>
      <c r="E349" s="1015" t="str">
        <f>IF(claim901.3_1_b=0,"0",claim901.3_1_b)</f>
        <v>0</v>
      </c>
      <c r="F349" s="3336"/>
      <c r="G349" s="3337"/>
    </row>
    <row r="350" spans="3:7" ht="74.25" customHeight="1">
      <c r="C350" s="207" t="s">
        <v>1701</v>
      </c>
      <c r="D350" s="996">
        <v>4</v>
      </c>
      <c r="E350" s="994">
        <f>claim901.3_1_c</f>
        <v>0</v>
      </c>
      <c r="F350" s="3320">
        <f>note901.3_1_c</f>
        <v>0</v>
      </c>
      <c r="G350" s="3321"/>
    </row>
    <row r="351" spans="3:7" ht="16" thickBot="1">
      <c r="C351" s="219" t="s">
        <v>1702</v>
      </c>
      <c r="D351" s="220">
        <v>10</v>
      </c>
      <c r="E351" s="221">
        <f>claim901.3_2</f>
        <v>0</v>
      </c>
      <c r="F351" s="3340">
        <f>note901.3_2</f>
        <v>0</v>
      </c>
      <c r="G351" s="3341"/>
    </row>
    <row r="352" spans="3:7" ht="63" customHeight="1" thickTop="1">
      <c r="C352" s="231" t="s">
        <v>1703</v>
      </c>
      <c r="D352" s="996" t="s">
        <v>511</v>
      </c>
      <c r="E352" s="1056">
        <f>claim901.4_1</f>
        <v>0</v>
      </c>
      <c r="F352" s="3332">
        <f>note901.4_1</f>
        <v>0</v>
      </c>
      <c r="G352" s="3333"/>
    </row>
    <row r="353" spans="3:7" ht="45">
      <c r="C353" s="267" t="s">
        <v>1704</v>
      </c>
      <c r="D353" s="996" t="s">
        <v>1705</v>
      </c>
      <c r="E353" s="1056">
        <f>claim901.4_2thru6</f>
        <v>0</v>
      </c>
      <c r="F353" s="3322"/>
      <c r="G353" s="3323"/>
    </row>
    <row r="354" spans="3:7" ht="30">
      <c r="C354" s="207" t="s">
        <v>1706</v>
      </c>
      <c r="D354" s="1041"/>
      <c r="E354" s="997"/>
      <c r="F354" s="3322"/>
      <c r="G354" s="3323"/>
    </row>
    <row r="355" spans="3:7">
      <c r="C355" s="894" t="s">
        <v>1571</v>
      </c>
      <c r="D355" s="996">
        <v>2</v>
      </c>
      <c r="E355" s="994">
        <f>claim901.4_2a</f>
        <v>0</v>
      </c>
      <c r="F355" s="3328">
        <f>note901.4_2</f>
        <v>0</v>
      </c>
      <c r="G355" s="3329"/>
    </row>
    <row r="356" spans="3:7">
      <c r="C356" s="894" t="s">
        <v>1572</v>
      </c>
      <c r="D356" s="996">
        <v>2</v>
      </c>
      <c r="E356" s="994">
        <f>claim901.4_2b</f>
        <v>0</v>
      </c>
      <c r="F356" s="3330"/>
      <c r="G356" s="3331"/>
    </row>
    <row r="357" spans="3:7">
      <c r="C357" s="894" t="s">
        <v>1573</v>
      </c>
      <c r="D357" s="996">
        <v>2</v>
      </c>
      <c r="E357" s="994">
        <f>claim901.4_2c</f>
        <v>0</v>
      </c>
      <c r="F357" s="3330"/>
      <c r="G357" s="3331"/>
    </row>
    <row r="358" spans="3:7">
      <c r="C358" s="894" t="s">
        <v>1574</v>
      </c>
      <c r="D358" s="996">
        <v>2</v>
      </c>
      <c r="E358" s="994">
        <f>claim901.4_2d</f>
        <v>0</v>
      </c>
      <c r="F358" s="3289"/>
      <c r="G358" s="3290"/>
    </row>
    <row r="359" spans="3:7">
      <c r="C359" s="207" t="s">
        <v>1710</v>
      </c>
      <c r="D359" s="1041"/>
      <c r="E359" s="997"/>
      <c r="F359" s="3322"/>
      <c r="G359" s="3323"/>
    </row>
    <row r="360" spans="3:7">
      <c r="C360" s="894" t="s">
        <v>1571</v>
      </c>
      <c r="D360" s="996">
        <v>2</v>
      </c>
      <c r="E360" s="994">
        <f>claim901.4_3a</f>
        <v>0</v>
      </c>
      <c r="F360" s="3328">
        <f>note901.4_3</f>
        <v>0</v>
      </c>
      <c r="G360" s="3329"/>
    </row>
    <row r="361" spans="3:7">
      <c r="C361" s="894" t="s">
        <v>1572</v>
      </c>
      <c r="D361" s="996">
        <v>2</v>
      </c>
      <c r="E361" s="994">
        <f>claim901.4_3b</f>
        <v>0</v>
      </c>
      <c r="F361" s="3330"/>
      <c r="G361" s="3331"/>
    </row>
    <row r="362" spans="3:7">
      <c r="C362" s="894" t="s">
        <v>1573</v>
      </c>
      <c r="D362" s="996">
        <v>2</v>
      </c>
      <c r="E362" s="994">
        <f>claim901.4_3c</f>
        <v>0</v>
      </c>
      <c r="F362" s="3330"/>
      <c r="G362" s="3331"/>
    </row>
    <row r="363" spans="3:7">
      <c r="C363" s="894" t="s">
        <v>1574</v>
      </c>
      <c r="D363" s="996">
        <v>2</v>
      </c>
      <c r="E363" s="994">
        <f>claim901.4_3d</f>
        <v>0</v>
      </c>
      <c r="F363" s="3289"/>
      <c r="G363" s="3290"/>
    </row>
    <row r="364" spans="3:7">
      <c r="C364" s="207" t="s">
        <v>1707</v>
      </c>
      <c r="D364" s="1041"/>
      <c r="E364" s="997"/>
      <c r="F364" s="3322"/>
      <c r="G364" s="3323"/>
    </row>
    <row r="365" spans="3:7">
      <c r="C365" s="894" t="s">
        <v>1571</v>
      </c>
      <c r="D365" s="996">
        <v>3</v>
      </c>
      <c r="E365" s="994">
        <f>claim901.4_4a</f>
        <v>0</v>
      </c>
      <c r="F365" s="3328">
        <f>note901.4_4</f>
        <v>0</v>
      </c>
      <c r="G365" s="3329"/>
    </row>
    <row r="366" spans="3:7">
      <c r="C366" s="894" t="s">
        <v>1572</v>
      </c>
      <c r="D366" s="996">
        <v>3</v>
      </c>
      <c r="E366" s="994">
        <f>claim901.4_4b</f>
        <v>0</v>
      </c>
      <c r="F366" s="3330"/>
      <c r="G366" s="3331"/>
    </row>
    <row r="367" spans="3:7">
      <c r="C367" s="894" t="s">
        <v>1573</v>
      </c>
      <c r="D367" s="996">
        <v>3</v>
      </c>
      <c r="E367" s="994">
        <f>claim901.4_4c</f>
        <v>0</v>
      </c>
      <c r="F367" s="3330"/>
      <c r="G367" s="3331"/>
    </row>
    <row r="368" spans="3:7">
      <c r="C368" s="894" t="s">
        <v>1574</v>
      </c>
      <c r="D368" s="996">
        <v>3</v>
      </c>
      <c r="E368" s="994">
        <f>claim901.4_4d</f>
        <v>0</v>
      </c>
      <c r="F368" s="3289"/>
      <c r="G368" s="3290"/>
    </row>
    <row r="369" spans="3:7" ht="45" customHeight="1">
      <c r="C369" s="207" t="s">
        <v>1708</v>
      </c>
      <c r="D369" s="1041"/>
      <c r="E369" s="997"/>
      <c r="F369" s="3322"/>
      <c r="G369" s="3323"/>
    </row>
    <row r="370" spans="3:7">
      <c r="C370" s="894" t="s">
        <v>1571</v>
      </c>
      <c r="D370" s="996">
        <v>4</v>
      </c>
      <c r="E370" s="994">
        <f>claim901.4_5a</f>
        <v>0</v>
      </c>
      <c r="F370" s="3328">
        <f>note901.4_5</f>
        <v>0</v>
      </c>
      <c r="G370" s="3329"/>
    </row>
    <row r="371" spans="3:7">
      <c r="C371" s="894" t="s">
        <v>1572</v>
      </c>
      <c r="D371" s="996">
        <v>4</v>
      </c>
      <c r="E371" s="994">
        <f>claim901.4_5b</f>
        <v>0</v>
      </c>
      <c r="F371" s="3330"/>
      <c r="G371" s="3331"/>
    </row>
    <row r="372" spans="3:7">
      <c r="C372" s="894" t="s">
        <v>1573</v>
      </c>
      <c r="D372" s="996">
        <v>4</v>
      </c>
      <c r="E372" s="994">
        <f>claim901.4_5c</f>
        <v>0</v>
      </c>
      <c r="F372" s="3330"/>
      <c r="G372" s="3331"/>
    </row>
    <row r="373" spans="3:7">
      <c r="C373" s="894" t="s">
        <v>1574</v>
      </c>
      <c r="D373" s="996">
        <v>4</v>
      </c>
      <c r="E373" s="994">
        <f>claim901.4_5d</f>
        <v>0</v>
      </c>
      <c r="F373" s="3289"/>
      <c r="G373" s="3290"/>
    </row>
    <row r="374" spans="3:7">
      <c r="C374" s="207" t="s">
        <v>1709</v>
      </c>
      <c r="D374" s="1041"/>
      <c r="E374" s="997"/>
      <c r="F374" s="3322"/>
      <c r="G374" s="3323"/>
    </row>
    <row r="375" spans="3:7">
      <c r="C375" s="894" t="s">
        <v>1571</v>
      </c>
      <c r="D375" s="996">
        <v>4</v>
      </c>
      <c r="E375" s="994">
        <f>claim901.4_6a</f>
        <v>0</v>
      </c>
      <c r="F375" s="3328">
        <f>note901.4_6</f>
        <v>0</v>
      </c>
      <c r="G375" s="3329"/>
    </row>
    <row r="376" spans="3:7">
      <c r="C376" s="894" t="s">
        <v>1572</v>
      </c>
      <c r="D376" s="996">
        <v>4</v>
      </c>
      <c r="E376" s="994">
        <f>claim901.4_6b</f>
        <v>0</v>
      </c>
      <c r="F376" s="3330"/>
      <c r="G376" s="3331"/>
    </row>
    <row r="377" spans="3:7">
      <c r="C377" s="894" t="s">
        <v>1573</v>
      </c>
      <c r="D377" s="996">
        <v>4</v>
      </c>
      <c r="E377" s="994">
        <f>claim901.4_6c</f>
        <v>0</v>
      </c>
      <c r="F377" s="3330"/>
      <c r="G377" s="3331"/>
    </row>
    <row r="378" spans="3:7" ht="16" thickBot="1">
      <c r="C378" s="1108" t="s">
        <v>1574</v>
      </c>
      <c r="D378" s="1103">
        <v>4</v>
      </c>
      <c r="E378" s="208">
        <f>claim901.4_6d</f>
        <v>0</v>
      </c>
      <c r="F378" s="3330"/>
      <c r="G378" s="3331"/>
    </row>
    <row r="379" spans="3:7" ht="31" thickTop="1">
      <c r="C379" s="209" t="s">
        <v>1711</v>
      </c>
      <c r="D379" s="647"/>
      <c r="E379" s="1058">
        <f>choice901.5</f>
        <v>0</v>
      </c>
      <c r="F379" s="3324"/>
      <c r="G379" s="3325"/>
    </row>
    <row r="380" spans="3:7" ht="30">
      <c r="C380" s="1057" t="s">
        <v>1712</v>
      </c>
      <c r="D380" s="1020">
        <v>3</v>
      </c>
      <c r="E380" s="1102" t="str">
        <f>IF(claim901.5=3,3,"")</f>
        <v/>
      </c>
      <c r="F380" s="3328">
        <f>note901.5</f>
        <v>0</v>
      </c>
      <c r="G380" s="3329"/>
    </row>
    <row r="381" spans="3:7" ht="45">
      <c r="C381" s="1057" t="s">
        <v>1713</v>
      </c>
      <c r="D381" s="1020">
        <v>5</v>
      </c>
      <c r="E381" s="1102" t="str">
        <f>IF(claim901.5=5,5,"")</f>
        <v/>
      </c>
      <c r="F381" s="3289"/>
      <c r="G381" s="3290"/>
    </row>
    <row r="382" spans="3:7">
      <c r="C382" s="268" t="s">
        <v>1714</v>
      </c>
      <c r="D382" s="1047"/>
      <c r="E382" s="1016"/>
      <c r="F382" s="3299"/>
      <c r="G382" s="3300"/>
    </row>
    <row r="383" spans="3:7">
      <c r="C383" s="207" t="s">
        <v>1715</v>
      </c>
      <c r="D383" s="996" t="s">
        <v>3</v>
      </c>
      <c r="E383" s="994">
        <f>claim901.6_1</f>
        <v>0</v>
      </c>
      <c r="F383" s="3320">
        <f>note901.6_1</f>
        <v>0</v>
      </c>
      <c r="G383" s="3321"/>
    </row>
    <row r="384" spans="3:7">
      <c r="C384" s="207" t="s">
        <v>1716</v>
      </c>
      <c r="D384" s="996">
        <v>6</v>
      </c>
      <c r="E384" s="994">
        <f>claim901.6_2_a</f>
        <v>0</v>
      </c>
      <c r="F384" s="3328">
        <f>note901.6_2</f>
        <v>0</v>
      </c>
      <c r="G384" s="3329"/>
    </row>
    <row r="385" spans="3:7" ht="16" thickBot="1">
      <c r="C385" s="219" t="s">
        <v>1717</v>
      </c>
      <c r="D385" s="220">
        <v>2</v>
      </c>
      <c r="E385" s="221">
        <f>claim901.6_2_b</f>
        <v>0</v>
      </c>
      <c r="F385" s="3361"/>
      <c r="G385" s="3362"/>
    </row>
    <row r="386" spans="3:7" ht="47" thickTop="1" thickBot="1">
      <c r="C386" s="1004" t="s">
        <v>1718</v>
      </c>
      <c r="D386" s="1103">
        <v>6</v>
      </c>
      <c r="E386" s="208">
        <f>claim901.7</f>
        <v>0</v>
      </c>
      <c r="F386" s="3481">
        <f>note901.7</f>
        <v>0</v>
      </c>
      <c r="G386" s="3482"/>
    </row>
    <row r="387" spans="3:7" ht="32" thickTop="1" thickBot="1">
      <c r="C387" s="231" t="s">
        <v>1719</v>
      </c>
      <c r="D387" s="1059">
        <v>4</v>
      </c>
      <c r="E387" s="1060">
        <f>claim901.8</f>
        <v>0</v>
      </c>
      <c r="F387" s="3332">
        <f>note901.8</f>
        <v>0</v>
      </c>
      <c r="G387" s="3333"/>
    </row>
    <row r="388" spans="3:7" ht="46" thickTop="1">
      <c r="C388" s="231" t="s">
        <v>1720</v>
      </c>
      <c r="D388" s="232"/>
      <c r="E388" s="232"/>
      <c r="F388" s="3326"/>
      <c r="G388" s="3327"/>
    </row>
    <row r="389" spans="3:7" ht="75">
      <c r="C389" s="207" t="s">
        <v>1721</v>
      </c>
      <c r="D389" s="1005">
        <v>5</v>
      </c>
      <c r="E389" s="1061">
        <f>claim901.9.1</f>
        <v>0</v>
      </c>
      <c r="F389" s="3320">
        <f>note901.9.1</f>
        <v>0</v>
      </c>
      <c r="G389" s="3321"/>
    </row>
    <row r="390" spans="3:7" ht="30" customHeight="1">
      <c r="C390" s="207" t="s">
        <v>1722</v>
      </c>
      <c r="D390" s="1005">
        <v>1</v>
      </c>
      <c r="E390" s="1061">
        <f>claim901.9.2</f>
        <v>0</v>
      </c>
      <c r="F390" s="3320">
        <f>note901.9.2</f>
        <v>0</v>
      </c>
      <c r="G390" s="3321"/>
    </row>
    <row r="391" spans="3:7" ht="31" thickBot="1">
      <c r="C391" s="219" t="s">
        <v>1723</v>
      </c>
      <c r="D391" s="995">
        <v>8</v>
      </c>
      <c r="E391" s="1002">
        <f>claim901.9.3</f>
        <v>0</v>
      </c>
      <c r="F391" s="3340">
        <f>note901.9.3</f>
        <v>0</v>
      </c>
      <c r="G391" s="3341"/>
    </row>
    <row r="392" spans="3:7" ht="46" thickTop="1">
      <c r="C392" s="231" t="s">
        <v>1724</v>
      </c>
      <c r="D392" s="232"/>
      <c r="E392" s="1064"/>
      <c r="F392" s="3326"/>
      <c r="G392" s="3327"/>
    </row>
    <row r="393" spans="3:7">
      <c r="C393" s="207" t="s">
        <v>1725</v>
      </c>
      <c r="D393" s="996">
        <v>8</v>
      </c>
      <c r="E393" s="994" t="str">
        <f>IF(claim901.10=8,8,"")</f>
        <v/>
      </c>
      <c r="F393" s="3328">
        <f>note901.10</f>
        <v>0</v>
      </c>
      <c r="G393" s="3329"/>
    </row>
    <row r="394" spans="3:7">
      <c r="C394" s="207" t="s">
        <v>1726</v>
      </c>
      <c r="D394" s="996">
        <v>5</v>
      </c>
      <c r="E394" s="994" t="str">
        <f>IF(choice901.10="GreenSeal GS-36",5,"")</f>
        <v/>
      </c>
      <c r="F394" s="3330"/>
      <c r="G394" s="3331"/>
    </row>
    <row r="395" spans="3:7" ht="16" thickBot="1">
      <c r="C395" s="219" t="s">
        <v>1727</v>
      </c>
      <c r="D395" s="220">
        <v>5</v>
      </c>
      <c r="E395" s="221" t="str">
        <f>IF(choice901.10="SCAQMD Rule 1168",5,"")</f>
        <v/>
      </c>
      <c r="F395" s="3361"/>
      <c r="G395" s="3362"/>
    </row>
    <row r="396" spans="3:7" ht="47" thickTop="1" thickBot="1">
      <c r="C396" s="231" t="s">
        <v>1732</v>
      </c>
      <c r="D396" s="1059">
        <v>4</v>
      </c>
      <c r="E396" s="1060">
        <f>claim901.11</f>
        <v>0</v>
      </c>
      <c r="F396" s="3316">
        <f>note901.11</f>
        <v>0</v>
      </c>
      <c r="G396" s="3317"/>
    </row>
    <row r="397" spans="3:7" ht="32" thickTop="1" thickBot="1">
      <c r="C397" s="230" t="s">
        <v>1733</v>
      </c>
      <c r="D397" s="242">
        <v>3</v>
      </c>
      <c r="E397" s="229">
        <f>claim901.12</f>
        <v>0</v>
      </c>
      <c r="F397" s="3316">
        <f>note901.12</f>
        <v>0</v>
      </c>
      <c r="G397" s="3317"/>
    </row>
    <row r="398" spans="3:7" ht="16" thickTop="1">
      <c r="C398" s="231" t="s">
        <v>1734</v>
      </c>
      <c r="D398" s="232"/>
      <c r="E398" s="1064"/>
      <c r="F398" s="3326"/>
      <c r="G398" s="3327"/>
    </row>
    <row r="399" spans="3:7">
      <c r="C399" s="207" t="s">
        <v>512</v>
      </c>
      <c r="D399" s="996">
        <v>1</v>
      </c>
      <c r="E399" s="994" t="str">
        <f>IF(choice901.13="Exterior grilles",1,"")</f>
        <v/>
      </c>
      <c r="F399" s="3328">
        <f>note901.13</f>
        <v>0</v>
      </c>
      <c r="G399" s="3329"/>
    </row>
    <row r="400" spans="3:7" ht="16" thickBot="1">
      <c r="C400" s="219" t="s">
        <v>513</v>
      </c>
      <c r="D400" s="220">
        <v>1</v>
      </c>
      <c r="E400" s="221" t="str">
        <f>IF(choice901.13="Interior grilles",1,"")</f>
        <v/>
      </c>
      <c r="F400" s="3361"/>
      <c r="G400" s="3362"/>
    </row>
    <row r="401" spans="3:7" ht="16" thickTop="1">
      <c r="C401" s="1428" t="s">
        <v>2132</v>
      </c>
      <c r="D401" s="1450"/>
      <c r="E401" s="1451"/>
      <c r="F401" s="1452"/>
      <c r="G401" s="1453"/>
    </row>
    <row r="402" spans="3:7" ht="31" thickBot="1">
      <c r="C402" s="1449" t="s">
        <v>2130</v>
      </c>
      <c r="D402" s="1429">
        <v>1</v>
      </c>
      <c r="E402" s="1432">
        <f>claim901.14_1</f>
        <v>0</v>
      </c>
      <c r="F402" s="1430"/>
      <c r="G402" s="1431"/>
    </row>
    <row r="403" spans="3:7" ht="32" thickTop="1" thickBot="1">
      <c r="C403" s="1449" t="s">
        <v>2131</v>
      </c>
      <c r="D403" s="1104">
        <v>1</v>
      </c>
      <c r="E403" s="1455">
        <f>claim901.14_2</f>
        <v>0</v>
      </c>
      <c r="F403" s="3485">
        <f>note901.14</f>
        <v>0</v>
      </c>
      <c r="G403" s="3486"/>
    </row>
    <row r="404" spans="3:7" ht="16" thickBot="1">
      <c r="C404" s="3420" t="s">
        <v>514</v>
      </c>
      <c r="D404" s="3421"/>
      <c r="E404" s="3421"/>
      <c r="F404" s="3421"/>
      <c r="G404" s="3422"/>
    </row>
    <row r="405" spans="3:7" ht="16" thickBot="1">
      <c r="C405" s="1111" t="s">
        <v>1735</v>
      </c>
      <c r="D405" s="269"/>
      <c r="E405" s="269"/>
      <c r="F405" s="3487"/>
      <c r="G405" s="3488"/>
    </row>
    <row r="406" spans="3:7" ht="16" thickTop="1">
      <c r="C406" s="231" t="s">
        <v>515</v>
      </c>
      <c r="D406" s="261"/>
      <c r="E406" s="232"/>
      <c r="F406" s="3326"/>
      <c r="G406" s="3327"/>
    </row>
    <row r="407" spans="3:7">
      <c r="C407" s="263" t="s">
        <v>516</v>
      </c>
      <c r="D407" s="1047"/>
      <c r="E407" s="1044"/>
      <c r="F407" s="3299"/>
      <c r="G407" s="3300"/>
    </row>
    <row r="408" spans="3:7" ht="33" customHeight="1">
      <c r="C408" s="3344" t="s">
        <v>517</v>
      </c>
      <c r="D408" s="3313" t="s">
        <v>3</v>
      </c>
      <c r="E408" s="1015">
        <f>choice902.1.1_1</f>
        <v>0</v>
      </c>
      <c r="F408" s="3328">
        <f>note902.1.1_1</f>
        <v>0</v>
      </c>
      <c r="G408" s="3329"/>
    </row>
    <row r="409" spans="3:7">
      <c r="C409" s="3345"/>
      <c r="D409" s="3315"/>
      <c r="E409" s="1015" t="str">
        <f>IF(claim902.1.1_1=0,"0",claim902.1.1_1)</f>
        <v>0</v>
      </c>
      <c r="F409" s="3289"/>
      <c r="G409" s="3290"/>
    </row>
    <row r="410" spans="3:7" ht="22.5" customHeight="1">
      <c r="C410" s="207" t="s">
        <v>518</v>
      </c>
      <c r="D410" s="996" t="s">
        <v>3</v>
      </c>
      <c r="E410" s="1015">
        <f>claim902.1.1_2</f>
        <v>0</v>
      </c>
      <c r="F410" s="3320">
        <f>note902.1.1_2</f>
        <v>0</v>
      </c>
      <c r="G410" s="3321"/>
    </row>
    <row r="411" spans="3:7">
      <c r="C411" s="207" t="s">
        <v>519</v>
      </c>
      <c r="D411" s="996">
        <v>8</v>
      </c>
      <c r="E411" s="994">
        <f>claim902.1.1_3</f>
        <v>0</v>
      </c>
      <c r="F411" s="3320">
        <f>note902.1.1_3</f>
        <v>0</v>
      </c>
      <c r="G411" s="3321"/>
    </row>
    <row r="412" spans="3:7">
      <c r="C412" s="263" t="s">
        <v>520</v>
      </c>
      <c r="D412" s="1048"/>
      <c r="E412" s="1049"/>
      <c r="F412" s="3299"/>
      <c r="G412" s="3300"/>
    </row>
    <row r="413" spans="3:7">
      <c r="C413" s="207" t="s">
        <v>521</v>
      </c>
      <c r="D413" s="996">
        <v>5</v>
      </c>
      <c r="E413" s="994" t="str">
        <f>IF(choice902.1.2="1 device",5,"")</f>
        <v/>
      </c>
      <c r="F413" s="3328">
        <f>note902.1.2</f>
        <v>0</v>
      </c>
      <c r="G413" s="3329"/>
    </row>
    <row r="414" spans="3:7">
      <c r="C414" s="207" t="s">
        <v>522</v>
      </c>
      <c r="D414" s="996">
        <v>7</v>
      </c>
      <c r="E414" s="994" t="str">
        <f>IF(choice902.1.2="2 devices",7,"")</f>
        <v/>
      </c>
      <c r="F414" s="3330"/>
      <c r="G414" s="3331"/>
    </row>
    <row r="415" spans="3:7">
      <c r="C415" s="207" t="s">
        <v>1737</v>
      </c>
      <c r="D415" s="996">
        <v>9</v>
      </c>
      <c r="E415" s="994" t="str">
        <f>IF(choice902.1.2="3 devices",9,"")</f>
        <v/>
      </c>
      <c r="F415" s="3330"/>
      <c r="G415" s="3331"/>
    </row>
    <row r="416" spans="3:7">
      <c r="C416" s="207" t="s">
        <v>1736</v>
      </c>
      <c r="D416" s="996">
        <v>11</v>
      </c>
      <c r="E416" s="994" t="str">
        <f>IF(choice902.1.2="4+ devices",11,"")</f>
        <v/>
      </c>
      <c r="F416" s="3289"/>
      <c r="G416" s="3290"/>
    </row>
    <row r="417" spans="3:7" ht="45">
      <c r="C417" s="263" t="s">
        <v>1738</v>
      </c>
      <c r="D417" s="996">
        <v>8</v>
      </c>
      <c r="E417" s="994">
        <f>claim902.1.3</f>
        <v>0</v>
      </c>
      <c r="F417" s="3320">
        <f>note902.1.3</f>
        <v>0</v>
      </c>
      <c r="G417" s="3321"/>
    </row>
    <row r="418" spans="3:7">
      <c r="C418" s="263" t="s">
        <v>523</v>
      </c>
      <c r="D418" s="1011" t="s">
        <v>487</v>
      </c>
      <c r="E418" s="1042">
        <f>claim902.1.4</f>
        <v>0</v>
      </c>
      <c r="F418" s="3328">
        <f>note902.1.4</f>
        <v>0</v>
      </c>
      <c r="G418" s="3329"/>
    </row>
    <row r="419" spans="3:7">
      <c r="C419" s="207" t="s">
        <v>524</v>
      </c>
      <c r="D419" s="996" t="s">
        <v>525</v>
      </c>
      <c r="E419" s="994">
        <f>choice902.1.4_1</f>
        <v>0</v>
      </c>
      <c r="F419" s="3330"/>
      <c r="G419" s="3331"/>
    </row>
    <row r="420" spans="3:7" ht="16" thickBot="1">
      <c r="C420" s="219" t="s">
        <v>526</v>
      </c>
      <c r="D420" s="220" t="s">
        <v>527</v>
      </c>
      <c r="E420" s="221">
        <f>choice902.1.4_2</f>
        <v>0</v>
      </c>
      <c r="F420" s="3361"/>
      <c r="G420" s="3362"/>
    </row>
    <row r="421" spans="3:7" ht="16" thickTop="1">
      <c r="C421" s="231" t="s">
        <v>528</v>
      </c>
      <c r="D421" s="243"/>
      <c r="E421" s="243"/>
      <c r="F421" s="3326"/>
      <c r="G421" s="3327"/>
    </row>
    <row r="422" spans="3:7" ht="75" customHeight="1">
      <c r="C422" s="263" t="s">
        <v>529</v>
      </c>
      <c r="D422" s="1005" t="s">
        <v>1743</v>
      </c>
      <c r="E422" s="1061">
        <f>choice902.2.1</f>
        <v>0</v>
      </c>
      <c r="F422" s="3299"/>
      <c r="G422" s="3300"/>
    </row>
    <row r="423" spans="3:7">
      <c r="C423" s="207" t="s">
        <v>1739</v>
      </c>
      <c r="D423" s="996">
        <v>3</v>
      </c>
      <c r="E423" s="994">
        <f>IF(claim902.2.1=3,3,0)</f>
        <v>0</v>
      </c>
      <c r="F423" s="3328">
        <f>note902.2.1</f>
        <v>0</v>
      </c>
      <c r="G423" s="3329"/>
    </row>
    <row r="424" spans="3:7" ht="39.75" customHeight="1">
      <c r="C424" s="207" t="s">
        <v>1740</v>
      </c>
      <c r="D424" s="996">
        <v>6</v>
      </c>
      <c r="E424" s="994">
        <f>IF(claim902.2.1=6,6,0)</f>
        <v>0</v>
      </c>
      <c r="F424" s="3330"/>
      <c r="G424" s="3331"/>
    </row>
    <row r="425" spans="3:7">
      <c r="C425" s="207" t="s">
        <v>1741</v>
      </c>
      <c r="D425" s="996">
        <v>7</v>
      </c>
      <c r="E425" s="994">
        <f>IF(claim902.2.1=7,7,0)</f>
        <v>0</v>
      </c>
      <c r="F425" s="3330"/>
      <c r="G425" s="3331"/>
    </row>
    <row r="426" spans="3:7">
      <c r="C426" s="207" t="s">
        <v>1742</v>
      </c>
      <c r="D426" s="996">
        <v>8</v>
      </c>
      <c r="E426" s="994">
        <f>IF(claim902.2.1=8,8,0)</f>
        <v>0</v>
      </c>
      <c r="F426" s="3289"/>
      <c r="G426" s="3290"/>
    </row>
    <row r="427" spans="3:7" ht="30">
      <c r="C427" s="263" t="s">
        <v>1744</v>
      </c>
      <c r="D427" s="996">
        <v>8</v>
      </c>
      <c r="E427" s="994">
        <f>claim902.2.2</f>
        <v>0</v>
      </c>
      <c r="F427" s="3320">
        <f>note902.2.2</f>
        <v>0</v>
      </c>
      <c r="G427" s="3321"/>
    </row>
    <row r="428" spans="3:7" ht="46" thickBot="1">
      <c r="C428" s="255" t="s">
        <v>1745</v>
      </c>
      <c r="D428" s="220">
        <v>3</v>
      </c>
      <c r="E428" s="221">
        <f>claim902.2.3</f>
        <v>0</v>
      </c>
      <c r="F428" s="3340">
        <f>note902.2.3</f>
        <v>0</v>
      </c>
      <c r="G428" s="3341"/>
    </row>
    <row r="429" spans="3:7" ht="16" thickTop="1">
      <c r="C429" s="231" t="s">
        <v>530</v>
      </c>
      <c r="D429" s="243"/>
      <c r="E429" s="243"/>
      <c r="F429" s="3326"/>
      <c r="G429" s="3327"/>
    </row>
    <row r="430" spans="3:7" ht="30" customHeight="1">
      <c r="C430" s="207" t="s">
        <v>531</v>
      </c>
      <c r="D430" s="996" t="s">
        <v>3</v>
      </c>
      <c r="E430" s="1015">
        <f>claim902.3</f>
        <v>0</v>
      </c>
      <c r="F430" s="3328">
        <f>note902.3_1</f>
        <v>0</v>
      </c>
      <c r="G430" s="3329"/>
    </row>
    <row r="431" spans="3:7">
      <c r="C431" s="216" t="s">
        <v>532</v>
      </c>
      <c r="D431" s="996">
        <v>7</v>
      </c>
      <c r="E431" s="994">
        <f>IF(claim902.3_1=7,7,0)</f>
        <v>0</v>
      </c>
      <c r="F431" s="3330"/>
      <c r="G431" s="3331"/>
    </row>
    <row r="432" spans="3:7">
      <c r="C432" s="216" t="s">
        <v>533</v>
      </c>
      <c r="D432" s="996">
        <v>10</v>
      </c>
      <c r="E432" s="994">
        <f>IF(claim902.3_1=10,10,0)</f>
        <v>0</v>
      </c>
      <c r="F432" s="3289"/>
      <c r="G432" s="3290"/>
    </row>
    <row r="433" spans="3:7">
      <c r="C433" s="207" t="s">
        <v>534</v>
      </c>
      <c r="D433" s="1047"/>
      <c r="E433" s="1045"/>
      <c r="F433" s="3483"/>
      <c r="G433" s="3484"/>
    </row>
    <row r="434" spans="3:7" ht="16" thickBot="1">
      <c r="C434" s="259" t="s">
        <v>535</v>
      </c>
      <c r="D434" s="996">
        <v>7</v>
      </c>
      <c r="E434" s="994">
        <f>claim902.3_2</f>
        <v>0</v>
      </c>
      <c r="F434" s="3361">
        <f>note902.3_2</f>
        <v>0</v>
      </c>
      <c r="G434" s="3362"/>
    </row>
    <row r="435" spans="3:7" ht="16" thickTop="1">
      <c r="C435" s="231" t="s">
        <v>536</v>
      </c>
      <c r="D435" s="243"/>
      <c r="E435" s="243"/>
      <c r="F435" s="3326"/>
      <c r="G435" s="3327"/>
    </row>
    <row r="436" spans="3:7" ht="45" customHeight="1">
      <c r="C436" s="207" t="s">
        <v>1746</v>
      </c>
      <c r="D436" s="996">
        <v>3</v>
      </c>
      <c r="E436" s="994">
        <f>IF(choice902.4="Registers covered during construction",3,0)</f>
        <v>0</v>
      </c>
      <c r="F436" s="3320">
        <f>note902.4_1</f>
        <v>0</v>
      </c>
      <c r="G436" s="3321"/>
    </row>
    <row r="437" spans="3:7" ht="45" customHeight="1" thickBot="1">
      <c r="C437" s="219" t="s">
        <v>1747</v>
      </c>
      <c r="D437" s="220">
        <v>3</v>
      </c>
      <c r="E437" s="221">
        <f>IF(choice902.4="Registers vacuumed before occupancy",3,0)</f>
        <v>0</v>
      </c>
      <c r="F437" s="3340">
        <f>note902.4_2</f>
        <v>0</v>
      </c>
      <c r="G437" s="3341"/>
    </row>
    <row r="438" spans="3:7" ht="17" thickTop="1" thickBot="1">
      <c r="C438" s="230" t="s">
        <v>537</v>
      </c>
      <c r="D438" s="242">
        <v>3</v>
      </c>
      <c r="E438" s="229">
        <f>claim902.5</f>
        <v>0</v>
      </c>
      <c r="F438" s="3316">
        <f>note902.5</f>
        <v>0</v>
      </c>
      <c r="G438" s="3317"/>
    </row>
    <row r="439" spans="3:7" ht="31" thickTop="1">
      <c r="C439" s="1113" t="s">
        <v>1748</v>
      </c>
      <c r="D439" s="1066" t="s">
        <v>3</v>
      </c>
      <c r="E439" s="1067">
        <f>claim902.6</f>
        <v>0</v>
      </c>
      <c r="F439" s="3481">
        <f>note902.6</f>
        <v>0</v>
      </c>
      <c r="G439" s="3482"/>
    </row>
    <row r="440" spans="3:7">
      <c r="C440" s="3417" t="s">
        <v>538</v>
      </c>
      <c r="D440" s="3418"/>
      <c r="E440" s="3418"/>
      <c r="F440" s="3418"/>
      <c r="G440" s="3419"/>
    </row>
    <row r="441" spans="3:7">
      <c r="C441" s="1113" t="s">
        <v>1750</v>
      </c>
      <c r="D441" s="1104"/>
      <c r="E441" s="646"/>
      <c r="F441" s="3303"/>
      <c r="G441" s="3304"/>
    </row>
    <row r="442" spans="3:7" ht="30" customHeight="1">
      <c r="C442" s="207" t="s">
        <v>1749</v>
      </c>
      <c r="D442" s="996">
        <v>2</v>
      </c>
      <c r="E442" s="1001">
        <f>IF(claim903.1=2,2,0)</f>
        <v>0</v>
      </c>
      <c r="F442" s="3320">
        <f>note903.1.1</f>
        <v>0</v>
      </c>
      <c r="G442" s="3321"/>
    </row>
    <row r="443" spans="3:7" ht="15" customHeight="1" thickBot="1">
      <c r="C443" s="219" t="s">
        <v>1751</v>
      </c>
      <c r="D443" s="220">
        <v>5</v>
      </c>
      <c r="E443" s="1002">
        <f>IF(claim903.1=5,5,0)</f>
        <v>0</v>
      </c>
      <c r="F443" s="3340">
        <f>note903.1.2</f>
        <v>0</v>
      </c>
      <c r="G443" s="3341"/>
    </row>
    <row r="444" spans="3:7" ht="16" thickTop="1">
      <c r="C444" s="231" t="s">
        <v>1752</v>
      </c>
      <c r="D444" s="232"/>
      <c r="E444" s="232"/>
      <c r="F444" s="3326"/>
      <c r="G444" s="3327"/>
    </row>
    <row r="445" spans="3:7">
      <c r="C445" s="263" t="s">
        <v>1753</v>
      </c>
      <c r="D445" s="1011">
        <v>1</v>
      </c>
      <c r="E445" s="1061">
        <f>IF(claim903.2=1,1,0)</f>
        <v>0</v>
      </c>
      <c r="F445" s="3320">
        <f>note903.2_1</f>
        <v>0</v>
      </c>
      <c r="G445" s="3321"/>
    </row>
    <row r="446" spans="3:7" ht="31" thickBot="1">
      <c r="C446" s="255" t="s">
        <v>1754</v>
      </c>
      <c r="D446" s="220">
        <v>3</v>
      </c>
      <c r="E446" s="1002">
        <f>IF(claim903.2=3,3,0)</f>
        <v>0</v>
      </c>
      <c r="F446" s="3340">
        <f>note903.2_2</f>
        <v>0</v>
      </c>
      <c r="G446" s="3341"/>
    </row>
    <row r="447" spans="3:7" ht="32" thickTop="1" thickBot="1">
      <c r="C447" s="1112" t="s">
        <v>1755</v>
      </c>
      <c r="D447" s="1068"/>
      <c r="E447" s="1069"/>
      <c r="F447" s="3489"/>
      <c r="G447" s="3490"/>
    </row>
    <row r="448" spans="3:7" ht="16" thickTop="1">
      <c r="C448" s="207" t="s">
        <v>1756</v>
      </c>
      <c r="D448" s="1005">
        <v>7</v>
      </c>
      <c r="E448" s="1001">
        <f>IF(choice903.3="additional dehumidification system",7,0)</f>
        <v>0</v>
      </c>
      <c r="F448" s="3332">
        <f>note903.3_1</f>
        <v>0</v>
      </c>
      <c r="G448" s="3333"/>
    </row>
    <row r="449" spans="3:7">
      <c r="C449" s="1109" t="s">
        <v>1757</v>
      </c>
      <c r="D449" s="1107">
        <v>7</v>
      </c>
      <c r="E449" s="1003">
        <f>IF(choice903.3="central HVAC system with dehumidification mode",7,0)</f>
        <v>0</v>
      </c>
      <c r="F449" s="3328">
        <f>note903.3_2</f>
        <v>0</v>
      </c>
      <c r="G449" s="3329"/>
    </row>
    <row r="450" spans="3:7">
      <c r="C450" s="3417" t="s">
        <v>539</v>
      </c>
      <c r="D450" s="3418"/>
      <c r="E450" s="3418"/>
      <c r="F450" s="3418"/>
      <c r="G450" s="3419"/>
    </row>
    <row r="451" spans="3:7" ht="60">
      <c r="C451" s="213" t="s">
        <v>1758</v>
      </c>
      <c r="D451" s="1105">
        <v>2</v>
      </c>
      <c r="E451" s="237">
        <f>claim904.1</f>
        <v>0</v>
      </c>
      <c r="F451" s="3320">
        <f>note904.1</f>
        <v>0</v>
      </c>
      <c r="G451" s="3321"/>
    </row>
    <row r="452" spans="3:7" ht="45">
      <c r="C452" s="254" t="s">
        <v>1759</v>
      </c>
      <c r="D452" s="996">
        <v>2</v>
      </c>
      <c r="E452" s="994">
        <f>claim904.2</f>
        <v>0</v>
      </c>
      <c r="F452" s="3320">
        <f>note904.2</f>
        <v>0</v>
      </c>
      <c r="G452" s="3321"/>
    </row>
    <row r="453" spans="3:7">
      <c r="C453" s="3423"/>
      <c r="D453" s="3424"/>
      <c r="E453" s="3424"/>
      <c r="F453" s="3424"/>
      <c r="G453" s="3425"/>
    </row>
    <row r="454" spans="3:7">
      <c r="C454" s="3417" t="s">
        <v>540</v>
      </c>
      <c r="D454" s="3418"/>
      <c r="E454" s="3418"/>
      <c r="F454" s="3418"/>
      <c r="G454" s="3419"/>
    </row>
    <row r="455" spans="3:7">
      <c r="C455" s="3417" t="s">
        <v>541</v>
      </c>
      <c r="D455" s="3418"/>
      <c r="E455" s="3418"/>
      <c r="F455" s="3418"/>
      <c r="G455" s="3419"/>
    </row>
    <row r="456" spans="3:7" ht="60">
      <c r="C456" s="213" t="s">
        <v>1624</v>
      </c>
      <c r="D456" s="270" t="s">
        <v>1625</v>
      </c>
      <c r="E456" s="1009">
        <f>claim1001.1</f>
        <v>0</v>
      </c>
      <c r="F456" s="3299"/>
      <c r="G456" s="3300"/>
    </row>
    <row r="457" spans="3:7">
      <c r="C457" s="207" t="s">
        <v>1629</v>
      </c>
      <c r="D457" s="996" t="s">
        <v>3</v>
      </c>
      <c r="E457" s="1015">
        <f>IF(startSingleorMulti="Single-Family",choice1001.1_1,IF(startSingleorMulti="Multi-Unit","NA",choice1001.1_1))</f>
        <v>0</v>
      </c>
      <c r="F457" s="3318">
        <f>note1001.1_1</f>
        <v>0</v>
      </c>
      <c r="G457" s="3319"/>
    </row>
    <row r="458" spans="3:7">
      <c r="C458" s="207" t="s">
        <v>1630</v>
      </c>
      <c r="D458" s="996" t="s">
        <v>3</v>
      </c>
      <c r="E458" s="1015">
        <f>IF(startSingleorMulti="Single-Family",choice1001.1_2,IF(startSingleorMulti="Multi-Unit","NA",choice1001.1_2))</f>
        <v>0</v>
      </c>
      <c r="F458" s="3318">
        <f>note1001.1_2</f>
        <v>0</v>
      </c>
      <c r="G458" s="3319"/>
    </row>
    <row r="459" spans="3:7" ht="30">
      <c r="C459" s="1109" t="s">
        <v>2527</v>
      </c>
      <c r="D459" s="1103" t="s">
        <v>3</v>
      </c>
      <c r="E459" s="649">
        <f>IF(startSingleorMulti="Single-Family",choice1001.1_3,IF(startSingleorMulti="Multi-Unit","NA",choice1001.1_3))</f>
        <v>0</v>
      </c>
      <c r="F459" s="3318">
        <f>note1001.1_3</f>
        <v>0</v>
      </c>
      <c r="G459" s="3319"/>
    </row>
    <row r="460" spans="3:7">
      <c r="C460" s="207" t="s">
        <v>1631</v>
      </c>
      <c r="D460" s="996">
        <v>0.5</v>
      </c>
      <c r="E460" s="994">
        <f>choice1001.1_4</f>
        <v>0</v>
      </c>
      <c r="F460" s="3318">
        <f>note1001.1_4</f>
        <v>0</v>
      </c>
      <c r="G460" s="3319"/>
    </row>
    <row r="461" spans="3:7">
      <c r="C461" s="207" t="s">
        <v>1632</v>
      </c>
      <c r="D461" s="1105">
        <v>0.5</v>
      </c>
      <c r="E461" s="994">
        <f>choice1001.1_5</f>
        <v>0</v>
      </c>
      <c r="F461" s="3320">
        <f>note1001.1_5</f>
        <v>0</v>
      </c>
      <c r="G461" s="3321"/>
    </row>
    <row r="462" spans="3:7" ht="30">
      <c r="C462" s="207" t="s">
        <v>1633</v>
      </c>
      <c r="D462" s="1105">
        <v>0.5</v>
      </c>
      <c r="E462" s="994">
        <f>choice1001.1_6</f>
        <v>0</v>
      </c>
      <c r="F462" s="3320">
        <f>note1001.1_6</f>
        <v>0</v>
      </c>
      <c r="G462" s="3321"/>
    </row>
    <row r="463" spans="3:7" ht="30">
      <c r="C463" s="207" t="s">
        <v>1634</v>
      </c>
      <c r="D463" s="1105">
        <v>0.5</v>
      </c>
      <c r="E463" s="994">
        <f>choice1001.1_7</f>
        <v>0</v>
      </c>
      <c r="F463" s="3320">
        <f>note1001.1_7</f>
        <v>0</v>
      </c>
      <c r="G463" s="3321"/>
    </row>
    <row r="464" spans="3:7">
      <c r="C464" s="207" t="s">
        <v>1635</v>
      </c>
      <c r="D464" s="1105">
        <v>0.5</v>
      </c>
      <c r="E464" s="994">
        <f>choice1001.1_8</f>
        <v>0</v>
      </c>
      <c r="F464" s="3320">
        <f>note1001.1_8</f>
        <v>0</v>
      </c>
      <c r="G464" s="3321"/>
    </row>
    <row r="465" spans="3:7">
      <c r="C465" s="207" t="s">
        <v>1636</v>
      </c>
      <c r="D465" s="1105">
        <v>0.5</v>
      </c>
      <c r="E465" s="994">
        <f>choice1001.1_9</f>
        <v>0</v>
      </c>
      <c r="F465" s="3320">
        <f>note1001.1_9</f>
        <v>0</v>
      </c>
      <c r="G465" s="3321"/>
    </row>
    <row r="466" spans="3:7">
      <c r="C466" s="207" t="s">
        <v>1637</v>
      </c>
      <c r="D466" s="1105">
        <v>0.5</v>
      </c>
      <c r="E466" s="994">
        <f>choice1001.1_10</f>
        <v>0</v>
      </c>
      <c r="F466" s="3320">
        <f>note1001.1_10</f>
        <v>0</v>
      </c>
      <c r="G466" s="3321"/>
    </row>
    <row r="467" spans="3:7">
      <c r="C467" s="207" t="s">
        <v>1638</v>
      </c>
      <c r="D467" s="1105">
        <v>0.5</v>
      </c>
      <c r="E467" s="994">
        <f>choice1001.1_11</f>
        <v>0</v>
      </c>
      <c r="F467" s="3320">
        <f>note1001.1_11</f>
        <v>0</v>
      </c>
      <c r="G467" s="3321"/>
    </row>
    <row r="468" spans="3:7" ht="30">
      <c r="C468" s="207" t="s">
        <v>1639</v>
      </c>
      <c r="D468" s="1105">
        <v>0.5</v>
      </c>
      <c r="E468" s="994">
        <f>choice1001.1_12</f>
        <v>0</v>
      </c>
      <c r="F468" s="3320">
        <f>note1001.1_12</f>
        <v>0</v>
      </c>
      <c r="G468" s="3321"/>
    </row>
    <row r="469" spans="3:7">
      <c r="C469" s="207" t="s">
        <v>1640</v>
      </c>
      <c r="D469" s="1105">
        <v>0.5</v>
      </c>
      <c r="E469" s="994">
        <f>choice1001.1_13</f>
        <v>0</v>
      </c>
      <c r="F469" s="3320">
        <f>note1001.1_13</f>
        <v>0</v>
      </c>
      <c r="G469" s="3321"/>
    </row>
    <row r="470" spans="3:7" ht="30">
      <c r="C470" s="207" t="s">
        <v>1641</v>
      </c>
      <c r="D470" s="1105">
        <v>0.5</v>
      </c>
      <c r="E470" s="994">
        <f>choice1001.1_14</f>
        <v>0</v>
      </c>
      <c r="F470" s="3320">
        <f>note1001.1_14</f>
        <v>0</v>
      </c>
      <c r="G470" s="3321"/>
    </row>
    <row r="471" spans="3:7">
      <c r="C471" s="207" t="s">
        <v>1642</v>
      </c>
      <c r="D471" s="1105">
        <v>0.5</v>
      </c>
      <c r="E471" s="994">
        <f>choice1001.1_15</f>
        <v>0</v>
      </c>
      <c r="F471" s="3320">
        <f>note1001.1_15</f>
        <v>0</v>
      </c>
      <c r="G471" s="3321"/>
    </row>
    <row r="472" spans="3:7">
      <c r="C472" s="207" t="s">
        <v>542</v>
      </c>
      <c r="D472" s="1105">
        <v>0.5</v>
      </c>
      <c r="E472" s="994">
        <f>choice1001.1_16</f>
        <v>0</v>
      </c>
      <c r="F472" s="3320">
        <f>note1001.1_16</f>
        <v>0</v>
      </c>
      <c r="G472" s="3321"/>
    </row>
    <row r="473" spans="3:7" ht="30">
      <c r="C473" s="207" t="s">
        <v>1643</v>
      </c>
      <c r="D473" s="1105">
        <v>0.5</v>
      </c>
      <c r="E473" s="994">
        <f>choice1001.1_17</f>
        <v>0</v>
      </c>
      <c r="F473" s="3320">
        <f>note1001.1_17</f>
        <v>0</v>
      </c>
      <c r="G473" s="3321"/>
    </row>
    <row r="474" spans="3:7">
      <c r="C474" s="207" t="s">
        <v>1644</v>
      </c>
      <c r="D474" s="1105">
        <v>0.5</v>
      </c>
      <c r="E474" s="994">
        <f>choice1001.1_18</f>
        <v>0</v>
      </c>
      <c r="F474" s="3320">
        <f>note1001.1_18</f>
        <v>0</v>
      </c>
      <c r="G474" s="3321"/>
    </row>
    <row r="475" spans="3:7" ht="30">
      <c r="C475" s="207" t="s">
        <v>1645</v>
      </c>
      <c r="D475" s="1105">
        <v>0.5</v>
      </c>
      <c r="E475" s="994">
        <f>choice1001.1_19</f>
        <v>0</v>
      </c>
      <c r="F475" s="3320">
        <f>note1001.1_19</f>
        <v>0</v>
      </c>
      <c r="G475" s="3321"/>
    </row>
    <row r="476" spans="3:7" ht="30">
      <c r="C476" s="1109" t="s">
        <v>1646</v>
      </c>
      <c r="D476" s="1104">
        <v>0.5</v>
      </c>
      <c r="E476" s="208">
        <f>choice1001.1_20</f>
        <v>0</v>
      </c>
      <c r="F476" s="3328">
        <f>note1001.1_20</f>
        <v>0</v>
      </c>
      <c r="G476" s="3329"/>
    </row>
    <row r="477" spans="3:7" ht="30">
      <c r="C477" s="1109" t="s">
        <v>1647</v>
      </c>
      <c r="D477" s="1103">
        <v>0.5</v>
      </c>
      <c r="E477" s="208">
        <f>choice1001.1_21</f>
        <v>0</v>
      </c>
      <c r="F477" s="3328">
        <f>note1001.1_21</f>
        <v>0</v>
      </c>
      <c r="G477" s="3329"/>
    </row>
    <row r="478" spans="3:7" ht="15.75" customHeight="1">
      <c r="C478" s="3417" t="s">
        <v>543</v>
      </c>
      <c r="D478" s="3418"/>
      <c r="E478" s="3418"/>
      <c r="F478" s="3418"/>
      <c r="G478" s="3419"/>
    </row>
    <row r="479" spans="3:7" ht="150">
      <c r="C479" s="1113" t="s">
        <v>1626</v>
      </c>
      <c r="D479" s="266">
        <v>8</v>
      </c>
      <c r="E479" s="212">
        <f>claim1002.1</f>
        <v>0</v>
      </c>
      <c r="F479" s="3328">
        <f>note1002.1</f>
        <v>0</v>
      </c>
      <c r="G479" s="3329"/>
    </row>
    <row r="480" spans="3:7" ht="15.75" customHeight="1">
      <c r="C480" s="3417" t="s">
        <v>544</v>
      </c>
      <c r="D480" s="3418"/>
      <c r="E480" s="3418"/>
      <c r="F480" s="3418"/>
      <c r="G480" s="3419"/>
    </row>
    <row r="481" spans="3:7" ht="76" thickBot="1">
      <c r="C481" s="1113" t="s">
        <v>1628</v>
      </c>
      <c r="D481" s="271"/>
      <c r="E481" s="271"/>
      <c r="F481" s="3338"/>
      <c r="G481" s="3339"/>
    </row>
    <row r="482" spans="3:7" ht="91" thickTop="1">
      <c r="C482" s="209" t="s">
        <v>1627</v>
      </c>
      <c r="D482" s="272" t="s">
        <v>545</v>
      </c>
      <c r="E482" s="273">
        <f>claim1003.1</f>
        <v>0</v>
      </c>
      <c r="F482" s="3326"/>
      <c r="G482" s="3327"/>
    </row>
    <row r="483" spans="3:7" ht="30">
      <c r="C483" s="207" t="s">
        <v>1648</v>
      </c>
      <c r="D483" s="996" t="s">
        <v>3</v>
      </c>
      <c r="E483" s="1015">
        <f>IF(startSingleorMulti&lt;&gt;"Single-Family",choice1003.1_1,"NA")</f>
        <v>0</v>
      </c>
      <c r="F483" s="3320">
        <f>note1003.1_1</f>
        <v>0</v>
      </c>
      <c r="G483" s="3321"/>
    </row>
    <row r="484" spans="3:7" ht="42" customHeight="1">
      <c r="C484" s="207" t="s">
        <v>1649</v>
      </c>
      <c r="D484" s="996" t="s">
        <v>3</v>
      </c>
      <c r="E484" s="1015">
        <f>IF(startSingleorMulti&lt;&gt;"Single-Family",choice1003.1_2,"NA")</f>
        <v>0</v>
      </c>
      <c r="F484" s="3320">
        <f>note1003.1_2</f>
        <v>0</v>
      </c>
      <c r="G484" s="3321"/>
    </row>
    <row r="485" spans="3:7" ht="30">
      <c r="C485" s="1109" t="s">
        <v>1650</v>
      </c>
      <c r="D485" s="1103" t="s">
        <v>3</v>
      </c>
      <c r="E485" s="649">
        <f>IF(startSingleorMulti&lt;&gt;"Single-Family",choice1003.1_3,"NA")</f>
        <v>0</v>
      </c>
      <c r="F485" s="3320">
        <f>note1003.1_3</f>
        <v>0</v>
      </c>
      <c r="G485" s="3321"/>
    </row>
    <row r="486" spans="3:7">
      <c r="C486" s="207" t="s">
        <v>1651</v>
      </c>
      <c r="D486" s="1050">
        <v>0.5</v>
      </c>
      <c r="E486" s="994">
        <f>choice1003.1_4</f>
        <v>0</v>
      </c>
      <c r="F486" s="3320">
        <f>note1003.1_4</f>
        <v>0</v>
      </c>
      <c r="G486" s="3321"/>
    </row>
    <row r="487" spans="3:7" ht="30">
      <c r="C487" s="207" t="s">
        <v>1652</v>
      </c>
      <c r="D487" s="1050">
        <v>0.5</v>
      </c>
      <c r="E487" s="994">
        <f>choice1003.1_5</f>
        <v>0</v>
      </c>
      <c r="F487" s="3320">
        <f>note1003.1_5</f>
        <v>0</v>
      </c>
      <c r="G487" s="3321"/>
    </row>
    <row r="488" spans="3:7">
      <c r="C488" s="207" t="s">
        <v>1653</v>
      </c>
      <c r="D488" s="1050">
        <v>0.5</v>
      </c>
      <c r="E488" s="994">
        <f>choice1003.1_6</f>
        <v>0</v>
      </c>
      <c r="F488" s="3320">
        <f>note1003.1_6</f>
        <v>0</v>
      </c>
      <c r="G488" s="3321"/>
    </row>
    <row r="489" spans="3:7">
      <c r="C489" s="207" t="s">
        <v>1654</v>
      </c>
      <c r="D489" s="1050">
        <v>0.5</v>
      </c>
      <c r="E489" s="994">
        <f>choice1003.1_7</f>
        <v>0</v>
      </c>
      <c r="F489" s="3320">
        <f>note1003.1_7</f>
        <v>0</v>
      </c>
      <c r="G489" s="3321"/>
    </row>
    <row r="490" spans="3:7" ht="30" customHeight="1" thickBot="1">
      <c r="C490" s="1109" t="s">
        <v>1655</v>
      </c>
      <c r="D490" s="274">
        <v>0.5</v>
      </c>
      <c r="E490" s="208">
        <f>choice1003.1_8</f>
        <v>0</v>
      </c>
      <c r="F490" s="3340">
        <f>note1003.1_8</f>
        <v>0</v>
      </c>
      <c r="G490" s="3341"/>
    </row>
    <row r="491" spans="3:7" ht="91" thickTop="1">
      <c r="C491" s="231" t="s">
        <v>1656</v>
      </c>
      <c r="D491" s="272" t="s">
        <v>546</v>
      </c>
      <c r="E491" s="275">
        <f>claim1003.2</f>
        <v>0</v>
      </c>
      <c r="F491" s="3326"/>
      <c r="G491" s="3327"/>
    </row>
    <row r="492" spans="3:7">
      <c r="C492" s="207" t="s">
        <v>1657</v>
      </c>
      <c r="D492" s="996" t="s">
        <v>3</v>
      </c>
      <c r="E492" s="1040">
        <f>IF(startSingleorMulti&lt;&gt;"Single-Family",choice1003.2_1,"N/A")</f>
        <v>0</v>
      </c>
      <c r="F492" s="3320">
        <f>note1003.2_1</f>
        <v>0</v>
      </c>
      <c r="G492" s="3321"/>
    </row>
    <row r="493" spans="3:7">
      <c r="C493" s="207" t="s">
        <v>1658</v>
      </c>
      <c r="D493" s="996" t="s">
        <v>3</v>
      </c>
      <c r="E493" s="1040">
        <f>IF(startSingleorMulti&lt;&gt;"Single-Family",choice1003.2_2,"N/A")</f>
        <v>0</v>
      </c>
      <c r="F493" s="3320">
        <f>note1003.2_2</f>
        <v>0</v>
      </c>
      <c r="G493" s="3321"/>
    </row>
    <row r="494" spans="3:7" ht="30">
      <c r="C494" s="1109" t="s">
        <v>1659</v>
      </c>
      <c r="D494" s="1103" t="s">
        <v>3</v>
      </c>
      <c r="E494" s="262">
        <f>IF(startSingleorMulti&lt;&gt;"Single-Family",choice1003.2_3,"N/A")</f>
        <v>0</v>
      </c>
      <c r="F494" s="3320">
        <f>note1003.2_3</f>
        <v>0</v>
      </c>
      <c r="G494" s="3321"/>
    </row>
    <row r="495" spans="3:7" ht="45">
      <c r="C495" s="207" t="s">
        <v>1660</v>
      </c>
      <c r="D495" s="1051">
        <v>0.5</v>
      </c>
      <c r="E495" s="994">
        <f>choice1003.2_4</f>
        <v>0</v>
      </c>
      <c r="F495" s="3320">
        <f>note1003.2_4</f>
        <v>0</v>
      </c>
      <c r="G495" s="3321"/>
    </row>
    <row r="496" spans="3:7" ht="30">
      <c r="C496" s="207" t="s">
        <v>1661</v>
      </c>
      <c r="D496" s="276">
        <v>0.5</v>
      </c>
      <c r="E496" s="994">
        <f>choice1003.2_5</f>
        <v>0</v>
      </c>
      <c r="F496" s="3320">
        <f>note1003.2_5</f>
        <v>0</v>
      </c>
      <c r="G496" s="3321"/>
    </row>
    <row r="497" spans="3:7">
      <c r="C497" s="207" t="s">
        <v>1662</v>
      </c>
      <c r="D497" s="276">
        <v>0.5</v>
      </c>
      <c r="E497" s="994">
        <f>choice1003.2_6</f>
        <v>0</v>
      </c>
      <c r="F497" s="3320">
        <f>note1003.2_6</f>
        <v>0</v>
      </c>
      <c r="G497" s="3321"/>
    </row>
    <row r="498" spans="3:7" ht="30">
      <c r="C498" s="207" t="s">
        <v>1663</v>
      </c>
      <c r="D498" s="276">
        <v>0.5</v>
      </c>
      <c r="E498" s="994">
        <f>choice1003.2_7</f>
        <v>0</v>
      </c>
      <c r="F498" s="3320">
        <f>note1003.2_7</f>
        <v>0</v>
      </c>
      <c r="G498" s="3321"/>
    </row>
    <row r="499" spans="3:7">
      <c r="C499" s="207" t="s">
        <v>1664</v>
      </c>
      <c r="D499" s="276">
        <v>0.5</v>
      </c>
      <c r="E499" s="994">
        <f>choice1003.2_8</f>
        <v>0</v>
      </c>
      <c r="F499" s="3320">
        <f>note1003.2_8</f>
        <v>0</v>
      </c>
      <c r="G499" s="3321"/>
    </row>
    <row r="500" spans="3:7" ht="30">
      <c r="C500" s="207" t="s">
        <v>1665</v>
      </c>
      <c r="D500" s="276">
        <v>0.5</v>
      </c>
      <c r="E500" s="994">
        <f>choice1003.2_9</f>
        <v>0</v>
      </c>
      <c r="F500" s="3320">
        <f>note1003.2_9</f>
        <v>0</v>
      </c>
      <c r="G500" s="3321"/>
    </row>
    <row r="501" spans="3:7" ht="46" thickBot="1">
      <c r="C501" s="1109" t="s">
        <v>1666</v>
      </c>
      <c r="D501" s="277">
        <v>0.5</v>
      </c>
      <c r="E501" s="208">
        <f>choice1003.2_10</f>
        <v>0</v>
      </c>
      <c r="F501" s="3340">
        <f>note1003.2_10</f>
        <v>0</v>
      </c>
      <c r="G501" s="3341"/>
    </row>
    <row r="502" spans="3:7" ht="91" thickTop="1">
      <c r="C502" s="231" t="s">
        <v>1667</v>
      </c>
      <c r="D502" s="272" t="s">
        <v>547</v>
      </c>
      <c r="E502" s="275">
        <f>claim1003.3</f>
        <v>0</v>
      </c>
      <c r="F502" s="3326"/>
      <c r="G502" s="3327"/>
    </row>
    <row r="503" spans="3:7" ht="30">
      <c r="C503" s="207" t="s">
        <v>1668</v>
      </c>
      <c r="D503" s="996" t="s">
        <v>3</v>
      </c>
      <c r="E503" s="1040">
        <f>IF(startSingleorMulti&lt;&gt;"Single-Family",choice1003.3_1,"N/A")</f>
        <v>0</v>
      </c>
      <c r="F503" s="3320">
        <f>note1003.3_1</f>
        <v>0</v>
      </c>
      <c r="G503" s="3321"/>
    </row>
    <row r="504" spans="3:7" ht="41.25" customHeight="1">
      <c r="C504" s="207" t="s">
        <v>1669</v>
      </c>
      <c r="D504" s="996">
        <v>0.5</v>
      </c>
      <c r="E504" s="994">
        <f>choice1003.3_2</f>
        <v>0</v>
      </c>
      <c r="F504" s="3320">
        <f>note1003.1_2</f>
        <v>0</v>
      </c>
      <c r="G504" s="3321"/>
    </row>
    <row r="505" spans="3:7" ht="105">
      <c r="C505" s="207" t="s">
        <v>548</v>
      </c>
      <c r="D505" s="1052">
        <v>0.5</v>
      </c>
      <c r="E505" s="994">
        <f>choice1003.3_3</f>
        <v>0</v>
      </c>
      <c r="F505" s="3320">
        <f>note1003.3_3</f>
        <v>0</v>
      </c>
      <c r="G505" s="3321"/>
    </row>
    <row r="506" spans="3:7" ht="30">
      <c r="C506" s="207" t="s">
        <v>1670</v>
      </c>
      <c r="D506" s="1052">
        <v>0.5</v>
      </c>
      <c r="E506" s="994">
        <f>choice1003.3_4</f>
        <v>0</v>
      </c>
      <c r="F506" s="3320">
        <f>note1003.3_4</f>
        <v>0</v>
      </c>
      <c r="G506" s="3321"/>
    </row>
    <row r="507" spans="3:7">
      <c r="C507" s="207" t="s">
        <v>1671</v>
      </c>
      <c r="D507" s="1052">
        <v>0.5</v>
      </c>
      <c r="E507" s="994">
        <f>choice1003.3_5</f>
        <v>0</v>
      </c>
      <c r="F507" s="3320">
        <f>note1003.3_5</f>
        <v>0</v>
      </c>
      <c r="G507" s="3321"/>
    </row>
    <row r="508" spans="3:7" ht="30">
      <c r="C508" s="207" t="s">
        <v>1672</v>
      </c>
      <c r="D508" s="1052">
        <v>0.5</v>
      </c>
      <c r="E508" s="994">
        <f>choice1003.3_6</f>
        <v>0</v>
      </c>
      <c r="F508" s="3320">
        <f>note1003.3_6</f>
        <v>0</v>
      </c>
      <c r="G508" s="3321"/>
    </row>
    <row r="509" spans="3:7">
      <c r="C509" s="207" t="s">
        <v>1673</v>
      </c>
      <c r="D509" s="1052">
        <v>0.5</v>
      </c>
      <c r="E509" s="994">
        <f>choice1003.3_7</f>
        <v>0</v>
      </c>
      <c r="F509" s="3320">
        <f>note1003.3_7</f>
        <v>0</v>
      </c>
      <c r="G509" s="3321"/>
    </row>
    <row r="510" spans="3:7">
      <c r="C510" s="207" t="s">
        <v>1674</v>
      </c>
      <c r="D510" s="1052">
        <v>0.5</v>
      </c>
      <c r="E510" s="994">
        <f>choice1003.3_8</f>
        <v>0</v>
      </c>
      <c r="F510" s="3320">
        <f>note1003.3_8</f>
        <v>0</v>
      </c>
      <c r="G510" s="3321"/>
    </row>
    <row r="511" spans="3:7" ht="30" customHeight="1">
      <c r="C511" s="207" t="s">
        <v>1675</v>
      </c>
      <c r="D511" s="1052">
        <v>0.5</v>
      </c>
      <c r="E511" s="994">
        <f>choice1003.3_9</f>
        <v>0</v>
      </c>
      <c r="F511" s="3320">
        <f>note1003.3_9</f>
        <v>0</v>
      </c>
      <c r="G511" s="3321"/>
    </row>
    <row r="512" spans="3:7" ht="16" thickBot="1">
      <c r="C512" s="3411"/>
      <c r="D512" s="3412"/>
      <c r="E512" s="3412"/>
      <c r="F512" s="3412"/>
      <c r="G512" s="3413"/>
    </row>
    <row r="513" ht="16" thickTop="1"/>
  </sheetData>
  <sheetProtection algorithmName="SHA-512" hashValue="mORm4w0I9tovvuo8Ps/U5qdhCpTXaI0429Z82vsDGw2eu/rgGEwiYwcm9GdXaPlF1gsoXMK18tRdE8f8M2kmSA==" saltValue="nQ1UQf/yxigL8EbHt6pjKQ==" spinCount="100000" sheet="1" objects="1" scenarios="1" formatRows="0" selectLockedCells="1" autoFilter="0"/>
  <autoFilter ref="C10:G511" xr:uid="{00000000-0009-0000-0000-000007000000}">
    <filterColumn colId="3" showButton="0"/>
  </autoFilter>
  <mergeCells count="432">
    <mergeCell ref="D1:E1"/>
    <mergeCell ref="C200:C201"/>
    <mergeCell ref="D200:D201"/>
    <mergeCell ref="F200:G201"/>
    <mergeCell ref="C202:C203"/>
    <mergeCell ref="D202:D203"/>
    <mergeCell ref="F202:G203"/>
    <mergeCell ref="F206:G206"/>
    <mergeCell ref="F210:G210"/>
    <mergeCell ref="F207:G209"/>
    <mergeCell ref="F192:G194"/>
    <mergeCell ref="F196:G196"/>
    <mergeCell ref="F197:G197"/>
    <mergeCell ref="F81:G81"/>
    <mergeCell ref="F82:G82"/>
    <mergeCell ref="F83:G83"/>
    <mergeCell ref="F84:G84"/>
    <mergeCell ref="F85:G85"/>
    <mergeCell ref="F76:G76"/>
    <mergeCell ref="F77:G77"/>
    <mergeCell ref="F78:G78"/>
    <mergeCell ref="F79:G79"/>
    <mergeCell ref="F80:G80"/>
    <mergeCell ref="F42:G42"/>
    <mergeCell ref="C408:C409"/>
    <mergeCell ref="D408:D409"/>
    <mergeCell ref="F398:G398"/>
    <mergeCell ref="F408:G409"/>
    <mergeCell ref="F413:G416"/>
    <mergeCell ref="F418:G420"/>
    <mergeCell ref="F421:G421"/>
    <mergeCell ref="F422:G422"/>
    <mergeCell ref="F417:G417"/>
    <mergeCell ref="F410:G410"/>
    <mergeCell ref="F449:G449"/>
    <mergeCell ref="F447:G447"/>
    <mergeCell ref="F451:G451"/>
    <mergeCell ref="F434:G434"/>
    <mergeCell ref="F427:G427"/>
    <mergeCell ref="F428:G428"/>
    <mergeCell ref="F423:G426"/>
    <mergeCell ref="F429:G429"/>
    <mergeCell ref="F411:G411"/>
    <mergeCell ref="F412:G412"/>
    <mergeCell ref="F396:G396"/>
    <mergeCell ref="F397:G397"/>
    <mergeCell ref="F399:G400"/>
    <mergeCell ref="F403:G403"/>
    <mergeCell ref="F405:G405"/>
    <mergeCell ref="F406:G406"/>
    <mergeCell ref="F407:G407"/>
    <mergeCell ref="F393:G395"/>
    <mergeCell ref="F386:G386"/>
    <mergeCell ref="F387:G387"/>
    <mergeCell ref="F388:G388"/>
    <mergeCell ref="F389:G389"/>
    <mergeCell ref="F390:G390"/>
    <mergeCell ref="F391:G391"/>
    <mergeCell ref="F392:G392"/>
    <mergeCell ref="F452:G452"/>
    <mergeCell ref="F183:G183"/>
    <mergeCell ref="F184:G184"/>
    <mergeCell ref="F185:G185"/>
    <mergeCell ref="F186:G186"/>
    <mergeCell ref="F187:G187"/>
    <mergeCell ref="F188:G188"/>
    <mergeCell ref="F198:G198"/>
    <mergeCell ref="F204:G204"/>
    <mergeCell ref="F211:G213"/>
    <mergeCell ref="F438:G438"/>
    <mergeCell ref="F439:G439"/>
    <mergeCell ref="F441:G441"/>
    <mergeCell ref="F442:G442"/>
    <mergeCell ref="F443:G443"/>
    <mergeCell ref="F445:G445"/>
    <mergeCell ref="F446:G446"/>
    <mergeCell ref="F444:G444"/>
    <mergeCell ref="F448:G448"/>
    <mergeCell ref="F433:G433"/>
    <mergeCell ref="F430:G432"/>
    <mergeCell ref="F435:G435"/>
    <mergeCell ref="F436:G436"/>
    <mergeCell ref="F437:G437"/>
    <mergeCell ref="F382:G382"/>
    <mergeCell ref="F383:G383"/>
    <mergeCell ref="F384:G385"/>
    <mergeCell ref="F374:G374"/>
    <mergeCell ref="F355:G358"/>
    <mergeCell ref="F360:G363"/>
    <mergeCell ref="F365:G368"/>
    <mergeCell ref="F370:G373"/>
    <mergeCell ref="F375:G378"/>
    <mergeCell ref="F59:G59"/>
    <mergeCell ref="F51:G51"/>
    <mergeCell ref="F41:G41"/>
    <mergeCell ref="D8:E8"/>
    <mergeCell ref="F104:G104"/>
    <mergeCell ref="F103:G103"/>
    <mergeCell ref="F97:G97"/>
    <mergeCell ref="F98:G98"/>
    <mergeCell ref="F87:G87"/>
    <mergeCell ref="F86:G86"/>
    <mergeCell ref="F89:G89"/>
    <mergeCell ref="F96:G96"/>
    <mergeCell ref="F90:G90"/>
    <mergeCell ref="F91:G91"/>
    <mergeCell ref="F99:G99"/>
    <mergeCell ref="F100:G102"/>
    <mergeCell ref="F92:G92"/>
    <mergeCell ref="F93:G95"/>
    <mergeCell ref="F60:G60"/>
    <mergeCell ref="F61:G61"/>
    <mergeCell ref="F52:G52"/>
    <mergeCell ref="F43:G43"/>
    <mergeCell ref="F44:G44"/>
    <mergeCell ref="F36:G36"/>
    <mergeCell ref="F65:G65"/>
    <mergeCell ref="F66:G66"/>
    <mergeCell ref="F67:G67"/>
    <mergeCell ref="F68:G68"/>
    <mergeCell ref="F73:G73"/>
    <mergeCell ref="F74:G74"/>
    <mergeCell ref="F70:G70"/>
    <mergeCell ref="F71:G71"/>
    <mergeCell ref="F62:G62"/>
    <mergeCell ref="F69:G69"/>
    <mergeCell ref="F10:G10"/>
    <mergeCell ref="F21:G21"/>
    <mergeCell ref="F22:G22"/>
    <mergeCell ref="F13:G13"/>
    <mergeCell ref="F14:G14"/>
    <mergeCell ref="F15:G15"/>
    <mergeCell ref="F19:G19"/>
    <mergeCell ref="F27:G27"/>
    <mergeCell ref="F40:G40"/>
    <mergeCell ref="F37:G37"/>
    <mergeCell ref="F38:G38"/>
    <mergeCell ref="F39:G39"/>
    <mergeCell ref="C3:G3"/>
    <mergeCell ref="D4:E4"/>
    <mergeCell ref="C88:G88"/>
    <mergeCell ref="D6:E6"/>
    <mergeCell ref="D7:E7"/>
    <mergeCell ref="C11:G11"/>
    <mergeCell ref="C12:G12"/>
    <mergeCell ref="C18:G18"/>
    <mergeCell ref="C20:G20"/>
    <mergeCell ref="C72:G72"/>
    <mergeCell ref="D5:E5"/>
    <mergeCell ref="F31:G31"/>
    <mergeCell ref="F29:G29"/>
    <mergeCell ref="F30:G30"/>
    <mergeCell ref="F23:G23"/>
    <mergeCell ref="F24:G24"/>
    <mergeCell ref="F25:G25"/>
    <mergeCell ref="F26:G26"/>
    <mergeCell ref="F63:G63"/>
    <mergeCell ref="F64:G64"/>
    <mergeCell ref="D51:E51"/>
    <mergeCell ref="F28:G28"/>
    <mergeCell ref="F16:G16"/>
    <mergeCell ref="F17:G17"/>
    <mergeCell ref="F254:G256"/>
    <mergeCell ref="C105:G105"/>
    <mergeCell ref="C106:G106"/>
    <mergeCell ref="C107:G107"/>
    <mergeCell ref="C141:G141"/>
    <mergeCell ref="C199:G199"/>
    <mergeCell ref="C205:G205"/>
    <mergeCell ref="C214:G214"/>
    <mergeCell ref="C222:G222"/>
    <mergeCell ref="C234:G234"/>
    <mergeCell ref="F120:G120"/>
    <mergeCell ref="F121:G121"/>
    <mergeCell ref="F122:G122"/>
    <mergeCell ref="F123:G123"/>
    <mergeCell ref="F124:G124"/>
    <mergeCell ref="F126:G126"/>
    <mergeCell ref="F127:G127"/>
    <mergeCell ref="F128:G128"/>
    <mergeCell ref="F108:G108"/>
    <mergeCell ref="F113:G113"/>
    <mergeCell ref="F109:G112"/>
    <mergeCell ref="F114:G114"/>
    <mergeCell ref="D189:D190"/>
    <mergeCell ref="C189:C190"/>
    <mergeCell ref="C512:G512"/>
    <mergeCell ref="C315:G315"/>
    <mergeCell ref="C316:G316"/>
    <mergeCell ref="C317:G317"/>
    <mergeCell ref="C404:G404"/>
    <mergeCell ref="C440:G440"/>
    <mergeCell ref="C450:G450"/>
    <mergeCell ref="C453:G453"/>
    <mergeCell ref="C454:G454"/>
    <mergeCell ref="C455:G455"/>
    <mergeCell ref="C478:G478"/>
    <mergeCell ref="C480:G480"/>
    <mergeCell ref="F328:G328"/>
    <mergeCell ref="F329:G329"/>
    <mergeCell ref="F330:G331"/>
    <mergeCell ref="F332:G332"/>
    <mergeCell ref="F333:G333"/>
    <mergeCell ref="C338:C339"/>
    <mergeCell ref="D338:D339"/>
    <mergeCell ref="F338:G339"/>
    <mergeCell ref="C340:C341"/>
    <mergeCell ref="D340:D341"/>
    <mergeCell ref="D342:D343"/>
    <mergeCell ref="F342:G343"/>
    <mergeCell ref="F135:G135"/>
    <mergeCell ref="F139:G139"/>
    <mergeCell ref="F140:G140"/>
    <mergeCell ref="F136:G138"/>
    <mergeCell ref="F32:G32"/>
    <mergeCell ref="F33:G35"/>
    <mergeCell ref="F131:G131"/>
    <mergeCell ref="F132:G134"/>
    <mergeCell ref="F54:G54"/>
    <mergeCell ref="F55:G58"/>
    <mergeCell ref="F45:G45"/>
    <mergeCell ref="F46:G48"/>
    <mergeCell ref="F115:G115"/>
    <mergeCell ref="F116:G116"/>
    <mergeCell ref="F117:G117"/>
    <mergeCell ref="F118:G118"/>
    <mergeCell ref="F129:G129"/>
    <mergeCell ref="F130:G130"/>
    <mergeCell ref="F125:G125"/>
    <mergeCell ref="F119:G119"/>
    <mergeCell ref="F53:G53"/>
    <mergeCell ref="F75:G75"/>
    <mergeCell ref="F49:G49"/>
    <mergeCell ref="F50:G50"/>
    <mergeCell ref="F142:G142"/>
    <mergeCell ref="F143:G143"/>
    <mergeCell ref="F144:G144"/>
    <mergeCell ref="F145:G145"/>
    <mergeCell ref="F146:G146"/>
    <mergeCell ref="F147:G147"/>
    <mergeCell ref="F191:G191"/>
    <mergeCell ref="F173:G173"/>
    <mergeCell ref="F174:G174"/>
    <mergeCell ref="F177:G177"/>
    <mergeCell ref="F178:G178"/>
    <mergeCell ref="F175:G176"/>
    <mergeCell ref="F180:G182"/>
    <mergeCell ref="F154:G154"/>
    <mergeCell ref="F155:G155"/>
    <mergeCell ref="F156:G156"/>
    <mergeCell ref="F157:G157"/>
    <mergeCell ref="F158:G160"/>
    <mergeCell ref="F162:G162"/>
    <mergeCell ref="F161:G161"/>
    <mergeCell ref="F163:G163"/>
    <mergeCell ref="F148:G148"/>
    <mergeCell ref="F149:G149"/>
    <mergeCell ref="F189:G190"/>
    <mergeCell ref="F215:G215"/>
    <mergeCell ref="C164:C165"/>
    <mergeCell ref="D164:D165"/>
    <mergeCell ref="F164:G165"/>
    <mergeCell ref="F167:G167"/>
    <mergeCell ref="F168:G168"/>
    <mergeCell ref="F169:G169"/>
    <mergeCell ref="F170:G170"/>
    <mergeCell ref="F171:G171"/>
    <mergeCell ref="F172:G172"/>
    <mergeCell ref="F166:G166"/>
    <mergeCell ref="C348:C349"/>
    <mergeCell ref="D348:D349"/>
    <mergeCell ref="F348:G349"/>
    <mergeCell ref="F150:G150"/>
    <mergeCell ref="F151:G151"/>
    <mergeCell ref="F152:G152"/>
    <mergeCell ref="F153:G153"/>
    <mergeCell ref="F228:G229"/>
    <mergeCell ref="F230:G230"/>
    <mergeCell ref="F231:G233"/>
    <mergeCell ref="F235:G235"/>
    <mergeCell ref="F179:G179"/>
    <mergeCell ref="F195:G195"/>
    <mergeCell ref="F223:G226"/>
    <mergeCell ref="F227:G227"/>
    <mergeCell ref="F257:G261"/>
    <mergeCell ref="F240:G242"/>
    <mergeCell ref="F244:G244"/>
    <mergeCell ref="F245:G249"/>
    <mergeCell ref="F251:G251"/>
    <mergeCell ref="F252:G252"/>
    <mergeCell ref="F253:G253"/>
    <mergeCell ref="F236:G236"/>
    <mergeCell ref="F237:G237"/>
    <mergeCell ref="F217:G217"/>
    <mergeCell ref="F218:G221"/>
    <mergeCell ref="D334:D335"/>
    <mergeCell ref="F334:G335"/>
    <mergeCell ref="F264:G273"/>
    <mergeCell ref="F274:G274"/>
    <mergeCell ref="F285:G285"/>
    <mergeCell ref="F306:G306"/>
    <mergeCell ref="F307:G307"/>
    <mergeCell ref="F299:G299"/>
    <mergeCell ref="F300:G300"/>
    <mergeCell ref="F301:G301"/>
    <mergeCell ref="F305:G305"/>
    <mergeCell ref="F275:G275"/>
    <mergeCell ref="F276:G276"/>
    <mergeCell ref="F291:G291"/>
    <mergeCell ref="F239:G239"/>
    <mergeCell ref="C238:G238"/>
    <mergeCell ref="C243:G243"/>
    <mergeCell ref="C311:G311"/>
    <mergeCell ref="C312:G312"/>
    <mergeCell ref="C313:G313"/>
    <mergeCell ref="F318:G318"/>
    <mergeCell ref="C250:G250"/>
    <mergeCell ref="F463:G463"/>
    <mergeCell ref="F476:G476"/>
    <mergeCell ref="F464:G464"/>
    <mergeCell ref="F465:G465"/>
    <mergeCell ref="F321:G321"/>
    <mergeCell ref="F322:G322"/>
    <mergeCell ref="F323:G324"/>
    <mergeCell ref="F325:G326"/>
    <mergeCell ref="C319:C320"/>
    <mergeCell ref="D319:D320"/>
    <mergeCell ref="F319:G320"/>
    <mergeCell ref="C334:C335"/>
    <mergeCell ref="F457:G457"/>
    <mergeCell ref="F344:G344"/>
    <mergeCell ref="F350:G350"/>
    <mergeCell ref="F351:G351"/>
    <mergeCell ref="F345:G345"/>
    <mergeCell ref="C336:C337"/>
    <mergeCell ref="D336:D337"/>
    <mergeCell ref="F336:G337"/>
    <mergeCell ref="F340:G341"/>
    <mergeCell ref="C342:C343"/>
    <mergeCell ref="C346:C347"/>
    <mergeCell ref="D346:D347"/>
    <mergeCell ref="F511:G511"/>
    <mergeCell ref="F495:G495"/>
    <mergeCell ref="F496:G496"/>
    <mergeCell ref="F497:G497"/>
    <mergeCell ref="F498:G498"/>
    <mergeCell ref="F499:G499"/>
    <mergeCell ref="F500:G500"/>
    <mergeCell ref="F501:G501"/>
    <mergeCell ref="F502:G502"/>
    <mergeCell ref="F503:G503"/>
    <mergeCell ref="F504:G504"/>
    <mergeCell ref="F505:G505"/>
    <mergeCell ref="F506:G506"/>
    <mergeCell ref="F490:G490"/>
    <mergeCell ref="F491:G491"/>
    <mergeCell ref="F492:G492"/>
    <mergeCell ref="F493:G493"/>
    <mergeCell ref="F494:G494"/>
    <mergeCell ref="F507:G507"/>
    <mergeCell ref="F508:G508"/>
    <mergeCell ref="F509:G509"/>
    <mergeCell ref="F510:G510"/>
    <mergeCell ref="F486:G486"/>
    <mergeCell ref="F487:G487"/>
    <mergeCell ref="F488:G488"/>
    <mergeCell ref="F489:G489"/>
    <mergeCell ref="F482:G482"/>
    <mergeCell ref="F483:G483"/>
    <mergeCell ref="F484:G484"/>
    <mergeCell ref="F485:G485"/>
    <mergeCell ref="F466:G466"/>
    <mergeCell ref="F467:G467"/>
    <mergeCell ref="F468:G468"/>
    <mergeCell ref="F469:G469"/>
    <mergeCell ref="F470:G470"/>
    <mergeCell ref="F471:G471"/>
    <mergeCell ref="F472:G472"/>
    <mergeCell ref="F473:G473"/>
    <mergeCell ref="F474:G474"/>
    <mergeCell ref="F481:G481"/>
    <mergeCell ref="F475:G475"/>
    <mergeCell ref="F479:G479"/>
    <mergeCell ref="F477:G477"/>
    <mergeCell ref="F458:G458"/>
    <mergeCell ref="F459:G459"/>
    <mergeCell ref="F460:G460"/>
    <mergeCell ref="F461:G461"/>
    <mergeCell ref="F462:G462"/>
    <mergeCell ref="F364:G364"/>
    <mergeCell ref="F369:G369"/>
    <mergeCell ref="F379:G379"/>
    <mergeCell ref="F295:G295"/>
    <mergeCell ref="F296:G296"/>
    <mergeCell ref="F297:G297"/>
    <mergeCell ref="F456:G456"/>
    <mergeCell ref="F298:G298"/>
    <mergeCell ref="F304:G304"/>
    <mergeCell ref="F302:G303"/>
    <mergeCell ref="F308:G308"/>
    <mergeCell ref="F314:G314"/>
    <mergeCell ref="F352:G352"/>
    <mergeCell ref="F354:G354"/>
    <mergeCell ref="F359:G359"/>
    <mergeCell ref="F353:G353"/>
    <mergeCell ref="F327:G327"/>
    <mergeCell ref="F346:G347"/>
    <mergeCell ref="F380:G381"/>
    <mergeCell ref="D2:G2"/>
    <mergeCell ref="F310:G310"/>
    <mergeCell ref="C288:G288"/>
    <mergeCell ref="C289:G289"/>
    <mergeCell ref="F286:G286"/>
    <mergeCell ref="C309:G309"/>
    <mergeCell ref="F292:G292"/>
    <mergeCell ref="F293:G293"/>
    <mergeCell ref="F294:G294"/>
    <mergeCell ref="F277:G277"/>
    <mergeCell ref="F278:G278"/>
    <mergeCell ref="F279:G279"/>
    <mergeCell ref="F280:G280"/>
    <mergeCell ref="F281:G281"/>
    <mergeCell ref="F282:G282"/>
    <mergeCell ref="F283:G283"/>
    <mergeCell ref="F284:G284"/>
    <mergeCell ref="C287:G287"/>
    <mergeCell ref="C262:G262"/>
    <mergeCell ref="F263:G263"/>
    <mergeCell ref="C290:G290"/>
    <mergeCell ref="C302:C303"/>
    <mergeCell ref="D302:D304"/>
    <mergeCell ref="F216:G216"/>
  </mergeCells>
  <conditionalFormatting sqref="E109">
    <cfRule type="expression" dxfId="780" priority="609" stopIfTrue="1">
      <formula>OR(AND($E$109&gt;0,SUM($E$110:$E$112)&gt;0), AND(square_footage&gt;1000, $E$109=15))</formula>
    </cfRule>
  </conditionalFormatting>
  <conditionalFormatting sqref="E110">
    <cfRule type="expression" dxfId="779" priority="608" stopIfTrue="1">
      <formula>OR(AND($E$110&gt;0,SUM($E$109,$E$111:$E$112)&gt;0), AND(square_footage&gt;1500, $E$110=12))</formula>
    </cfRule>
  </conditionalFormatting>
  <conditionalFormatting sqref="E111">
    <cfRule type="expression" dxfId="778" priority="607" stopIfTrue="1">
      <formula>OR(AND($E$111&gt;0,SUM($E$109:$E$110,$E$112)&gt;0), AND(square_footage&gt;2000, $E$111=9))</formula>
    </cfRule>
  </conditionalFormatting>
  <conditionalFormatting sqref="E112">
    <cfRule type="expression" dxfId="777" priority="606" stopIfTrue="1">
      <formula>OR(AND($E$112&gt;0,SUM($E$109:$E$111)&gt;0), AND(square_footage&gt;2500, $E$112=6))</formula>
    </cfRule>
  </conditionalFormatting>
  <conditionalFormatting sqref="E126">
    <cfRule type="expression" dxfId="776" priority="605" stopIfTrue="1">
      <formula>AND($E$126&gt;0,OR($E$129&gt;0,$E$130&gt;0))</formula>
    </cfRule>
  </conditionalFormatting>
  <conditionalFormatting sqref="E127">
    <cfRule type="expression" dxfId="775" priority="604" stopIfTrue="1">
      <formula>AND($E$127&gt;0,OR($E$129&gt;0,$E$130&gt;0))</formula>
    </cfRule>
  </conditionalFormatting>
  <conditionalFormatting sqref="E128">
    <cfRule type="expression" dxfId="774" priority="603" stopIfTrue="1">
      <formula>AND($E$128&gt;0,OR($E$129&gt;0,$E$130&gt;0))</formula>
    </cfRule>
  </conditionalFormatting>
  <conditionalFormatting sqref="E129">
    <cfRule type="expression" dxfId="773" priority="602" stopIfTrue="1">
      <formula>AND($E$129&gt;0,OR(SUM($E$126:$E$128)&gt;0,$E$130&gt;0))</formula>
    </cfRule>
  </conditionalFormatting>
  <conditionalFormatting sqref="E130">
    <cfRule type="expression" dxfId="772" priority="601" stopIfTrue="1">
      <formula>AND($E$130&gt;0,OR(SUM($E$126:$E$128)&gt;0,$E$129&gt;0))</formula>
    </cfRule>
  </conditionalFormatting>
  <conditionalFormatting sqref="E223:E226">
    <cfRule type="expression" dxfId="771" priority="591" stopIfTrue="1">
      <formula>AND($E$223&lt;3, $E$223&gt;0)</formula>
    </cfRule>
  </conditionalFormatting>
  <conditionalFormatting sqref="E351">
    <cfRule type="expression" dxfId="770" priority="553" stopIfTrue="1">
      <formula>AND($E$351=10,SUM($E$346:$E$350)&gt;0)</formula>
    </cfRule>
  </conditionalFormatting>
  <conditionalFormatting sqref="E346:E347">
    <cfRule type="expression" dxfId="769" priority="237">
      <formula>OR(AND($E$346="Met",$E$348="No attached garage"),AND($E$346="No attached garage",$E$348="Met"))</formula>
    </cfRule>
    <cfRule type="expression" dxfId="768" priority="238" stopIfTrue="1">
      <formula>OR(AND($E$351=10,$E$346="Met"),AND($E$346="No attached garage",$E$350=4))</formula>
    </cfRule>
    <cfRule type="expression" dxfId="767" priority="552">
      <formula>OR(choice901.3_1_a="",choice901.3_1_a="Not Met")</formula>
    </cfRule>
  </conditionalFormatting>
  <conditionalFormatting sqref="E348:E349">
    <cfRule type="expression" dxfId="766" priority="236">
      <formula>OR(AND($E$346="Met",$E$348="No attached garage"),AND($E$346="No attached garage",$E$348="Met"))</formula>
    </cfRule>
    <cfRule type="expression" dxfId="765" priority="472" stopIfTrue="1">
      <formula>OR(AND($E$348="Met",$E$351=10),AND($E$348="No attached garage",$E$350=4))</formula>
    </cfRule>
    <cfRule type="expression" dxfId="764" priority="551" stopIfTrue="1">
      <formula>OR(choice901.3_1_b="",choice901.3_1_b="Not Met")</formula>
    </cfRule>
  </conditionalFormatting>
  <conditionalFormatting sqref="E350">
    <cfRule type="expression" dxfId="763" priority="550" stopIfTrue="1">
      <formula>AND($E$350&gt;0,$E$351&gt;0)</formula>
    </cfRule>
  </conditionalFormatting>
  <conditionalFormatting sqref="E423">
    <cfRule type="expression" dxfId="762" priority="541" stopIfTrue="1">
      <formula>AND($E$423&gt;0,SUM($E$424:$E$426)&gt;0)</formula>
    </cfRule>
  </conditionalFormatting>
  <conditionalFormatting sqref="E424">
    <cfRule type="expression" dxfId="761" priority="540" stopIfTrue="1">
      <formula>AND($E$424&gt;0,SUM($E$423,$E$425:$E$426)&gt;0)</formula>
    </cfRule>
  </conditionalFormatting>
  <conditionalFormatting sqref="E425">
    <cfRule type="expression" dxfId="760" priority="539" stopIfTrue="1">
      <formula>AND($E$425&gt;0,SUM($E$423:$E$424,$E$426)&gt;0)</formula>
    </cfRule>
  </conditionalFormatting>
  <conditionalFormatting sqref="E426">
    <cfRule type="expression" dxfId="759" priority="538" stopIfTrue="1">
      <formula>AND($E$426&gt;0,SUM($E$423:$E$425)&gt;0)</formula>
    </cfRule>
  </conditionalFormatting>
  <conditionalFormatting sqref="E436:E437">
    <cfRule type="expression" dxfId="758" priority="535" stopIfTrue="1">
      <formula>AND($E$436&gt;0,$E$437&gt;0)</formula>
    </cfRule>
  </conditionalFormatting>
  <conditionalFormatting sqref="Y1">
    <cfRule type="expression" dxfId="757" priority="531" stopIfTrue="1">
      <formula>OR(finalLevelReached="Emerald", finalLevelReached="Gold", finalLevelReached="Silver", finalLevelReached="Bronze")</formula>
    </cfRule>
  </conditionalFormatting>
  <conditionalFormatting sqref="F413">
    <cfRule type="expression" dxfId="756" priority="530" stopIfTrue="1">
      <formula>$E$413&gt;0</formula>
    </cfRule>
  </conditionalFormatting>
  <conditionalFormatting sqref="E196">
    <cfRule type="expression" dxfId="755" priority="511" stopIfTrue="1">
      <formula>OR($E$196=0, $E$196="Not Met")</formula>
    </cfRule>
  </conditionalFormatting>
  <conditionalFormatting sqref="E293">
    <cfRule type="expression" dxfId="754" priority="506" stopIfTrue="1">
      <formula>OR($E$293="Not Met", $E$293=0)</formula>
    </cfRule>
  </conditionalFormatting>
  <conditionalFormatting sqref="E294">
    <cfRule type="expression" dxfId="753" priority="505" stopIfTrue="1">
      <formula>OR($E$294="Not Met", $E$294=0)</formula>
    </cfRule>
  </conditionalFormatting>
  <conditionalFormatting sqref="E296">
    <cfRule type="expression" dxfId="752" priority="504" stopIfTrue="1">
      <formula>OR($E$296="Not Met", $E$296=0)</formula>
    </cfRule>
  </conditionalFormatting>
  <conditionalFormatting sqref="E297">
    <cfRule type="expression" dxfId="751" priority="503" stopIfTrue="1">
      <formula>OR($E$297="Not Met", $E$297=0)</formula>
    </cfRule>
  </conditionalFormatting>
  <conditionalFormatting sqref="E410">
    <cfRule type="expression" dxfId="750" priority="468" stopIfTrue="1">
      <formula>OR(claim902.1.1_2="", $E$410="Not Met")</formula>
    </cfRule>
  </conditionalFormatting>
  <conditionalFormatting sqref="E430">
    <cfRule type="expression" dxfId="749" priority="467" stopIfTrue="1">
      <formula>OR($E$430="", $E$430=0)</formula>
    </cfRule>
  </conditionalFormatting>
  <conditionalFormatting sqref="E442">
    <cfRule type="expression" dxfId="748" priority="466" stopIfTrue="1">
      <formula>OR($E$442="Met", $E$442="N/A")</formula>
    </cfRule>
  </conditionalFormatting>
  <conditionalFormatting sqref="E344">
    <cfRule type="expression" dxfId="747" priority="461" stopIfTrue="1">
      <formula>AND($E$344=7, SUM($E$335,$E$337,$E$339,$E$341,$E$343)&gt;0)</formula>
    </cfRule>
  </conditionalFormatting>
  <conditionalFormatting sqref="E434">
    <cfRule type="expression" dxfId="746" priority="455" stopIfTrue="1">
      <formula>OR(AND($E$434&gt;0,$E$430="Met"),AND($E$434&gt;0, OR($E$431&gt;0, $E$432&gt;0)))</formula>
    </cfRule>
  </conditionalFormatting>
  <conditionalFormatting sqref="E457">
    <cfRule type="expression" dxfId="745" priority="3" stopIfTrue="1">
      <formula>AND($E$457&lt;&gt;"Met",$E$457&lt;&gt;"NA")</formula>
    </cfRule>
    <cfRule type="expression" dxfId="744" priority="418" stopIfTrue="1">
      <formula>AND($E$457="Met", startSingleorMulti&lt;&gt;"Single-Family")</formula>
    </cfRule>
    <cfRule type="expression" dxfId="743" priority="453" stopIfTrue="1">
      <formula>OR($E$457="Met", $E$457="N/A")</formula>
    </cfRule>
  </conditionalFormatting>
  <conditionalFormatting sqref="E458">
    <cfRule type="expression" dxfId="742" priority="2">
      <formula>AND($E$458&lt;&gt;"Met",$E$458&lt;&gt;"NA")</formula>
    </cfRule>
    <cfRule type="expression" dxfId="741" priority="417" stopIfTrue="1">
      <formula>AND($E$458="Met", startSingleorMulti&lt;&gt;"Single-Family")</formula>
    </cfRule>
    <cfRule type="expression" dxfId="740" priority="452" stopIfTrue="1">
      <formula>OR($E$458="Met", $E$458="N/A")</formula>
    </cfRule>
  </conditionalFormatting>
  <conditionalFormatting sqref="E459">
    <cfRule type="expression" dxfId="739" priority="1">
      <formula>AND($E$459&lt;&gt;"Met",$E$459&lt;&gt;"NA")</formula>
    </cfRule>
    <cfRule type="expression" dxfId="738" priority="416" stopIfTrue="1">
      <formula>AND($E$457="Met", startSingleorMulti&lt;&gt;"Single-Family")</formula>
    </cfRule>
    <cfRule type="expression" dxfId="737" priority="451" stopIfTrue="1">
      <formula>OR($E$459="Met", $E$459="N/A")</formula>
    </cfRule>
  </conditionalFormatting>
  <conditionalFormatting sqref="E483">
    <cfRule type="expression" dxfId="736" priority="397" stopIfTrue="1">
      <formula>AND($E$483="Met", startSingleorMulti&lt;&gt;"Multi-Unit")</formula>
    </cfRule>
    <cfRule type="expression" dxfId="735" priority="450" stopIfTrue="1">
      <formula>OR($E$483="Met", $E$483="N/A")</formula>
    </cfRule>
  </conditionalFormatting>
  <conditionalFormatting sqref="E484">
    <cfRule type="expression" dxfId="734" priority="396" stopIfTrue="1">
      <formula>AND($E$484="Met", startSingleorMulti&lt;&gt;"Multi-Unit")</formula>
    </cfRule>
    <cfRule type="expression" dxfId="733" priority="449" stopIfTrue="1">
      <formula>OR($E$484="Met", $E$484="N/A")</formula>
    </cfRule>
  </conditionalFormatting>
  <conditionalFormatting sqref="E485">
    <cfRule type="expression" dxfId="732" priority="395" stopIfTrue="1">
      <formula>AND($E$485="Met", startSingleorMulti&lt;&gt;"Multi-Unit")</formula>
    </cfRule>
    <cfRule type="expression" dxfId="731" priority="448" stopIfTrue="1">
      <formula>OR($E$485="Met", $E$485="N/A")</formula>
    </cfRule>
  </conditionalFormatting>
  <conditionalFormatting sqref="E503">
    <cfRule type="expression" dxfId="730" priority="378" stopIfTrue="1">
      <formula>AND($E$503="Met",startSingleorMulti&lt;&gt;"Multi-Unit")</formula>
    </cfRule>
    <cfRule type="expression" dxfId="729" priority="447" stopIfTrue="1">
      <formula>OR($E$503="Met", $E$503="N/A")</formula>
    </cfRule>
  </conditionalFormatting>
  <conditionalFormatting sqref="E492">
    <cfRule type="expression" dxfId="728" priority="389" stopIfTrue="1">
      <formula>AND($E$492="Met", startSingleorMulti&lt;&gt;"Multi-Unit")</formula>
    </cfRule>
    <cfRule type="expression" dxfId="727" priority="446" stopIfTrue="1">
      <formula>OR($E$492="Met", $E$492="N/A")</formula>
    </cfRule>
  </conditionalFormatting>
  <conditionalFormatting sqref="E493">
    <cfRule type="expression" dxfId="726" priority="388" stopIfTrue="1">
      <formula>AND($E$493="Met", startSingleorMulti&lt;&gt;"Multi-Unit")</formula>
    </cfRule>
    <cfRule type="expression" dxfId="725" priority="445" stopIfTrue="1">
      <formula>OR($E$493="Met", $E$493="N/A")</formula>
    </cfRule>
  </conditionalFormatting>
  <conditionalFormatting sqref="E494">
    <cfRule type="expression" dxfId="724" priority="387" stopIfTrue="1">
      <formula>AND($E$494="Met", startSingleorMulti&lt;&gt;"Multi-Unit")</formula>
    </cfRule>
    <cfRule type="expression" dxfId="723" priority="444" stopIfTrue="1">
      <formula>OR($E$494="Met", $E$494="N/A")</formula>
    </cfRule>
  </conditionalFormatting>
  <conditionalFormatting sqref="E427">
    <cfRule type="expression" dxfId="722" priority="442" stopIfTrue="1">
      <formula>AND($E$427&gt;0, SUM($E$423:$E$426)=0)</formula>
    </cfRule>
  </conditionalFormatting>
  <conditionalFormatting sqref="C9">
    <cfRule type="expression" dxfId="721" priority="440" stopIfTrue="1">
      <formula>$C$9&lt;&gt;" "</formula>
    </cfRule>
  </conditionalFormatting>
  <conditionalFormatting sqref="E403">
    <cfRule type="expression" dxfId="720" priority="421" stopIfTrue="1">
      <formula>AND($E$403=1, OR(startMultiUnits&lt;2, startSingleorMulti&lt;&gt;"Multi-Unit"))</formula>
    </cfRule>
  </conditionalFormatting>
  <conditionalFormatting sqref="E486">
    <cfRule type="expression" dxfId="719" priority="420" stopIfTrue="1">
      <formula>AND($E$486="Met", startSingleorMulti&lt;&gt;"Multi-Unit")</formula>
    </cfRule>
  </conditionalFormatting>
  <conditionalFormatting sqref="E456">
    <cfRule type="expression" dxfId="718" priority="419" stopIfTrue="1">
      <formula>AND($E$456&gt;0, startSingleorMulti&lt;&gt;"Single-Family")</formula>
    </cfRule>
  </conditionalFormatting>
  <conditionalFormatting sqref="E460">
    <cfRule type="expression" dxfId="717" priority="415" stopIfTrue="1">
      <formula>AND($E$460="Met", startSingleorMulti&lt;&gt;"Single-Family")</formula>
    </cfRule>
  </conditionalFormatting>
  <conditionalFormatting sqref="E461">
    <cfRule type="expression" dxfId="716" priority="414" stopIfTrue="1">
      <formula>AND($E$461="Met", startSingleorMulti&lt;&gt;"Single-Family")</formula>
    </cfRule>
  </conditionalFormatting>
  <conditionalFormatting sqref="E462">
    <cfRule type="expression" dxfId="715" priority="413" stopIfTrue="1">
      <formula>AND($E$462="Met", startSingleorMulti&lt;&gt;"Single-Family")</formula>
    </cfRule>
  </conditionalFormatting>
  <conditionalFormatting sqref="E463">
    <cfRule type="expression" dxfId="714" priority="412" stopIfTrue="1">
      <formula>AND($E$463="Met", startSingleorMulti&lt;&gt;"Single-Family")</formula>
    </cfRule>
  </conditionalFormatting>
  <conditionalFormatting sqref="E464">
    <cfRule type="expression" dxfId="713" priority="411" stopIfTrue="1">
      <formula>AND($E$464="Met", startSingleorMulti&lt;&gt;"Single-Family")</formula>
    </cfRule>
  </conditionalFormatting>
  <conditionalFormatting sqref="E465">
    <cfRule type="expression" dxfId="712" priority="410" stopIfTrue="1">
      <formula>AND($E$465="Met", startSingleorMulti&lt;&gt;"Single-Family")</formula>
    </cfRule>
  </conditionalFormatting>
  <conditionalFormatting sqref="E466">
    <cfRule type="expression" dxfId="711" priority="409" stopIfTrue="1">
      <formula>AND($E$466="Met", startSingleorMulti&lt;&gt;"Single-Family")</formula>
    </cfRule>
  </conditionalFormatting>
  <conditionalFormatting sqref="E467">
    <cfRule type="expression" dxfId="710" priority="408" stopIfTrue="1">
      <formula>AND($E$467="Met", startSingleorMulti&lt;&gt;"Single-Family")</formula>
    </cfRule>
  </conditionalFormatting>
  <conditionalFormatting sqref="E468">
    <cfRule type="expression" dxfId="709" priority="407" stopIfTrue="1">
      <formula>AND($E$468="Met", startSingleorMulti&lt;&gt;"Single-Family")</formula>
    </cfRule>
  </conditionalFormatting>
  <conditionalFormatting sqref="E469">
    <cfRule type="expression" dxfId="708" priority="406" stopIfTrue="1">
      <formula>AND($E$469="Met", startSingleorMulti&lt;&gt;"Single-Family")</formula>
    </cfRule>
  </conditionalFormatting>
  <conditionalFormatting sqref="E470">
    <cfRule type="expression" dxfId="707" priority="405" stopIfTrue="1">
      <formula>AND($E$470="Met", startSingleorMulti&lt;&gt;"Single-Family")</formula>
    </cfRule>
  </conditionalFormatting>
  <conditionalFormatting sqref="E471">
    <cfRule type="expression" dxfId="706" priority="404" stopIfTrue="1">
      <formula>AND($E$471="Met", startSingleorMulti&lt;&gt;"Single-Family")</formula>
    </cfRule>
  </conditionalFormatting>
  <conditionalFormatting sqref="E472">
    <cfRule type="expression" dxfId="705" priority="403" stopIfTrue="1">
      <formula>AND($E$472="Met", startSingleorMulti&lt;&gt;"Single-Family")</formula>
    </cfRule>
  </conditionalFormatting>
  <conditionalFormatting sqref="E473">
    <cfRule type="expression" dxfId="704" priority="402" stopIfTrue="1">
      <formula>AND($E$473="Met", startSingleorMulti&lt;&gt;"Single-Family")</formula>
    </cfRule>
  </conditionalFormatting>
  <conditionalFormatting sqref="E474">
    <cfRule type="expression" dxfId="703" priority="401" stopIfTrue="1">
      <formula>AND($E$474="Met", startSingleorMulti&lt;&gt;"Single-Family")</formula>
    </cfRule>
  </conditionalFormatting>
  <conditionalFormatting sqref="E475">
    <cfRule type="expression" dxfId="702" priority="400" stopIfTrue="1">
      <formula>AND($E$475="Met", startSingleorMulti&lt;&gt;"Single-Family")</formula>
    </cfRule>
  </conditionalFormatting>
  <conditionalFormatting sqref="E476">
    <cfRule type="expression" dxfId="701" priority="399" stopIfTrue="1">
      <formula>AND($E$476="Met", startSingleorMulti&lt;&gt;"Single-Family")</formula>
    </cfRule>
  </conditionalFormatting>
  <conditionalFormatting sqref="E482">
    <cfRule type="expression" dxfId="700" priority="398" stopIfTrue="1">
      <formula>AND($E$482&gt;0, startSingleorMulti&lt;&gt;"Multi-Unit")</formula>
    </cfRule>
  </conditionalFormatting>
  <conditionalFormatting sqref="E487">
    <cfRule type="expression" dxfId="699" priority="394" stopIfTrue="1">
      <formula>AND($E$487="Met", startSingleorMulti&lt;&gt;"Multi-Unit")</formula>
    </cfRule>
  </conditionalFormatting>
  <conditionalFormatting sqref="E488">
    <cfRule type="expression" dxfId="698" priority="393" stopIfTrue="1">
      <formula>AND($E$488="Met", startSingleorMulti&lt;&gt;"Multi-Unit")</formula>
    </cfRule>
  </conditionalFormatting>
  <conditionalFormatting sqref="E489">
    <cfRule type="expression" dxfId="697" priority="392" stopIfTrue="1">
      <formula>AND($E$489="Met", startSingleorMulti&lt;&gt;"Multi-Unit")</formula>
    </cfRule>
  </conditionalFormatting>
  <conditionalFormatting sqref="E490">
    <cfRule type="expression" dxfId="696" priority="391" stopIfTrue="1">
      <formula>AND($E$490="Met", startSingleorMulti&lt;&gt;"Multi-Unit")</formula>
    </cfRule>
  </conditionalFormatting>
  <conditionalFormatting sqref="E491">
    <cfRule type="expression" dxfId="695" priority="390" stopIfTrue="1">
      <formula>AND($E$491&gt;0, startSingleorMulti&lt;&gt;"Multi-Unit")</formula>
    </cfRule>
  </conditionalFormatting>
  <conditionalFormatting sqref="E495">
    <cfRule type="expression" dxfId="694" priority="386" stopIfTrue="1">
      <formula>AND($E$495="Met", startSingleorMulti&lt;&gt;"Multi-Unit")</formula>
    </cfRule>
  </conditionalFormatting>
  <conditionalFormatting sqref="E496">
    <cfRule type="expression" dxfId="693" priority="385" stopIfTrue="1">
      <formula>AND($E$496="Met", startSingleorMulti&lt;&gt;"Multi-Unit")</formula>
    </cfRule>
  </conditionalFormatting>
  <conditionalFormatting sqref="E497">
    <cfRule type="expression" dxfId="692" priority="384" stopIfTrue="1">
      <formula>AND($E$497="Met", startSingleorMulti&lt;&gt;"Multi-Unit")</formula>
    </cfRule>
  </conditionalFormatting>
  <conditionalFormatting sqref="E498">
    <cfRule type="expression" dxfId="691" priority="383" stopIfTrue="1">
      <formula>AND($E$498="Met", startSingleorMulti&lt;&gt;"Multi-Unit")</formula>
    </cfRule>
  </conditionalFormatting>
  <conditionalFormatting sqref="E499">
    <cfRule type="expression" dxfId="690" priority="382" stopIfTrue="1">
      <formula>AND($E$499="Met", startSingleorMulti&lt;&gt;"Multi-Unit")</formula>
    </cfRule>
  </conditionalFormatting>
  <conditionalFormatting sqref="E500">
    <cfRule type="expression" dxfId="689" priority="381" stopIfTrue="1">
      <formula>AND($E$500="Met", startSingleorMulti&lt;&gt;"Multi-Unit")</formula>
    </cfRule>
  </conditionalFormatting>
  <conditionalFormatting sqref="E501">
    <cfRule type="expression" dxfId="688" priority="380" stopIfTrue="1">
      <formula>AND($E$501="Met", startSingleorMulti&lt;&gt;"Multi-Unit")</formula>
    </cfRule>
  </conditionalFormatting>
  <conditionalFormatting sqref="E502">
    <cfRule type="expression" dxfId="687" priority="379" stopIfTrue="1">
      <formula>AND($E$502&gt;0, startSingleorMulti&lt;&gt;"Multi-Unit")</formula>
    </cfRule>
  </conditionalFormatting>
  <conditionalFormatting sqref="E504">
    <cfRule type="expression" dxfId="686" priority="377" stopIfTrue="1">
      <formula>AND($E$504="Met",startSingleorMulti&lt;&gt;"Multi-Unit")</formula>
    </cfRule>
  </conditionalFormatting>
  <conditionalFormatting sqref="E505">
    <cfRule type="expression" dxfId="685" priority="376" stopIfTrue="1">
      <formula>AND($E$505="Met",startSingleorMulti&lt;&gt;"Multi-Unit")</formula>
    </cfRule>
  </conditionalFormatting>
  <conditionalFormatting sqref="E506">
    <cfRule type="expression" dxfId="684" priority="375" stopIfTrue="1">
      <formula>AND($E$506="Met",startSingleorMulti&lt;&gt;"Multi-Unit")</formula>
    </cfRule>
  </conditionalFormatting>
  <conditionalFormatting sqref="E507">
    <cfRule type="expression" dxfId="683" priority="374" stopIfTrue="1">
      <formula>AND($E$507="Met",startSingleorMulti&lt;&gt;"Multi-Unit")</formula>
    </cfRule>
  </conditionalFormatting>
  <conditionalFormatting sqref="E508">
    <cfRule type="expression" dxfId="682" priority="373" stopIfTrue="1">
      <formula>AND($E$508="Met",startSingleorMulti&lt;&gt;"Multi-Unit")</formula>
    </cfRule>
  </conditionalFormatting>
  <conditionalFormatting sqref="E509">
    <cfRule type="expression" dxfId="681" priority="372" stopIfTrue="1">
      <formula>AND($E$509="Met",startSingleorMulti&lt;&gt;"Multi-Unit")</formula>
    </cfRule>
  </conditionalFormatting>
  <conditionalFormatting sqref="E510">
    <cfRule type="expression" dxfId="680" priority="371" stopIfTrue="1">
      <formula>AND($E$510="Met",startSingleorMulti&lt;&gt;"Multi-Unit")</formula>
    </cfRule>
  </conditionalFormatting>
  <conditionalFormatting sqref="E511">
    <cfRule type="expression" dxfId="679" priority="370" stopIfTrue="1">
      <formula>AND($E$511="Met",startSingleorMulti&lt;&gt;"Multi-Unit")</formula>
    </cfRule>
  </conditionalFormatting>
  <conditionalFormatting sqref="F412">
    <cfRule type="expression" dxfId="678" priority="350" stopIfTrue="1">
      <formula>$F$412&lt;&gt;0</formula>
    </cfRule>
  </conditionalFormatting>
  <conditionalFormatting sqref="F319">
    <cfRule type="expression" dxfId="677" priority="336" stopIfTrue="1">
      <formula>$F$319&lt;&gt;0</formula>
    </cfRule>
  </conditionalFormatting>
  <conditionalFormatting sqref="E170">
    <cfRule type="expression" dxfId="676" priority="189">
      <formula>OR($E$170=0,$E$170="Not Met")</formula>
    </cfRule>
    <cfRule type="expression" dxfId="675" priority="332" stopIfTrue="1">
      <formula>AND($E$180&gt;0,SUM($E$181:$E$182)&gt;0)</formula>
    </cfRule>
  </conditionalFormatting>
  <conditionalFormatting sqref="E52">
    <cfRule type="expression" dxfId="674" priority="320">
      <formula>AND($E$52&gt;0,$E$52&lt;&gt;$D$52)</formula>
    </cfRule>
  </conditionalFormatting>
  <conditionalFormatting sqref="E53">
    <cfRule type="expression" dxfId="673" priority="319">
      <formula>AND($E$53&gt;0,$E$53&lt;&gt;$D$53)</formula>
    </cfRule>
  </conditionalFormatting>
  <conditionalFormatting sqref="E59">
    <cfRule type="expression" dxfId="672" priority="316">
      <formula>AND($E$59&gt;0,$E$59&lt;&gt;$D$59)</formula>
    </cfRule>
  </conditionalFormatting>
  <conditionalFormatting sqref="E60">
    <cfRule type="expression" dxfId="671" priority="315">
      <formula>AND($E$60&gt;0,$E$60&lt;&gt;$D$60)</formula>
    </cfRule>
  </conditionalFormatting>
  <conditionalFormatting sqref="E61">
    <cfRule type="expression" dxfId="670" priority="314">
      <formula>AND($E$61&gt;0,$E$61&lt;&gt;$D$61)</formula>
    </cfRule>
  </conditionalFormatting>
  <conditionalFormatting sqref="E91">
    <cfRule type="expression" dxfId="669" priority="312">
      <formula>AND(startSingleorMulti&lt;&gt;"Multi-Unit",$E$91&lt;&gt;0)</formula>
    </cfRule>
    <cfRule type="expression" dxfId="668" priority="313">
      <formula>startSingleorMulti&lt;&gt;"Multi-Unit"</formula>
    </cfRule>
  </conditionalFormatting>
  <conditionalFormatting sqref="E477">
    <cfRule type="expression" dxfId="667" priority="261" stopIfTrue="1">
      <formula>AND($E$476="Met", startSingleorMulti&lt;&gt;"Single-Family")</formula>
    </cfRule>
  </conditionalFormatting>
  <conditionalFormatting sqref="E73">
    <cfRule type="expression" dxfId="666" priority="259">
      <formula>AND($E$73=4,SUM($E$39:$E$41)=0)</formula>
    </cfRule>
  </conditionalFormatting>
  <conditionalFormatting sqref="E66:E68">
    <cfRule type="expression" dxfId="665" priority="257">
      <formula>AND($E$65=3,SUM($E$66:$E$68)&lt;3)</formula>
    </cfRule>
  </conditionalFormatting>
  <conditionalFormatting sqref="E65 E67:E68">
    <cfRule type="expression" dxfId="664" priority="256">
      <formula>AND($E$66=3,SUM($E$65,$E$67:$E$68)&lt;3)</formula>
    </cfRule>
  </conditionalFormatting>
  <conditionalFormatting sqref="E65:E66 E68">
    <cfRule type="expression" dxfId="663" priority="255">
      <formula>AND($E$67=3,SUM($E$65:$E$66,$E$68)&lt;3)</formula>
    </cfRule>
  </conditionalFormatting>
  <conditionalFormatting sqref="E65:E67">
    <cfRule type="expression" dxfId="662" priority="254">
      <formula>AND($E$68=3,SUM($E$65:$E$67)&lt;3)</formula>
    </cfRule>
  </conditionalFormatting>
  <conditionalFormatting sqref="E327">
    <cfRule type="expression" dxfId="661" priority="251">
      <formula>AND($E$327="No gas fireplace or heating equipment",$E$328=7)</formula>
    </cfRule>
    <cfRule type="expression" dxfId="660" priority="253">
      <formula>OR($E$327=0,$E$327="Not Met")</formula>
    </cfRule>
  </conditionalFormatting>
  <conditionalFormatting sqref="E328">
    <cfRule type="expression" dxfId="659" priority="252">
      <formula>AND($E$328=7,$E$327="No gas fireplace or heating equipment")</formula>
    </cfRule>
  </conditionalFormatting>
  <conditionalFormatting sqref="E329:E331">
    <cfRule type="expression" dxfId="658" priority="250">
      <formula>AND($E$328=7,$E$327="No gas fireplace or heating equipment")</formula>
    </cfRule>
  </conditionalFormatting>
  <conditionalFormatting sqref="E334:E335">
    <cfRule type="expression" dxfId="657" priority="243">
      <formula>AND($E$335=4,$E$344=7)</formula>
    </cfRule>
    <cfRule type="expression" dxfId="656" priority="248">
      <formula>OR(choice901.2.1_1="",choice901.2.1_1="Not Met")</formula>
    </cfRule>
  </conditionalFormatting>
  <conditionalFormatting sqref="E336:E337">
    <cfRule type="expression" dxfId="655" priority="242">
      <formula>AND($E$337=6,$E$344=7)</formula>
    </cfRule>
    <cfRule type="expression" dxfId="654" priority="247">
      <formula>OR(choice901.2.1_2="",choice901.2.1_2="Not Met")</formula>
    </cfRule>
  </conditionalFormatting>
  <conditionalFormatting sqref="E338:E339">
    <cfRule type="expression" dxfId="653" priority="241">
      <formula>AND($E$339=6,$E$344=7)</formula>
    </cfRule>
    <cfRule type="expression" dxfId="652" priority="246">
      <formula>OR(choice901.2.1_3="",choice901.2.1_3="Not Met")</formula>
    </cfRule>
  </conditionalFormatting>
  <conditionalFormatting sqref="E340:E341">
    <cfRule type="expression" dxfId="651" priority="240">
      <formula>AND($E$341=6,$E$344=7)</formula>
    </cfRule>
    <cfRule type="expression" dxfId="650" priority="245">
      <formula>OR(choice901.2.1_4="",choice901.2.1_4="Not Met")</formula>
    </cfRule>
  </conditionalFormatting>
  <conditionalFormatting sqref="E342:E343">
    <cfRule type="expression" dxfId="649" priority="239">
      <formula>AND($E$343=6,$E$344=7)</formula>
    </cfRule>
    <cfRule type="expression" dxfId="648" priority="244">
      <formula>OR(choice901.2.1_5="",choice901.2.1_5="Not Met")</formula>
    </cfRule>
  </conditionalFormatting>
  <conditionalFormatting sqref="E355">
    <cfRule type="expression" dxfId="647" priority="234">
      <formula>AND($E$355=2,SUM($E$360,$E$365,$E$370,$E$375)&gt;0)</formula>
    </cfRule>
  </conditionalFormatting>
  <conditionalFormatting sqref="E360">
    <cfRule type="expression" dxfId="646" priority="233">
      <formula>AND($E$360=2,SUM($E$355,$E$365,$E$370,$E$375)&gt;0)</formula>
    </cfRule>
  </conditionalFormatting>
  <conditionalFormatting sqref="E365">
    <cfRule type="expression" dxfId="645" priority="232">
      <formula>AND($E$365=3,SUM($E$355,$E$360,$E$370,$E$375)&gt;0)</formula>
    </cfRule>
  </conditionalFormatting>
  <conditionalFormatting sqref="E370">
    <cfRule type="expression" dxfId="644" priority="231">
      <formula>AND($E$370=4,OR($E$355,$E$360,$E$365,$E$375)&gt;0)</formula>
    </cfRule>
  </conditionalFormatting>
  <conditionalFormatting sqref="E375">
    <cfRule type="expression" dxfId="643" priority="230">
      <formula>AND($E$375=4,SUM($E$355,$E$360,$E$365,$E$370)&gt;0)</formula>
    </cfRule>
  </conditionalFormatting>
  <conditionalFormatting sqref="E356">
    <cfRule type="expression" dxfId="642" priority="229">
      <formula>AND($E$356=2,SUM($E$361,$E$366,$E$371,$E$376)&gt;0)</formula>
    </cfRule>
  </conditionalFormatting>
  <conditionalFormatting sqref="E361">
    <cfRule type="expression" dxfId="641" priority="228">
      <formula>AND($E$361=2,SUM($E$356,$E$366,$E$371,$E$376)&gt;0)</formula>
    </cfRule>
  </conditionalFormatting>
  <conditionalFormatting sqref="E366">
    <cfRule type="expression" dxfId="640" priority="227">
      <formula>AND($E$366=3,SUM($E$356,$E$361,$E$371,$E$376)&gt;0)</formula>
    </cfRule>
  </conditionalFormatting>
  <conditionalFormatting sqref="E371">
    <cfRule type="expression" dxfId="639" priority="226">
      <formula>AND($E$371=4,SUM($E$356,$E$361,$E$366,$E$376)&gt;0)</formula>
    </cfRule>
  </conditionalFormatting>
  <conditionalFormatting sqref="E376">
    <cfRule type="expression" dxfId="638" priority="225">
      <formula>AND($E$376=4,SUM($E$356,$E$361,$E$366,$E$371)&gt;0)</formula>
    </cfRule>
  </conditionalFormatting>
  <conditionalFormatting sqref="E357">
    <cfRule type="expression" dxfId="637" priority="224">
      <formula>AND($E$357=2,SUM($E$362,$E$367,$E$372,$E$377)&gt;0)</formula>
    </cfRule>
  </conditionalFormatting>
  <conditionalFormatting sqref="E362">
    <cfRule type="expression" dxfId="636" priority="222">
      <formula>AND($E$362=2,SUM($E$357,$E$367,$E$372,$E$377)&gt;0)</formula>
    </cfRule>
  </conditionalFormatting>
  <conditionalFormatting sqref="E367">
    <cfRule type="expression" dxfId="635" priority="221">
      <formula>AND($E$367=3,SUM($E$357,$E$362,$E$372,$E$377)&gt;0)</formula>
    </cfRule>
  </conditionalFormatting>
  <conditionalFormatting sqref="E372">
    <cfRule type="expression" dxfId="634" priority="220">
      <formula>AND($E$372=4,SUM($E$357,$E$362,$E$367,$E$377)&gt;0)</formula>
    </cfRule>
  </conditionalFormatting>
  <conditionalFormatting sqref="E377">
    <cfRule type="expression" dxfId="633" priority="219">
      <formula>AND($E$377=4,SUM($E$357,$E$362,$E$367,$E$372)&gt;0)</formula>
    </cfRule>
  </conditionalFormatting>
  <conditionalFormatting sqref="E358">
    <cfRule type="expression" dxfId="632" priority="218">
      <formula>AND($E$358=2,SUM($E$363,$E$368,$E$373,$E$378)&gt;0)</formula>
    </cfRule>
  </conditionalFormatting>
  <conditionalFormatting sqref="E363">
    <cfRule type="expression" dxfId="631" priority="217">
      <formula>AND($E$363=2,SUM($E$358,$E$368,$E$373,$E$378)&gt;0)</formula>
    </cfRule>
  </conditionalFormatting>
  <conditionalFormatting sqref="E368">
    <cfRule type="expression" dxfId="630" priority="216">
      <formula>AND($E$368=3,SUM($E$358,$E$363,$E$373,$E$378)&gt;0)</formula>
    </cfRule>
  </conditionalFormatting>
  <conditionalFormatting sqref="E373">
    <cfRule type="expression" dxfId="629" priority="215">
      <formula>AND($E$373=4,SUM($E$358,$E$363,$E$368,$E$378)&gt;0)</formula>
    </cfRule>
  </conditionalFormatting>
  <conditionalFormatting sqref="E378">
    <cfRule type="expression" dxfId="628" priority="214">
      <formula>AND($E$378=4,SUM($E$358,$E$363,$E$368,$E$373)&gt;0)</formula>
    </cfRule>
  </conditionalFormatting>
  <conditionalFormatting sqref="E383">
    <cfRule type="expression" dxfId="627" priority="213">
      <formula>OR($E$383=0,$E$383="Not Met")</formula>
    </cfRule>
  </conditionalFormatting>
  <conditionalFormatting sqref="E391">
    <cfRule type="expression" dxfId="626" priority="1189" stopIfTrue="1">
      <formula>AND($E$391=8,$E$389=5)</formula>
    </cfRule>
  </conditionalFormatting>
  <conditionalFormatting sqref="E389">
    <cfRule type="expression" dxfId="625" priority="211">
      <formula>AND($E$389=5,$E$391=8)</formula>
    </cfRule>
  </conditionalFormatting>
  <conditionalFormatting sqref="E408">
    <cfRule type="expression" dxfId="624" priority="203" stopIfTrue="1">
      <formula>OR($E$408=0,$E$408="Not Met")</formula>
    </cfRule>
  </conditionalFormatting>
  <conditionalFormatting sqref="E422">
    <cfRule type="expression" dxfId="623" priority="199">
      <formula>AND(choice902.2.1="N/A - air infiltration rate greater than 5 ACH50",OR(AND(ch7blowerdoor&lt;&gt;"",ch7blowerdoor&lt;5),AND(ch7ACH50&lt;&gt;"",ch7ACH50&lt;5)))</formula>
    </cfRule>
    <cfRule type="expression" dxfId="622" priority="200">
      <formula>OR($E$422=0,$E$422="Not Met")</formula>
    </cfRule>
  </conditionalFormatting>
  <conditionalFormatting sqref="E439">
    <cfRule type="expression" dxfId="621" priority="198">
      <formula>OR($E$439=0,$E$439="Not Met")</formula>
    </cfRule>
  </conditionalFormatting>
  <conditionalFormatting sqref="E443">
    <cfRule type="expression" dxfId="620" priority="196" stopIfTrue="1">
      <formula>OR($E$442="Met", $E$442="N/A")</formula>
    </cfRule>
  </conditionalFormatting>
  <conditionalFormatting sqref="E143">
    <cfRule type="expression" dxfId="619" priority="7">
      <formula>AND($B$143&lt;&gt;"x",$E$143="No Slabs")</formula>
    </cfRule>
    <cfRule type="expression" dxfId="618" priority="195">
      <formula>OR($E$143=0,$E$143="Not Met")</formula>
    </cfRule>
  </conditionalFormatting>
  <conditionalFormatting sqref="E147">
    <cfRule type="expression" dxfId="617" priority="6">
      <formula>AND($A$147="x",$E$147="No habitable or usable space below grade")</formula>
    </cfRule>
    <cfRule type="expression" dxfId="616" priority="194">
      <formula>OR($E$147=0,$E$147="Not Met")</formula>
    </cfRule>
  </conditionalFormatting>
  <conditionalFormatting sqref="E152">
    <cfRule type="expression" dxfId="615" priority="5">
      <formula>AND($B$152&lt;&gt;"x",$E$152="No crawlspace")</formula>
    </cfRule>
    <cfRule type="expression" dxfId="614" priority="193">
      <formula>OR($E$152=0,$E$152="Not Met")</formula>
    </cfRule>
  </conditionalFormatting>
  <conditionalFormatting sqref="E155">
    <cfRule type="expression" dxfId="613" priority="4">
      <formula>AND($B$155="x",$E$155="Met")</formula>
    </cfRule>
    <cfRule type="expression" dxfId="612" priority="192">
      <formula>OR($E$155=0,$E$155="Not Met")</formula>
    </cfRule>
  </conditionalFormatting>
  <conditionalFormatting sqref="E164">
    <cfRule type="expression" dxfId="611" priority="191">
      <formula>OR($E$164=0,$E$164="Not Met")</formula>
    </cfRule>
  </conditionalFormatting>
  <conditionalFormatting sqref="E168">
    <cfRule type="expression" dxfId="610" priority="190">
      <formula>OR($E$168=0,$E$168="Not Met")</formula>
    </cfRule>
  </conditionalFormatting>
  <conditionalFormatting sqref="E183">
    <cfRule type="expression" dxfId="609" priority="188">
      <formula>OR($E$183=0,$E$183="Not Met")</formula>
    </cfRule>
  </conditionalFormatting>
  <conditionalFormatting sqref="E185">
    <cfRule type="expression" dxfId="608" priority="187">
      <formula>OR($E$183=0,$E$183="Not Met")</formula>
    </cfRule>
  </conditionalFormatting>
  <conditionalFormatting sqref="E190">
    <cfRule type="expression" dxfId="607" priority="186">
      <formula>OR($E$190=0,$E$190="Not Met")</formula>
    </cfRule>
  </conditionalFormatting>
  <conditionalFormatting sqref="E189">
    <cfRule type="expression" dxfId="606" priority="185">
      <formula>OR($E$189=0,$E$189="Not Met")</formula>
    </cfRule>
  </conditionalFormatting>
  <conditionalFormatting sqref="E298">
    <cfRule type="expression" dxfId="605" priority="182" stopIfTrue="1">
      <formula>OR($E$297="Not Met", $E$297=0)</formula>
    </cfRule>
  </conditionalFormatting>
  <conditionalFormatting sqref="E300">
    <cfRule type="expression" dxfId="604" priority="181" stopIfTrue="1">
      <formula>OR($E$297="Not Met", $E$297=0)</formula>
    </cfRule>
  </conditionalFormatting>
  <conditionalFormatting sqref="E301">
    <cfRule type="expression" dxfId="603" priority="180" stopIfTrue="1">
      <formula>OR($E$297="Not Met", $E$297=0)</formula>
    </cfRule>
  </conditionalFormatting>
  <conditionalFormatting sqref="E302:E304">
    <cfRule type="expression" dxfId="602" priority="176">
      <formula>AND($E$302=0,$E$303=0,$E$304=0)</formula>
    </cfRule>
  </conditionalFormatting>
  <conditionalFormatting sqref="E302">
    <cfRule type="expression" dxfId="601" priority="175">
      <formula>$E$302="Not Met"</formula>
    </cfRule>
  </conditionalFormatting>
  <conditionalFormatting sqref="E303">
    <cfRule type="expression" dxfId="600" priority="173">
      <formula>AND($E$302&lt;&gt;"Met",$E$303&gt;0)</formula>
    </cfRule>
    <cfRule type="expression" dxfId="599" priority="174">
      <formula>AND($E$302="Not Met",$E$303=0)</formula>
    </cfRule>
  </conditionalFormatting>
  <conditionalFormatting sqref="E305">
    <cfRule type="expression" dxfId="598" priority="172">
      <formula>OR($E$305="Not Met",$E$305=0)</formula>
    </cfRule>
  </conditionalFormatting>
  <conditionalFormatting sqref="E306">
    <cfRule type="expression" dxfId="597" priority="171">
      <formula>OR($E$306="Not Met",$E$306=0)</formula>
    </cfRule>
  </conditionalFormatting>
  <conditionalFormatting sqref="E307">
    <cfRule type="expression" dxfId="596" priority="170">
      <formula>OR($E$307="Not Met",$E$307=0)</formula>
    </cfRule>
  </conditionalFormatting>
  <conditionalFormatting sqref="E308">
    <cfRule type="expression" dxfId="595" priority="169">
      <formula>OR($E$308="Not Met",$E$308=0)</formula>
    </cfRule>
  </conditionalFormatting>
  <conditionalFormatting sqref="E428">
    <cfRule type="expression" dxfId="594" priority="18">
      <formula>AND($E$428&gt;0,#REF!&gt;0,#REF!&gt;0)</formula>
    </cfRule>
  </conditionalFormatting>
  <conditionalFormatting sqref="D51:E51">
    <cfRule type="expression" dxfId="593" priority="9">
      <formula>AND($D$51="No landscape plan type selected.", SUM($E$52:$E$60)&gt;0)</formula>
    </cfRule>
  </conditionalFormatting>
  <conditionalFormatting sqref="E39:E41">
    <cfRule type="expression" dxfId="592" priority="9019">
      <formula>AND(SUM($E$39:$E$41)&lt;1,$E$73=4)</formula>
    </cfRule>
  </conditionalFormatting>
  <pageMargins left="0.7" right="0.7" top="0.75" bottom="0.75" header="0.3" footer="0.3"/>
  <pageSetup scale="4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ignoredErrors>
    <ignoredError sqref="E94"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F673"/>
  <sheetViews>
    <sheetView tabSelected="1" topLeftCell="C1" zoomScale="86" zoomScaleNormal="86" workbookViewId="0">
      <pane ySplit="11" topLeftCell="A453" activePane="bottomLeft" state="frozen"/>
      <selection activeCell="C1" sqref="C1"/>
      <selection pane="bottomLeft" activeCell="G396" sqref="G396:I396"/>
    </sheetView>
  </sheetViews>
  <sheetFormatPr baseColWidth="10" defaultColWidth="9.1640625" defaultRowHeight="15"/>
  <cols>
    <col min="1" max="1" width="4.5" style="28" hidden="1" customWidth="1"/>
    <col min="2" max="2" width="5.5" style="28" hidden="1" customWidth="1"/>
    <col min="3" max="3" width="3.83203125" style="1458" customWidth="1"/>
    <col min="4" max="4" width="3.1640625" style="282" customWidth="1"/>
    <col min="5" max="5" width="75.1640625" style="28" customWidth="1"/>
    <col min="6" max="6" width="16.83203125" style="278" customWidth="1"/>
    <col min="7" max="9" width="9.83203125" style="279" customWidth="1"/>
    <col min="10" max="10" width="44.33203125" style="279" customWidth="1"/>
    <col min="11" max="11" width="14.5" style="162" customWidth="1"/>
    <col min="12" max="12" width="33.1640625" style="28" customWidth="1"/>
    <col min="13" max="13" width="9.1640625" style="28" customWidth="1"/>
    <col min="14" max="16" width="9.1640625" style="28" hidden="1" customWidth="1"/>
    <col min="17" max="17" width="9.6640625" style="28" hidden="1" customWidth="1"/>
    <col min="18" max="32" width="9.1640625" style="28" hidden="1" customWidth="1"/>
    <col min="33" max="37" width="9.1640625" style="28" customWidth="1"/>
    <col min="38" max="16384" width="9.1640625" style="28"/>
  </cols>
  <sheetData>
    <row r="1" spans="3:32" ht="45" customHeight="1" thickBot="1">
      <c r="C1" s="1628"/>
      <c r="D1" s="1628"/>
      <c r="E1" s="1686"/>
      <c r="F1" s="1687">
        <v>2012</v>
      </c>
      <c r="G1" s="3987" t="str">
        <f>CONCATENATE(copyright," All rights reserved.  See full notice at bottom of this sheet")</f>
        <v>© 2013 Home Innovation Research Labs, Inc. All rights reserved.  See full notice at bottom of this sheet</v>
      </c>
      <c r="H1" s="3987"/>
      <c r="I1" s="3987"/>
      <c r="J1" s="3988" t="s">
        <v>2602</v>
      </c>
      <c r="K1" s="3988"/>
      <c r="L1" s="2043" t="str">
        <f>CONCATENATE("Revised ",TEXT(startRevisionDate,"mmmm dd, yyyy"))</f>
        <v>Revised January 26, 2018</v>
      </c>
      <c r="M1" s="196">
        <f>SUBTOTAL(3,E12:L666)</f>
        <v>1856</v>
      </c>
      <c r="O1" s="1392" t="s">
        <v>1972</v>
      </c>
      <c r="P1" s="1392" t="s">
        <v>1973</v>
      </c>
      <c r="Q1" s="1375" t="s">
        <v>2007</v>
      </c>
      <c r="R1" s="1375" t="s">
        <v>2015</v>
      </c>
      <c r="S1" s="1392" t="s">
        <v>1974</v>
      </c>
      <c r="T1" s="1340" t="s">
        <v>1975</v>
      </c>
      <c r="U1" s="1340" t="s">
        <v>1976</v>
      </c>
      <c r="V1" s="1340" t="s">
        <v>2072</v>
      </c>
      <c r="AE1" s="197" t="s">
        <v>444</v>
      </c>
      <c r="AF1" s="198" t="str">
        <f>finalLevelReached</f>
        <v>Nothing</v>
      </c>
    </row>
    <row r="2" spans="3:32" ht="16.5" customHeight="1">
      <c r="C2" s="3959" t="s">
        <v>2096</v>
      </c>
      <c r="D2" s="3958" t="s">
        <v>2097</v>
      </c>
      <c r="E2" s="3807" t="s">
        <v>2073</v>
      </c>
      <c r="F2" s="3808"/>
      <c r="G2" s="3808"/>
      <c r="H2" s="3808"/>
      <c r="I2" s="3808"/>
      <c r="J2" s="3808"/>
      <c r="K2" s="3808"/>
      <c r="L2" s="3809"/>
    </row>
    <row r="3" spans="3:32">
      <c r="C3" s="3959"/>
      <c r="D3" s="3958"/>
      <c r="E3" s="1688" t="s">
        <v>446</v>
      </c>
      <c r="F3" s="3825" t="str">
        <f>IF(startBuilderName ="","Verifier Enter on Start Here! tab",startBuilderName )</f>
        <v>Verifier Enter on Start Here! tab</v>
      </c>
      <c r="G3" s="2821"/>
      <c r="H3" s="2821"/>
      <c r="I3" s="2821"/>
      <c r="J3" s="1272" t="s">
        <v>449</v>
      </c>
      <c r="K3" s="3832" t="str">
        <f>IF(startSingleorMulti="","Verifier Enter on Start Here! tab",startSingleorMulti)</f>
        <v>Verifier Enter on Start Here! tab</v>
      </c>
      <c r="L3" s="3833"/>
      <c r="S3" s="28">
        <f>IF(BldgType="",1,0)</f>
        <v>0</v>
      </c>
    </row>
    <row r="4" spans="3:32" ht="15" customHeight="1">
      <c r="C4" s="3959"/>
      <c r="D4" s="3958"/>
      <c r="E4" s="1689" t="s">
        <v>448</v>
      </c>
      <c r="F4" s="2336" t="str">
        <f>IF(startHomeAddress="", "Verifier Enter on Start Here! tab", CONCATENATE(startHomeAddress, " , ", startHomeCity, ", ", startHomeState, " ", startHomeZip))</f>
        <v>Verifier Enter on Start Here! tab</v>
      </c>
      <c r="G4" s="2336"/>
      <c r="H4" s="2336"/>
      <c r="I4" s="2336"/>
      <c r="J4" s="1271" t="s">
        <v>450</v>
      </c>
      <c r="K4" s="3834" t="str">
        <f>IF(startMultiUnits="","",startMultiUnits)</f>
        <v/>
      </c>
      <c r="L4" s="3835"/>
      <c r="S4" s="28">
        <f>IF(AND(K4="",BldgType="Multi-unit"),1,0)</f>
        <v>0</v>
      </c>
    </row>
    <row r="5" spans="3:32">
      <c r="C5" s="3959"/>
      <c r="D5" s="3958"/>
      <c r="E5" s="1688" t="s">
        <v>155</v>
      </c>
      <c r="F5" s="3831" t="str">
        <f>IF(startLot="", "Verifier Enter on Start Here! tab", startLot)</f>
        <v>Verifier Enter on Start Here! tab</v>
      </c>
      <c r="G5" s="3831"/>
      <c r="H5" s="3831"/>
      <c r="I5" s="3831"/>
      <c r="J5" s="1271" t="s">
        <v>159</v>
      </c>
      <c r="K5" s="3829" t="str">
        <f>IF(startSquareFootage="","Verifier Enter on Start Here! tab",startSquareFootage)</f>
        <v>Verifier Enter on Start Here! tab</v>
      </c>
      <c r="L5" s="3830"/>
      <c r="S5" s="28">
        <f>IF(K5="",1,0)</f>
        <v>0</v>
      </c>
    </row>
    <row r="6" spans="3:32">
      <c r="C6" s="3959"/>
      <c r="D6" s="3958"/>
      <c r="E6" s="1688" t="s">
        <v>451</v>
      </c>
      <c r="F6" s="3825" t="str">
        <f>IF(startClimateZone="","Verifier Enter on Start Here! tab",startClimateZone)</f>
        <v>Verifier Enter on Start Here! tab</v>
      </c>
      <c r="G6" s="2821"/>
      <c r="H6" s="2065" t="s">
        <v>1581</v>
      </c>
      <c r="I6" s="2109" t="str">
        <f xml:space="preserve"> IF(startClimateType="","Start Here!",startClimateType)</f>
        <v>Start Here!</v>
      </c>
      <c r="J6" s="1271" t="s">
        <v>453</v>
      </c>
      <c r="K6" s="3832" t="str">
        <f>IF(startProjectDesc="","Verifier Enter on Start Here! tab",startProjectDesc)</f>
        <v>Verifier Enter on Start Here! tab</v>
      </c>
      <c r="L6" s="3833"/>
      <c r="S6" s="28">
        <f>IF(VCZ="",1,0)</f>
        <v>0</v>
      </c>
      <c r="T6" s="28">
        <f>IF(I6="",1,0)</f>
        <v>0</v>
      </c>
    </row>
    <row r="7" spans="3:32" ht="16" thickBot="1">
      <c r="C7" s="3959"/>
      <c r="D7" s="3958"/>
      <c r="E7" s="1690" t="s">
        <v>1565</v>
      </c>
      <c r="F7" s="3825" t="str">
        <f>IF(startCounty="","Verifier Enter on Start Here! tab", startCounty)</f>
        <v>Verifier Enter on Start Here! tab</v>
      </c>
      <c r="G7" s="3825"/>
      <c r="H7" s="2047"/>
      <c r="I7" s="2066" t="s">
        <v>1925</v>
      </c>
      <c r="J7" s="1270" t="s">
        <v>452</v>
      </c>
      <c r="K7" s="3821" t="str">
        <f>IF(startHERSIndex="","Not entered",startHERSIndex)</f>
        <v>Not entered</v>
      </c>
      <c r="L7" s="3822"/>
    </row>
    <row r="8" spans="3:32" ht="18" thickTop="1" thickBot="1">
      <c r="C8" s="3959"/>
      <c r="D8" s="3958"/>
      <c r="E8" s="1691" t="s">
        <v>1923</v>
      </c>
      <c r="F8" s="2067" t="s">
        <v>2631</v>
      </c>
      <c r="G8" s="2068"/>
      <c r="H8" s="2068"/>
      <c r="I8" s="2069"/>
      <c r="J8" s="1307" t="s">
        <v>1926</v>
      </c>
      <c r="K8" s="3823" t="str">
        <f>IF(ReportType="Final",IF(S11&gt;0,"This Report is NOT Ready To Submit",CONCATENATE("Ready to Submit for ",vlevel)),IF(T11&gt;0,"This Report is NOT Ready To Submit","Ready to Submit"))</f>
        <v>This Report is NOT Ready To Submit</v>
      </c>
      <c r="L8" s="3824"/>
      <c r="M8" s="1206"/>
      <c r="S8" s="28">
        <f>IF(ReportType="",1,0)</f>
        <v>1</v>
      </c>
      <c r="T8" s="28">
        <f>IF(F8="",1,0)</f>
        <v>0</v>
      </c>
    </row>
    <row r="9" spans="3:32" ht="20.25" customHeight="1" thickTop="1">
      <c r="E9" s="3528" t="s">
        <v>454</v>
      </c>
      <c r="F9" s="3810" t="s">
        <v>13</v>
      </c>
      <c r="G9" s="3810" t="s">
        <v>14</v>
      </c>
      <c r="H9" s="3826" t="s">
        <v>1920</v>
      </c>
      <c r="I9" s="3827"/>
      <c r="J9" s="3810" t="s">
        <v>1922</v>
      </c>
      <c r="K9" s="3814" t="s">
        <v>1921</v>
      </c>
      <c r="L9" s="3815"/>
    </row>
    <row r="10" spans="3:32" ht="1.5" customHeight="1">
      <c r="E10" s="3529"/>
      <c r="F10" s="3811"/>
      <c r="G10" s="3811"/>
      <c r="H10" s="1692"/>
      <c r="I10" s="1693"/>
      <c r="J10" s="3811"/>
      <c r="K10" s="3816"/>
      <c r="L10" s="3817"/>
      <c r="S10" s="1418" t="s">
        <v>2015</v>
      </c>
      <c r="T10" s="1418" t="s">
        <v>2007</v>
      </c>
    </row>
    <row r="11" spans="3:32" ht="21.75" customHeight="1">
      <c r="C11" s="282"/>
      <c r="E11" s="3530"/>
      <c r="F11" s="3828"/>
      <c r="G11" s="3828"/>
      <c r="H11" s="1963" t="s">
        <v>2141</v>
      </c>
      <c r="I11" s="1466" t="s">
        <v>2142</v>
      </c>
      <c r="J11" s="3811"/>
      <c r="K11" s="3816"/>
      <c r="L11" s="3817"/>
      <c r="O11" s="1337" t="s">
        <v>1971</v>
      </c>
      <c r="S11" s="28">
        <f>SUM(O14:V669)+SUM(S3:T8)</f>
        <v>34</v>
      </c>
      <c r="T11" s="28">
        <f>SUM(P14:Q669)+SUM(S14:V273)+SUM(S3:T8)</f>
        <v>15</v>
      </c>
    </row>
    <row r="12" spans="3:32">
      <c r="E12" s="1694" t="s">
        <v>455</v>
      </c>
      <c r="F12" s="1695"/>
      <c r="G12" s="1695"/>
      <c r="H12" s="1696"/>
      <c r="I12" s="1697"/>
      <c r="J12" s="3812"/>
      <c r="K12" s="3818"/>
      <c r="L12" s="3817"/>
      <c r="Q12" s="1375" t="s">
        <v>2007</v>
      </c>
      <c r="R12" s="1375" t="s">
        <v>2015</v>
      </c>
    </row>
    <row r="13" spans="3:32" ht="16" thickBot="1">
      <c r="E13" s="1698" t="s">
        <v>456</v>
      </c>
      <c r="F13" s="1463"/>
      <c r="G13" s="1463"/>
      <c r="H13" s="1464"/>
      <c r="I13" s="1465"/>
      <c r="J13" s="3813"/>
      <c r="K13" s="3819"/>
      <c r="L13" s="3820"/>
      <c r="O13" s="1337" t="s">
        <v>1972</v>
      </c>
      <c r="P13" s="1337" t="s">
        <v>1973</v>
      </c>
      <c r="Q13" s="1375" t="s">
        <v>3</v>
      </c>
      <c r="R13" s="1375" t="s">
        <v>3</v>
      </c>
      <c r="S13" s="1337" t="s">
        <v>1974</v>
      </c>
      <c r="T13" s="1340" t="s">
        <v>1975</v>
      </c>
      <c r="U13" s="1340" t="s">
        <v>1976</v>
      </c>
    </row>
    <row r="14" spans="3:32" ht="18.75" customHeight="1" thickTop="1">
      <c r="D14" s="282" t="s">
        <v>2099</v>
      </c>
      <c r="E14" s="3615" t="s">
        <v>1002</v>
      </c>
      <c r="F14" s="3616"/>
      <c r="G14" s="3616"/>
      <c r="H14" s="3616"/>
      <c r="I14" s="3617"/>
      <c r="J14" s="1210"/>
      <c r="K14" s="3448"/>
      <c r="L14" s="3758"/>
    </row>
    <row r="15" spans="3:32" ht="30">
      <c r="C15" s="1458" t="str">
        <f t="shared" ref="C15:C17" si="0">IF(G15&gt;0,"P","")</f>
        <v/>
      </c>
      <c r="D15" s="282" t="s">
        <v>2099</v>
      </c>
      <c r="E15" s="1699" t="s">
        <v>1003</v>
      </c>
      <c r="F15" s="1700">
        <v>4</v>
      </c>
      <c r="G15" s="1701">
        <f>claim501.2_1</f>
        <v>0</v>
      </c>
      <c r="H15" s="1702"/>
      <c r="I15" s="1703"/>
      <c r="J15" s="1702"/>
      <c r="K15" s="3583">
        <f>note501.2_1</f>
        <v>0</v>
      </c>
      <c r="L15" s="3584"/>
      <c r="O15" s="28">
        <f t="shared" ref="O15:O16" si="1">IF(AND(H15&gt;0,I15&gt;0),1,0)</f>
        <v>0</v>
      </c>
    </row>
    <row r="16" spans="3:32" ht="60">
      <c r="C16" s="1458" t="str">
        <f t="shared" si="0"/>
        <v/>
      </c>
      <c r="D16" s="282" t="s">
        <v>2099</v>
      </c>
      <c r="E16" s="1705" t="s">
        <v>1005</v>
      </c>
      <c r="F16" s="1666">
        <v>4</v>
      </c>
      <c r="G16" s="1659">
        <f>claim501.2_2</f>
        <v>0</v>
      </c>
      <c r="H16" s="1702"/>
      <c r="I16" s="1703"/>
      <c r="J16" s="1671"/>
      <c r="K16" s="3583">
        <f>note501.2_3</f>
        <v>0</v>
      </c>
      <c r="L16" s="3584"/>
      <c r="O16" s="28">
        <f t="shared" si="1"/>
        <v>0</v>
      </c>
    </row>
    <row r="17" spans="3:18" ht="45">
      <c r="C17" s="1458" t="str">
        <f t="shared" si="0"/>
        <v/>
      </c>
      <c r="D17" s="282" t="s">
        <v>2099</v>
      </c>
      <c r="E17" s="1705" t="s">
        <v>1006</v>
      </c>
      <c r="F17" s="1666">
        <v>5</v>
      </c>
      <c r="G17" s="1659">
        <f>claim501.2_3</f>
        <v>0</v>
      </c>
      <c r="H17" s="1702"/>
      <c r="I17" s="1703"/>
      <c r="J17" s="1671"/>
      <c r="K17" s="3523">
        <f>note501.2_4</f>
        <v>0</v>
      </c>
      <c r="L17" s="3524"/>
      <c r="O17" s="28">
        <f>IF(AND(H17&gt;0,I17&gt;0),1,0)</f>
        <v>0</v>
      </c>
    </row>
    <row r="18" spans="3:18">
      <c r="E18" s="3539"/>
      <c r="F18" s="3540"/>
      <c r="G18" s="3540"/>
      <c r="H18" s="3540"/>
      <c r="I18" s="3540"/>
      <c r="J18" s="3540"/>
      <c r="K18" s="3540"/>
      <c r="L18" s="3541"/>
    </row>
    <row r="19" spans="3:18">
      <c r="C19" s="1458" t="str">
        <f>IF(G19&gt;0,"P","")</f>
        <v/>
      </c>
      <c r="D19" s="282" t="s">
        <v>2100</v>
      </c>
      <c r="E19" s="3770" t="s">
        <v>2010</v>
      </c>
      <c r="F19" s="3565">
        <v>4</v>
      </c>
      <c r="G19" s="3562">
        <f>claim502.1</f>
        <v>0</v>
      </c>
      <c r="H19" s="3505"/>
      <c r="I19" s="3629"/>
      <c r="J19" s="1239" t="str">
        <f>IF(AND(H19="",I19&gt;0),"Explain verification at Final","")</f>
        <v/>
      </c>
      <c r="K19" s="3613">
        <f>note502.1</f>
        <v>0</v>
      </c>
      <c r="L19" s="3524"/>
      <c r="O19" s="28">
        <f>IF(AND(H19&gt;0,I19&gt;0),1,0)</f>
        <v>0</v>
      </c>
      <c r="P19" s="1337">
        <f>IF(AND(J19&lt;&gt;"",J20=""),1,0)</f>
        <v>0</v>
      </c>
      <c r="Q19" s="1375"/>
      <c r="R19" s="1375"/>
    </row>
    <row r="20" spans="3:18" ht="37.5" customHeight="1">
      <c r="D20" s="282" t="s">
        <v>2100</v>
      </c>
      <c r="E20" s="3789"/>
      <c r="F20" s="3315"/>
      <c r="G20" s="3596"/>
      <c r="H20" s="3582"/>
      <c r="I20" s="3647"/>
      <c r="J20" s="1243"/>
      <c r="K20" s="3794"/>
      <c r="L20" s="3795"/>
    </row>
    <row r="21" spans="3:18">
      <c r="E21" s="3539" t="s">
        <v>458</v>
      </c>
      <c r="F21" s="3540"/>
      <c r="G21" s="3540"/>
      <c r="H21" s="3540"/>
      <c r="I21" s="3540"/>
      <c r="J21" s="3540"/>
      <c r="K21" s="3540"/>
      <c r="L21" s="3541"/>
    </row>
    <row r="22" spans="3:18" ht="17.25" customHeight="1">
      <c r="C22" s="1458" t="str">
        <f>IF(SUM(G23:G30)&gt;0,"P","")</f>
        <v/>
      </c>
      <c r="D22" s="282" t="s">
        <v>2100</v>
      </c>
      <c r="E22" s="3715" t="s">
        <v>1008</v>
      </c>
      <c r="F22" s="3716"/>
      <c r="G22" s="3716"/>
      <c r="H22" s="3716"/>
      <c r="I22" s="3717"/>
      <c r="J22" s="1211"/>
      <c r="K22" s="3456"/>
      <c r="L22" s="3790"/>
    </row>
    <row r="23" spans="3:18">
      <c r="C23" s="1458" t="str">
        <f t="shared" ref="C23:C30" si="2">IF(G23&gt;0,"P","")</f>
        <v/>
      </c>
      <c r="D23" s="282" t="s">
        <v>2100</v>
      </c>
      <c r="E23" s="3567" t="s">
        <v>1009</v>
      </c>
      <c r="F23" s="3565">
        <v>5</v>
      </c>
      <c r="G23" s="3562">
        <f>claim503.1_1</f>
        <v>0</v>
      </c>
      <c r="H23" s="3768"/>
      <c r="I23" s="3792"/>
      <c r="J23" s="1706" t="str">
        <f>IF(AND(H23="",I23&gt;0),"Explain verification at Final","")</f>
        <v/>
      </c>
      <c r="K23" s="3523">
        <f>note503.1_1</f>
        <v>0</v>
      </c>
      <c r="L23" s="3802"/>
      <c r="O23" s="28">
        <f>IF(AND(H23&gt;0,I23&gt;0),1,0)</f>
        <v>0</v>
      </c>
      <c r="P23" s="1337">
        <f>IF(AND(J23&lt;&gt;"",J24=""),1,0)</f>
        <v>0</v>
      </c>
      <c r="Q23" s="1375"/>
      <c r="R23" s="1375"/>
    </row>
    <row r="24" spans="3:18">
      <c r="C24" s="1458" t="str">
        <f t="shared" si="2"/>
        <v/>
      </c>
      <c r="D24" s="282" t="s">
        <v>2100</v>
      </c>
      <c r="E24" s="3791"/>
      <c r="F24" s="3796"/>
      <c r="G24" s="3796"/>
      <c r="H24" s="3769"/>
      <c r="I24" s="3793"/>
      <c r="J24" s="1244"/>
      <c r="K24" s="3803"/>
      <c r="L24" s="3804"/>
    </row>
    <row r="25" spans="3:18" ht="30">
      <c r="C25" s="1458" t="str">
        <f t="shared" si="2"/>
        <v/>
      </c>
      <c r="D25" s="282" t="s">
        <v>2100</v>
      </c>
      <c r="E25" s="1707" t="s">
        <v>1010</v>
      </c>
      <c r="F25" s="1700">
        <v>6</v>
      </c>
      <c r="G25" s="1701">
        <f>claim503.1_2</f>
        <v>0</v>
      </c>
      <c r="H25" s="1702"/>
      <c r="I25" s="1708"/>
      <c r="J25" s="1704"/>
      <c r="K25" s="3583">
        <f>note503.1_2</f>
        <v>0</v>
      </c>
      <c r="L25" s="3584"/>
      <c r="O25" s="28">
        <f t="shared" ref="O25:O35" si="3">IF(AND(H25&gt;0,I25&gt;0),1,0)</f>
        <v>0</v>
      </c>
    </row>
    <row r="26" spans="3:18" ht="30">
      <c r="C26" s="1458" t="str">
        <f t="shared" si="2"/>
        <v/>
      </c>
      <c r="D26" s="282" t="s">
        <v>2100</v>
      </c>
      <c r="E26" s="1707" t="s">
        <v>1011</v>
      </c>
      <c r="F26" s="1700">
        <v>4</v>
      </c>
      <c r="G26" s="1701">
        <f>claim503.1_3</f>
        <v>0</v>
      </c>
      <c r="H26" s="1702"/>
      <c r="I26" s="1708"/>
      <c r="J26" s="1704"/>
      <c r="K26" s="3583">
        <f>note503.1_3</f>
        <v>0</v>
      </c>
      <c r="L26" s="3584"/>
      <c r="O26" s="28">
        <f t="shared" si="3"/>
        <v>0</v>
      </c>
    </row>
    <row r="27" spans="3:18">
      <c r="C27" s="1458" t="str">
        <f t="shared" si="2"/>
        <v/>
      </c>
      <c r="D27" s="282" t="s">
        <v>2100</v>
      </c>
      <c r="E27" s="1707" t="s">
        <v>1012</v>
      </c>
      <c r="F27" s="1700">
        <v>4</v>
      </c>
      <c r="G27" s="1701">
        <f>claim503.1_4</f>
        <v>0</v>
      </c>
      <c r="H27" s="1702"/>
      <c r="I27" s="1708"/>
      <c r="J27" s="1704"/>
      <c r="K27" s="3583">
        <f>note503.1_4</f>
        <v>0</v>
      </c>
      <c r="L27" s="3584"/>
      <c r="O27" s="28">
        <f t="shared" si="3"/>
        <v>0</v>
      </c>
    </row>
    <row r="28" spans="3:18">
      <c r="C28" s="1458" t="str">
        <f t="shared" si="2"/>
        <v/>
      </c>
      <c r="D28" s="282" t="s">
        <v>2100</v>
      </c>
      <c r="E28" s="1707" t="s">
        <v>1013</v>
      </c>
      <c r="F28" s="1700">
        <v>3</v>
      </c>
      <c r="G28" s="1701">
        <f>claim503.1_5</f>
        <v>0</v>
      </c>
      <c r="H28" s="1702"/>
      <c r="I28" s="1708"/>
      <c r="J28" s="1704"/>
      <c r="K28" s="3583">
        <f>note503.1_5</f>
        <v>0</v>
      </c>
      <c r="L28" s="3584"/>
      <c r="O28" s="28">
        <f t="shared" si="3"/>
        <v>0</v>
      </c>
    </row>
    <row r="29" spans="3:18" ht="30">
      <c r="C29" s="1458" t="str">
        <f t="shared" si="2"/>
        <v/>
      </c>
      <c r="D29" s="282" t="s">
        <v>2100</v>
      </c>
      <c r="E29" s="1709" t="s">
        <v>1014</v>
      </c>
      <c r="F29" s="1666">
        <v>4</v>
      </c>
      <c r="G29" s="1659">
        <f>claim503.1_6</f>
        <v>0</v>
      </c>
      <c r="H29" s="1702"/>
      <c r="I29" s="1708"/>
      <c r="J29" s="1710"/>
      <c r="K29" s="3583">
        <f>note503.1_6</f>
        <v>0</v>
      </c>
      <c r="L29" s="3584"/>
      <c r="O29" s="28">
        <f t="shared" si="3"/>
        <v>0</v>
      </c>
    </row>
    <row r="30" spans="3:18" ht="31" thickBot="1">
      <c r="C30" s="1458" t="str">
        <f t="shared" si="2"/>
        <v/>
      </c>
      <c r="D30" s="282" t="s">
        <v>2100</v>
      </c>
      <c r="E30" s="1709" t="s">
        <v>1015</v>
      </c>
      <c r="F30" s="1666">
        <v>5</v>
      </c>
      <c r="G30" s="1659">
        <f>claim503.1_7</f>
        <v>0</v>
      </c>
      <c r="H30" s="1702"/>
      <c r="I30" s="1708"/>
      <c r="J30" s="1710"/>
      <c r="K30" s="3523">
        <f>note503.1_7</f>
        <v>0</v>
      </c>
      <c r="L30" s="3524"/>
      <c r="O30" s="28">
        <f t="shared" si="3"/>
        <v>0</v>
      </c>
    </row>
    <row r="31" spans="3:18" s="191" customFormat="1" ht="16" thickTop="1">
      <c r="C31" s="1459" t="str">
        <f>IF(SUM(G32:G39)&gt;0,"P","")</f>
        <v/>
      </c>
      <c r="D31" s="1457" t="s">
        <v>2099</v>
      </c>
      <c r="E31" s="3615" t="s">
        <v>1016</v>
      </c>
      <c r="F31" s="3616"/>
      <c r="G31" s="3616"/>
      <c r="H31" s="3616"/>
      <c r="I31" s="3617"/>
      <c r="J31" s="1210"/>
      <c r="K31" s="3448"/>
      <c r="L31" s="3758"/>
      <c r="O31" s="28">
        <f t="shared" si="3"/>
        <v>0</v>
      </c>
    </row>
    <row r="32" spans="3:18" ht="30">
      <c r="C32" s="1458" t="str">
        <f t="shared" ref="C32:C33" si="4">IF(G32&gt;0,"P","")</f>
        <v/>
      </c>
      <c r="D32" s="282" t="s">
        <v>2100</v>
      </c>
      <c r="E32" s="1699" t="s">
        <v>1017</v>
      </c>
      <c r="F32" s="1711">
        <v>5</v>
      </c>
      <c r="G32" s="1712">
        <f>claim503.2_1</f>
        <v>0</v>
      </c>
      <c r="H32" s="1702"/>
      <c r="I32" s="1708"/>
      <c r="J32" s="1713"/>
      <c r="K32" s="3797">
        <f>note503.2_1</f>
        <v>0</v>
      </c>
      <c r="L32" s="3798"/>
      <c r="O32" s="28">
        <f t="shared" si="3"/>
        <v>0</v>
      </c>
    </row>
    <row r="33" spans="3:15" ht="30">
      <c r="C33" s="1458" t="str">
        <f t="shared" si="4"/>
        <v/>
      </c>
      <c r="D33" s="282" t="s">
        <v>2100</v>
      </c>
      <c r="E33" s="1699" t="s">
        <v>2137</v>
      </c>
      <c r="F33" s="1700">
        <v>4</v>
      </c>
      <c r="G33" s="1701">
        <f>claim503.2_2</f>
        <v>0</v>
      </c>
      <c r="H33" s="1702"/>
      <c r="I33" s="1708"/>
      <c r="J33" s="1702"/>
      <c r="K33" s="3583">
        <f>note503.2_2</f>
        <v>0</v>
      </c>
      <c r="L33" s="3584"/>
      <c r="O33" s="28">
        <f t="shared" si="3"/>
        <v>0</v>
      </c>
    </row>
    <row r="34" spans="3:15" ht="15" customHeight="1">
      <c r="C34" s="1458" t="str">
        <f>IF(SUM(G35:G37)&gt;0,"P","")</f>
        <v/>
      </c>
      <c r="D34" s="282" t="s">
        <v>2100</v>
      </c>
      <c r="E34" s="3715" t="s">
        <v>1019</v>
      </c>
      <c r="F34" s="3716"/>
      <c r="G34" s="3716"/>
      <c r="H34" s="3716"/>
      <c r="I34" s="3717"/>
      <c r="J34" s="1714"/>
      <c r="K34" s="3687"/>
      <c r="L34" s="3688"/>
      <c r="O34" s="28">
        <f t="shared" si="3"/>
        <v>0</v>
      </c>
    </row>
    <row r="35" spans="3:15">
      <c r="C35" s="1458" t="str">
        <f t="shared" ref="C35:C78" si="5">IF(G35&gt;0,"P","")</f>
        <v/>
      </c>
      <c r="D35" s="282" t="s">
        <v>2100</v>
      </c>
      <c r="E35" s="1715" t="s">
        <v>1020</v>
      </c>
      <c r="F35" s="1700">
        <v>3</v>
      </c>
      <c r="G35" s="1701">
        <f>IF(claim503.2_3=3,3,0)</f>
        <v>0</v>
      </c>
      <c r="H35" s="3505"/>
      <c r="I35" s="3629"/>
      <c r="J35" s="3505"/>
      <c r="K35" s="3523">
        <f>note503.2_3</f>
        <v>0</v>
      </c>
      <c r="L35" s="3524"/>
      <c r="O35" s="28">
        <f t="shared" si="3"/>
        <v>0</v>
      </c>
    </row>
    <row r="36" spans="3:15">
      <c r="C36" s="1458" t="str">
        <f t="shared" si="5"/>
        <v/>
      </c>
      <c r="D36" s="282" t="s">
        <v>2100</v>
      </c>
      <c r="E36" s="1715" t="s">
        <v>1021</v>
      </c>
      <c r="F36" s="1700">
        <v>4</v>
      </c>
      <c r="G36" s="1701">
        <f>IF(claim503.2_3=4,4,0)</f>
        <v>0</v>
      </c>
      <c r="H36" s="3581"/>
      <c r="I36" s="3630"/>
      <c r="J36" s="3581"/>
      <c r="K36" s="3348"/>
      <c r="L36" s="3525"/>
    </row>
    <row r="37" spans="3:15">
      <c r="C37" s="1458" t="str">
        <f t="shared" si="5"/>
        <v/>
      </c>
      <c r="D37" s="282" t="s">
        <v>2100</v>
      </c>
      <c r="E37" s="1715" t="s">
        <v>1022</v>
      </c>
      <c r="F37" s="1700">
        <v>6</v>
      </c>
      <c r="G37" s="1701">
        <f>IF(claim503.2_3=6,6,0)</f>
        <v>0</v>
      </c>
      <c r="H37" s="3582"/>
      <c r="I37" s="3647"/>
      <c r="J37" s="3582"/>
      <c r="K37" s="3336"/>
      <c r="L37" s="3526"/>
    </row>
    <row r="38" spans="3:15" ht="30">
      <c r="C38" s="1458" t="str">
        <f t="shared" si="5"/>
        <v/>
      </c>
      <c r="D38" s="282" t="s">
        <v>2099</v>
      </c>
      <c r="E38" s="1699" t="s">
        <v>1023</v>
      </c>
      <c r="F38" s="1700">
        <v>5</v>
      </c>
      <c r="G38" s="1701">
        <f>claim503.2_4</f>
        <v>0</v>
      </c>
      <c r="H38" s="1702"/>
      <c r="I38" s="1716"/>
      <c r="J38" s="1702"/>
      <c r="K38" s="3583">
        <f>note503.2_4</f>
        <v>0</v>
      </c>
      <c r="L38" s="3584"/>
      <c r="O38" s="28">
        <f t="shared" ref="O38:O43" si="6">IF(AND(H38&gt;0,I38&gt;0),1,0)</f>
        <v>0</v>
      </c>
    </row>
    <row r="39" spans="3:15" ht="16" thickBot="1">
      <c r="C39" s="1458" t="str">
        <f t="shared" si="5"/>
        <v/>
      </c>
      <c r="D39" s="282" t="s">
        <v>2100</v>
      </c>
      <c r="E39" s="1705" t="s">
        <v>1024</v>
      </c>
      <c r="F39" s="1666">
        <v>5</v>
      </c>
      <c r="G39" s="1659">
        <f>claim503.2_5</f>
        <v>0</v>
      </c>
      <c r="H39" s="1702"/>
      <c r="I39" s="1708"/>
      <c r="J39" s="1671"/>
      <c r="K39" s="3523">
        <f>note503.2_5</f>
        <v>0</v>
      </c>
      <c r="L39" s="3524"/>
      <c r="O39" s="28">
        <f t="shared" si="6"/>
        <v>0</v>
      </c>
    </row>
    <row r="40" spans="3:15" ht="26.25" customHeight="1" thickTop="1">
      <c r="C40" s="1458" t="str">
        <f>IF(SUM(G41:G43)&gt;0,"P","")</f>
        <v/>
      </c>
      <c r="D40" s="282" t="s">
        <v>2100</v>
      </c>
      <c r="E40" s="3786" t="s">
        <v>1025</v>
      </c>
      <c r="F40" s="3787"/>
      <c r="G40" s="3787"/>
      <c r="H40" s="3787"/>
      <c r="I40" s="3788"/>
      <c r="J40" s="1212"/>
      <c r="K40" s="3458"/>
      <c r="L40" s="3752"/>
      <c r="O40" s="28">
        <f t="shared" si="6"/>
        <v>0</v>
      </c>
    </row>
    <row r="41" spans="3:15">
      <c r="C41" s="1458" t="str">
        <f t="shared" si="5"/>
        <v/>
      </c>
      <c r="D41" s="282" t="s">
        <v>2100</v>
      </c>
      <c r="E41" s="1699" t="s">
        <v>1026</v>
      </c>
      <c r="F41" s="1717">
        <v>5</v>
      </c>
      <c r="G41" s="1701">
        <f>claim503.3_1</f>
        <v>0</v>
      </c>
      <c r="H41" s="1702"/>
      <c r="I41" s="1708"/>
      <c r="J41" s="1702"/>
      <c r="K41" s="3583">
        <f>note503.3_1</f>
        <v>0</v>
      </c>
      <c r="L41" s="3584"/>
      <c r="O41" s="28">
        <f t="shared" si="6"/>
        <v>0</v>
      </c>
    </row>
    <row r="42" spans="3:15" ht="93.75" customHeight="1">
      <c r="C42" s="1458" t="str">
        <f t="shared" si="5"/>
        <v/>
      </c>
      <c r="D42" s="282" t="s">
        <v>2100</v>
      </c>
      <c r="E42" s="1699" t="s">
        <v>1027</v>
      </c>
      <c r="F42" s="1718">
        <v>5</v>
      </c>
      <c r="G42" s="1407">
        <f>claim503.3_2</f>
        <v>0</v>
      </c>
      <c r="H42" s="1702"/>
      <c r="I42" s="1708"/>
      <c r="J42" s="1716"/>
      <c r="K42" s="3583">
        <f>note503.3_2</f>
        <v>0</v>
      </c>
      <c r="L42" s="3584"/>
      <c r="O42" s="28">
        <f t="shared" si="6"/>
        <v>0</v>
      </c>
    </row>
    <row r="43" spans="3:15" ht="16" thickBot="1">
      <c r="C43" s="1458" t="str">
        <f t="shared" si="5"/>
        <v/>
      </c>
      <c r="D43" s="282" t="s">
        <v>2100</v>
      </c>
      <c r="E43" s="1705" t="s">
        <v>1028</v>
      </c>
      <c r="F43" s="1669">
        <v>5</v>
      </c>
      <c r="G43" s="1659">
        <f>claim503.3_3</f>
        <v>0</v>
      </c>
      <c r="H43" s="1702"/>
      <c r="I43" s="1708"/>
      <c r="J43" s="1671"/>
      <c r="K43" s="3523">
        <f>note503.3_3</f>
        <v>0</v>
      </c>
      <c r="L43" s="3524"/>
      <c r="O43" s="28">
        <f t="shared" si="6"/>
        <v>0</v>
      </c>
    </row>
    <row r="44" spans="3:15" ht="55.5" customHeight="1" thickTop="1">
      <c r="C44" s="1458" t="str">
        <f>IF(SUM(G45:G46,G48:G52)&gt;0,"P","")</f>
        <v/>
      </c>
      <c r="D44" s="282" t="s">
        <v>2100</v>
      </c>
      <c r="E44" s="3615" t="s">
        <v>1986</v>
      </c>
      <c r="F44" s="3616"/>
      <c r="G44" s="3616"/>
      <c r="H44" s="3616"/>
      <c r="I44" s="3617"/>
      <c r="J44" s="1213"/>
      <c r="K44" s="3448"/>
      <c r="L44" s="3758"/>
    </row>
    <row r="45" spans="3:15" ht="18" customHeight="1">
      <c r="C45" s="1458" t="str">
        <f t="shared" si="5"/>
        <v/>
      </c>
      <c r="D45" s="282" t="s">
        <v>2100</v>
      </c>
      <c r="E45" s="1719" t="s">
        <v>1030</v>
      </c>
      <c r="F45" s="1717">
        <v>6</v>
      </c>
      <c r="G45" s="1701">
        <f>claim503.4_1</f>
        <v>0</v>
      </c>
      <c r="H45" s="1702"/>
      <c r="I45" s="1708"/>
      <c r="J45" s="1702"/>
      <c r="K45" s="3583">
        <f>note503.4_1</f>
        <v>0</v>
      </c>
      <c r="L45" s="3584"/>
      <c r="O45" s="28">
        <f t="shared" ref="O45:O46" si="7">IF(AND(H45&gt;0,I45&gt;0),1,0)</f>
        <v>0</v>
      </c>
    </row>
    <row r="46" spans="3:15" ht="43.5" customHeight="1">
      <c r="C46" s="1458" t="str">
        <f t="shared" si="5"/>
        <v/>
      </c>
      <c r="D46" s="282" t="s">
        <v>2100</v>
      </c>
      <c r="E46" s="1719" t="s">
        <v>1031</v>
      </c>
      <c r="F46" s="1717">
        <v>7</v>
      </c>
      <c r="G46" s="1701">
        <f>claim503.4_2</f>
        <v>0</v>
      </c>
      <c r="H46" s="1702"/>
      <c r="I46" s="1708"/>
      <c r="J46" s="1702"/>
      <c r="K46" s="3583">
        <f>note503.4_2</f>
        <v>0</v>
      </c>
      <c r="L46" s="3584"/>
      <c r="O46" s="28">
        <f t="shared" si="7"/>
        <v>0</v>
      </c>
    </row>
    <row r="47" spans="3:15" ht="27.75" customHeight="1">
      <c r="C47" s="1458" t="str">
        <f>IF(SUM(G48:G50)&gt;0,"P","")</f>
        <v/>
      </c>
      <c r="D47" s="282" t="s">
        <v>2101</v>
      </c>
      <c r="E47" s="3715" t="s">
        <v>459</v>
      </c>
      <c r="F47" s="3716"/>
      <c r="G47" s="3716"/>
      <c r="H47" s="3716"/>
      <c r="I47" s="3717"/>
      <c r="J47" s="1720"/>
      <c r="K47" s="3687"/>
      <c r="L47" s="3688"/>
    </row>
    <row r="48" spans="3:15">
      <c r="C48" s="1458" t="str">
        <f t="shared" si="5"/>
        <v/>
      </c>
      <c r="D48" s="282" t="s">
        <v>2101</v>
      </c>
      <c r="E48" s="1715" t="s">
        <v>1032</v>
      </c>
      <c r="F48" s="1717">
        <v>2</v>
      </c>
      <c r="G48" s="1701">
        <f>IF(claim503.4_3=2,2,0)</f>
        <v>0</v>
      </c>
      <c r="H48" s="3629"/>
      <c r="I48" s="3505"/>
      <c r="J48" s="3505"/>
      <c r="K48" s="3523">
        <f>note503.4_3</f>
        <v>0</v>
      </c>
      <c r="L48" s="3524"/>
      <c r="O48" s="28">
        <f>IF(AND(H48&gt;0,I48&gt;0),1,0)</f>
        <v>0</v>
      </c>
    </row>
    <row r="49" spans="3:19">
      <c r="C49" s="1458" t="str">
        <f t="shared" si="5"/>
        <v/>
      </c>
      <c r="D49" s="282" t="s">
        <v>2101</v>
      </c>
      <c r="E49" s="1715" t="s">
        <v>1033</v>
      </c>
      <c r="F49" s="1717">
        <v>4</v>
      </c>
      <c r="G49" s="1701">
        <f>IF(claim503.4_3=4,4,0)</f>
        <v>0</v>
      </c>
      <c r="H49" s="3630"/>
      <c r="I49" s="3581"/>
      <c r="J49" s="3581"/>
      <c r="K49" s="3348"/>
      <c r="L49" s="3525"/>
    </row>
    <row r="50" spans="3:19">
      <c r="C50" s="1458" t="str">
        <f t="shared" si="5"/>
        <v/>
      </c>
      <c r="D50" s="282" t="s">
        <v>2101</v>
      </c>
      <c r="E50" s="1715" t="s">
        <v>1034</v>
      </c>
      <c r="F50" s="1717">
        <v>6</v>
      </c>
      <c r="G50" s="1701">
        <f>IF(claim503.4_3=6,6,0)</f>
        <v>0</v>
      </c>
      <c r="H50" s="3647"/>
      <c r="I50" s="3582"/>
      <c r="J50" s="3582"/>
      <c r="K50" s="3336"/>
      <c r="L50" s="3526"/>
    </row>
    <row r="51" spans="3:19" ht="45">
      <c r="C51" s="1458" t="str">
        <f t="shared" si="5"/>
        <v/>
      </c>
      <c r="D51" s="282" t="s">
        <v>2100</v>
      </c>
      <c r="E51" s="1709" t="s">
        <v>2135</v>
      </c>
      <c r="F51" s="1669">
        <v>5</v>
      </c>
      <c r="G51" s="1659">
        <f>claim503.4_4</f>
        <v>0</v>
      </c>
      <c r="H51" s="1702"/>
      <c r="I51" s="1708"/>
      <c r="J51" s="1671"/>
      <c r="K51" s="3583">
        <f>note503.4_4</f>
        <v>0</v>
      </c>
      <c r="L51" s="3584"/>
      <c r="O51" s="28">
        <f t="shared" ref="O51:O52" si="8">IF(AND(H51&gt;0,I51&gt;0),1,0)</f>
        <v>0</v>
      </c>
    </row>
    <row r="52" spans="3:19" ht="31" thickBot="1">
      <c r="C52" s="1458" t="str">
        <f t="shared" si="5"/>
        <v/>
      </c>
      <c r="D52" s="282" t="s">
        <v>2100</v>
      </c>
      <c r="E52" s="1709" t="s">
        <v>2136</v>
      </c>
      <c r="F52" s="1669">
        <v>6</v>
      </c>
      <c r="G52" s="1659">
        <f>claim503.4_5</f>
        <v>0</v>
      </c>
      <c r="H52" s="1702"/>
      <c r="I52" s="1708"/>
      <c r="J52" s="1671"/>
      <c r="K52" s="3583">
        <f>note503.4_5</f>
        <v>0</v>
      </c>
      <c r="L52" s="3584"/>
      <c r="O52" s="28">
        <f t="shared" si="8"/>
        <v>0</v>
      </c>
    </row>
    <row r="53" spans="3:19" ht="46" thickTop="1">
      <c r="C53" s="1458" t="str">
        <f>IF(F53&lt;&gt;"","P","")</f>
        <v>P</v>
      </c>
      <c r="D53" s="282" t="s">
        <v>2101</v>
      </c>
      <c r="E53" s="1721" t="s">
        <v>1037</v>
      </c>
      <c r="F53" s="3452" t="str">
        <f>IF(choice503.5_type="","No landscape plan type selected.",CONCATENATE(choice503.5_type," selected"))</f>
        <v>No landscape plan type selected.</v>
      </c>
      <c r="G53" s="3453"/>
      <c r="H53" s="3805"/>
      <c r="I53" s="3806"/>
      <c r="J53" s="1363"/>
      <c r="K53" s="3766"/>
      <c r="L53" s="3767"/>
      <c r="P53" s="28">
        <f>IF(AND(SUM(H54:I67)&gt;0,H53=""),1,0)</f>
        <v>0</v>
      </c>
      <c r="S53" s="28">
        <f>IF(AND(H53="",SUM(H54:I57,H59:I66)&gt;0),1,0)</f>
        <v>0</v>
      </c>
    </row>
    <row r="54" spans="3:19" ht="14.25" customHeight="1">
      <c r="C54" s="1458" t="str">
        <f t="shared" si="5"/>
        <v/>
      </c>
      <c r="D54" s="282" t="s">
        <v>2101</v>
      </c>
      <c r="E54" s="3567" t="s">
        <v>2150</v>
      </c>
      <c r="F54" s="3799" t="str">
        <f>IF(points503.5_1=0,"0",points503.5_1)</f>
        <v>0</v>
      </c>
      <c r="G54" s="3562">
        <f>claim503.5_1</f>
        <v>0</v>
      </c>
      <c r="H54" s="3792"/>
      <c r="I54" s="3768"/>
      <c r="J54" s="1333" t="str">
        <f>IF(H54&gt;0,"Explain verification at rough:","")</f>
        <v/>
      </c>
      <c r="K54" s="3523">
        <f>note503.5_1</f>
        <v>0</v>
      </c>
      <c r="L54" s="3524"/>
      <c r="O54" s="28">
        <f>IF(AND(H54&gt;0,I54&gt;0),1,0)</f>
        <v>0</v>
      </c>
      <c r="P54" s="1337">
        <f>IF(AND(J54&lt;&gt;"",J55=""),1,0)</f>
        <v>0</v>
      </c>
      <c r="Q54" s="1375"/>
      <c r="R54" s="1375"/>
    </row>
    <row r="55" spans="3:19" ht="42.75" customHeight="1">
      <c r="C55" s="1458" t="str">
        <f t="shared" si="5"/>
        <v/>
      </c>
      <c r="D55" s="282" t="s">
        <v>2101</v>
      </c>
      <c r="E55" s="3593"/>
      <c r="F55" s="3800"/>
      <c r="G55" s="3596"/>
      <c r="H55" s="3801"/>
      <c r="I55" s="3769"/>
      <c r="J55" s="1334"/>
      <c r="K55" s="3336"/>
      <c r="L55" s="3526"/>
      <c r="S55" s="28">
        <f>IF(AND($H$53&lt;&gt;"Full Landscape Plan",$I$54&lt;&gt;3,I54&gt;0),1,0)</f>
        <v>0</v>
      </c>
    </row>
    <row r="56" spans="3:19" ht="13.5" customHeight="1">
      <c r="C56" s="1458" t="str">
        <f t="shared" si="5"/>
        <v/>
      </c>
      <c r="D56" s="282" t="s">
        <v>2101</v>
      </c>
      <c r="E56" s="3567" t="s">
        <v>1039</v>
      </c>
      <c r="F56" s="3799" t="str">
        <f>IF(points503.5_2=0,"0",points503.5_2)</f>
        <v>0</v>
      </c>
      <c r="G56" s="3562">
        <f>claim503.5_2</f>
        <v>0</v>
      </c>
      <c r="H56" s="3792"/>
      <c r="I56" s="3768"/>
      <c r="J56" s="1670" t="str">
        <f>IF(H56&gt;0,"Explain verification at rough","")</f>
        <v/>
      </c>
      <c r="K56" s="3523">
        <f>note503.5_2</f>
        <v>0</v>
      </c>
      <c r="L56" s="3524"/>
      <c r="O56" s="28">
        <f>IF(AND(H56&gt;0,I56&gt;0),1,0)</f>
        <v>0</v>
      </c>
      <c r="P56" s="1337">
        <f>IF(AND(J56&lt;&gt;"",J57=""),1,0)</f>
        <v>0</v>
      </c>
      <c r="Q56" s="1375"/>
      <c r="R56" s="1375"/>
      <c r="S56" s="28">
        <f>IF(AND($H$53&lt;&gt;"Full Landscape Plan",$I$56&lt;&gt;2,I56&gt;0),1,0)</f>
        <v>0</v>
      </c>
    </row>
    <row r="57" spans="3:19" ht="26.25" customHeight="1">
      <c r="C57" s="1458" t="str">
        <f t="shared" si="5"/>
        <v/>
      </c>
      <c r="D57" s="282" t="s">
        <v>2101</v>
      </c>
      <c r="E57" s="3593"/>
      <c r="F57" s="3800"/>
      <c r="G57" s="3596"/>
      <c r="H57" s="3801"/>
      <c r="I57" s="3769"/>
      <c r="J57" s="1672"/>
      <c r="K57" s="3336"/>
      <c r="L57" s="3526"/>
    </row>
    <row r="58" spans="3:19" ht="26.25" customHeight="1">
      <c r="C58" s="1458" t="str">
        <f>IF(SUM(G59:G63)&gt;0,"P","")</f>
        <v/>
      </c>
      <c r="D58" s="282" t="s">
        <v>2101</v>
      </c>
      <c r="E58" s="3715" t="s">
        <v>1040</v>
      </c>
      <c r="F58" s="3716"/>
      <c r="G58" s="3716"/>
      <c r="H58" s="3716"/>
      <c r="I58" s="3717"/>
      <c r="J58" s="1722"/>
      <c r="K58" s="3687"/>
      <c r="L58" s="3688"/>
    </row>
    <row r="59" spans="3:19">
      <c r="C59" s="1458" t="str">
        <f t="shared" si="5"/>
        <v/>
      </c>
      <c r="D59" s="282" t="s">
        <v>2101</v>
      </c>
      <c r="E59" s="3940" t="s">
        <v>1041</v>
      </c>
      <c r="F59" s="3799" t="str">
        <f>IF(points503.5_3a=0,"0",points503.5_3a)</f>
        <v>0</v>
      </c>
      <c r="G59" s="3780">
        <f>IF(choice503.5_3="0% or WaterSense",claim503.5_3,0)</f>
        <v>0</v>
      </c>
      <c r="H59" s="3782"/>
      <c r="I59" s="3773"/>
      <c r="J59" s="1335" t="str">
        <f>IF(H59&gt;0,"Explain verification at rough","")</f>
        <v/>
      </c>
      <c r="K59" s="3523">
        <f>note503.5_3</f>
        <v>0</v>
      </c>
      <c r="L59" s="3524"/>
      <c r="O59" s="28">
        <f>IF(AND(H59&gt;0,I59&gt;0),1,0)</f>
        <v>0</v>
      </c>
      <c r="P59" s="1337">
        <f>IF(AND(J59&lt;&gt;"",J60=""),1,0)</f>
        <v>0</v>
      </c>
      <c r="Q59" s="1375"/>
      <c r="R59" s="1375"/>
      <c r="S59" s="28">
        <f>IF(AND($H$53&lt;&gt;"Full Landscape Plan",$I$59&lt;&gt;2,I59&gt;0),1,0)</f>
        <v>0</v>
      </c>
    </row>
    <row r="60" spans="3:19">
      <c r="C60" s="1458" t="str">
        <f t="shared" si="5"/>
        <v/>
      </c>
      <c r="D60" s="282" t="s">
        <v>2101</v>
      </c>
      <c r="E60" s="3941"/>
      <c r="F60" s="3800"/>
      <c r="G60" s="3781"/>
      <c r="H60" s="3783"/>
      <c r="I60" s="3774"/>
      <c r="J60" s="3778"/>
      <c r="K60" s="3348"/>
      <c r="L60" s="3525"/>
      <c r="M60" s="993"/>
    </row>
    <row r="61" spans="3:19">
      <c r="C61" s="1458" t="str">
        <f t="shared" si="5"/>
        <v/>
      </c>
      <c r="D61" s="282" t="s">
        <v>2101</v>
      </c>
      <c r="E61" s="1715" t="s">
        <v>1042</v>
      </c>
      <c r="F61" s="1723" t="str">
        <f>IF(points503.5_3b=0,"0",points503.5_3b)</f>
        <v>0</v>
      </c>
      <c r="G61" s="1724">
        <f>IF(choice503.5_3="&gt;0% - &lt;20%",claim503.5_3,0)</f>
        <v>0</v>
      </c>
      <c r="H61" s="3783"/>
      <c r="I61" s="3774"/>
      <c r="J61" s="3778"/>
      <c r="K61" s="3348"/>
      <c r="L61" s="3525"/>
    </row>
    <row r="62" spans="3:19">
      <c r="C62" s="1458" t="str">
        <f t="shared" si="5"/>
        <v/>
      </c>
      <c r="D62" s="282" t="s">
        <v>2101</v>
      </c>
      <c r="E62" s="1715" t="s">
        <v>1043</v>
      </c>
      <c r="F62" s="1723" t="str">
        <f>IF(points503.5_3c=0,"0",points503.5_3c)</f>
        <v>0</v>
      </c>
      <c r="G62" s="1724">
        <f>IF(choice503.5_3="20% - &lt;40%",claim503.5_3,0)</f>
        <v>0</v>
      </c>
      <c r="H62" s="3783"/>
      <c r="I62" s="3774"/>
      <c r="J62" s="3778"/>
      <c r="K62" s="3348"/>
      <c r="L62" s="3525"/>
    </row>
    <row r="63" spans="3:19">
      <c r="C63" s="1458" t="str">
        <f t="shared" si="5"/>
        <v/>
      </c>
      <c r="D63" s="282" t="s">
        <v>2101</v>
      </c>
      <c r="E63" s="1715" t="s">
        <v>1044</v>
      </c>
      <c r="F63" s="1723" t="str">
        <f>IF(points503.5_3d=0,"0",points503.5_3d)</f>
        <v>0</v>
      </c>
      <c r="G63" s="1724">
        <f>IF(choice503.5_3="40% - 60%",claim503.5_3,0)</f>
        <v>0</v>
      </c>
      <c r="H63" s="3784"/>
      <c r="I63" s="3775"/>
      <c r="J63" s="3779"/>
      <c r="K63" s="3336"/>
      <c r="L63" s="3526"/>
    </row>
    <row r="64" spans="3:19">
      <c r="C64" s="1458" t="str">
        <f t="shared" si="5"/>
        <v/>
      </c>
      <c r="D64" s="282" t="s">
        <v>2101</v>
      </c>
      <c r="E64" s="3567" t="s">
        <v>1045</v>
      </c>
      <c r="F64" s="3565" t="str">
        <f>IF(points503.5_4=0,"0",points503.5_4)</f>
        <v>0</v>
      </c>
      <c r="G64" s="3562">
        <f>claim503.5_4</f>
        <v>0</v>
      </c>
      <c r="H64" s="3792"/>
      <c r="I64" s="3768"/>
      <c r="J64" s="1336" t="str">
        <f>IF(H64&gt;0,"Explain verification at rough","")</f>
        <v/>
      </c>
      <c r="K64" s="3523">
        <f>note503.5_4</f>
        <v>0</v>
      </c>
      <c r="L64" s="3524"/>
      <c r="O64" s="28">
        <f>IF(AND(H64&gt;0,I64&gt;0),1,0)</f>
        <v>0</v>
      </c>
      <c r="P64" s="1337">
        <f>IF(AND(J64&lt;&gt;"",J65=""),1,0)</f>
        <v>0</v>
      </c>
      <c r="Q64" s="1375"/>
      <c r="R64" s="1375"/>
      <c r="S64" s="28">
        <f>IF(AND($H$53&lt;&gt;"Full Landscape Plan",I64&lt;&gt;2,I64&gt;0),1,0)</f>
        <v>0</v>
      </c>
    </row>
    <row r="65" spans="3:19">
      <c r="D65" s="282" t="s">
        <v>2101</v>
      </c>
      <c r="E65" s="3593"/>
      <c r="F65" s="3315"/>
      <c r="G65" s="3596"/>
      <c r="H65" s="3801"/>
      <c r="I65" s="3769"/>
      <c r="J65" s="1244"/>
      <c r="K65" s="3336"/>
      <c r="L65" s="3526"/>
    </row>
    <row r="66" spans="3:19">
      <c r="C66" s="1458" t="str">
        <f t="shared" si="5"/>
        <v/>
      </c>
      <c r="D66" s="282" t="s">
        <v>2101</v>
      </c>
      <c r="E66" s="3567" t="s">
        <v>1046</v>
      </c>
      <c r="F66" s="3565" t="str">
        <f>IF(points503.5_5=0,"0",points503.5_5)</f>
        <v>0</v>
      </c>
      <c r="G66" s="3562">
        <f>claim503.5_5</f>
        <v>0</v>
      </c>
      <c r="H66" s="3792"/>
      <c r="I66" s="3768"/>
      <c r="J66" s="1336" t="str">
        <f>IF(H66&gt;0,"Explain verification at rough","")</f>
        <v/>
      </c>
      <c r="K66" s="3523">
        <f>note503.5_5</f>
        <v>0</v>
      </c>
      <c r="L66" s="3524"/>
      <c r="O66" s="28">
        <f>IF(AND(H66&gt;0,I66&gt;0),1,0)</f>
        <v>0</v>
      </c>
      <c r="P66" s="1337">
        <f>IF(AND(J66&lt;&gt;"",J67=""),1,0)</f>
        <v>0</v>
      </c>
      <c r="Q66" s="1375"/>
      <c r="R66" s="1375"/>
      <c r="S66" s="28">
        <f>IF(AND($H$53&lt;&gt;"Full Landscape Plan",I66&lt;&gt;2,I66&gt;0),1,0)</f>
        <v>0</v>
      </c>
    </row>
    <row r="67" spans="3:19" ht="54" customHeight="1">
      <c r="D67" s="282" t="s">
        <v>2101</v>
      </c>
      <c r="E67" s="3593"/>
      <c r="F67" s="3315"/>
      <c r="G67" s="3596"/>
      <c r="H67" s="3801"/>
      <c r="I67" s="3769"/>
      <c r="J67" s="1244"/>
      <c r="K67" s="3336"/>
      <c r="L67" s="3526"/>
    </row>
    <row r="68" spans="3:19" ht="30">
      <c r="C68" s="1458" t="str">
        <f t="shared" si="5"/>
        <v/>
      </c>
      <c r="D68" s="282" t="s">
        <v>2099</v>
      </c>
      <c r="E68" s="1707" t="s">
        <v>1047</v>
      </c>
      <c r="F68" s="1700" t="str">
        <f>IF(points503.5_6=0,"0",points503.5_6)</f>
        <v>0</v>
      </c>
      <c r="G68" s="1701">
        <f>claim503.5_6</f>
        <v>0</v>
      </c>
      <c r="H68" s="1702"/>
      <c r="I68" s="1708"/>
      <c r="J68" s="1702"/>
      <c r="K68" s="3583">
        <f>note503.5_6</f>
        <v>0</v>
      </c>
      <c r="L68" s="3584"/>
      <c r="O68" s="28">
        <f t="shared" ref="O68:O70" si="9">IF(AND(H68&gt;0,I68&gt;0),1,0)</f>
        <v>0</v>
      </c>
    </row>
    <row r="69" spans="3:19" ht="30">
      <c r="C69" s="1458" t="str">
        <f t="shared" si="5"/>
        <v/>
      </c>
      <c r="D69" s="282" t="s">
        <v>2099</v>
      </c>
      <c r="E69" s="1707" t="s">
        <v>1048</v>
      </c>
      <c r="F69" s="1717">
        <v>3</v>
      </c>
      <c r="G69" s="1701">
        <f>claim503.5_7</f>
        <v>0</v>
      </c>
      <c r="H69" s="1702"/>
      <c r="I69" s="1708"/>
      <c r="J69" s="1702"/>
      <c r="K69" s="3583">
        <f>note503.5_7</f>
        <v>0</v>
      </c>
      <c r="L69" s="3584"/>
      <c r="O69" s="28">
        <f t="shared" si="9"/>
        <v>0</v>
      </c>
    </row>
    <row r="70" spans="3:19" ht="31" thickBot="1">
      <c r="C70" s="1458" t="str">
        <f t="shared" si="5"/>
        <v/>
      </c>
      <c r="D70" s="282" t="s">
        <v>2099</v>
      </c>
      <c r="E70" s="1725" t="s">
        <v>1969</v>
      </c>
      <c r="F70" s="227">
        <v>4</v>
      </c>
      <c r="G70" s="221">
        <f>claim503.5_8</f>
        <v>0</v>
      </c>
      <c r="H70" s="1702"/>
      <c r="I70" s="1708"/>
      <c r="J70" s="1671"/>
      <c r="K70" s="3523">
        <f>note503.5_8</f>
        <v>0</v>
      </c>
      <c r="L70" s="3524"/>
      <c r="O70" s="28">
        <f t="shared" si="9"/>
        <v>0</v>
      </c>
    </row>
    <row r="71" spans="3:19" ht="21" customHeight="1" thickTop="1">
      <c r="C71" s="1458" t="str">
        <f>IF(SUM(G72:G79)&gt;0,"P","")</f>
        <v/>
      </c>
      <c r="D71" s="282" t="s">
        <v>2101</v>
      </c>
      <c r="E71" s="3615" t="s">
        <v>1676</v>
      </c>
      <c r="F71" s="3616"/>
      <c r="G71" s="3616"/>
      <c r="H71" s="3616"/>
      <c r="I71" s="3617"/>
      <c r="J71" s="1214"/>
      <c r="K71" s="3324"/>
      <c r="L71" s="3576"/>
    </row>
    <row r="72" spans="3:19">
      <c r="C72" s="1458" t="str">
        <f t="shared" si="5"/>
        <v/>
      </c>
      <c r="D72" s="282" t="s">
        <v>2101</v>
      </c>
      <c r="E72" s="3567" t="s">
        <v>1050</v>
      </c>
      <c r="F72" s="3648">
        <v>3</v>
      </c>
      <c r="G72" s="3562">
        <f>claim503.6_1</f>
        <v>0</v>
      </c>
      <c r="H72" s="3629"/>
      <c r="I72" s="3546"/>
      <c r="J72" s="1336" t="str">
        <f>IF(H72&gt;0,"Explain verification at rough","")</f>
        <v/>
      </c>
      <c r="K72" s="3523">
        <f>note503.6_1</f>
        <v>0</v>
      </c>
      <c r="L72" s="3524"/>
      <c r="O72" s="28">
        <f>IF(AND(H72&gt;0,I72&gt;0),1,0)</f>
        <v>0</v>
      </c>
      <c r="P72" s="1337">
        <f>IF(AND(J72&lt;&gt;"",J73=""),1,0)</f>
        <v>0</v>
      </c>
      <c r="Q72" s="1375"/>
      <c r="R72" s="1375"/>
    </row>
    <row r="73" spans="3:19">
      <c r="D73" s="282" t="s">
        <v>2101</v>
      </c>
      <c r="E73" s="3593"/>
      <c r="F73" s="3649"/>
      <c r="G73" s="3596"/>
      <c r="H73" s="3647"/>
      <c r="I73" s="3564"/>
      <c r="J73" s="1244"/>
      <c r="K73" s="3336"/>
      <c r="L73" s="3526"/>
    </row>
    <row r="74" spans="3:19">
      <c r="C74" s="1458" t="str">
        <f t="shared" si="5"/>
        <v/>
      </c>
      <c r="D74" s="282" t="s">
        <v>2101</v>
      </c>
      <c r="E74" s="3567" t="s">
        <v>1051</v>
      </c>
      <c r="F74" s="3648">
        <v>3</v>
      </c>
      <c r="G74" s="3562">
        <f>claim503.6_2</f>
        <v>0</v>
      </c>
      <c r="H74" s="3629"/>
      <c r="I74" s="3546"/>
      <c r="J74" s="1336" t="str">
        <f>IF(H74&gt;0,"Explain verification at rough","")</f>
        <v/>
      </c>
      <c r="K74" s="3523">
        <f>note503.6_2</f>
        <v>0</v>
      </c>
      <c r="L74" s="3524"/>
      <c r="O74" s="28">
        <f>IF(AND(H74&gt;0,I74&gt;0),1,0)</f>
        <v>0</v>
      </c>
    </row>
    <row r="75" spans="3:19">
      <c r="D75" s="282" t="s">
        <v>2101</v>
      </c>
      <c r="E75" s="3593"/>
      <c r="F75" s="3649"/>
      <c r="G75" s="3596"/>
      <c r="H75" s="3647"/>
      <c r="I75" s="3564"/>
      <c r="J75" s="1672"/>
      <c r="K75" s="3336"/>
      <c r="L75" s="3526"/>
    </row>
    <row r="76" spans="3:19">
      <c r="C76" s="1458" t="str">
        <f t="shared" si="5"/>
        <v/>
      </c>
      <c r="D76" s="282" t="s">
        <v>2101</v>
      </c>
      <c r="E76" s="3776" t="s">
        <v>1052</v>
      </c>
      <c r="F76" s="3648">
        <v>3</v>
      </c>
      <c r="G76" s="3562">
        <f>claim503.6_3</f>
        <v>0</v>
      </c>
      <c r="H76" s="3629"/>
      <c r="I76" s="3546"/>
      <c r="J76" s="1336" t="str">
        <f>IF(H76&gt;0,"Explain verification at rough","")</f>
        <v/>
      </c>
      <c r="K76" s="3523">
        <f>note503.6_3</f>
        <v>0</v>
      </c>
      <c r="L76" s="3524"/>
      <c r="O76" s="28">
        <f>IF(AND(H76&gt;0,I76&gt;0),1,0)</f>
        <v>0</v>
      </c>
      <c r="P76" s="1337">
        <f>IF(AND(J76&lt;&gt;"",J77=""),1,0)</f>
        <v>0</v>
      </c>
      <c r="Q76" s="1375"/>
      <c r="R76" s="1375"/>
    </row>
    <row r="77" spans="3:19" ht="20.25" customHeight="1">
      <c r="D77" s="282" t="s">
        <v>2101</v>
      </c>
      <c r="E77" s="3785"/>
      <c r="F77" s="3649"/>
      <c r="G77" s="3596"/>
      <c r="H77" s="3647"/>
      <c r="I77" s="3564"/>
      <c r="J77" s="1672"/>
      <c r="K77" s="3336"/>
      <c r="L77" s="3526"/>
    </row>
    <row r="78" spans="3:19" ht="19.5" customHeight="1">
      <c r="C78" s="1458" t="str">
        <f t="shared" si="5"/>
        <v/>
      </c>
      <c r="D78" s="282" t="s">
        <v>2101</v>
      </c>
      <c r="E78" s="3776" t="s">
        <v>1053</v>
      </c>
      <c r="F78" s="3648">
        <v>3</v>
      </c>
      <c r="G78" s="3562">
        <f>claim503.6_4</f>
        <v>0</v>
      </c>
      <c r="H78" s="3629"/>
      <c r="I78" s="3546"/>
      <c r="J78" s="1336" t="str">
        <f>IF(H78&gt;0,"Explain verification at rough","")</f>
        <v/>
      </c>
      <c r="K78" s="3523">
        <f>note503.6_4</f>
        <v>0</v>
      </c>
      <c r="L78" s="3524"/>
      <c r="O78" s="28">
        <f>IF(AND(H78&gt;0,I78&gt;0),1,0)</f>
        <v>0</v>
      </c>
      <c r="P78" s="1337">
        <f>IF(AND(J78&lt;&gt;"",J79=""),1,0)</f>
        <v>0</v>
      </c>
      <c r="Q78" s="1375"/>
      <c r="R78" s="1375"/>
    </row>
    <row r="79" spans="3:19" ht="16" thickBot="1">
      <c r="D79" s="282" t="s">
        <v>2101</v>
      </c>
      <c r="E79" s="3777"/>
      <c r="F79" s="3772"/>
      <c r="G79" s="3563"/>
      <c r="H79" s="3647"/>
      <c r="I79" s="3564"/>
      <c r="J79" s="1726"/>
      <c r="K79" s="3531"/>
      <c r="L79" s="3532"/>
    </row>
    <row r="80" spans="3:19" ht="16" thickTop="1">
      <c r="D80" s="282" t="s">
        <v>2099</v>
      </c>
      <c r="E80" s="3847" t="s">
        <v>1054</v>
      </c>
      <c r="F80" s="3848"/>
      <c r="G80" s="3848"/>
      <c r="H80" s="3848"/>
      <c r="I80" s="3849"/>
      <c r="J80" s="1211"/>
      <c r="K80" s="3924"/>
      <c r="L80" s="3925"/>
    </row>
    <row r="81" spans="3:18">
      <c r="C81" s="1458" t="str">
        <f t="shared" ref="C81:C82" si="10">IF(G81&gt;0,"P","")</f>
        <v/>
      </c>
      <c r="D81" s="282" t="s">
        <v>2100</v>
      </c>
      <c r="E81" s="1707" t="s">
        <v>1055</v>
      </c>
      <c r="F81" s="1717">
        <v>4</v>
      </c>
      <c r="G81" s="1701">
        <f>claim503.7_1</f>
        <v>0</v>
      </c>
      <c r="H81" s="1702"/>
      <c r="I81" s="1708"/>
      <c r="J81" s="1702"/>
      <c r="K81" s="3583">
        <f>note503.7_1</f>
        <v>0</v>
      </c>
      <c r="L81" s="3584"/>
      <c r="O81" s="28">
        <f t="shared" ref="O81:O82" si="11">IF(AND(H81&gt;0,I81&gt;0),1,0)</f>
        <v>0</v>
      </c>
    </row>
    <row r="82" spans="3:18">
      <c r="C82" s="1458" t="str">
        <f t="shared" si="10"/>
        <v/>
      </c>
      <c r="D82" s="282" t="s">
        <v>2099</v>
      </c>
      <c r="E82" s="1709" t="s">
        <v>2098</v>
      </c>
      <c r="F82" s="1669">
        <v>4</v>
      </c>
      <c r="G82" s="1659">
        <f>claim503.7_2</f>
        <v>0</v>
      </c>
      <c r="H82" s="1702"/>
      <c r="I82" s="1708"/>
      <c r="J82" s="1671"/>
      <c r="K82" s="3523">
        <f>note503.7_2</f>
        <v>0</v>
      </c>
      <c r="L82" s="3524"/>
      <c r="O82" s="28">
        <f t="shared" si="11"/>
        <v>0</v>
      </c>
    </row>
    <row r="83" spans="3:18">
      <c r="E83" s="3539" t="s">
        <v>460</v>
      </c>
      <c r="F83" s="3540"/>
      <c r="G83" s="3540"/>
      <c r="H83" s="3540"/>
      <c r="I83" s="3540"/>
      <c r="J83" s="3540"/>
      <c r="K83" s="3540"/>
      <c r="L83" s="3541"/>
    </row>
    <row r="84" spans="3:18" ht="16">
      <c r="C84" s="1458" t="str">
        <f t="shared" ref="C84" si="12">IF(G84&gt;0,"P","")</f>
        <v/>
      </c>
      <c r="D84" s="282" t="s">
        <v>2100</v>
      </c>
      <c r="E84" s="3770" t="s">
        <v>1057</v>
      </c>
      <c r="F84" s="3648">
        <v>4</v>
      </c>
      <c r="G84" s="3562">
        <f>claim504.1</f>
        <v>0</v>
      </c>
      <c r="H84" s="3505"/>
      <c r="I84" s="3645"/>
      <c r="J84" s="1364" t="str">
        <f>IF(I84&gt;0,"Explain verification at final","")</f>
        <v/>
      </c>
      <c r="K84" s="3613">
        <f>note504.1</f>
        <v>0</v>
      </c>
      <c r="L84" s="3524"/>
      <c r="O84" s="28">
        <f>IF(AND(H84&gt;0,I84&gt;0),1,0)</f>
        <v>0</v>
      </c>
      <c r="P84" s="1337">
        <f>IF(AND(J84&lt;&gt;"",J85=""),1,0)</f>
        <v>0</v>
      </c>
      <c r="Q84" s="1375"/>
      <c r="R84" s="1375"/>
    </row>
    <row r="85" spans="3:18" ht="37.5" customHeight="1" thickBot="1">
      <c r="D85" s="282" t="s">
        <v>2100</v>
      </c>
      <c r="E85" s="3771"/>
      <c r="F85" s="3772"/>
      <c r="G85" s="3563"/>
      <c r="H85" s="3506"/>
      <c r="I85" s="3923"/>
      <c r="J85" s="1338"/>
      <c r="K85" s="3061"/>
      <c r="L85" s="3532"/>
    </row>
    <row r="86" spans="3:18" ht="13.5" customHeight="1" thickTop="1">
      <c r="C86" s="1458" t="str">
        <f>IF(SUM(G87:G91)&gt;0,"P","")</f>
        <v/>
      </c>
      <c r="D86" s="282" t="s">
        <v>2100</v>
      </c>
      <c r="E86" s="3615" t="s">
        <v>1058</v>
      </c>
      <c r="F86" s="3616"/>
      <c r="G86" s="3616"/>
      <c r="H86" s="3616"/>
      <c r="I86" s="3617"/>
      <c r="J86" s="1215"/>
      <c r="K86" s="3448"/>
      <c r="L86" s="3758"/>
    </row>
    <row r="87" spans="3:18">
      <c r="C87" s="1458" t="str">
        <f t="shared" ref="C87:C106" si="13">IF(G87&gt;0,"P","")</f>
        <v/>
      </c>
      <c r="D87" s="282" t="s">
        <v>2100</v>
      </c>
      <c r="E87" s="3567" t="s">
        <v>1059</v>
      </c>
      <c r="F87" s="3648">
        <v>3</v>
      </c>
      <c r="G87" s="3562">
        <f>claim504.2_1</f>
        <v>0</v>
      </c>
      <c r="H87" s="3505"/>
      <c r="I87" s="3645"/>
      <c r="J87" s="1365" t="str">
        <f>IF(I87&gt;0,"Explain verification at final","")</f>
        <v/>
      </c>
      <c r="K87" s="3523">
        <f>note504.2_1</f>
        <v>0</v>
      </c>
      <c r="L87" s="3524"/>
      <c r="O87" s="28">
        <f>IF(AND(H87&gt;0,I87&gt;0),1,0)</f>
        <v>0</v>
      </c>
      <c r="P87" s="1337">
        <f>IF(AND(J87&lt;&gt;"",J88=""),1,0)</f>
        <v>0</v>
      </c>
      <c r="Q87" s="1375"/>
      <c r="R87" s="1375"/>
    </row>
    <row r="88" spans="3:18">
      <c r="D88" s="282" t="s">
        <v>2100</v>
      </c>
      <c r="E88" s="3593"/>
      <c r="F88" s="3649"/>
      <c r="G88" s="3596"/>
      <c r="H88" s="3581"/>
      <c r="I88" s="3646"/>
      <c r="J88" s="1244"/>
      <c r="K88" s="3336"/>
      <c r="L88" s="3526"/>
    </row>
    <row r="89" spans="3:18" ht="15" customHeight="1">
      <c r="D89" s="282" t="s">
        <v>2100</v>
      </c>
      <c r="E89" s="3567" t="s">
        <v>1060</v>
      </c>
      <c r="F89" s="3648">
        <v>5</v>
      </c>
      <c r="G89" s="3562">
        <f>claim504.2_2</f>
        <v>0</v>
      </c>
      <c r="H89" s="3505"/>
      <c r="I89" s="3629"/>
      <c r="J89" s="1365" t="str">
        <f>IF(I89&gt;0,"Explain verification at final","")</f>
        <v/>
      </c>
      <c r="K89" s="3523">
        <f>note504.2_2</f>
        <v>0</v>
      </c>
      <c r="L89" s="3524"/>
      <c r="O89" s="28">
        <f>IF(AND(H89&gt;0,I89&gt;0),1,0)</f>
        <v>0</v>
      </c>
      <c r="P89" s="1337">
        <f>IF(AND(J89&lt;&gt;"",J90=""),1,0)</f>
        <v>0</v>
      </c>
      <c r="Q89" s="1375"/>
      <c r="R89" s="1375"/>
    </row>
    <row r="90" spans="3:18" ht="26.25" customHeight="1">
      <c r="D90" s="282" t="s">
        <v>2100</v>
      </c>
      <c r="E90" s="3593"/>
      <c r="F90" s="3649"/>
      <c r="G90" s="3596"/>
      <c r="H90" s="3582"/>
      <c r="I90" s="3647"/>
      <c r="J90" s="1244"/>
      <c r="K90" s="3336"/>
      <c r="L90" s="3526"/>
    </row>
    <row r="91" spans="3:18" ht="31.5" customHeight="1" thickBot="1">
      <c r="C91" s="1458" t="str">
        <f t="shared" si="13"/>
        <v/>
      </c>
      <c r="D91" s="282" t="s">
        <v>2100</v>
      </c>
      <c r="E91" s="1709" t="s">
        <v>1061</v>
      </c>
      <c r="F91" s="1727">
        <v>4</v>
      </c>
      <c r="G91" s="1659">
        <f>claim504.2_3</f>
        <v>0</v>
      </c>
      <c r="H91" s="1672"/>
      <c r="I91" s="1262"/>
      <c r="J91" s="1671"/>
      <c r="K91" s="3523">
        <f>note504.2_3</f>
        <v>0</v>
      </c>
      <c r="L91" s="3524"/>
      <c r="O91" s="28">
        <f>IF(AND(H91&gt;0,I91&gt;0),1,0)</f>
        <v>0</v>
      </c>
    </row>
    <row r="92" spans="3:18" ht="41.25" customHeight="1" thickTop="1">
      <c r="C92" s="1458" t="str">
        <f>IF(SUM(G93:G106)&gt;0,"P","")</f>
        <v/>
      </c>
      <c r="D92" s="282" t="s">
        <v>2100</v>
      </c>
      <c r="E92" s="3615" t="s">
        <v>2009</v>
      </c>
      <c r="F92" s="3616"/>
      <c r="G92" s="3616"/>
      <c r="H92" s="3616"/>
      <c r="I92" s="3617"/>
      <c r="J92" s="1210"/>
      <c r="K92" s="3448"/>
      <c r="L92" s="3758"/>
    </row>
    <row r="93" spans="3:18" ht="30">
      <c r="C93" s="1458" t="str">
        <f t="shared" si="13"/>
        <v/>
      </c>
      <c r="D93" s="282" t="s">
        <v>2100</v>
      </c>
      <c r="E93" s="1707" t="s">
        <v>1063</v>
      </c>
      <c r="F93" s="1717">
        <v>5</v>
      </c>
      <c r="G93" s="1701">
        <f>claim504.3_1</f>
        <v>0</v>
      </c>
      <c r="H93" s="1702"/>
      <c r="I93" s="1708"/>
      <c r="J93" s="1702"/>
      <c r="K93" s="3583">
        <f>note504.3_1</f>
        <v>0</v>
      </c>
      <c r="L93" s="3584"/>
      <c r="O93" s="28">
        <f t="shared" ref="O93:O94" si="14">IF(AND(H93&gt;0,I93&gt;0),1,0)</f>
        <v>0</v>
      </c>
    </row>
    <row r="94" spans="3:18">
      <c r="C94" s="1458" t="str">
        <f t="shared" si="13"/>
        <v/>
      </c>
      <c r="D94" s="282" t="s">
        <v>2100</v>
      </c>
      <c r="E94" s="3567" t="s">
        <v>1064</v>
      </c>
      <c r="F94" s="3648">
        <v>5</v>
      </c>
      <c r="G94" s="3562">
        <f>claim504.3_2</f>
        <v>0</v>
      </c>
      <c r="H94" s="3505"/>
      <c r="I94" s="3645"/>
      <c r="J94" s="1365" t="str">
        <f>IF(I94&gt;0,"Explain verification at final","")</f>
        <v/>
      </c>
      <c r="K94" s="3523">
        <f>note504.3_2</f>
        <v>0</v>
      </c>
      <c r="L94" s="3524"/>
      <c r="O94" s="28">
        <f t="shared" si="14"/>
        <v>0</v>
      </c>
      <c r="P94" s="1337">
        <f>IF(AND(J94&lt;&gt;"",J95=""),1,0)</f>
        <v>0</v>
      </c>
      <c r="Q94" s="1375"/>
      <c r="R94" s="1375"/>
    </row>
    <row r="95" spans="3:18">
      <c r="D95" s="282" t="s">
        <v>2100</v>
      </c>
      <c r="E95" s="3593"/>
      <c r="F95" s="3649"/>
      <c r="G95" s="3596"/>
      <c r="H95" s="3581"/>
      <c r="I95" s="3646"/>
      <c r="J95" s="1244"/>
      <c r="K95" s="3336"/>
      <c r="L95" s="3526"/>
    </row>
    <row r="96" spans="3:18">
      <c r="C96" s="1458" t="str">
        <f t="shared" si="13"/>
        <v/>
      </c>
      <c r="D96" s="282" t="s">
        <v>2100</v>
      </c>
      <c r="E96" s="3567" t="s">
        <v>1065</v>
      </c>
      <c r="F96" s="3648">
        <v>5</v>
      </c>
      <c r="G96" s="3562">
        <f>claim504.3_3</f>
        <v>0</v>
      </c>
      <c r="H96" s="3505"/>
      <c r="I96" s="3629"/>
      <c r="J96" s="1365" t="str">
        <f>IF(I96&gt;0,"Explain verification at final","")</f>
        <v/>
      </c>
      <c r="K96" s="3523">
        <f>note504.3_3</f>
        <v>0</v>
      </c>
      <c r="L96" s="3524"/>
      <c r="O96" s="28">
        <f>IF(AND(H96&gt;0,I96&gt;0),1,0)</f>
        <v>0</v>
      </c>
      <c r="P96" s="1337">
        <f>IF(AND(J96&lt;&gt;"",J97=""),1,0)</f>
        <v>0</v>
      </c>
      <c r="Q96" s="1375"/>
      <c r="R96" s="1375"/>
    </row>
    <row r="97" spans="3:18">
      <c r="D97" s="282" t="s">
        <v>2100</v>
      </c>
      <c r="E97" s="3593"/>
      <c r="F97" s="3649"/>
      <c r="G97" s="3596"/>
      <c r="H97" s="3581"/>
      <c r="I97" s="3630"/>
      <c r="J97" s="1244"/>
      <c r="K97" s="3336"/>
      <c r="L97" s="3526"/>
    </row>
    <row r="98" spans="3:18">
      <c r="C98" s="1458" t="str">
        <f t="shared" si="13"/>
        <v/>
      </c>
      <c r="D98" s="282" t="s">
        <v>2100</v>
      </c>
      <c r="E98" s="3567" t="s">
        <v>2102</v>
      </c>
      <c r="F98" s="3648">
        <v>5</v>
      </c>
      <c r="G98" s="3562">
        <f>claim504.3_4</f>
        <v>0</v>
      </c>
      <c r="H98" s="3505"/>
      <c r="I98" s="3629"/>
      <c r="J98" s="1365" t="str">
        <f>IF(I98&gt;0,"Explain verification at final","")</f>
        <v/>
      </c>
      <c r="K98" s="3523">
        <f>note504.3_4</f>
        <v>0</v>
      </c>
      <c r="L98" s="3524"/>
      <c r="O98" s="28">
        <f>IF(AND(H98&gt;0,I98&gt;0),1,0)</f>
        <v>0</v>
      </c>
      <c r="P98" s="1337">
        <f>IF(AND(J98&lt;&gt;"",J99=""),1,0)</f>
        <v>0</v>
      </c>
      <c r="Q98" s="1375"/>
      <c r="R98" s="1375"/>
    </row>
    <row r="99" spans="3:18">
      <c r="D99" s="282" t="s">
        <v>2100</v>
      </c>
      <c r="E99" s="3593"/>
      <c r="F99" s="3649"/>
      <c r="G99" s="3596"/>
      <c r="H99" s="3581"/>
      <c r="I99" s="3630"/>
      <c r="J99" s="1244"/>
      <c r="K99" s="3336"/>
      <c r="L99" s="3526"/>
    </row>
    <row r="100" spans="3:18">
      <c r="C100" s="1458" t="str">
        <f t="shared" si="13"/>
        <v/>
      </c>
      <c r="D100" s="282" t="s">
        <v>2100</v>
      </c>
      <c r="E100" s="3567" t="s">
        <v>1067</v>
      </c>
      <c r="F100" s="3648">
        <v>4</v>
      </c>
      <c r="G100" s="3562">
        <f>claim504.3_5</f>
        <v>0</v>
      </c>
      <c r="H100" s="3505"/>
      <c r="I100" s="3629"/>
      <c r="J100" s="1365" t="str">
        <f>IF(I100&gt;0,"Explain verification at final","")</f>
        <v/>
      </c>
      <c r="K100" s="3523">
        <f>note504.3_5</f>
        <v>0</v>
      </c>
      <c r="L100" s="3524"/>
      <c r="O100" s="28">
        <f>IF(AND(H100&gt;0,I100&gt;0),1,0)</f>
        <v>0</v>
      </c>
      <c r="P100" s="1337">
        <f>IF(AND(J100&lt;&gt;"",J101=""),1,0)</f>
        <v>0</v>
      </c>
      <c r="Q100" s="1375"/>
      <c r="R100" s="1375"/>
    </row>
    <row r="101" spans="3:18" ht="40.5" customHeight="1">
      <c r="D101" s="282" t="s">
        <v>2100</v>
      </c>
      <c r="E101" s="3593"/>
      <c r="F101" s="3649"/>
      <c r="G101" s="3596"/>
      <c r="H101" s="3582"/>
      <c r="I101" s="3647"/>
      <c r="J101" s="1244"/>
      <c r="K101" s="3336"/>
      <c r="L101" s="3526"/>
    </row>
    <row r="102" spans="3:18" ht="15" customHeight="1">
      <c r="C102" s="1458" t="str">
        <f t="shared" si="13"/>
        <v/>
      </c>
      <c r="D102" s="282" t="s">
        <v>2100</v>
      </c>
      <c r="E102" s="3567" t="s">
        <v>2103</v>
      </c>
      <c r="F102" s="3648">
        <v>3</v>
      </c>
      <c r="G102" s="3562">
        <f>claim504.3_6</f>
        <v>0</v>
      </c>
      <c r="H102" s="3581"/>
      <c r="I102" s="3630"/>
      <c r="J102" s="1365" t="str">
        <f>IF(I102&gt;0,"Explain verification at final","")</f>
        <v/>
      </c>
      <c r="K102" s="3523">
        <f>note504.3_6</f>
        <v>0</v>
      </c>
      <c r="L102" s="3524"/>
      <c r="O102" s="28">
        <f>IF(AND(H102&gt;0,I102&gt;0),1,0)</f>
        <v>0</v>
      </c>
      <c r="P102" s="1337">
        <f>IF(AND(J102&lt;&gt;"",J103=""),1,0)</f>
        <v>0</v>
      </c>
      <c r="Q102" s="1375"/>
      <c r="R102" s="1375"/>
    </row>
    <row r="103" spans="3:18" ht="37.5" customHeight="1">
      <c r="D103" s="282" t="s">
        <v>2100</v>
      </c>
      <c r="E103" s="3593"/>
      <c r="F103" s="3649"/>
      <c r="G103" s="3596"/>
      <c r="H103" s="3582"/>
      <c r="I103" s="3647"/>
      <c r="J103" s="1244"/>
      <c r="K103" s="3336"/>
      <c r="L103" s="3526"/>
    </row>
    <row r="104" spans="3:18">
      <c r="C104" s="1458" t="str">
        <f t="shared" si="13"/>
        <v/>
      </c>
      <c r="D104" s="282" t="s">
        <v>2101</v>
      </c>
      <c r="E104" s="1707" t="s">
        <v>2138</v>
      </c>
      <c r="F104" s="1717">
        <v>3</v>
      </c>
      <c r="G104" s="1701">
        <f>claim504.3_7</f>
        <v>0</v>
      </c>
      <c r="H104" s="1262"/>
      <c r="I104" s="1255"/>
      <c r="J104" s="1702"/>
      <c r="K104" s="3583">
        <f>note504.3_7</f>
        <v>0</v>
      </c>
      <c r="L104" s="3584"/>
      <c r="O104" s="28">
        <f t="shared" ref="O104:O106" si="15">IF(AND(H104&gt;0,I104&gt;0),1,0)</f>
        <v>0</v>
      </c>
    </row>
    <row r="105" spans="3:18" ht="45">
      <c r="C105" s="1458" t="str">
        <f t="shared" si="13"/>
        <v/>
      </c>
      <c r="D105" s="282" t="s">
        <v>2100</v>
      </c>
      <c r="E105" s="1709" t="s">
        <v>2530</v>
      </c>
      <c r="F105" s="1669">
        <v>5</v>
      </c>
      <c r="G105" s="1659">
        <f>claim504.3_8</f>
        <v>0</v>
      </c>
      <c r="H105" s="1702"/>
      <c r="I105" s="1708"/>
      <c r="J105" s="1671"/>
      <c r="K105" s="3523">
        <f>note504.3_8</f>
        <v>0</v>
      </c>
      <c r="L105" s="3524"/>
      <c r="O105" s="28">
        <f t="shared" si="15"/>
        <v>0</v>
      </c>
    </row>
    <row r="106" spans="3:18" ht="16" thickBot="1">
      <c r="C106" s="1458" t="str">
        <f t="shared" si="13"/>
        <v/>
      </c>
      <c r="D106" s="282" t="s">
        <v>2099</v>
      </c>
      <c r="E106" s="1709" t="s">
        <v>1070</v>
      </c>
      <c r="F106" s="1669">
        <v>3</v>
      </c>
      <c r="G106" s="1659">
        <f>claim504.3_9</f>
        <v>0</v>
      </c>
      <c r="H106" s="1702"/>
      <c r="I106" s="1708"/>
      <c r="J106" s="1671"/>
      <c r="K106" s="3753">
        <f>note504.3_9</f>
        <v>0</v>
      </c>
      <c r="L106" s="3754"/>
      <c r="O106" s="28">
        <f t="shared" si="15"/>
        <v>0</v>
      </c>
    </row>
    <row r="107" spans="3:18">
      <c r="E107" s="3755" t="s">
        <v>461</v>
      </c>
      <c r="F107" s="3441"/>
      <c r="G107" s="3441"/>
      <c r="H107" s="3441"/>
      <c r="I107" s="3441"/>
      <c r="J107" s="3441"/>
      <c r="K107" s="3441"/>
      <c r="L107" s="3756"/>
    </row>
    <row r="108" spans="3:18" ht="14.25" customHeight="1">
      <c r="C108" s="1458" t="str">
        <f>IF(SUM(G109:G110)&gt;0,"P","")</f>
        <v/>
      </c>
      <c r="D108" s="282" t="s">
        <v>2099</v>
      </c>
      <c r="E108" s="3715" t="s">
        <v>1987</v>
      </c>
      <c r="F108" s="3716"/>
      <c r="G108" s="3716"/>
      <c r="H108" s="3716"/>
      <c r="I108" s="3717"/>
      <c r="J108" s="1216"/>
      <c r="K108" s="3471"/>
      <c r="L108" s="3757"/>
    </row>
    <row r="109" spans="3:18" ht="30">
      <c r="C109" s="1458" t="str">
        <f t="shared" ref="C109:C110" si="16">IF(G109&gt;0,"P","")</f>
        <v/>
      </c>
      <c r="D109" s="282" t="s">
        <v>2099</v>
      </c>
      <c r="E109" s="1699" t="s">
        <v>1072</v>
      </c>
      <c r="F109" s="1717">
        <v>5</v>
      </c>
      <c r="G109" s="1701">
        <f>claim505.1_1</f>
        <v>0</v>
      </c>
      <c r="H109" s="1702"/>
      <c r="I109" s="1708"/>
      <c r="J109" s="1702"/>
      <c r="K109" s="3583">
        <f>note505.1_1</f>
        <v>0</v>
      </c>
      <c r="L109" s="3584"/>
      <c r="O109" s="28">
        <f t="shared" ref="O109:O110" si="17">IF(AND(H109&gt;0,I109&gt;0),1,0)</f>
        <v>0</v>
      </c>
    </row>
    <row r="110" spans="3:18" ht="30.75" customHeight="1">
      <c r="C110" s="1458" t="str">
        <f t="shared" si="16"/>
        <v/>
      </c>
      <c r="D110" s="282" t="s">
        <v>2099</v>
      </c>
      <c r="E110" s="1699" t="s">
        <v>1073</v>
      </c>
      <c r="F110" s="1700" t="str">
        <f>IF(BldgType&lt;&gt;"Multi-Unit",CONCATENATE(0," - Not a Multi-Unit project"),5)</f>
        <v>0 - Not a Multi-Unit project</v>
      </c>
      <c r="G110" s="1701">
        <f>claim505.1_2</f>
        <v>0</v>
      </c>
      <c r="H110" s="1702"/>
      <c r="I110" s="1708"/>
      <c r="J110" s="1702"/>
      <c r="K110" s="3583">
        <f>note505.1_2</f>
        <v>0</v>
      </c>
      <c r="L110" s="3584"/>
      <c r="O110" s="28">
        <f t="shared" si="17"/>
        <v>0</v>
      </c>
    </row>
    <row r="111" spans="3:18" ht="17.25" customHeight="1">
      <c r="C111" s="1458" t="str">
        <f>IF(SUM(G112:G114)&gt;0,"P","")</f>
        <v/>
      </c>
      <c r="D111" s="282" t="s">
        <v>2101</v>
      </c>
      <c r="E111" s="3715" t="s">
        <v>1074</v>
      </c>
      <c r="F111" s="3716"/>
      <c r="G111" s="3716"/>
      <c r="H111" s="3716"/>
      <c r="I111" s="3717"/>
      <c r="J111" s="1728"/>
      <c r="K111" s="3687"/>
      <c r="L111" s="3688"/>
    </row>
    <row r="112" spans="3:18">
      <c r="C112" s="1458" t="str">
        <f t="shared" ref="C112:C114" si="18">IF(G112&gt;0,"P","")</f>
        <v/>
      </c>
      <c r="D112" s="282" t="s">
        <v>2101</v>
      </c>
      <c r="E112" s="1715" t="s">
        <v>1075</v>
      </c>
      <c r="F112" s="1717">
        <v>4</v>
      </c>
      <c r="G112" s="1701">
        <f>IF(claim505.1_3=4,4,0)</f>
        <v>0</v>
      </c>
      <c r="H112" s="3629"/>
      <c r="I112" s="3505"/>
      <c r="J112" s="3505"/>
      <c r="K112" s="3523">
        <f>note505.1_3</f>
        <v>0</v>
      </c>
      <c r="L112" s="3524"/>
      <c r="O112" s="28">
        <f>IF(AND(H112&gt;0,I112&gt;0),1,0)</f>
        <v>0</v>
      </c>
    </row>
    <row r="113" spans="3:19">
      <c r="C113" s="1458" t="str">
        <f t="shared" si="18"/>
        <v/>
      </c>
      <c r="D113" s="282" t="s">
        <v>2101</v>
      </c>
      <c r="E113" s="1715" t="s">
        <v>1076</v>
      </c>
      <c r="F113" s="1717">
        <v>5</v>
      </c>
      <c r="G113" s="1701">
        <f>IF(claim505.1_3=5,5,0)</f>
        <v>0</v>
      </c>
      <c r="H113" s="3630"/>
      <c r="I113" s="3581"/>
      <c r="J113" s="3581"/>
      <c r="K113" s="3348"/>
      <c r="L113" s="3525"/>
    </row>
    <row r="114" spans="3:19" ht="16" thickBot="1">
      <c r="C114" s="1458" t="str">
        <f t="shared" si="18"/>
        <v/>
      </c>
      <c r="D114" s="282" t="s">
        <v>2101</v>
      </c>
      <c r="E114" s="1729" t="s">
        <v>1077</v>
      </c>
      <c r="F114" s="227">
        <v>6</v>
      </c>
      <c r="G114" s="1701">
        <f>IF(claim505.1_3=6,6,0)</f>
        <v>0</v>
      </c>
      <c r="H114" s="3631"/>
      <c r="I114" s="3506"/>
      <c r="J114" s="3506"/>
      <c r="K114" s="3531"/>
      <c r="L114" s="3532"/>
    </row>
    <row r="115" spans="3:19" ht="16" thickTop="1">
      <c r="C115" s="1458" t="str">
        <f>IF(SUM(G116:G119)&gt;0,"P","")</f>
        <v/>
      </c>
      <c r="D115" s="282" t="s">
        <v>2101</v>
      </c>
      <c r="E115" s="3615" t="s">
        <v>1078</v>
      </c>
      <c r="F115" s="3616"/>
      <c r="G115" s="3616"/>
      <c r="H115" s="3616"/>
      <c r="I115" s="3617"/>
      <c r="J115" s="1214"/>
      <c r="K115" s="3324"/>
      <c r="L115" s="3576"/>
    </row>
    <row r="116" spans="3:19" ht="15" customHeight="1">
      <c r="C116" s="1458" t="str">
        <f t="shared" ref="C116" si="19">IF(G116&gt;0,"P","")</f>
        <v/>
      </c>
      <c r="D116" s="282" t="s">
        <v>2101</v>
      </c>
      <c r="E116" s="3625" t="s">
        <v>1970</v>
      </c>
      <c r="F116" s="3932">
        <v>5</v>
      </c>
      <c r="G116" s="3662">
        <f>claim505.2_1</f>
        <v>0</v>
      </c>
      <c r="H116" s="3629"/>
      <c r="I116" s="3660"/>
      <c r="J116" s="1365" t="str">
        <f>IF(H116&gt;0,"Explain verification at rough","")</f>
        <v/>
      </c>
      <c r="K116" s="3523">
        <f>note505.2_1</f>
        <v>0</v>
      </c>
      <c r="L116" s="3524"/>
      <c r="O116" s="28">
        <f>IF(AND(H116&gt;0,I116&gt;0),1,0)</f>
        <v>0</v>
      </c>
      <c r="P116" s="1337">
        <f>IF(AND(J116&lt;&gt;"",J117=""),1,0)</f>
        <v>0</v>
      </c>
      <c r="Q116" s="1375"/>
      <c r="R116" s="1375"/>
    </row>
    <row r="117" spans="3:19" ht="142.5" customHeight="1" thickBot="1">
      <c r="D117" s="282" t="s">
        <v>2101</v>
      </c>
      <c r="E117" s="3626"/>
      <c r="F117" s="3933"/>
      <c r="G117" s="3663"/>
      <c r="H117" s="3631"/>
      <c r="I117" s="3661"/>
      <c r="J117" s="1244"/>
      <c r="K117" s="3336"/>
      <c r="L117" s="3526"/>
    </row>
    <row r="118" spans="3:19" ht="19.5" customHeight="1" thickTop="1">
      <c r="C118" s="1458" t="str">
        <f t="shared" ref="C118" si="20">IF(G118&gt;0,"P","")</f>
        <v/>
      </c>
      <c r="D118" s="282" t="s">
        <v>2101</v>
      </c>
      <c r="E118" s="3567" t="s">
        <v>1080</v>
      </c>
      <c r="F118" s="3932">
        <v>5</v>
      </c>
      <c r="G118" s="3662">
        <f>claim505.2_2</f>
        <v>0</v>
      </c>
      <c r="H118" s="3629"/>
      <c r="I118" s="3660"/>
      <c r="J118" s="1365" t="str">
        <f>IF(H118&gt;0,"Explain verification at rough","")</f>
        <v/>
      </c>
      <c r="K118" s="3523">
        <f>note505.2_2</f>
        <v>0</v>
      </c>
      <c r="L118" s="3524"/>
      <c r="O118" s="28">
        <f>IF(AND(H118&gt;0,I118&gt;0),1,0)</f>
        <v>0</v>
      </c>
      <c r="P118" s="1337">
        <f>IF(AND(J118&lt;&gt;"",J119=""),1,0)</f>
        <v>0</v>
      </c>
      <c r="Q118" s="1375"/>
      <c r="R118" s="1375"/>
    </row>
    <row r="119" spans="3:19" ht="112.5" customHeight="1" thickBot="1">
      <c r="D119" s="282" t="s">
        <v>2101</v>
      </c>
      <c r="E119" s="3568"/>
      <c r="F119" s="3942"/>
      <c r="G119" s="3856"/>
      <c r="H119" s="3631"/>
      <c r="I119" s="3661"/>
      <c r="J119" s="1244"/>
      <c r="K119" s="3531"/>
      <c r="L119" s="3532"/>
    </row>
    <row r="120" spans="3:19" ht="14.25" customHeight="1" thickTop="1">
      <c r="C120" s="1458" t="str">
        <f>IF(SUM(G121:G123)&gt;0,"P","")</f>
        <v/>
      </c>
      <c r="D120" s="282" t="s">
        <v>2101</v>
      </c>
      <c r="E120" s="3929" t="s">
        <v>2008</v>
      </c>
      <c r="F120" s="3930"/>
      <c r="G120" s="3930"/>
      <c r="H120" s="3930"/>
      <c r="I120" s="3931"/>
      <c r="J120" s="1217"/>
      <c r="K120" s="3473"/>
      <c r="L120" s="3760"/>
    </row>
    <row r="121" spans="3:19" ht="16">
      <c r="C121" s="1458" t="str">
        <f t="shared" ref="C121:C125" si="21">IF(G121&gt;0,"P","")</f>
        <v/>
      </c>
      <c r="D121" s="282" t="s">
        <v>2101</v>
      </c>
      <c r="E121" s="1730" t="s">
        <v>1082</v>
      </c>
      <c r="F121" s="1731">
        <v>5</v>
      </c>
      <c r="G121" s="1732">
        <f>IF(claim505.3=5,5,0)</f>
        <v>0</v>
      </c>
      <c r="H121" s="3629"/>
      <c r="I121" s="3505"/>
      <c r="J121" s="1733" t="str">
        <f>IF(AND(K3="Single-Family",SUM(H121:I123)&gt;0),"Enter lot size in square feet","")</f>
        <v/>
      </c>
      <c r="K121" s="3761">
        <f>note505.3</f>
        <v>0</v>
      </c>
      <c r="L121" s="3762"/>
      <c r="O121" s="28">
        <f>IF(AND(H121&gt;0,I121&gt;0),1,0)</f>
        <v>0</v>
      </c>
      <c r="P121" s="1339">
        <f>IF(AND(J121&lt;&gt;"",J122=""),1,0)</f>
        <v>0</v>
      </c>
      <c r="Q121" s="1375"/>
      <c r="R121" s="1375"/>
    </row>
    <row r="122" spans="3:19" ht="16">
      <c r="C122" s="1458" t="str">
        <f t="shared" si="21"/>
        <v/>
      </c>
      <c r="D122" s="282" t="s">
        <v>2101</v>
      </c>
      <c r="E122" s="1730" t="s">
        <v>1083</v>
      </c>
      <c r="F122" s="1731">
        <v>8</v>
      </c>
      <c r="G122" s="1732">
        <f>IF(claim505.3=8,8,0)</f>
        <v>0</v>
      </c>
      <c r="H122" s="3630"/>
      <c r="I122" s="3581"/>
      <c r="J122" s="1424"/>
      <c r="K122" s="3477"/>
      <c r="L122" s="3763"/>
      <c r="S122" s="28">
        <f>IF(OR(AND($I$121=5,$J$122&gt;43560/7),AND($I$121=8,$J$122&gt;43560/14),AND($I$121=11,$J$122&gt;43560/21)),1,0)</f>
        <v>0</v>
      </c>
    </row>
    <row r="123" spans="3:19" ht="17" thickBot="1">
      <c r="C123" s="1458" t="str">
        <f t="shared" si="21"/>
        <v/>
      </c>
      <c r="D123" s="282" t="s">
        <v>2101</v>
      </c>
      <c r="E123" s="1734" t="s">
        <v>1084</v>
      </c>
      <c r="F123" s="1735">
        <v>11</v>
      </c>
      <c r="G123" s="1736">
        <f>IF(claim505.3=11,11,0)</f>
        <v>0</v>
      </c>
      <c r="H123" s="3631"/>
      <c r="I123" s="3506"/>
      <c r="J123" s="1737"/>
      <c r="K123" s="3764"/>
      <c r="L123" s="3765"/>
    </row>
    <row r="124" spans="3:19" ht="17" thickTop="1" thickBot="1">
      <c r="C124" s="1458" t="str">
        <f t="shared" si="21"/>
        <v/>
      </c>
      <c r="D124" s="282" t="s">
        <v>2101</v>
      </c>
      <c r="E124" s="1738" t="s">
        <v>1967</v>
      </c>
      <c r="F124" s="656">
        <v>8</v>
      </c>
      <c r="G124" s="657">
        <f>claim505.4</f>
        <v>0</v>
      </c>
      <c r="H124" s="1702"/>
      <c r="I124" s="1708"/>
      <c r="J124" s="1246"/>
      <c r="K124" s="3465">
        <f>note505.4</f>
        <v>0</v>
      </c>
      <c r="L124" s="3465"/>
      <c r="O124" s="28">
        <f t="shared" ref="O124:O125" si="22">IF(AND(H124&gt;0,I124&gt;0),1,0)</f>
        <v>0</v>
      </c>
    </row>
    <row r="125" spans="3:19" ht="31" thickTop="1">
      <c r="C125" s="1458" t="str">
        <f t="shared" si="21"/>
        <v/>
      </c>
      <c r="D125" s="282" t="s">
        <v>2101</v>
      </c>
      <c r="E125" s="1739" t="s">
        <v>1968</v>
      </c>
      <c r="F125" s="654">
        <v>3</v>
      </c>
      <c r="G125" s="655">
        <f>claim505.5</f>
        <v>0</v>
      </c>
      <c r="H125" s="1708"/>
      <c r="I125" s="1716"/>
      <c r="J125" s="1247"/>
      <c r="K125" s="3463">
        <f>note505.5</f>
        <v>0</v>
      </c>
      <c r="L125" s="3463"/>
      <c r="O125" s="28">
        <f t="shared" si="22"/>
        <v>0</v>
      </c>
    </row>
    <row r="126" spans="3:19">
      <c r="E126" s="3539" t="s">
        <v>462</v>
      </c>
      <c r="F126" s="3540"/>
      <c r="G126" s="3540"/>
      <c r="H126" s="3540"/>
      <c r="I126" s="3540"/>
      <c r="J126" s="3540"/>
      <c r="K126" s="3540"/>
      <c r="L126" s="3541"/>
    </row>
    <row r="127" spans="3:19">
      <c r="E127" s="3539" t="s">
        <v>463</v>
      </c>
      <c r="F127" s="3540"/>
      <c r="G127" s="3540"/>
      <c r="H127" s="3540"/>
      <c r="I127" s="3540"/>
      <c r="J127" s="3540"/>
      <c r="K127" s="3540"/>
      <c r="L127" s="3541"/>
    </row>
    <row r="128" spans="3:19">
      <c r="C128" s="1458" t="str">
        <f>IF(SUM(G129:G132)&gt;0,"p","")</f>
        <v/>
      </c>
      <c r="D128" s="282" t="s">
        <v>2099</v>
      </c>
      <c r="E128" s="3926" t="s">
        <v>464</v>
      </c>
      <c r="F128" s="3927"/>
      <c r="G128" s="3927"/>
      <c r="H128" s="3927"/>
      <c r="I128" s="3928"/>
      <c r="J128" s="1211"/>
      <c r="K128" s="3387"/>
      <c r="L128" s="3899"/>
    </row>
    <row r="129" spans="3:18" ht="16">
      <c r="C129" s="1458" t="str">
        <f t="shared" ref="C129:C132" si="23">IF(G129&gt;0,"P","")</f>
        <v/>
      </c>
      <c r="D129" s="282" t="s">
        <v>2099</v>
      </c>
      <c r="E129" s="1742" t="s">
        <v>465</v>
      </c>
      <c r="F129" s="1700">
        <v>15</v>
      </c>
      <c r="G129" s="1701">
        <f>IF(claim601.1=F129,claim601.1,0)</f>
        <v>0</v>
      </c>
      <c r="H129" s="3934">
        <f>IF(AND(VSqFt&gt;0,VSqFt&lt;=1000), 15, IF(AND(VSqFt&gt;0,VSqFt&lt;=1500), 12, IF(AND(VSqFt&gt;0,VSqFt&lt;=2000), 9, IF(AND(VSqFt&gt;0,VSqFt&lt;=2500), 6, 0))))</f>
        <v>0</v>
      </c>
      <c r="I129" s="3935"/>
      <c r="J129" s="1330" t="s">
        <v>1961</v>
      </c>
      <c r="K129" s="3518">
        <f>note601.1</f>
        <v>0</v>
      </c>
      <c r="L129" s="3519"/>
      <c r="P129" s="1337">
        <f>IF(AND(J129&lt;&gt;"",J130=""),1,0)</f>
        <v>1</v>
      </c>
      <c r="Q129" s="1375"/>
      <c r="R129" s="1375"/>
    </row>
    <row r="130" spans="3:18" ht="16">
      <c r="C130" s="1458" t="str">
        <f t="shared" si="23"/>
        <v/>
      </c>
      <c r="D130" s="282" t="s">
        <v>2099</v>
      </c>
      <c r="E130" s="1742" t="s">
        <v>466</v>
      </c>
      <c r="F130" s="1700">
        <v>12</v>
      </c>
      <c r="G130" s="1701">
        <f>IF(claim601.1=F130,claim601.1,0)</f>
        <v>0</v>
      </c>
      <c r="H130" s="3936"/>
      <c r="I130" s="3937"/>
      <c r="J130" s="1680"/>
      <c r="K130" s="3330"/>
      <c r="L130" s="3560"/>
    </row>
    <row r="131" spans="3:18" ht="16">
      <c r="C131" s="1458" t="str">
        <f t="shared" si="23"/>
        <v/>
      </c>
      <c r="D131" s="282" t="s">
        <v>2099</v>
      </c>
      <c r="E131" s="1742" t="s">
        <v>467</v>
      </c>
      <c r="F131" s="1700">
        <v>9</v>
      </c>
      <c r="G131" s="1701">
        <f>IF(claim601.1=F131,claim601.1,0)</f>
        <v>0</v>
      </c>
      <c r="H131" s="3936"/>
      <c r="I131" s="3937"/>
      <c r="J131" s="3890"/>
      <c r="K131" s="3330"/>
      <c r="L131" s="3560"/>
    </row>
    <row r="132" spans="3:18" ht="16">
      <c r="C132" s="1458" t="str">
        <f t="shared" si="23"/>
        <v/>
      </c>
      <c r="D132" s="282" t="s">
        <v>2099</v>
      </c>
      <c r="E132" s="1742" t="s">
        <v>468</v>
      </c>
      <c r="F132" s="1700">
        <v>6</v>
      </c>
      <c r="G132" s="1701">
        <f>IF(claim601.1=F132,claim601.1,0)</f>
        <v>0</v>
      </c>
      <c r="H132" s="3938"/>
      <c r="I132" s="3939"/>
      <c r="J132" s="3906"/>
      <c r="K132" s="3289"/>
      <c r="L132" s="3527"/>
    </row>
    <row r="133" spans="3:18" ht="18.75" customHeight="1" thickBot="1">
      <c r="E133" s="3869" t="str">
        <f>IF(BldgType="Multi-unit","For a multi-unit building, use a weighted average of the individual unit sizes in qualifying for available points.","")</f>
        <v/>
      </c>
      <c r="F133" s="3870"/>
      <c r="G133" s="3870"/>
      <c r="H133" s="3870"/>
      <c r="I133" s="3871"/>
      <c r="J133" s="1218"/>
      <c r="K133" s="3432"/>
      <c r="L133" s="3759"/>
    </row>
    <row r="134" spans="3:18" ht="26.25" customHeight="1" thickTop="1">
      <c r="C134" s="1458" t="str">
        <f>IF(SUM(G135:G140)&gt;0,"P","")</f>
        <v/>
      </c>
      <c r="D134" s="282" t="s">
        <v>2100</v>
      </c>
      <c r="E134" s="3615" t="s">
        <v>1512</v>
      </c>
      <c r="F134" s="3616"/>
      <c r="G134" s="3616"/>
      <c r="H134" s="3616"/>
      <c r="I134" s="3617"/>
      <c r="J134" s="1214"/>
      <c r="K134" s="3324"/>
      <c r="L134" s="3576"/>
    </row>
    <row r="135" spans="3:18">
      <c r="C135" s="1458" t="str">
        <f t="shared" ref="C135" si="24">IF(G135&gt;0,"P","")</f>
        <v/>
      </c>
      <c r="D135" s="282" t="s">
        <v>2100</v>
      </c>
      <c r="E135" s="3625" t="s">
        <v>2532</v>
      </c>
      <c r="F135" s="3565">
        <v>3</v>
      </c>
      <c r="G135" s="3662">
        <f>claim601.2_1</f>
        <v>0</v>
      </c>
      <c r="H135" s="3546"/>
      <c r="I135" s="3551"/>
      <c r="J135" s="1353" t="str">
        <f>IF(I135&gt;0,"Explain verification at final","")</f>
        <v/>
      </c>
      <c r="K135" s="3523">
        <f>note601.2_1</f>
        <v>0</v>
      </c>
      <c r="L135" s="3524"/>
      <c r="O135" s="28">
        <f>IF(AND(H135&gt;0,I135&gt;0),1,0)</f>
        <v>0</v>
      </c>
      <c r="P135" s="1342">
        <f>IF(AND(J135&lt;&gt;"",J136=""),1,0)</f>
        <v>0</v>
      </c>
      <c r="Q135" s="1375"/>
      <c r="R135" s="1375"/>
    </row>
    <row r="136" spans="3:18" ht="29.25" customHeight="1">
      <c r="D136" s="282" t="s">
        <v>2100</v>
      </c>
      <c r="E136" s="3626"/>
      <c r="F136" s="3315"/>
      <c r="G136" s="3663"/>
      <c r="H136" s="3564"/>
      <c r="I136" s="3664"/>
      <c r="J136" s="1244"/>
      <c r="K136" s="3336"/>
      <c r="L136" s="3526"/>
    </row>
    <row r="137" spans="3:18" ht="19.5" customHeight="1">
      <c r="C137" s="1458" t="str">
        <f t="shared" ref="C137" si="25">IF(G137&gt;0,"P","")</f>
        <v/>
      </c>
      <c r="D137" s="282" t="s">
        <v>2100</v>
      </c>
      <c r="E137" s="3625" t="s">
        <v>1514</v>
      </c>
      <c r="F137" s="3565">
        <v>3</v>
      </c>
      <c r="G137" s="3662">
        <f>claim601.2_2</f>
        <v>0</v>
      </c>
      <c r="H137" s="3546"/>
      <c r="I137" s="3551"/>
      <c r="J137" s="1353" t="str">
        <f>IF(I137&gt;0,"Explain verification at final","")</f>
        <v/>
      </c>
      <c r="K137" s="3523">
        <f>note601.2_2</f>
        <v>0</v>
      </c>
      <c r="L137" s="3524"/>
      <c r="O137" s="28">
        <f>IF(AND(H137&gt;0,I137&gt;0),1,0)</f>
        <v>0</v>
      </c>
      <c r="P137" s="1342">
        <f>IF(AND(J137&lt;&gt;"",J138=""),1,0)</f>
        <v>0</v>
      </c>
      <c r="Q137" s="1375"/>
      <c r="R137" s="1375"/>
    </row>
    <row r="138" spans="3:18" ht="36" customHeight="1">
      <c r="D138" s="282" t="s">
        <v>2100</v>
      </c>
      <c r="E138" s="3626"/>
      <c r="F138" s="3315"/>
      <c r="G138" s="3663"/>
      <c r="H138" s="3564"/>
      <c r="I138" s="3664"/>
      <c r="J138" s="1244"/>
      <c r="K138" s="3336"/>
      <c r="L138" s="3526"/>
    </row>
    <row r="139" spans="3:18" ht="18" customHeight="1">
      <c r="C139" s="1458" t="str">
        <f t="shared" ref="C139" si="26">IF(G139&gt;0,"P","")</f>
        <v/>
      </c>
      <c r="D139" s="282" t="s">
        <v>2100</v>
      </c>
      <c r="E139" s="3625" t="s">
        <v>1515</v>
      </c>
      <c r="F139" s="3565">
        <v>3</v>
      </c>
      <c r="G139" s="3662">
        <f>claim601.2_3</f>
        <v>0</v>
      </c>
      <c r="H139" s="3546"/>
      <c r="I139" s="3551"/>
      <c r="J139" s="1353" t="str">
        <f>IF(I139&gt;0,"Explain verification at final","")</f>
        <v/>
      </c>
      <c r="K139" s="3523">
        <f>note601.2_3</f>
        <v>0</v>
      </c>
      <c r="L139" s="3524"/>
      <c r="O139" s="28">
        <f>IF(AND(H139&gt;0,I139&gt;0),1,0)</f>
        <v>0</v>
      </c>
      <c r="P139" s="1342">
        <f>IF(AND(J139&lt;&gt;"",J140=""),1,0)</f>
        <v>0</v>
      </c>
      <c r="Q139" s="1375"/>
      <c r="R139" s="1375"/>
    </row>
    <row r="140" spans="3:18" ht="18" customHeight="1" thickBot="1">
      <c r="D140" s="282" t="s">
        <v>2100</v>
      </c>
      <c r="E140" s="3915"/>
      <c r="F140" s="3566"/>
      <c r="G140" s="3856"/>
      <c r="H140" s="3564"/>
      <c r="I140" s="3664"/>
      <c r="J140" s="1244"/>
      <c r="K140" s="3531"/>
      <c r="L140" s="3532"/>
    </row>
    <row r="141" spans="3:18" ht="28.5" customHeight="1" thickTop="1">
      <c r="C141" s="1458" t="str">
        <f>IF(SUM(G142:G146)&gt;0,"P","")</f>
        <v/>
      </c>
      <c r="D141" s="282" t="s">
        <v>2100</v>
      </c>
      <c r="E141" s="3615" t="s">
        <v>2533</v>
      </c>
      <c r="F141" s="3616"/>
      <c r="G141" s="3616"/>
      <c r="H141" s="3616"/>
      <c r="I141" s="3617"/>
      <c r="J141" s="1219"/>
      <c r="K141" s="3326"/>
      <c r="L141" s="3515"/>
    </row>
    <row r="142" spans="3:18">
      <c r="C142" s="1458" t="str">
        <f t="shared" ref="C142:C163" si="27">IF(G142&gt;0,"P","")</f>
        <v/>
      </c>
      <c r="D142" s="282" t="s">
        <v>2100</v>
      </c>
      <c r="E142" s="1699" t="s">
        <v>471</v>
      </c>
      <c r="F142" s="1700">
        <v>3</v>
      </c>
      <c r="G142" s="1701">
        <f>claim601.3_1</f>
        <v>0</v>
      </c>
      <c r="H142" s="1702"/>
      <c r="I142" s="1708"/>
      <c r="J142" s="1702"/>
      <c r="K142" s="3513">
        <f>note601.3_1</f>
        <v>0</v>
      </c>
      <c r="L142" s="3514"/>
      <c r="O142" s="28">
        <f t="shared" ref="O142:O146" si="28">IF(AND(H142&gt;0,I142&gt;0),1,0)</f>
        <v>0</v>
      </c>
    </row>
    <row r="143" spans="3:18">
      <c r="C143" s="1458" t="str">
        <f t="shared" si="27"/>
        <v/>
      </c>
      <c r="D143" s="282" t="s">
        <v>2100</v>
      </c>
      <c r="E143" s="1699" t="s">
        <v>472</v>
      </c>
      <c r="F143" s="1700">
        <v>3</v>
      </c>
      <c r="G143" s="1701">
        <f>claim601.3_2</f>
        <v>0</v>
      </c>
      <c r="H143" s="1702"/>
      <c r="I143" s="1708"/>
      <c r="J143" s="1702"/>
      <c r="K143" s="3513">
        <f>note601.3_2</f>
        <v>0</v>
      </c>
      <c r="L143" s="3514"/>
      <c r="O143" s="28">
        <f t="shared" si="28"/>
        <v>0</v>
      </c>
    </row>
    <row r="144" spans="3:18">
      <c r="C144" s="1458" t="str">
        <f t="shared" si="27"/>
        <v/>
      </c>
      <c r="D144" s="282" t="s">
        <v>2100</v>
      </c>
      <c r="E144" s="1699" t="s">
        <v>473</v>
      </c>
      <c r="F144" s="1700">
        <v>3</v>
      </c>
      <c r="G144" s="1701">
        <f>claim601.3_3</f>
        <v>0</v>
      </c>
      <c r="H144" s="1702"/>
      <c r="I144" s="1708"/>
      <c r="J144" s="1702"/>
      <c r="K144" s="3513">
        <f>note601.3_3</f>
        <v>0</v>
      </c>
      <c r="L144" s="3514"/>
      <c r="O144" s="28">
        <f t="shared" si="28"/>
        <v>0</v>
      </c>
    </row>
    <row r="145" spans="3:18">
      <c r="C145" s="1458" t="str">
        <f t="shared" si="27"/>
        <v/>
      </c>
      <c r="D145" s="282" t="s">
        <v>2100</v>
      </c>
      <c r="E145" s="1699" t="s">
        <v>474</v>
      </c>
      <c r="F145" s="1700">
        <v>3</v>
      </c>
      <c r="G145" s="1701">
        <f>claim601.3_4</f>
        <v>0</v>
      </c>
      <c r="H145" s="1702"/>
      <c r="I145" s="1708"/>
      <c r="J145" s="1702"/>
      <c r="K145" s="3513">
        <f>note601.3_4</f>
        <v>0</v>
      </c>
      <c r="L145" s="3514"/>
      <c r="O145" s="28">
        <f t="shared" si="28"/>
        <v>0</v>
      </c>
    </row>
    <row r="146" spans="3:18" ht="16" thickBot="1">
      <c r="C146" s="1458" t="str">
        <f t="shared" si="27"/>
        <v/>
      </c>
      <c r="D146" s="282" t="s">
        <v>2100</v>
      </c>
      <c r="E146" s="1743" t="s">
        <v>475</v>
      </c>
      <c r="F146" s="220">
        <v>1</v>
      </c>
      <c r="G146" s="221">
        <f>claim601.3_5</f>
        <v>0</v>
      </c>
      <c r="H146" s="1671"/>
      <c r="I146" s="1679"/>
      <c r="J146" s="1245"/>
      <c r="K146" s="3340">
        <f>note601.3_5</f>
        <v>0</v>
      </c>
      <c r="L146" s="3579"/>
      <c r="O146" s="28">
        <f t="shared" si="28"/>
        <v>0</v>
      </c>
    </row>
    <row r="147" spans="3:18" ht="32" thickTop="1" thickBot="1">
      <c r="C147" s="1458" t="str">
        <f t="shared" si="27"/>
        <v/>
      </c>
      <c r="D147" s="282" t="s">
        <v>2100</v>
      </c>
      <c r="E147" s="1744" t="s">
        <v>2534</v>
      </c>
      <c r="F147" s="242">
        <v>4</v>
      </c>
      <c r="G147" s="229">
        <f>claim601.4</f>
        <v>0</v>
      </c>
      <c r="H147" s="1248"/>
      <c r="I147" s="1425"/>
      <c r="J147" s="1248"/>
      <c r="K147" s="3316">
        <f>note601.4</f>
        <v>0</v>
      </c>
      <c r="L147" s="3580"/>
      <c r="O147" s="28">
        <f>IF(AND(H147&gt;0,I147&gt;0),1,0)</f>
        <v>0</v>
      </c>
    </row>
    <row r="148" spans="3:18" ht="30" customHeight="1" thickTop="1">
      <c r="C148" s="1458" t="str">
        <f>IF(SUM(G149:G153)&gt;0,"P","")</f>
        <v/>
      </c>
      <c r="D148" s="282" t="s">
        <v>2100</v>
      </c>
      <c r="E148" s="3615" t="s">
        <v>2535</v>
      </c>
      <c r="F148" s="3616"/>
      <c r="G148" s="3616"/>
      <c r="H148" s="3616"/>
      <c r="I148" s="3617"/>
      <c r="J148" s="1220"/>
      <c r="K148" s="3326"/>
      <c r="L148" s="3515"/>
    </row>
    <row r="149" spans="3:18">
      <c r="C149" s="1458" t="str">
        <f t="shared" si="27"/>
        <v/>
      </c>
      <c r="D149" s="282" t="s">
        <v>2100</v>
      </c>
      <c r="E149" s="1699" t="s">
        <v>476</v>
      </c>
      <c r="F149" s="1711">
        <v>4</v>
      </c>
      <c r="G149" s="1701">
        <f>claim601.5_1</f>
        <v>0</v>
      </c>
      <c r="H149" s="1702"/>
      <c r="I149" s="1708"/>
      <c r="J149" s="1702"/>
      <c r="K149" s="3513">
        <f>note601.5_1</f>
        <v>0</v>
      </c>
      <c r="L149" s="3514"/>
      <c r="O149" s="28">
        <f t="shared" ref="O149:O153" si="29">IF(AND(H149&gt;0,I149&gt;0),1,0)</f>
        <v>0</v>
      </c>
    </row>
    <row r="150" spans="3:18">
      <c r="C150" s="1458" t="str">
        <f t="shared" si="27"/>
        <v/>
      </c>
      <c r="D150" s="282" t="s">
        <v>2100</v>
      </c>
      <c r="E150" s="1699" t="s">
        <v>477</v>
      </c>
      <c r="F150" s="1711">
        <v>4</v>
      </c>
      <c r="G150" s="1701">
        <f>claim601.5_2</f>
        <v>0</v>
      </c>
      <c r="H150" s="1702"/>
      <c r="I150" s="1708"/>
      <c r="J150" s="1702"/>
      <c r="K150" s="3513">
        <f>note601.5_2</f>
        <v>0</v>
      </c>
      <c r="L150" s="3514"/>
      <c r="O150" s="28">
        <f t="shared" si="29"/>
        <v>0</v>
      </c>
    </row>
    <row r="151" spans="3:18">
      <c r="C151" s="1458" t="str">
        <f t="shared" si="27"/>
        <v/>
      </c>
      <c r="D151" s="282" t="s">
        <v>2100</v>
      </c>
      <c r="E151" s="1699" t="s">
        <v>478</v>
      </c>
      <c r="F151" s="1711">
        <v>4</v>
      </c>
      <c r="G151" s="1701">
        <f>claim601.5_3</f>
        <v>0</v>
      </c>
      <c r="H151" s="1702"/>
      <c r="I151" s="1708"/>
      <c r="J151" s="1702"/>
      <c r="K151" s="3513">
        <f>note601.5_3</f>
        <v>0</v>
      </c>
      <c r="L151" s="3514"/>
      <c r="O151" s="28">
        <f t="shared" si="29"/>
        <v>0</v>
      </c>
    </row>
    <row r="152" spans="3:18">
      <c r="C152" s="1458" t="str">
        <f t="shared" si="27"/>
        <v/>
      </c>
      <c r="D152" s="282" t="s">
        <v>2100</v>
      </c>
      <c r="E152" s="1699" t="s">
        <v>479</v>
      </c>
      <c r="F152" s="1711">
        <v>13</v>
      </c>
      <c r="G152" s="1701">
        <f>claim601.5_4</f>
        <v>0</v>
      </c>
      <c r="H152" s="1702"/>
      <c r="I152" s="1708"/>
      <c r="J152" s="1702"/>
      <c r="K152" s="3513">
        <f>note601.5_4</f>
        <v>0</v>
      </c>
      <c r="L152" s="3514"/>
      <c r="O152" s="28">
        <f t="shared" si="29"/>
        <v>0</v>
      </c>
    </row>
    <row r="153" spans="3:18" ht="16" thickBot="1">
      <c r="C153" s="1458" t="str">
        <f t="shared" si="27"/>
        <v/>
      </c>
      <c r="D153" s="282" t="s">
        <v>2100</v>
      </c>
      <c r="E153" s="1743" t="s">
        <v>480</v>
      </c>
      <c r="F153" s="244">
        <v>13</v>
      </c>
      <c r="G153" s="221">
        <f>claim601.5_5</f>
        <v>0</v>
      </c>
      <c r="H153" s="1702"/>
      <c r="I153" s="1708"/>
      <c r="J153" s="1245"/>
      <c r="K153" s="3340">
        <f>note601.5_5</f>
        <v>0</v>
      </c>
      <c r="L153" s="3579"/>
      <c r="O153" s="28">
        <f t="shared" si="29"/>
        <v>0</v>
      </c>
    </row>
    <row r="154" spans="3:18" ht="27" customHeight="1" thickTop="1">
      <c r="C154" s="1458" t="str">
        <f>IF(SUM(G155:G157)&gt;0,"P","")</f>
        <v/>
      </c>
      <c r="D154" s="282" t="s">
        <v>2100</v>
      </c>
      <c r="E154" s="3615" t="s">
        <v>1988</v>
      </c>
      <c r="F154" s="3616"/>
      <c r="G154" s="3616"/>
      <c r="H154" s="3616"/>
      <c r="I154" s="3617"/>
      <c r="J154" s="1219"/>
      <c r="K154" s="3326"/>
      <c r="L154" s="3515"/>
    </row>
    <row r="155" spans="3:18">
      <c r="C155" s="1458" t="str">
        <f t="shared" si="27"/>
        <v/>
      </c>
      <c r="D155" s="282" t="s">
        <v>2100</v>
      </c>
      <c r="E155" s="1699" t="s">
        <v>1983</v>
      </c>
      <c r="F155" s="1700">
        <v>4</v>
      </c>
      <c r="G155" s="1701">
        <f>IF(claim601.6=F155,claim601.6,0)</f>
        <v>0</v>
      </c>
      <c r="H155" s="3505"/>
      <c r="I155" s="3629"/>
      <c r="J155" s="3505"/>
      <c r="K155" s="3635">
        <f>note601.6</f>
        <v>0</v>
      </c>
      <c r="L155" s="3636"/>
      <c r="O155" s="28">
        <f>IF(AND(H155&gt;0,I155&gt;0),1,0)</f>
        <v>0</v>
      </c>
    </row>
    <row r="156" spans="3:18">
      <c r="C156" s="1458" t="str">
        <f t="shared" si="27"/>
        <v/>
      </c>
      <c r="D156" s="282" t="s">
        <v>2100</v>
      </c>
      <c r="E156" s="1699" t="s">
        <v>1984</v>
      </c>
      <c r="F156" s="1700">
        <v>6</v>
      </c>
      <c r="G156" s="1701">
        <f>IF(claim601.6=F156,claim601.6,0)</f>
        <v>0</v>
      </c>
      <c r="H156" s="3581"/>
      <c r="I156" s="3630"/>
      <c r="J156" s="3890"/>
      <c r="K156" s="3407"/>
      <c r="L156" s="3637"/>
    </row>
    <row r="157" spans="3:18" ht="16" thickBot="1">
      <c r="C157" s="1458" t="str">
        <f t="shared" si="27"/>
        <v/>
      </c>
      <c r="D157" s="282" t="s">
        <v>2100</v>
      </c>
      <c r="E157" s="1743" t="s">
        <v>1985</v>
      </c>
      <c r="F157" s="220">
        <v>8</v>
      </c>
      <c r="G157" s="221">
        <f>IF(claim601.6=F157,claim601.6,0)</f>
        <v>0</v>
      </c>
      <c r="H157" s="3506"/>
      <c r="I157" s="3631"/>
      <c r="J157" s="3891"/>
      <c r="K157" s="3638"/>
      <c r="L157" s="3639"/>
    </row>
    <row r="158" spans="3:18" ht="29.25" customHeight="1" thickTop="1">
      <c r="C158" s="1458" t="str">
        <f>IF(SUM(G159:G161)&gt;0,"P","")</f>
        <v/>
      </c>
      <c r="D158" s="282" t="s">
        <v>2099</v>
      </c>
      <c r="E158" s="1745" t="s">
        <v>1789</v>
      </c>
      <c r="F158" s="1346" t="s">
        <v>484</v>
      </c>
      <c r="G158" s="246">
        <f>claim601.7</f>
        <v>0</v>
      </c>
      <c r="H158" s="3632"/>
      <c r="I158" s="3632"/>
      <c r="J158" s="1343" t="str">
        <f>IF(SUM(H158:I158)&gt;0,"List types of materials:","")</f>
        <v/>
      </c>
      <c r="K158" s="3324"/>
      <c r="L158" s="3576"/>
      <c r="O158" s="28">
        <f>IF(AND(H158&gt;0,I158&gt;0),1,0)</f>
        <v>0</v>
      </c>
      <c r="P158" s="1342">
        <f>IF(AND(J158&lt;&gt;"",J159=""),1,0)</f>
        <v>0</v>
      </c>
      <c r="Q158" s="1375"/>
      <c r="R158" s="1375"/>
    </row>
    <row r="159" spans="3:18">
      <c r="C159" s="1458" t="str">
        <f>IF(G159&lt;&gt;"","P","")</f>
        <v/>
      </c>
      <c r="D159" s="282" t="s">
        <v>2099</v>
      </c>
      <c r="E159" s="1746" t="s">
        <v>1523</v>
      </c>
      <c r="F159" s="1700" t="s">
        <v>1978</v>
      </c>
      <c r="G159" s="1747" t="str">
        <f>IF(choice601.7_1&gt;0,CONCATENATE(choice601.7_1," materials or assemblies"),"")</f>
        <v/>
      </c>
      <c r="H159" s="3633"/>
      <c r="I159" s="3633"/>
      <c r="J159" s="3642"/>
      <c r="K159" s="3523">
        <f>note601.7</f>
        <v>0</v>
      </c>
      <c r="L159" s="3524"/>
    </row>
    <row r="160" spans="3:18">
      <c r="C160" s="1458" t="str">
        <f>IF(G160&lt;&gt;"","P","")</f>
        <v/>
      </c>
      <c r="D160" s="282" t="s">
        <v>2099</v>
      </c>
      <c r="E160" s="1746" t="s">
        <v>1524</v>
      </c>
      <c r="F160" s="1700" t="s">
        <v>1979</v>
      </c>
      <c r="G160" s="1747" t="str">
        <f>IF(choice601.7_2&gt;0,CONCATENATE(choice601.7_2," materials or assemblies"),"")</f>
        <v/>
      </c>
      <c r="H160" s="3633"/>
      <c r="I160" s="3633"/>
      <c r="J160" s="3643"/>
      <c r="K160" s="3348"/>
      <c r="L160" s="3525"/>
    </row>
    <row r="161" spans="1:28" ht="16" thickBot="1">
      <c r="C161" s="1458" t="str">
        <f>IF(G161&lt;&gt;"","P","")</f>
        <v/>
      </c>
      <c r="D161" s="282" t="s">
        <v>2099</v>
      </c>
      <c r="E161" s="1748" t="s">
        <v>1525</v>
      </c>
      <c r="F161" s="220" t="s">
        <v>875</v>
      </c>
      <c r="G161" s="1747" t="str">
        <f>IF(choice601.7_3&gt;0,CONCATENATE(choice601.7_3," materials or assemblies"),"")</f>
        <v/>
      </c>
      <c r="H161" s="3634"/>
      <c r="I161" s="3634"/>
      <c r="J161" s="3644"/>
      <c r="K161" s="3531"/>
      <c r="L161" s="3532"/>
    </row>
    <row r="162" spans="1:28" ht="17" thickTop="1" thickBot="1">
      <c r="C162" s="1458" t="str">
        <f t="shared" si="27"/>
        <v/>
      </c>
      <c r="D162" s="282" t="s">
        <v>2100</v>
      </c>
      <c r="E162" s="1744" t="s">
        <v>1790</v>
      </c>
      <c r="F162" s="242">
        <v>3</v>
      </c>
      <c r="G162" s="229">
        <f>claim601.8</f>
        <v>0</v>
      </c>
      <c r="H162" s="1671"/>
      <c r="I162" s="1679"/>
      <c r="J162" s="1248"/>
      <c r="K162" s="3401">
        <f>note601.8</f>
        <v>0</v>
      </c>
      <c r="L162" s="3887"/>
      <c r="O162" s="28">
        <f>IF(AND(H162&gt;0,I162&gt;0),1,0)</f>
        <v>0</v>
      </c>
    </row>
    <row r="163" spans="1:28" ht="16" thickTop="1">
      <c r="C163" s="1458" t="str">
        <f t="shared" si="27"/>
        <v/>
      </c>
      <c r="D163" s="282" t="s">
        <v>2100</v>
      </c>
      <c r="E163" s="3627" t="s">
        <v>1791</v>
      </c>
      <c r="F163" s="3497">
        <v>4</v>
      </c>
      <c r="G163" s="3863">
        <f>claim601.9</f>
        <v>0</v>
      </c>
      <c r="H163" s="3640"/>
      <c r="I163" s="3913"/>
      <c r="J163" s="1343" t="str">
        <f>IF(SUM(H163:I163)&gt;0,"List type of construction","")</f>
        <v/>
      </c>
      <c r="K163" s="3620">
        <f>note601.9</f>
        <v>0</v>
      </c>
      <c r="L163" s="3621"/>
      <c r="O163" s="28">
        <f>IF(AND(H163&gt;0,I163&gt;0),1,0)</f>
        <v>0</v>
      </c>
      <c r="P163" s="1342">
        <f>IF(AND(J163&lt;&gt;"",J164=""),1,0)</f>
        <v>0</v>
      </c>
      <c r="Q163" s="1375"/>
      <c r="R163" s="1375"/>
    </row>
    <row r="164" spans="1:28" ht="16" thickBot="1">
      <c r="D164" s="282" t="s">
        <v>2100</v>
      </c>
      <c r="E164" s="3628"/>
      <c r="F164" s="3892"/>
      <c r="G164" s="3893"/>
      <c r="H164" s="3641"/>
      <c r="I164" s="3914"/>
      <c r="J164" s="1244"/>
      <c r="K164" s="3622"/>
      <c r="L164" s="3623"/>
    </row>
    <row r="165" spans="1:28">
      <c r="C165" s="1461"/>
      <c r="E165" s="3888" t="s">
        <v>485</v>
      </c>
      <c r="F165" s="3430"/>
      <c r="G165" s="3430"/>
      <c r="H165" s="3430"/>
      <c r="I165" s="3430"/>
      <c r="J165" s="3430"/>
      <c r="K165" s="3430"/>
      <c r="L165" s="3889"/>
    </row>
    <row r="166" spans="1:28" s="876" customFormat="1" ht="16">
      <c r="C166" s="1461"/>
      <c r="D166" s="1462" t="s">
        <v>2100</v>
      </c>
      <c r="E166" s="3872" t="s">
        <v>1526</v>
      </c>
      <c r="F166" s="3873"/>
      <c r="G166" s="3873"/>
      <c r="H166" s="3873"/>
      <c r="I166" s="3874"/>
      <c r="J166" s="1354" t="str">
        <f>IF(OR(H167="NA",I167="NA"),"Explain NA",IF(OR(I167="",I167="No Slabs"),"","Explain verification at final"))</f>
        <v/>
      </c>
      <c r="K166" s="3389"/>
      <c r="L166" s="3669"/>
      <c r="M166" s="1685"/>
      <c r="N166" s="1356"/>
      <c r="O166" s="1356"/>
      <c r="P166" s="1342">
        <f>IF(AND(J166&lt;&gt;"",J167=""),1,0)</f>
        <v>0</v>
      </c>
      <c r="Q166" s="1375"/>
      <c r="R166" s="1375"/>
      <c r="S166" s="1356"/>
      <c r="T166" s="1356"/>
      <c r="U166" s="1356"/>
      <c r="V166" s="1356"/>
      <c r="W166" s="1356"/>
      <c r="X166" s="1356"/>
      <c r="Y166" s="1356"/>
      <c r="Z166" s="1356"/>
      <c r="AA166" s="1356"/>
      <c r="AB166" s="1356"/>
    </row>
    <row r="167" spans="1:28" s="876" customFormat="1" ht="41.25" customHeight="1">
      <c r="B167" s="876" t="str">
        <f>'11.6'!B50</f>
        <v/>
      </c>
      <c r="C167" s="1461" t="s">
        <v>2104</v>
      </c>
      <c r="D167" s="1462" t="s">
        <v>2100</v>
      </c>
      <c r="E167" s="1749" t="s">
        <v>1527</v>
      </c>
      <c r="F167" s="1376" t="s">
        <v>3</v>
      </c>
      <c r="G167" s="1070">
        <f>IF(B167&lt;&gt;"x",claim602.1.1.1,"No slabs")</f>
        <v>0</v>
      </c>
      <c r="H167" s="1250"/>
      <c r="I167" s="1331"/>
      <c r="J167" s="1244"/>
      <c r="K167" s="3391">
        <f>note602.1.1.1</f>
        <v>0</v>
      </c>
      <c r="L167" s="3670"/>
      <c r="M167" s="1685"/>
      <c r="N167" s="1356"/>
      <c r="O167" s="1356">
        <f>IF(AND(H167="",I167=""),1,0)</f>
        <v>1</v>
      </c>
      <c r="P167" s="1356"/>
      <c r="Q167" s="1356"/>
      <c r="R167" s="1356">
        <f>IF(AND(H167="",I167="",ReportType="Final"),1,0)</f>
        <v>0</v>
      </c>
      <c r="S167" s="1356"/>
      <c r="T167" s="1356"/>
      <c r="U167" s="1356"/>
      <c r="V167" s="1356"/>
      <c r="W167" s="1356"/>
      <c r="X167" s="1356"/>
      <c r="Y167" s="1356"/>
      <c r="Z167" s="1356"/>
      <c r="AA167" s="1356"/>
      <c r="AB167" s="1356"/>
    </row>
    <row r="168" spans="1:28" s="876" customFormat="1" ht="60" customHeight="1" thickBot="1">
      <c r="C168" s="1461" t="str">
        <f t="shared" ref="C168:C169" si="30">IF(G168&gt;0,"P","")</f>
        <v/>
      </c>
      <c r="D168" s="1462" t="s">
        <v>2100</v>
      </c>
      <c r="E168" s="1750" t="s">
        <v>2537</v>
      </c>
      <c r="F168" s="881">
        <v>3</v>
      </c>
      <c r="G168" s="886">
        <f>claim602.1.1.2</f>
        <v>0</v>
      </c>
      <c r="H168" s="1671"/>
      <c r="I168" s="1679"/>
      <c r="J168" s="1251"/>
      <c r="K168" s="3357">
        <f>note602.1.1.2</f>
        <v>0</v>
      </c>
      <c r="L168" s="3624"/>
      <c r="M168" s="1685"/>
      <c r="N168" s="1356"/>
      <c r="O168" s="28">
        <f>IF(AND(H168&gt;0,I168&gt;0),1,0)</f>
        <v>0</v>
      </c>
      <c r="P168" s="1356"/>
      <c r="Q168" s="1356"/>
      <c r="R168" s="1356"/>
      <c r="S168" s="1356"/>
      <c r="T168" s="1356"/>
      <c r="U168" s="1356"/>
      <c r="V168" s="1356"/>
      <c r="W168" s="1356"/>
      <c r="X168" s="1356"/>
      <c r="Y168" s="1356"/>
      <c r="Z168" s="1356"/>
      <c r="AA168" s="1356"/>
      <c r="AB168" s="1356"/>
    </row>
    <row r="169" spans="1:28" s="876" customFormat="1" ht="16.5" customHeight="1" thickTop="1">
      <c r="C169" s="1461" t="str">
        <f t="shared" si="30"/>
        <v/>
      </c>
      <c r="D169" s="1462" t="s">
        <v>2100</v>
      </c>
      <c r="E169" s="3742" t="s">
        <v>2536</v>
      </c>
      <c r="F169" s="3744">
        <v>4</v>
      </c>
      <c r="G169" s="3745">
        <f>claim602.1.2</f>
        <v>0</v>
      </c>
      <c r="H169" s="3747"/>
      <c r="I169" s="3749"/>
      <c r="J169" s="1343" t="str">
        <f>IF(SUM(H169:I169)&gt;0,"List type of enhanced waterproofing","")</f>
        <v/>
      </c>
      <c r="K169" s="3393">
        <f>note602.1.2</f>
        <v>0</v>
      </c>
      <c r="L169" s="3654"/>
      <c r="M169" s="1685"/>
      <c r="N169" s="1356"/>
      <c r="O169" s="28">
        <f>IF(AND(H169&gt;0,I169&gt;0),1,0)</f>
        <v>0</v>
      </c>
      <c r="P169" s="1342">
        <f>IF(AND(J169&lt;&gt;"",J170=""),1,0)</f>
        <v>0</v>
      </c>
      <c r="Q169" s="1375"/>
      <c r="R169" s="1375"/>
      <c r="S169" s="1356"/>
      <c r="T169" s="1356"/>
      <c r="U169" s="1356"/>
      <c r="V169" s="1356"/>
      <c r="W169" s="1356"/>
      <c r="X169" s="1356"/>
      <c r="Y169" s="1356"/>
      <c r="Z169" s="1356"/>
      <c r="AA169" s="1356"/>
      <c r="AB169" s="1356"/>
    </row>
    <row r="170" spans="1:28" s="876" customFormat="1" ht="26.25" customHeight="1" thickBot="1">
      <c r="C170" s="1461"/>
      <c r="D170" s="1462"/>
      <c r="E170" s="3743"/>
      <c r="F170" s="3737"/>
      <c r="G170" s="3746"/>
      <c r="H170" s="3748"/>
      <c r="I170" s="3750"/>
      <c r="J170" s="1244"/>
      <c r="K170" s="3385"/>
      <c r="L170" s="3655"/>
      <c r="M170" s="1685"/>
      <c r="N170" s="1356"/>
      <c r="O170" s="1356"/>
      <c r="P170" s="1356"/>
      <c r="Q170" s="1356"/>
      <c r="R170" s="1356"/>
      <c r="S170" s="1356"/>
      <c r="T170" s="1356"/>
      <c r="U170" s="1356"/>
      <c r="V170" s="1356"/>
      <c r="W170" s="1356"/>
      <c r="X170" s="1356"/>
      <c r="Y170" s="1356"/>
      <c r="Z170" s="1356"/>
      <c r="AA170" s="1356"/>
      <c r="AB170" s="1356"/>
    </row>
    <row r="171" spans="1:28" s="876" customFormat="1" ht="17" thickTop="1">
      <c r="C171" s="1461"/>
      <c r="D171" s="1462" t="s">
        <v>2100</v>
      </c>
      <c r="E171" s="3875" t="s">
        <v>1530</v>
      </c>
      <c r="F171" s="3876"/>
      <c r="G171" s="3876"/>
      <c r="H171" s="3876"/>
      <c r="I171" s="3877"/>
      <c r="J171" s="1354" t="str">
        <f>IF(OR(H172="NA",I172="NA"),"Explain NA",IF(OR(I172="",I172="No below grade space"),"","Explain verification at final"))</f>
        <v/>
      </c>
      <c r="K171" s="3395"/>
      <c r="L171" s="3741"/>
      <c r="M171" s="1685"/>
      <c r="N171" s="1356"/>
      <c r="O171" s="1356"/>
      <c r="P171" s="1342">
        <f>IF(AND(J171&lt;&gt;"",J172=""),1,0)</f>
        <v>0</v>
      </c>
      <c r="Q171" s="1375"/>
      <c r="R171" s="1375"/>
      <c r="S171" s="1356"/>
      <c r="T171" s="1356"/>
      <c r="U171" s="1356"/>
      <c r="V171" s="1356"/>
      <c r="W171" s="1356"/>
      <c r="X171" s="1356"/>
      <c r="Y171" s="1356"/>
      <c r="Z171" s="1356"/>
      <c r="AA171" s="1356"/>
      <c r="AB171" s="1356"/>
    </row>
    <row r="172" spans="1:28" s="876" customFormat="1" ht="48" customHeight="1">
      <c r="A172" s="876" t="str">
        <f>'11.6'!A55</f>
        <v/>
      </c>
      <c r="B172" s="876" t="str">
        <f>'11.6'!B55</f>
        <v/>
      </c>
      <c r="C172" s="1461" t="s">
        <v>2104</v>
      </c>
      <c r="D172" s="1462" t="s">
        <v>2100</v>
      </c>
      <c r="E172" s="1751" t="s">
        <v>2539</v>
      </c>
      <c r="F172" s="1377" t="s">
        <v>3</v>
      </c>
      <c r="G172" s="883">
        <f>claim602.1.3.1</f>
        <v>0</v>
      </c>
      <c r="H172" s="1467"/>
      <c r="I172" s="1419"/>
      <c r="J172" s="1244"/>
      <c r="K172" s="3355">
        <f>note602.1.3.1</f>
        <v>0</v>
      </c>
      <c r="L172" s="3668"/>
      <c r="M172" s="1685"/>
      <c r="N172" s="1356"/>
      <c r="O172" s="1356"/>
      <c r="P172" s="1356"/>
      <c r="Q172" s="1356">
        <f>IF(H172="",1,0)</f>
        <v>1</v>
      </c>
      <c r="R172" s="1356">
        <f>IF(AND(H172="",I172="",ReportType="Final"),1,0)</f>
        <v>0</v>
      </c>
      <c r="S172" s="1356"/>
      <c r="T172" s="1356"/>
      <c r="U172" s="1356"/>
      <c r="V172" s="1356"/>
      <c r="W172" s="1356"/>
      <c r="X172" s="1356"/>
      <c r="Y172" s="1356"/>
      <c r="Z172" s="1356"/>
      <c r="AA172" s="1356"/>
      <c r="AB172" s="1356"/>
    </row>
    <row r="173" spans="1:28" s="876" customFormat="1" ht="59.25" customHeight="1" thickBot="1">
      <c r="C173" s="1461" t="str">
        <f t="shared" ref="C173" si="31">IF(G173&gt;0,"P","")</f>
        <v/>
      </c>
      <c r="D173" s="1462" t="s">
        <v>2100</v>
      </c>
      <c r="E173" s="1752" t="s">
        <v>2538</v>
      </c>
      <c r="F173" s="881">
        <v>4</v>
      </c>
      <c r="G173" s="886">
        <f>claim602.1.3.2</f>
        <v>0</v>
      </c>
      <c r="H173" s="1702"/>
      <c r="I173" s="1708"/>
      <c r="J173" s="1251"/>
      <c r="K173" s="3357">
        <f>note602.1.3.2</f>
        <v>0</v>
      </c>
      <c r="L173" s="3624"/>
      <c r="M173" s="1685"/>
      <c r="N173" s="1356"/>
      <c r="O173" s="28">
        <f>IF(AND(H173&gt;0,I173&gt;0),1,0)</f>
        <v>0</v>
      </c>
      <c r="P173" s="1356"/>
      <c r="Q173" s="1356"/>
      <c r="R173" s="1356"/>
      <c r="S173" s="1356"/>
      <c r="T173" s="1356"/>
      <c r="U173" s="1356"/>
      <c r="V173" s="1356"/>
      <c r="W173" s="1356"/>
      <c r="X173" s="1356"/>
      <c r="Y173" s="1356"/>
      <c r="Z173" s="1356"/>
      <c r="AA173" s="1356"/>
      <c r="AB173" s="1356"/>
    </row>
    <row r="174" spans="1:28" s="876" customFormat="1" ht="16" thickTop="1">
      <c r="C174" s="1461"/>
      <c r="D174" s="1462" t="s">
        <v>2099</v>
      </c>
      <c r="E174" s="3875" t="s">
        <v>1533</v>
      </c>
      <c r="F174" s="3876"/>
      <c r="G174" s="3876"/>
      <c r="H174" s="3876"/>
      <c r="I174" s="3877"/>
      <c r="J174" s="1222"/>
      <c r="K174" s="3359"/>
      <c r="L174" s="3658"/>
      <c r="M174" s="1685"/>
      <c r="N174" s="1356"/>
      <c r="O174" s="1356"/>
      <c r="P174" s="1356"/>
      <c r="Q174" s="1356"/>
      <c r="R174" s="1356"/>
      <c r="S174" s="1356"/>
      <c r="T174" s="1356"/>
      <c r="U174" s="1356"/>
      <c r="V174" s="1356"/>
      <c r="W174" s="1356"/>
      <c r="X174" s="1356"/>
      <c r="Y174" s="1356"/>
      <c r="Z174" s="1356"/>
      <c r="AA174" s="1356"/>
      <c r="AB174" s="1356"/>
    </row>
    <row r="175" spans="1:28" s="876" customFormat="1" ht="27.75" customHeight="1">
      <c r="C175" s="1461" t="s">
        <v>2104</v>
      </c>
      <c r="D175" s="1462" t="s">
        <v>2099</v>
      </c>
      <c r="E175" s="3872" t="s">
        <v>1534</v>
      </c>
      <c r="F175" s="3873"/>
      <c r="G175" s="3873"/>
      <c r="H175" s="3873"/>
      <c r="I175" s="3874"/>
      <c r="J175" s="1223"/>
      <c r="K175" s="3353"/>
      <c r="L175" s="3667"/>
      <c r="M175" s="1685"/>
      <c r="N175" s="1356"/>
      <c r="O175" s="1356"/>
      <c r="P175" s="1356"/>
      <c r="Q175" s="1356"/>
      <c r="R175" s="1356"/>
      <c r="S175" s="1356"/>
      <c r="T175" s="1356"/>
      <c r="U175" s="1356"/>
      <c r="V175" s="1356"/>
      <c r="W175" s="1356"/>
      <c r="X175" s="1356"/>
      <c r="Y175" s="1356"/>
      <c r="Z175" s="1356"/>
      <c r="AA175" s="1356"/>
      <c r="AB175" s="1356"/>
    </row>
    <row r="176" spans="1:28" s="876" customFormat="1" ht="30">
      <c r="C176" s="1461" t="str">
        <f t="shared" ref="C176" si="32">IF(G176&gt;0,"P","")</f>
        <v/>
      </c>
      <c r="D176" s="1462" t="s">
        <v>2099</v>
      </c>
      <c r="E176" s="1751" t="s">
        <v>1535</v>
      </c>
      <c r="F176" s="880">
        <v>6</v>
      </c>
      <c r="G176" s="883">
        <f>claim602.1.4.1</f>
        <v>0</v>
      </c>
      <c r="H176" s="1702"/>
      <c r="I176" s="1708"/>
      <c r="J176" s="1252"/>
      <c r="K176" s="3355">
        <f>note602.1.4.1_1</f>
        <v>0</v>
      </c>
      <c r="L176" s="3668"/>
      <c r="M176" s="1685"/>
      <c r="N176" s="1356"/>
      <c r="O176" s="28">
        <f>IF(AND(H176&gt;0,I176&gt;0),1,0)</f>
        <v>0</v>
      </c>
      <c r="P176" s="1356"/>
      <c r="Q176" s="1356"/>
      <c r="R176" s="1356"/>
      <c r="S176" s="1356"/>
      <c r="T176" s="1356"/>
      <c r="U176" s="1356"/>
      <c r="V176" s="1356"/>
      <c r="W176" s="1356"/>
      <c r="X176" s="1356"/>
      <c r="Y176" s="1356"/>
      <c r="Z176" s="1356"/>
      <c r="AA176" s="1356"/>
      <c r="AB176" s="1356"/>
    </row>
    <row r="177" spans="2:28" s="876" customFormat="1" ht="16">
      <c r="C177" s="1461" t="s">
        <v>2104</v>
      </c>
      <c r="D177" s="1462" t="s">
        <v>2099</v>
      </c>
      <c r="E177" s="3751" t="s">
        <v>2540</v>
      </c>
      <c r="F177" s="3916" t="s">
        <v>1980</v>
      </c>
      <c r="G177" s="3918">
        <f>IF(B178&lt;&gt;"x",claim602.1.4.1_2,"No crawlspace")</f>
        <v>0</v>
      </c>
      <c r="H177" s="3919"/>
      <c r="I177" s="3921"/>
      <c r="J177" s="1354" t="str">
        <f>IF(I177="Met","Explain verification at final","")</f>
        <v/>
      </c>
      <c r="K177" s="1657"/>
      <c r="L177" s="1753"/>
      <c r="M177" s="1685"/>
      <c r="N177" s="1356"/>
      <c r="O177" s="1356"/>
      <c r="P177" s="1342">
        <f>IF(AND(J177&lt;&gt;"",J178=""),1,0)</f>
        <v>0</v>
      </c>
      <c r="Q177" s="1375"/>
      <c r="R177" s="1375"/>
      <c r="S177" s="1356"/>
      <c r="T177" s="1356"/>
      <c r="U177" s="1356"/>
      <c r="V177" s="1356"/>
      <c r="W177" s="1356"/>
      <c r="X177" s="1356"/>
      <c r="Y177" s="1356"/>
      <c r="Z177" s="1356"/>
      <c r="AA177" s="1356"/>
      <c r="AB177" s="1356"/>
    </row>
    <row r="178" spans="2:28" s="876" customFormat="1" ht="36" customHeight="1" thickBot="1">
      <c r="B178" s="876" t="str">
        <f>'11.6'!B60</f>
        <v/>
      </c>
      <c r="C178" s="1461"/>
      <c r="D178" s="1462" t="s">
        <v>2099</v>
      </c>
      <c r="E178" s="3743"/>
      <c r="F178" s="3917"/>
      <c r="G178" s="3746"/>
      <c r="H178" s="3920"/>
      <c r="I178" s="3922"/>
      <c r="J178" s="1251"/>
      <c r="K178" s="3357">
        <f>note602.1.4.1_2</f>
        <v>0</v>
      </c>
      <c r="L178" s="3624"/>
      <c r="M178" s="1685"/>
      <c r="N178" s="1356"/>
      <c r="O178" s="1356"/>
      <c r="P178" s="1356"/>
      <c r="Q178" s="1356"/>
      <c r="R178" s="1356"/>
      <c r="S178" s="1356"/>
      <c r="T178" s="1356"/>
      <c r="U178" s="1356"/>
      <c r="V178" s="1356"/>
      <c r="W178" s="1356"/>
      <c r="X178" s="1356"/>
      <c r="Y178" s="1356"/>
      <c r="Z178" s="1356"/>
      <c r="AA178" s="1356"/>
      <c r="AB178" s="1356"/>
    </row>
    <row r="179" spans="2:28" s="876" customFormat="1" ht="42.75" customHeight="1" thickTop="1">
      <c r="C179" s="1461" t="s">
        <v>2104</v>
      </c>
      <c r="D179" s="1462" t="s">
        <v>2099</v>
      </c>
      <c r="E179" s="3910" t="s">
        <v>2541</v>
      </c>
      <c r="F179" s="3911"/>
      <c r="G179" s="3911"/>
      <c r="H179" s="3911"/>
      <c r="I179" s="3912"/>
      <c r="J179" s="1222"/>
      <c r="K179" s="3359"/>
      <c r="L179" s="3658"/>
      <c r="M179" s="1685"/>
      <c r="N179" s="1356"/>
      <c r="O179" s="1356"/>
      <c r="P179" s="1356"/>
      <c r="Q179" s="1356"/>
      <c r="R179" s="1356"/>
      <c r="S179" s="1356"/>
      <c r="T179" s="1356"/>
      <c r="U179" s="1356"/>
      <c r="V179" s="1356"/>
      <c r="W179" s="1356"/>
      <c r="X179" s="1356"/>
      <c r="Y179" s="1356"/>
      <c r="Z179" s="1356"/>
      <c r="AA179" s="1356"/>
      <c r="AB179" s="1356"/>
    </row>
    <row r="180" spans="2:28" s="876" customFormat="1" ht="41.25" customHeight="1">
      <c r="C180" s="1461" t="str">
        <f t="shared" ref="C180" si="33">IF(G180&gt;0,"P","")</f>
        <v/>
      </c>
      <c r="D180" s="1462" t="s">
        <v>2099</v>
      </c>
      <c r="E180" s="1754" t="s">
        <v>1538</v>
      </c>
      <c r="F180" s="880">
        <v>8</v>
      </c>
      <c r="G180" s="883">
        <f>claim602.1.4.2_1</f>
        <v>0</v>
      </c>
      <c r="H180" s="1702"/>
      <c r="I180" s="1708"/>
      <c r="J180" s="1252"/>
      <c r="K180" s="3355">
        <f>note602.1.4.2_1</f>
        <v>0</v>
      </c>
      <c r="L180" s="3668"/>
      <c r="M180" s="1685"/>
      <c r="N180" s="1356"/>
      <c r="O180" s="28">
        <f>IF(AND(H180&gt;0,I180&gt;0),1,0)</f>
        <v>0</v>
      </c>
      <c r="P180" s="1356"/>
      <c r="Q180" s="1356"/>
      <c r="R180" s="1356"/>
      <c r="S180" s="1356">
        <f>IF(AND($H$181="No conditioned crawl",$H$180&gt;0),1,0)</f>
        <v>0</v>
      </c>
      <c r="T180" s="1356">
        <f>IF(AND($H$181="No conditioned crawl",$I$180&gt;0),1,0)</f>
        <v>0</v>
      </c>
      <c r="U180" s="1356"/>
      <c r="V180" s="1356"/>
      <c r="W180" s="1356"/>
      <c r="X180" s="1356"/>
      <c r="Y180" s="1356"/>
      <c r="Z180" s="1356"/>
      <c r="AA180" s="1356"/>
      <c r="AB180" s="1356"/>
    </row>
    <row r="181" spans="2:28" s="876" customFormat="1" ht="55.5" customHeight="1" thickBot="1">
      <c r="B181" s="876" t="str">
        <f>'11.6'!B64</f>
        <v/>
      </c>
      <c r="C181" s="1461" t="s">
        <v>2104</v>
      </c>
      <c r="D181" s="1462" t="s">
        <v>2099</v>
      </c>
      <c r="E181" s="1755" t="s">
        <v>1539</v>
      </c>
      <c r="F181" s="1378" t="s">
        <v>2005</v>
      </c>
      <c r="G181" s="1417">
        <f>IF(B181="x","No crawlspace",claim602.1.4.2_2)</f>
        <v>0</v>
      </c>
      <c r="H181" s="3728"/>
      <c r="I181" s="3729"/>
      <c r="J181" s="1251"/>
      <c r="K181" s="3357">
        <f>note602.1.4.2_2</f>
        <v>0</v>
      </c>
      <c r="L181" s="3624"/>
      <c r="M181" s="1685"/>
      <c r="N181" s="1356"/>
      <c r="O181" s="1356"/>
      <c r="P181" s="1356"/>
      <c r="Q181" s="1356"/>
      <c r="R181" s="1356">
        <f>IF(AND(H181="",ReportType="Final"),1,0)</f>
        <v>0</v>
      </c>
      <c r="S181" s="1356"/>
      <c r="T181" s="1356"/>
      <c r="U181" s="1356"/>
      <c r="V181" s="1356"/>
      <c r="W181" s="1356"/>
      <c r="X181" s="1356"/>
      <c r="Y181" s="1356"/>
      <c r="Z181" s="1356"/>
      <c r="AA181" s="1356"/>
      <c r="AB181" s="1356"/>
    </row>
    <row r="182" spans="2:28" s="876" customFormat="1" ht="43.5" customHeight="1" thickTop="1" thickBot="1">
      <c r="C182" s="1461" t="str">
        <f t="shared" ref="C182" si="34">IF(G182&gt;0,"P","")</f>
        <v/>
      </c>
      <c r="D182" s="1462" t="s">
        <v>2100</v>
      </c>
      <c r="E182" s="1756" t="s">
        <v>1540</v>
      </c>
      <c r="F182" s="889">
        <v>4</v>
      </c>
      <c r="G182" s="890">
        <f>claim602.1.5</f>
        <v>0</v>
      </c>
      <c r="H182" s="1702"/>
      <c r="I182" s="1708"/>
      <c r="J182" s="1253"/>
      <c r="K182" s="3383">
        <f>note602.1.5</f>
        <v>0</v>
      </c>
      <c r="L182" s="3721"/>
      <c r="M182" s="1685"/>
      <c r="N182" s="1356"/>
      <c r="O182" s="28">
        <f>IF(AND(H182&gt;0,I182&gt;0),1,0)</f>
        <v>0</v>
      </c>
      <c r="P182" s="1356"/>
      <c r="Q182" s="1356"/>
      <c r="R182" s="1356"/>
      <c r="S182" s="1356"/>
      <c r="T182" s="1356"/>
      <c r="U182" s="1356"/>
      <c r="V182" s="1356"/>
      <c r="W182" s="1356"/>
      <c r="X182" s="1356"/>
      <c r="Y182" s="1356"/>
      <c r="Z182" s="1356"/>
      <c r="AA182" s="1356"/>
      <c r="AB182" s="1356"/>
    </row>
    <row r="183" spans="2:28" s="876" customFormat="1" ht="16" thickTop="1">
      <c r="C183" s="1461" t="str">
        <f>IF(SUM(G184:G186)&gt;0,"P","")</f>
        <v/>
      </c>
      <c r="D183" s="1462" t="s">
        <v>2100</v>
      </c>
      <c r="E183" s="3730" t="s">
        <v>1541</v>
      </c>
      <c r="F183" s="3731"/>
      <c r="G183" s="3731"/>
      <c r="H183" s="3731"/>
      <c r="I183" s="3732"/>
      <c r="J183" s="1222"/>
      <c r="K183" s="3359"/>
      <c r="L183" s="3658"/>
      <c r="M183" s="1685"/>
      <c r="N183" s="1356"/>
      <c r="O183" s="1356"/>
      <c r="P183" s="1356"/>
      <c r="Q183" s="1356"/>
      <c r="R183" s="1356"/>
      <c r="S183" s="1356"/>
      <c r="T183" s="1356"/>
      <c r="U183" s="1356"/>
      <c r="V183" s="1356"/>
      <c r="W183" s="1356"/>
      <c r="X183" s="1356"/>
      <c r="Y183" s="1356"/>
      <c r="Z183" s="1356"/>
      <c r="AA183" s="1356"/>
      <c r="AB183" s="1356"/>
    </row>
    <row r="184" spans="2:28" s="876" customFormat="1">
      <c r="C184" s="1461" t="str">
        <f t="shared" ref="C184:C188" si="35">IF(G184&gt;0,"P","")</f>
        <v/>
      </c>
      <c r="D184" s="1462" t="s">
        <v>2100</v>
      </c>
      <c r="E184" s="1757" t="s">
        <v>1542</v>
      </c>
      <c r="F184" s="880">
        <v>2</v>
      </c>
      <c r="G184" s="883">
        <f>IF(claim602.1.6=F184,claim602.1.6,0)</f>
        <v>0</v>
      </c>
      <c r="H184" s="3546"/>
      <c r="I184" s="3551"/>
      <c r="J184" s="3907"/>
      <c r="K184" s="3379">
        <f>note602.1.6</f>
        <v>0</v>
      </c>
      <c r="L184" s="3656"/>
      <c r="M184" s="1685"/>
      <c r="N184" s="1356"/>
      <c r="O184" s="28">
        <f>IF(AND(H184&gt;0,I184&gt;0),1,0)</f>
        <v>0</v>
      </c>
      <c r="P184" s="1356"/>
      <c r="Q184" s="1356"/>
      <c r="R184" s="1356"/>
      <c r="S184" s="1356"/>
      <c r="T184" s="1356"/>
      <c r="U184" s="1356"/>
      <c r="V184" s="1356"/>
      <c r="W184" s="1356"/>
      <c r="X184" s="1356"/>
      <c r="Y184" s="1356"/>
      <c r="Z184" s="1356"/>
      <c r="AA184" s="1356"/>
      <c r="AB184" s="1356"/>
    </row>
    <row r="185" spans="2:28" s="876" customFormat="1">
      <c r="C185" s="1461" t="str">
        <f t="shared" si="35"/>
        <v/>
      </c>
      <c r="D185" s="1462" t="s">
        <v>2100</v>
      </c>
      <c r="E185" s="1757" t="s">
        <v>1543</v>
      </c>
      <c r="F185" s="880">
        <v>4</v>
      </c>
      <c r="G185" s="883">
        <f>IF(claim602.1.6=F185,claim602.1.6,0)</f>
        <v>0</v>
      </c>
      <c r="H185" s="3547"/>
      <c r="I185" s="3552"/>
      <c r="J185" s="3908"/>
      <c r="K185" s="3397"/>
      <c r="L185" s="3657"/>
      <c r="M185" s="1685"/>
      <c r="N185" s="1356"/>
      <c r="O185" s="1356"/>
      <c r="P185" s="1356"/>
      <c r="Q185" s="1356"/>
      <c r="R185" s="1356"/>
      <c r="S185" s="1356"/>
      <c r="T185" s="1356"/>
      <c r="U185" s="1356"/>
      <c r="V185" s="1356"/>
      <c r="W185" s="1356"/>
      <c r="X185" s="1356"/>
      <c r="Y185" s="1356"/>
      <c r="Z185" s="1356"/>
      <c r="AA185" s="1356"/>
      <c r="AB185" s="1356"/>
    </row>
    <row r="186" spans="2:28" s="876" customFormat="1" ht="16" thickBot="1">
      <c r="C186" s="1461" t="str">
        <f t="shared" si="35"/>
        <v/>
      </c>
      <c r="D186" s="1462" t="s">
        <v>2100</v>
      </c>
      <c r="E186" s="1758" t="s">
        <v>1544</v>
      </c>
      <c r="F186" s="881">
        <v>6</v>
      </c>
      <c r="G186" s="886">
        <f>IF(claim602.1.6=F186,claim602.1.6,0)</f>
        <v>0</v>
      </c>
      <c r="H186" s="3548"/>
      <c r="I186" s="3553"/>
      <c r="J186" s="3909"/>
      <c r="K186" s="3385"/>
      <c r="L186" s="3655"/>
      <c r="M186" s="1685"/>
      <c r="N186" s="1356"/>
      <c r="O186" s="1356"/>
      <c r="P186" s="1356"/>
      <c r="Q186" s="1356"/>
      <c r="R186" s="1356"/>
      <c r="S186" s="1356"/>
      <c r="T186" s="1356"/>
      <c r="U186" s="1356"/>
      <c r="V186" s="1356"/>
      <c r="W186" s="1356"/>
      <c r="X186" s="1356"/>
      <c r="Y186" s="1356"/>
      <c r="Z186" s="1356"/>
      <c r="AA186" s="1356"/>
      <c r="AB186" s="1356"/>
    </row>
    <row r="187" spans="2:28" s="876" customFormat="1" ht="16" thickTop="1">
      <c r="C187" s="1461"/>
      <c r="D187" s="1462"/>
      <c r="E187" s="3725" t="s">
        <v>1545</v>
      </c>
      <c r="F187" s="3726"/>
      <c r="G187" s="3726"/>
      <c r="H187" s="3726"/>
      <c r="I187" s="3727"/>
      <c r="J187" s="1222"/>
      <c r="K187" s="3359"/>
      <c r="L187" s="3658"/>
      <c r="M187" s="1685"/>
      <c r="N187" s="1356"/>
      <c r="O187" s="1356"/>
      <c r="P187" s="1356"/>
      <c r="Q187" s="1356"/>
      <c r="R187" s="1356"/>
      <c r="S187" s="1356"/>
      <c r="T187" s="1356"/>
      <c r="U187" s="1356"/>
      <c r="V187" s="1356"/>
      <c r="W187" s="1356"/>
      <c r="X187" s="1356"/>
      <c r="Y187" s="1356"/>
      <c r="Z187" s="1356"/>
      <c r="AA187" s="1356"/>
      <c r="AB187" s="1356"/>
    </row>
    <row r="188" spans="2:28" s="876" customFormat="1" ht="15.75" customHeight="1">
      <c r="C188" s="1461" t="str">
        <f t="shared" si="35"/>
        <v/>
      </c>
      <c r="D188" s="1462" t="s">
        <v>2100</v>
      </c>
      <c r="E188" s="3854" t="s">
        <v>1547</v>
      </c>
      <c r="F188" s="3735">
        <v>2</v>
      </c>
      <c r="G188" s="3904">
        <f>claim602.1.7.1_1</f>
        <v>0</v>
      </c>
      <c r="H188" s="3546"/>
      <c r="I188" s="3551"/>
      <c r="J188" s="1367" t="str">
        <f>IF(I188&gt;0,"Explain verification at final","")</f>
        <v/>
      </c>
      <c r="K188" s="3379">
        <f>note602.1.7.1_1</f>
        <v>0</v>
      </c>
      <c r="L188" s="3656"/>
      <c r="M188" s="1685"/>
      <c r="N188" s="1356"/>
      <c r="O188" s="28">
        <f>IF(AND(H188&gt;0,I188&gt;0),1,0)</f>
        <v>0</v>
      </c>
      <c r="P188" s="1342">
        <f>IF(AND(J188&lt;&gt;"",J189=""),1,0)</f>
        <v>0</v>
      </c>
      <c r="Q188" s="1375"/>
      <c r="R188" s="1375"/>
      <c r="S188" s="1356"/>
      <c r="T188" s="1356"/>
      <c r="U188" s="1356"/>
      <c r="V188" s="1356"/>
      <c r="W188" s="1356"/>
      <c r="X188" s="1356"/>
      <c r="Y188" s="1356"/>
      <c r="Z188" s="1356"/>
      <c r="AA188" s="1356"/>
      <c r="AB188" s="1356"/>
    </row>
    <row r="189" spans="2:28" s="876" customFormat="1">
      <c r="C189" s="1461"/>
      <c r="D189" s="1462" t="s">
        <v>2100</v>
      </c>
      <c r="E189" s="3855"/>
      <c r="F189" s="3736"/>
      <c r="G189" s="3905"/>
      <c r="H189" s="3564"/>
      <c r="I189" s="3664"/>
      <c r="J189" s="1244"/>
      <c r="K189" s="3381"/>
      <c r="L189" s="3659"/>
      <c r="M189" s="1685"/>
      <c r="N189" s="1356"/>
      <c r="O189" s="1356"/>
      <c r="P189" s="1356"/>
      <c r="Q189" s="1356"/>
      <c r="R189" s="1356"/>
      <c r="S189" s="1356"/>
      <c r="T189" s="1356"/>
      <c r="U189" s="1356"/>
      <c r="V189" s="1356"/>
      <c r="W189" s="1356"/>
      <c r="X189" s="1356"/>
      <c r="Y189" s="1356"/>
      <c r="Z189" s="1356"/>
      <c r="AA189" s="1356"/>
      <c r="AB189" s="1356"/>
    </row>
    <row r="190" spans="2:28" s="876" customFormat="1" ht="33" customHeight="1">
      <c r="C190" s="1461" t="s">
        <v>2104</v>
      </c>
      <c r="D190" s="1462" t="s">
        <v>2100</v>
      </c>
      <c r="E190" s="3854" t="s">
        <v>2542</v>
      </c>
      <c r="F190" s="3733" t="s">
        <v>1550</v>
      </c>
      <c r="G190" s="1221">
        <f>choice602.1.7.1_2</f>
        <v>0</v>
      </c>
      <c r="H190" s="3546"/>
      <c r="I190" s="3738"/>
      <c r="J190" s="1366" t="str">
        <f>IF(OR(H190="NA",I190="NA"),"Explain NA:","")</f>
        <v/>
      </c>
      <c r="K190" s="3379">
        <f>note602.1.7.1_2</f>
        <v>0</v>
      </c>
      <c r="L190" s="3656"/>
      <c r="M190" s="1685"/>
      <c r="N190" s="1356"/>
      <c r="O190" s="1356"/>
      <c r="P190" s="1356"/>
      <c r="Q190" s="1356">
        <f>IF(H190="",1,0)</f>
        <v>1</v>
      </c>
      <c r="R190" s="1356"/>
      <c r="S190" s="1356"/>
      <c r="T190" s="1356"/>
      <c r="U190" s="1356"/>
      <c r="V190" s="1356"/>
      <c r="W190" s="1356"/>
      <c r="X190" s="1356"/>
      <c r="Y190" s="1356"/>
      <c r="Z190" s="1356"/>
      <c r="AA190" s="1356"/>
      <c r="AB190" s="1356"/>
    </row>
    <row r="191" spans="2:28" s="876" customFormat="1" ht="24.75" customHeight="1">
      <c r="C191" s="1461"/>
      <c r="D191" s="1462" t="s">
        <v>2100</v>
      </c>
      <c r="E191" s="3855"/>
      <c r="F191" s="3734"/>
      <c r="G191" s="1071">
        <f>claim602.1.7.1_2</f>
        <v>0</v>
      </c>
      <c r="H191" s="3547"/>
      <c r="I191" s="3739"/>
      <c r="J191" s="1244"/>
      <c r="K191" s="3381"/>
      <c r="L191" s="3659"/>
      <c r="M191" s="1685"/>
      <c r="N191" s="1356"/>
      <c r="O191" s="1356"/>
      <c r="P191" s="1356"/>
      <c r="Q191" s="1356"/>
      <c r="R191" s="1356"/>
      <c r="S191" s="1356"/>
      <c r="T191" s="1356"/>
      <c r="U191" s="1356"/>
      <c r="V191" s="1356"/>
      <c r="W191" s="1356"/>
      <c r="X191" s="1356"/>
      <c r="Y191" s="1356"/>
      <c r="Z191" s="1356"/>
      <c r="AA191" s="1356"/>
      <c r="AB191" s="1356"/>
    </row>
    <row r="192" spans="2:28" s="876" customFormat="1" ht="21" customHeight="1">
      <c r="C192" s="1461" t="str">
        <f t="shared" ref="C192" si="36">IF(G192&gt;0,"P","")</f>
        <v/>
      </c>
      <c r="D192" s="1462" t="s">
        <v>2100</v>
      </c>
      <c r="E192" s="3883" t="s">
        <v>2543</v>
      </c>
      <c r="F192" s="3735">
        <v>4</v>
      </c>
      <c r="G192" s="3650">
        <f>claim602.1.7.1_3</f>
        <v>0</v>
      </c>
      <c r="H192" s="3546"/>
      <c r="I192" s="3665"/>
      <c r="J192" s="1367" t="str">
        <f>IF(I192&gt;0,"Explain verification at final","")</f>
        <v/>
      </c>
      <c r="K192" s="3379">
        <f>note602.1.7.1_3</f>
        <v>0</v>
      </c>
      <c r="L192" s="3656"/>
      <c r="M192" s="1685"/>
      <c r="N192" s="1356"/>
      <c r="O192" s="28">
        <f>IF(AND(H192&gt;0,I192&gt;0),1,0)</f>
        <v>0</v>
      </c>
      <c r="P192" s="1342">
        <f>IF(AND(J192&lt;&gt;"",J193=""),1,0)</f>
        <v>0</v>
      </c>
      <c r="Q192" s="1375"/>
      <c r="R192" s="1375"/>
      <c r="S192" s="1356"/>
      <c r="T192" s="1356"/>
      <c r="U192" s="1356"/>
      <c r="V192" s="1356"/>
      <c r="W192" s="1356"/>
      <c r="X192" s="1356"/>
      <c r="Y192" s="1356"/>
      <c r="Z192" s="1356"/>
      <c r="AA192" s="1356"/>
      <c r="AB192" s="1356"/>
    </row>
    <row r="193" spans="3:28" s="876" customFormat="1" ht="24" customHeight="1" thickBot="1">
      <c r="C193" s="1461"/>
      <c r="D193" s="1462" t="s">
        <v>2100</v>
      </c>
      <c r="E193" s="3884"/>
      <c r="F193" s="3737"/>
      <c r="G193" s="3651"/>
      <c r="H193" s="3740"/>
      <c r="I193" s="3666"/>
      <c r="J193" s="1244"/>
      <c r="K193" s="3385"/>
      <c r="L193" s="3655"/>
      <c r="M193" s="1685"/>
      <c r="N193" s="1356"/>
      <c r="O193" s="1356"/>
      <c r="P193" s="1356"/>
      <c r="Q193" s="1356"/>
      <c r="R193" s="1356"/>
      <c r="S193" s="1356"/>
      <c r="T193" s="1356"/>
      <c r="U193" s="1356"/>
      <c r="V193" s="1356"/>
      <c r="W193" s="1356"/>
      <c r="X193" s="1356"/>
      <c r="Y193" s="1356"/>
      <c r="Z193" s="1356"/>
      <c r="AA193" s="1356"/>
      <c r="AB193" s="1356"/>
    </row>
    <row r="194" spans="3:28" s="876" customFormat="1" ht="42" customHeight="1" thickTop="1" thickBot="1">
      <c r="C194" s="1461" t="str">
        <f t="shared" ref="C194" si="37">IF(G194&gt;0,"P","")</f>
        <v/>
      </c>
      <c r="D194" s="1462" t="s">
        <v>2100</v>
      </c>
      <c r="E194" s="1756" t="s">
        <v>2545</v>
      </c>
      <c r="F194" s="889">
        <v>2</v>
      </c>
      <c r="G194" s="890">
        <f>claim602.1.7.2</f>
        <v>0</v>
      </c>
      <c r="H194" s="1702"/>
      <c r="I194" s="1716"/>
      <c r="J194" s="1253"/>
      <c r="K194" s="3383">
        <f>note602.1.7.2</f>
        <v>0</v>
      </c>
      <c r="L194" s="3721"/>
      <c r="M194" s="1685"/>
      <c r="N194" s="1356"/>
      <c r="O194" s="28">
        <f>IF(AND(H194&gt;0,I194&gt;0),1,0)</f>
        <v>0</v>
      </c>
      <c r="P194" s="1356"/>
      <c r="Q194" s="1356"/>
      <c r="R194" s="1356"/>
      <c r="S194" s="1356"/>
      <c r="T194" s="1356"/>
      <c r="U194" s="1356"/>
      <c r="V194" s="1356"/>
      <c r="W194" s="1356"/>
      <c r="X194" s="1356"/>
      <c r="Y194" s="1356"/>
      <c r="Z194" s="1356"/>
      <c r="AA194" s="1356"/>
      <c r="AB194" s="1356"/>
    </row>
    <row r="195" spans="3:28" s="876" customFormat="1" ht="24" customHeight="1" thickTop="1">
      <c r="C195" s="1461" t="s">
        <v>2104</v>
      </c>
      <c r="D195" s="1462" t="s">
        <v>2100</v>
      </c>
      <c r="E195" s="3843" t="s">
        <v>2547</v>
      </c>
      <c r="F195" s="3839" t="s">
        <v>295</v>
      </c>
      <c r="G195" s="3841">
        <f>claim602.1.8</f>
        <v>0</v>
      </c>
      <c r="H195" s="3850"/>
      <c r="I195" s="3652"/>
      <c r="J195" s="1368" t="str">
        <f>IF(OR(H195="NA",I195="NA"),"Explain NA",IF(I195="Met","Explain verification at final",""))</f>
        <v/>
      </c>
      <c r="K195" s="3393">
        <f>note602.1.8</f>
        <v>0</v>
      </c>
      <c r="L195" s="3654"/>
      <c r="M195" s="1685"/>
      <c r="N195" s="1356"/>
      <c r="O195" s="1356"/>
      <c r="P195" s="1342">
        <f>IF(AND(J195&lt;&gt;"",J196=""),1,0)</f>
        <v>0</v>
      </c>
      <c r="Q195" s="1375"/>
      <c r="R195" s="1375">
        <f>IF(AND(H195="",I195=""),1,0)</f>
        <v>1</v>
      </c>
      <c r="S195" s="1356"/>
      <c r="T195" s="1356"/>
      <c r="U195" s="1356"/>
      <c r="V195" s="1356"/>
      <c r="W195" s="1356"/>
      <c r="X195" s="1356"/>
      <c r="Y195" s="1356"/>
      <c r="Z195" s="1356"/>
      <c r="AA195" s="1356"/>
      <c r="AB195" s="1356"/>
    </row>
    <row r="196" spans="3:28" s="876" customFormat="1" ht="26.25" customHeight="1" thickBot="1">
      <c r="C196" s="1461"/>
      <c r="D196" s="1462" t="s">
        <v>2100</v>
      </c>
      <c r="E196" s="3844"/>
      <c r="F196" s="3840"/>
      <c r="G196" s="3842"/>
      <c r="H196" s="3851"/>
      <c r="I196" s="3653"/>
      <c r="J196" s="1244"/>
      <c r="K196" s="3385"/>
      <c r="L196" s="3655"/>
      <c r="M196" s="1685"/>
      <c r="N196" s="1356"/>
      <c r="O196" s="1356"/>
      <c r="P196" s="1356"/>
      <c r="Q196" s="1356"/>
      <c r="R196" s="1356"/>
      <c r="S196" s="1356"/>
      <c r="T196" s="1356"/>
      <c r="U196" s="1356"/>
      <c r="V196" s="1356"/>
      <c r="W196" s="1356"/>
      <c r="X196" s="1356"/>
      <c r="Y196" s="1356"/>
      <c r="Z196" s="1356"/>
      <c r="AA196" s="1356"/>
      <c r="AB196" s="1356"/>
    </row>
    <row r="197" spans="3:28" ht="68.25" customHeight="1" thickTop="1">
      <c r="C197" s="1461" t="s">
        <v>2104</v>
      </c>
      <c r="D197" s="1462" t="s">
        <v>2100</v>
      </c>
      <c r="E197" s="3722" t="s">
        <v>2548</v>
      </c>
      <c r="F197" s="3723"/>
      <c r="G197" s="3723"/>
      <c r="H197" s="3723"/>
      <c r="I197" s="3724"/>
      <c r="J197" s="1226" t="str">
        <f>IF(I198&lt;&gt;"","Explain verification at final","")</f>
        <v/>
      </c>
      <c r="K197" s="3387"/>
      <c r="L197" s="3899"/>
      <c r="P197" s="1342">
        <f>IF(AND(J197&lt;&gt;"",J198=""),1,0)</f>
        <v>0</v>
      </c>
      <c r="Q197" s="1375"/>
      <c r="R197" s="1375"/>
    </row>
    <row r="198" spans="3:28" ht="148.5" customHeight="1">
      <c r="C198" s="1461" t="s">
        <v>2104</v>
      </c>
      <c r="D198" s="1462" t="s">
        <v>2100</v>
      </c>
      <c r="E198" s="1699" t="s">
        <v>2139</v>
      </c>
      <c r="F198" s="1759" t="s">
        <v>3</v>
      </c>
      <c r="G198" s="1407">
        <f>claim602.1.9_1</f>
        <v>0</v>
      </c>
      <c r="H198" s="1716"/>
      <c r="I198" s="1760"/>
      <c r="J198" s="1244"/>
      <c r="K198" s="3513">
        <f>note602.1.9_1</f>
        <v>0</v>
      </c>
      <c r="L198" s="3514"/>
      <c r="P198" s="1342"/>
      <c r="Q198" s="1375">
        <f>IF(H198="",1,0)</f>
        <v>1</v>
      </c>
      <c r="R198" s="1375"/>
      <c r="S198" s="1356"/>
    </row>
    <row r="199" spans="3:28" ht="21.75" customHeight="1">
      <c r="C199" s="1461" t="str">
        <f t="shared" ref="C199" si="38">IF(G199&gt;0,"P","")</f>
        <v/>
      </c>
      <c r="D199" s="1462" t="s">
        <v>2100</v>
      </c>
      <c r="E199" s="3567" t="s">
        <v>1555</v>
      </c>
      <c r="F199" s="3565">
        <v>2</v>
      </c>
      <c r="G199" s="3562">
        <f>claim602.1.9_2</f>
        <v>0</v>
      </c>
      <c r="H199" s="3546"/>
      <c r="I199" s="3629"/>
      <c r="J199" s="1367" t="str">
        <f>IF(I199&gt;0,"Explain verification at final","")</f>
        <v/>
      </c>
      <c r="K199" s="3518">
        <f>note602.1.9_2</f>
        <v>0</v>
      </c>
      <c r="L199" s="3519"/>
      <c r="O199" s="28">
        <f>IF(AND(H199&gt;0,I199&gt;0),1,0)</f>
        <v>0</v>
      </c>
      <c r="P199" s="1342">
        <f>IF(AND(J199&lt;&gt;"",J200=""),1,0)</f>
        <v>0</v>
      </c>
      <c r="Q199" s="1375"/>
      <c r="R199" s="1375"/>
    </row>
    <row r="200" spans="3:28" ht="30" customHeight="1">
      <c r="C200" s="1461"/>
      <c r="D200" s="1462" t="s">
        <v>2100</v>
      </c>
      <c r="E200" s="3593"/>
      <c r="F200" s="3315"/>
      <c r="G200" s="3596"/>
      <c r="H200" s="3564"/>
      <c r="I200" s="3647"/>
      <c r="J200" s="1244"/>
      <c r="K200" s="3289"/>
      <c r="L200" s="3527"/>
    </row>
    <row r="201" spans="3:28" ht="30" customHeight="1">
      <c r="C201" s="1461" t="str">
        <f t="shared" ref="C201" si="39">IF(G201&gt;0,"P","")</f>
        <v/>
      </c>
      <c r="D201" s="1462" t="s">
        <v>2100</v>
      </c>
      <c r="E201" s="3567" t="s">
        <v>1556</v>
      </c>
      <c r="F201" s="3565">
        <v>3</v>
      </c>
      <c r="G201" s="3562">
        <f>claim602.1.9_3</f>
        <v>0</v>
      </c>
      <c r="H201" s="3546"/>
      <c r="I201" s="3629"/>
      <c r="J201" s="1367" t="str">
        <f>IF(I201&gt;0,"Explain verification at final","")</f>
        <v/>
      </c>
      <c r="K201" s="3518">
        <f>note602.1.9_3</f>
        <v>0</v>
      </c>
      <c r="L201" s="3519"/>
      <c r="O201" s="28">
        <f>IF(AND(H201&gt;0,I201&gt;0),1,0)</f>
        <v>0</v>
      </c>
      <c r="P201" s="1342">
        <f>IF(AND(J201&lt;&gt;"",J202=""),1,0)</f>
        <v>0</v>
      </c>
      <c r="Q201" s="1375"/>
      <c r="R201" s="1375"/>
    </row>
    <row r="202" spans="3:28" ht="27.75" customHeight="1">
      <c r="C202" s="1461"/>
      <c r="D202" s="1462" t="s">
        <v>2100</v>
      </c>
      <c r="E202" s="3593"/>
      <c r="F202" s="3315"/>
      <c r="G202" s="3596"/>
      <c r="H202" s="3564"/>
      <c r="I202" s="3647"/>
      <c r="J202" s="1244"/>
      <c r="K202" s="3289"/>
      <c r="L202" s="3527"/>
    </row>
    <row r="203" spans="3:28" ht="71.25" customHeight="1">
      <c r="C203" s="1461" t="str">
        <f t="shared" ref="C203" si="40">IF(G203&gt;0,"P","")</f>
        <v/>
      </c>
      <c r="D203" s="1462" t="s">
        <v>2100</v>
      </c>
      <c r="E203" s="1707" t="s">
        <v>1557</v>
      </c>
      <c r="F203" s="1700">
        <v>3</v>
      </c>
      <c r="G203" s="1701">
        <f>claim602.1.9_4</f>
        <v>0</v>
      </c>
      <c r="H203" s="1665"/>
      <c r="I203" s="1662"/>
      <c r="J203" s="1702"/>
      <c r="K203" s="3513">
        <f>note602.1.9_4</f>
        <v>0</v>
      </c>
      <c r="L203" s="3514"/>
      <c r="O203" s="28">
        <f>IF(AND(H203&gt;0,I203&gt;0),1,0)</f>
        <v>0</v>
      </c>
    </row>
    <row r="204" spans="3:28" ht="15.75" customHeight="1">
      <c r="C204" s="1461" t="str">
        <f>IF(SUM(G205:G206)&gt;0,"P","")</f>
        <v/>
      </c>
      <c r="D204" s="1462" t="s">
        <v>2100</v>
      </c>
      <c r="E204" s="3715" t="s">
        <v>1558</v>
      </c>
      <c r="F204" s="3716"/>
      <c r="G204" s="3717"/>
      <c r="H204" s="1761"/>
      <c r="I204" s="1761"/>
      <c r="J204" s="1369" t="str">
        <f>IF(I205&gt;0,"Explain points at final","")</f>
        <v/>
      </c>
      <c r="K204" s="3577"/>
      <c r="L204" s="3578"/>
      <c r="P204" s="1342">
        <f>IF(AND(J204&lt;&gt;"",J205=""),1,0)</f>
        <v>0</v>
      </c>
      <c r="Q204" s="1375"/>
      <c r="R204" s="1375"/>
    </row>
    <row r="205" spans="3:28" ht="40.5" customHeight="1">
      <c r="C205" s="1461" t="str">
        <f t="shared" ref="C205:C207" si="41">IF(G205&gt;0,"P","")</f>
        <v/>
      </c>
      <c r="D205" s="1462" t="s">
        <v>2100</v>
      </c>
      <c r="E205" s="1762" t="s">
        <v>1559</v>
      </c>
      <c r="F205" s="1700">
        <v>4</v>
      </c>
      <c r="G205" s="1701">
        <f>IF(claim602.1.9_5=F205,claim602.1.9_5,0)</f>
        <v>0</v>
      </c>
      <c r="H205" s="3505"/>
      <c r="I205" s="3629"/>
      <c r="J205" s="3505"/>
      <c r="K205" s="3518">
        <f>note602.1.9_5</f>
        <v>0</v>
      </c>
      <c r="L205" s="3519"/>
      <c r="O205" s="28">
        <f>IF(AND(H205&gt;0,I205&gt;0),1,0)</f>
        <v>0</v>
      </c>
    </row>
    <row r="206" spans="3:28" ht="32.25" customHeight="1">
      <c r="C206" s="1461" t="str">
        <f t="shared" si="41"/>
        <v/>
      </c>
      <c r="D206" s="1462" t="s">
        <v>2100</v>
      </c>
      <c r="E206" s="1762" t="s">
        <v>1560</v>
      </c>
      <c r="F206" s="1700">
        <v>2</v>
      </c>
      <c r="G206" s="1701">
        <f>IF(claim602.1.9_5=F206,claim602.1.9_5,0)</f>
        <v>0</v>
      </c>
      <c r="H206" s="3582"/>
      <c r="I206" s="3647"/>
      <c r="J206" s="3582"/>
      <c r="K206" s="3289"/>
      <c r="L206" s="3527"/>
    </row>
    <row r="207" spans="3:28" ht="21.75" customHeight="1">
      <c r="C207" s="1461" t="str">
        <f t="shared" si="41"/>
        <v/>
      </c>
      <c r="D207" s="1462" t="s">
        <v>2100</v>
      </c>
      <c r="E207" s="3567" t="s">
        <v>1561</v>
      </c>
      <c r="F207" s="3565">
        <v>2</v>
      </c>
      <c r="G207" s="3562">
        <f>claim602.1.9_6</f>
        <v>0</v>
      </c>
      <c r="H207" s="3546"/>
      <c r="I207" s="3629"/>
      <c r="J207" s="1370" t="str">
        <f>IF(I207&gt;0,"Explain verification at final","")</f>
        <v/>
      </c>
      <c r="K207" s="3518">
        <f>note602.1.9_6</f>
        <v>0</v>
      </c>
      <c r="L207" s="3519"/>
      <c r="O207" s="28">
        <f>IF(AND(H207&gt;0,I207&gt;0),1,0)</f>
        <v>0</v>
      </c>
      <c r="P207" s="1342">
        <f>IF(AND(J207&lt;&gt;"",J208=""),1,0)</f>
        <v>0</v>
      </c>
      <c r="Q207" s="1375"/>
      <c r="R207" s="1375"/>
    </row>
    <row r="208" spans="3:28" ht="26.25" customHeight="1">
      <c r="C208" s="1461"/>
      <c r="D208" s="1462" t="s">
        <v>2100</v>
      </c>
      <c r="E208" s="3593"/>
      <c r="F208" s="3315"/>
      <c r="G208" s="3596"/>
      <c r="H208" s="3564"/>
      <c r="I208" s="3647"/>
      <c r="J208" s="1244"/>
      <c r="K208" s="3289"/>
      <c r="L208" s="3527"/>
    </row>
    <row r="209" spans="3:19" ht="18" customHeight="1">
      <c r="C209" s="1461" t="str">
        <f t="shared" ref="C209" si="42">IF(G209&gt;0,"P","")</f>
        <v/>
      </c>
      <c r="D209" s="1462" t="s">
        <v>2100</v>
      </c>
      <c r="E209" s="3567" t="s">
        <v>1562</v>
      </c>
      <c r="F209" s="3565">
        <v>2</v>
      </c>
      <c r="G209" s="3562">
        <f>claim602.1.9_7</f>
        <v>0</v>
      </c>
      <c r="H209" s="3546"/>
      <c r="I209" s="3629"/>
      <c r="J209" s="1367" t="str">
        <f>IF(I209&gt;0,"Explain verification at final","")</f>
        <v/>
      </c>
      <c r="K209" s="3518">
        <f>note602.1.9_7</f>
        <v>0</v>
      </c>
      <c r="L209" s="3519"/>
      <c r="O209" s="28">
        <f>IF(AND(H209&gt;0,I209&gt;0),1,0)</f>
        <v>0</v>
      </c>
      <c r="P209" s="1342">
        <f>IF(AND(J209&lt;&gt;"",J210=""),1,0)</f>
        <v>0</v>
      </c>
      <c r="Q209" s="1375"/>
      <c r="R209" s="1375"/>
    </row>
    <row r="210" spans="3:19" ht="18" customHeight="1" thickBot="1">
      <c r="C210" s="1461"/>
      <c r="D210" s="1462" t="s">
        <v>2100</v>
      </c>
      <c r="E210" s="3568"/>
      <c r="F210" s="3566"/>
      <c r="G210" s="3563"/>
      <c r="H210" s="3564"/>
      <c r="I210" s="3647"/>
      <c r="J210" s="1244"/>
      <c r="K210" s="3537"/>
      <c r="L210" s="3538"/>
    </row>
    <row r="211" spans="3:19" ht="16" thickTop="1">
      <c r="C211" s="1461" t="str">
        <f>IF(SUM(G212:G214)&gt;0,"P","")</f>
        <v/>
      </c>
      <c r="D211" s="1462" t="s">
        <v>2099</v>
      </c>
      <c r="E211" s="3615" t="s">
        <v>1761</v>
      </c>
      <c r="F211" s="3616"/>
      <c r="G211" s="3616"/>
      <c r="H211" s="3616"/>
      <c r="I211" s="3617"/>
      <c r="J211" s="1220"/>
      <c r="K211" s="3326"/>
      <c r="L211" s="3515"/>
    </row>
    <row r="212" spans="3:19">
      <c r="C212" s="1461" t="str">
        <f t="shared" ref="C212:C216" si="43">IF(G212&gt;0,"P","")</f>
        <v/>
      </c>
      <c r="D212" s="1462" t="s">
        <v>2099</v>
      </c>
      <c r="E212" s="1699" t="s">
        <v>1853</v>
      </c>
      <c r="F212" s="1700">
        <v>2</v>
      </c>
      <c r="G212" s="1701">
        <f>IF(claim602.1.10=F212,F212,0)</f>
        <v>0</v>
      </c>
      <c r="H212" s="3546"/>
      <c r="I212" s="3551"/>
      <c r="J212" s="3554"/>
      <c r="K212" s="3518">
        <f>note602.1.10</f>
        <v>0</v>
      </c>
      <c r="L212" s="3519"/>
      <c r="O212" s="28">
        <f>IF(AND(H212&gt;0,I212&gt;0),1,0)</f>
        <v>0</v>
      </c>
    </row>
    <row r="213" spans="3:19">
      <c r="C213" s="1461" t="str">
        <f t="shared" si="43"/>
        <v/>
      </c>
      <c r="D213" s="1462" t="s">
        <v>2099</v>
      </c>
      <c r="E213" s="1699" t="s">
        <v>1854</v>
      </c>
      <c r="F213" s="1700">
        <v>4</v>
      </c>
      <c r="G213" s="1701">
        <f>IF(claim602.1.10=F213,F213,0)</f>
        <v>0</v>
      </c>
      <c r="H213" s="3547"/>
      <c r="I213" s="3552"/>
      <c r="J213" s="3555"/>
      <c r="K213" s="3330"/>
      <c r="L213" s="3560"/>
    </row>
    <row r="214" spans="3:19" ht="16" thickBot="1">
      <c r="C214" s="1461" t="str">
        <f t="shared" si="43"/>
        <v/>
      </c>
      <c r="D214" s="1462" t="s">
        <v>2099</v>
      </c>
      <c r="E214" s="1743" t="s">
        <v>1855</v>
      </c>
      <c r="F214" s="220">
        <v>6</v>
      </c>
      <c r="G214" s="1701">
        <f>IF(claim602.1.10=F214,claim602.1.10,0)</f>
        <v>0</v>
      </c>
      <c r="H214" s="3548"/>
      <c r="I214" s="3553"/>
      <c r="J214" s="3556"/>
      <c r="K214" s="3537"/>
      <c r="L214" s="3538"/>
    </row>
    <row r="215" spans="3:19" ht="39.75" customHeight="1" thickTop="1" thickBot="1">
      <c r="C215" s="1461" t="s">
        <v>2104</v>
      </c>
      <c r="D215" s="1462" t="s">
        <v>2099</v>
      </c>
      <c r="E215" s="1763" t="s">
        <v>1762</v>
      </c>
      <c r="F215" s="1379" t="s">
        <v>295</v>
      </c>
      <c r="G215" s="1980">
        <f>claim602.1.11</f>
        <v>0</v>
      </c>
      <c r="H215" s="2070"/>
      <c r="I215" s="2071"/>
      <c r="J215" s="1248"/>
      <c r="K215" s="3316">
        <f>note602.1.11</f>
        <v>0</v>
      </c>
      <c r="L215" s="3580"/>
      <c r="R215" s="1356">
        <f>IF(AND(ReportType="Final",H215="",I215=""),1,0)</f>
        <v>0</v>
      </c>
    </row>
    <row r="216" spans="3:19" ht="29.25" customHeight="1" thickTop="1" thickBot="1">
      <c r="C216" s="1461" t="str">
        <f t="shared" si="43"/>
        <v/>
      </c>
      <c r="D216" s="1462" t="s">
        <v>2099</v>
      </c>
      <c r="E216" s="1763" t="s">
        <v>2604</v>
      </c>
      <c r="F216" s="242">
        <v>4</v>
      </c>
      <c r="G216" s="229">
        <f>claim602.1.12</f>
        <v>0</v>
      </c>
      <c r="H216" s="1702"/>
      <c r="I216" s="1716"/>
      <c r="J216" s="1248"/>
      <c r="K216" s="3316">
        <f>note602.1.12</f>
        <v>0</v>
      </c>
      <c r="L216" s="3580"/>
      <c r="O216" s="28">
        <f>IF(AND(H216&gt;0,I216&gt;0),1,0)</f>
        <v>0</v>
      </c>
    </row>
    <row r="217" spans="3:19" ht="18.75" customHeight="1" thickTop="1">
      <c r="C217" s="1461" t="s">
        <v>2104</v>
      </c>
      <c r="D217" s="1462" t="s">
        <v>2100</v>
      </c>
      <c r="E217" s="3627" t="s">
        <v>1764</v>
      </c>
      <c r="F217" s="3881" t="s">
        <v>295</v>
      </c>
      <c r="G217" s="3863">
        <f>claim602.1.13</f>
        <v>0</v>
      </c>
      <c r="H217" s="3505"/>
      <c r="I217" s="3601"/>
      <c r="J217" s="1355" t="str">
        <f>IF(I217="Met","Explain verification at final","")</f>
        <v/>
      </c>
      <c r="K217" s="3481">
        <f>note602.1.13</f>
        <v>0</v>
      </c>
      <c r="L217" s="3557"/>
      <c r="P217" s="1342">
        <f>IF(AND(J217&lt;&gt;"",J218=""),1,0)</f>
        <v>0</v>
      </c>
      <c r="Q217" s="1375"/>
      <c r="R217" s="1375"/>
    </row>
    <row r="218" spans="3:19" ht="42" customHeight="1" thickBot="1">
      <c r="C218" s="1461"/>
      <c r="D218" s="1462" t="s">
        <v>2100</v>
      </c>
      <c r="E218" s="3568"/>
      <c r="F218" s="3882"/>
      <c r="G218" s="3563"/>
      <c r="H218" s="3506"/>
      <c r="I218" s="3678"/>
      <c r="J218" s="1244"/>
      <c r="K218" s="3537"/>
      <c r="L218" s="3538"/>
      <c r="Q218" s="28">
        <f>IF(H217="",1,0)</f>
        <v>1</v>
      </c>
      <c r="R218" s="1356">
        <f>IF(AND(ReportType="Final",H217="",I217=""),1,0)</f>
        <v>0</v>
      </c>
      <c r="S218" s="1356"/>
    </row>
    <row r="219" spans="3:19" ht="18" customHeight="1" thickTop="1">
      <c r="C219" s="1461" t="str">
        <f>IF(SUM(G220:G223)&gt;0,"P","")</f>
        <v/>
      </c>
      <c r="D219" s="1462" t="s">
        <v>2099</v>
      </c>
      <c r="E219" s="3615" t="s">
        <v>1765</v>
      </c>
      <c r="F219" s="3616"/>
      <c r="G219" s="3616"/>
      <c r="H219" s="3616"/>
      <c r="I219" s="3617"/>
      <c r="J219" s="1220"/>
      <c r="K219" s="3326"/>
      <c r="L219" s="3515"/>
    </row>
    <row r="220" spans="3:19" ht="26.25" customHeight="1">
      <c r="C220" s="1461" t="str">
        <f t="shared" ref="C220:C231" si="44">IF(G220&gt;0,"P","")</f>
        <v/>
      </c>
      <c r="D220" s="1462" t="s">
        <v>2099</v>
      </c>
      <c r="E220" s="1699" t="s">
        <v>1856</v>
      </c>
      <c r="F220" s="1700">
        <v>2</v>
      </c>
      <c r="G220" s="1701">
        <f>claim602.1.14_2</f>
        <v>0</v>
      </c>
      <c r="H220" s="1702"/>
      <c r="I220" s="1716"/>
      <c r="J220" s="1702"/>
      <c r="K220" s="3513">
        <f>note602.1.14_1</f>
        <v>0</v>
      </c>
      <c r="L220" s="3514"/>
      <c r="O220" s="28">
        <f>IF(AND(H220&gt;0,I220&gt;0),1,0)</f>
        <v>0</v>
      </c>
    </row>
    <row r="221" spans="3:19" ht="28.5" customHeight="1">
      <c r="C221" s="1461" t="str">
        <f t="shared" si="44"/>
        <v/>
      </c>
      <c r="D221" s="1462" t="s">
        <v>2099</v>
      </c>
      <c r="E221" s="1699" t="s">
        <v>1857</v>
      </c>
      <c r="F221" s="1700">
        <v>2</v>
      </c>
      <c r="G221" s="1701">
        <f>claim602.1.14_2</f>
        <v>0</v>
      </c>
      <c r="H221" s="1702"/>
      <c r="I221" s="1716"/>
      <c r="J221" s="1702"/>
      <c r="K221" s="3513">
        <f>note602.1.14_2</f>
        <v>0</v>
      </c>
      <c r="L221" s="3514"/>
      <c r="O221" s="28">
        <f>IF(AND(H221&gt;0,I221&gt;0),1,0)</f>
        <v>0</v>
      </c>
    </row>
    <row r="222" spans="3:19">
      <c r="C222" s="1461" t="str">
        <f t="shared" si="44"/>
        <v/>
      </c>
      <c r="D222" s="1462" t="s">
        <v>2099</v>
      </c>
      <c r="E222" s="3533" t="s">
        <v>1858</v>
      </c>
      <c r="F222" s="3535" t="s">
        <v>1766</v>
      </c>
      <c r="G222" s="1591">
        <f>choice602.1.14_3</f>
        <v>0</v>
      </c>
      <c r="H222" s="3965"/>
      <c r="I222" s="3845"/>
      <c r="J222" s="3879"/>
      <c r="K222" s="3518">
        <f>note602.1.14_3</f>
        <v>0</v>
      </c>
      <c r="L222" s="3519"/>
      <c r="O222" s="28">
        <f>IF(AND(H222&gt;0,I222&gt;0),1,0)</f>
        <v>0</v>
      </c>
      <c r="R222" s="1356">
        <f>IF(AND(ReportType="Final",H222="",I222=""),1,0)</f>
        <v>0</v>
      </c>
      <c r="S222" s="1356"/>
    </row>
    <row r="223" spans="3:19" ht="24.75" customHeight="1" thickBot="1">
      <c r="C223" s="1461" t="s">
        <v>2104</v>
      </c>
      <c r="D223" s="1462" t="s">
        <v>2099</v>
      </c>
      <c r="E223" s="3534"/>
      <c r="F223" s="3536"/>
      <c r="G223" s="1664" t="str">
        <f>IF(claim602.1.14_3=0,"0",claim602.1.14_3)</f>
        <v>0</v>
      </c>
      <c r="H223" s="3966"/>
      <c r="I223" s="3846"/>
      <c r="J223" s="3880"/>
      <c r="K223" s="3537"/>
      <c r="L223" s="3538"/>
    </row>
    <row r="224" spans="3:19" ht="40.5" customHeight="1" thickTop="1">
      <c r="C224" s="1461" t="str">
        <f>IF(SUM(G225:G227)&gt;0,"P","")</f>
        <v/>
      </c>
      <c r="D224" s="1462" t="s">
        <v>2101</v>
      </c>
      <c r="E224" s="3615" t="s">
        <v>1989</v>
      </c>
      <c r="F224" s="3616"/>
      <c r="G224" s="3616"/>
      <c r="H224" s="3616"/>
      <c r="I224" s="3617"/>
      <c r="J224" s="1681"/>
      <c r="K224" s="3346"/>
      <c r="L224" s="3575"/>
    </row>
    <row r="225" spans="3:19" ht="26.25" customHeight="1">
      <c r="C225" s="1461" t="str">
        <f t="shared" si="44"/>
        <v/>
      </c>
      <c r="D225" s="1462" t="s">
        <v>2101</v>
      </c>
      <c r="E225" s="1699" t="s">
        <v>1768</v>
      </c>
      <c r="F225" s="1764">
        <v>3</v>
      </c>
      <c r="G225" s="1701">
        <f>IF(choice602.2="ENERGY STAR® cool roof",3,0)</f>
        <v>0</v>
      </c>
      <c r="H225" s="3629"/>
      <c r="I225" s="3546"/>
      <c r="J225" s="3554"/>
      <c r="K225" s="3518">
        <f>note602.2</f>
        <v>0</v>
      </c>
      <c r="L225" s="3519"/>
      <c r="O225" s="28">
        <f>IF(AND(H225&gt;0,I225&gt;0),1,0)</f>
        <v>0</v>
      </c>
    </row>
    <row r="226" spans="3:19" ht="15.75" customHeight="1">
      <c r="C226" s="1461" t="str">
        <f t="shared" si="44"/>
        <v/>
      </c>
      <c r="D226" s="1462" t="s">
        <v>2101</v>
      </c>
      <c r="E226" s="1699" t="s">
        <v>1769</v>
      </c>
      <c r="F226" s="1764">
        <v>3</v>
      </c>
      <c r="G226" s="1701">
        <f>IF(choice602.2="Vegetated roof system",3,0)</f>
        <v>0</v>
      </c>
      <c r="H226" s="3630"/>
      <c r="I226" s="3547"/>
      <c r="J226" s="3555"/>
      <c r="K226" s="3330"/>
      <c r="L226" s="3560"/>
    </row>
    <row r="227" spans="3:19" ht="16" thickBot="1">
      <c r="C227" s="1461" t="str">
        <f t="shared" si="44"/>
        <v/>
      </c>
      <c r="D227" s="1462" t="s">
        <v>2101</v>
      </c>
      <c r="E227" s="1743" t="s">
        <v>1770</v>
      </c>
      <c r="F227" s="1076">
        <v>3</v>
      </c>
      <c r="G227" s="221">
        <f>IF(choice602.2="Both",3,0)</f>
        <v>0</v>
      </c>
      <c r="H227" s="3631"/>
      <c r="I227" s="3548"/>
      <c r="J227" s="3556"/>
      <c r="K227" s="3537"/>
      <c r="L227" s="3538"/>
    </row>
    <row r="228" spans="3:19" ht="41.25" customHeight="1" thickTop="1">
      <c r="C228" s="1461" t="str">
        <f t="shared" si="44"/>
        <v/>
      </c>
      <c r="D228" s="1462" t="s">
        <v>2101</v>
      </c>
      <c r="E228" s="1745" t="s">
        <v>1771</v>
      </c>
      <c r="F228" s="1700">
        <v>4</v>
      </c>
      <c r="G228" s="1407">
        <f>claim602.3</f>
        <v>0</v>
      </c>
      <c r="H228" s="1708"/>
      <c r="I228" s="1716"/>
      <c r="J228" s="1255"/>
      <c r="K228" s="3332">
        <f>note602.3</f>
        <v>0</v>
      </c>
      <c r="L228" s="3507"/>
      <c r="O228" s="28">
        <f>IF(AND(H228&gt;0,I228&gt;0),1,0)</f>
        <v>0</v>
      </c>
    </row>
    <row r="229" spans="3:19" ht="66.75" customHeight="1">
      <c r="C229" s="1461" t="s">
        <v>2104</v>
      </c>
      <c r="D229" s="1462" t="s">
        <v>2101</v>
      </c>
      <c r="E229" s="1707" t="s">
        <v>1772</v>
      </c>
      <c r="F229" s="1765" t="s">
        <v>3</v>
      </c>
      <c r="G229" s="1407">
        <f>claim602.4.1</f>
        <v>0</v>
      </c>
      <c r="H229" s="1760"/>
      <c r="I229" s="1716"/>
      <c r="J229" s="1716"/>
      <c r="K229" s="3513">
        <f>note602.4.1</f>
        <v>0</v>
      </c>
      <c r="L229" s="3514"/>
      <c r="M229" s="1207"/>
      <c r="R229" s="1356">
        <f>IF(AND(ReportType="Final",H229="",I229=""),1,0)</f>
        <v>0</v>
      </c>
      <c r="S229" s="1356"/>
    </row>
    <row r="230" spans="3:19" ht="30.75" customHeight="1" thickBot="1">
      <c r="C230" s="1461" t="str">
        <f t="shared" si="44"/>
        <v/>
      </c>
      <c r="D230" s="1462" t="s">
        <v>2101</v>
      </c>
      <c r="E230" s="1725" t="s">
        <v>1774</v>
      </c>
      <c r="F230" s="220">
        <v>1</v>
      </c>
      <c r="G230" s="221">
        <f>claim602.4.2</f>
        <v>0</v>
      </c>
      <c r="H230" s="1760"/>
      <c r="I230" s="1716"/>
      <c r="J230" s="1245"/>
      <c r="K230" s="3340">
        <f>note602.4.2</f>
        <v>0</v>
      </c>
      <c r="L230" s="3579"/>
      <c r="O230" s="28">
        <f>IF(AND(H230&gt;0,I230&gt;0),1,0)</f>
        <v>0</v>
      </c>
    </row>
    <row r="231" spans="3:19" ht="30" customHeight="1" thickTop="1">
      <c r="C231" s="1461" t="str">
        <f t="shared" si="44"/>
        <v/>
      </c>
      <c r="D231" s="1462" t="s">
        <v>2101</v>
      </c>
      <c r="E231" s="1766" t="s">
        <v>1775</v>
      </c>
      <c r="F231" s="1656">
        <v>1</v>
      </c>
      <c r="G231" s="1668">
        <f>claim602.4.3</f>
        <v>0</v>
      </c>
      <c r="H231" s="1702"/>
      <c r="I231" s="1716"/>
      <c r="J231" s="1249"/>
      <c r="K231" s="3481">
        <f>note602.4.3</f>
        <v>0</v>
      </c>
      <c r="L231" s="3557"/>
      <c r="O231" s="28">
        <f>IF(AND(H231&gt;0,I231&gt;0),1,0)</f>
        <v>0</v>
      </c>
    </row>
    <row r="232" spans="3:19">
      <c r="C232" s="1461"/>
      <c r="D232" s="1462" t="s">
        <v>2101</v>
      </c>
      <c r="E232" s="3539" t="s">
        <v>486</v>
      </c>
      <c r="F232" s="3540"/>
      <c r="G232" s="3540"/>
      <c r="H232" s="3540"/>
      <c r="I232" s="3540"/>
      <c r="J232" s="3540"/>
      <c r="K232" s="3540"/>
      <c r="L232" s="3541"/>
    </row>
    <row r="233" spans="3:19">
      <c r="C233" s="1461" t="str">
        <f>IF(G234&gt;0,"P","")</f>
        <v/>
      </c>
      <c r="D233" s="1462" t="s">
        <v>2099</v>
      </c>
      <c r="E233" s="3558" t="s">
        <v>1776</v>
      </c>
      <c r="F233" s="3852" t="s">
        <v>487</v>
      </c>
      <c r="G233" s="1660">
        <f>choice603.1</f>
        <v>0</v>
      </c>
      <c r="H233" s="3505"/>
      <c r="I233" s="3546"/>
      <c r="J233" s="3554"/>
      <c r="K233" s="3518">
        <f>note603.1</f>
        <v>0</v>
      </c>
      <c r="L233" s="3519"/>
      <c r="O233" s="28">
        <f>IF(SUM(H233,I233)&gt;12,1,0)</f>
        <v>0</v>
      </c>
    </row>
    <row r="234" spans="3:19" ht="16" thickBot="1">
      <c r="C234" s="1461"/>
      <c r="D234" s="1462" t="s">
        <v>2099</v>
      </c>
      <c r="E234" s="3559"/>
      <c r="F234" s="3878"/>
      <c r="G234" s="221">
        <f>claim603.1</f>
        <v>0</v>
      </c>
      <c r="H234" s="3506"/>
      <c r="I234" s="3564"/>
      <c r="J234" s="3556"/>
      <c r="K234" s="3537"/>
      <c r="L234" s="3538"/>
    </row>
    <row r="235" spans="3:19" ht="16" thickTop="1">
      <c r="C235" s="1461" t="str">
        <f>IF(G236&gt;0,"P","")</f>
        <v/>
      </c>
      <c r="D235" s="1462" t="s">
        <v>2099</v>
      </c>
      <c r="E235" s="3542" t="s">
        <v>1777</v>
      </c>
      <c r="F235" s="3544" t="s">
        <v>470</v>
      </c>
      <c r="G235" s="1079">
        <f>choice603.2</f>
        <v>0</v>
      </c>
      <c r="H235" s="3549"/>
      <c r="I235" s="3546"/>
      <c r="J235" s="1344" t="str">
        <f>IF(H235&gt;0,"Explain verification at rough:","")</f>
        <v/>
      </c>
      <c r="K235" s="3481">
        <f>note603.2</f>
        <v>0</v>
      </c>
      <c r="L235" s="3557"/>
      <c r="O235" s="28">
        <f>IF(SUM(H235,I235)&gt;9,1,0)</f>
        <v>0</v>
      </c>
      <c r="P235" s="1342">
        <f>IF(AND(J235&lt;&gt;"",J236=""),1,0)</f>
        <v>0</v>
      </c>
      <c r="Q235" s="1375"/>
      <c r="R235" s="1375"/>
    </row>
    <row r="236" spans="3:19" ht="42" customHeight="1" thickBot="1">
      <c r="C236" s="1461"/>
      <c r="D236" s="1462" t="s">
        <v>2099</v>
      </c>
      <c r="E236" s="3543"/>
      <c r="F236" s="3545"/>
      <c r="G236" s="1659">
        <f>claim603.2</f>
        <v>0</v>
      </c>
      <c r="H236" s="3550"/>
      <c r="I236" s="3548"/>
      <c r="J236" s="1244"/>
      <c r="K236" s="3330"/>
      <c r="L236" s="3560"/>
    </row>
    <row r="237" spans="3:19" ht="29.25" customHeight="1" thickTop="1">
      <c r="C237" s="1461" t="str">
        <f>IF(G237&gt;0,"P","")</f>
        <v/>
      </c>
      <c r="D237" s="1462" t="s">
        <v>2100</v>
      </c>
      <c r="E237" s="1745" t="s">
        <v>1778</v>
      </c>
      <c r="F237" s="245">
        <v>4</v>
      </c>
      <c r="G237" s="1078">
        <f>claim603.3</f>
        <v>0</v>
      </c>
      <c r="H237" s="1702"/>
      <c r="I237" s="1716"/>
      <c r="J237" s="1256"/>
      <c r="K237" s="3332">
        <f>note603.3</f>
        <v>0</v>
      </c>
      <c r="L237" s="3507"/>
      <c r="O237" s="28">
        <f>IF(AND(H237&gt;0,I237&gt;0),1,0)</f>
        <v>0</v>
      </c>
    </row>
    <row r="238" spans="3:19">
      <c r="C238" s="1461"/>
      <c r="D238" s="1462"/>
      <c r="E238" s="3539" t="s">
        <v>488</v>
      </c>
      <c r="F238" s="3540"/>
      <c r="G238" s="3540"/>
      <c r="H238" s="3540"/>
      <c r="I238" s="3540"/>
      <c r="J238" s="3540"/>
      <c r="K238" s="3540"/>
      <c r="L238" s="3541"/>
    </row>
    <row r="239" spans="3:19" ht="15.75" customHeight="1">
      <c r="C239" s="1461" t="str">
        <f>IF(SUM(G240:G242)&gt;0,"P","")</f>
        <v/>
      </c>
      <c r="D239" s="1462" t="s">
        <v>2099</v>
      </c>
      <c r="E239" s="3569" t="s">
        <v>1991</v>
      </c>
      <c r="F239" s="3570"/>
      <c r="G239" s="3570"/>
      <c r="H239" s="3570"/>
      <c r="I239" s="3571"/>
      <c r="J239" s="1682"/>
      <c r="K239" s="3577"/>
      <c r="L239" s="3578"/>
    </row>
    <row r="240" spans="3:19">
      <c r="C240" s="1461" t="str">
        <f t="shared" ref="C240:C242" si="45">IF(G240&gt;0,"P","")</f>
        <v/>
      </c>
      <c r="D240" s="1462" t="s">
        <v>2099</v>
      </c>
      <c r="E240" s="1746" t="s">
        <v>808</v>
      </c>
      <c r="F240" s="1700">
        <v>1</v>
      </c>
      <c r="G240" s="1701">
        <f>IF(claim604.1.1=F240,F240,0)</f>
        <v>0</v>
      </c>
      <c r="H240" s="3546"/>
      <c r="I240" s="3546"/>
      <c r="J240" s="1767" t="str">
        <f>IF(SUM(H240:I242)&gt;0,"List 2 minor materials &amp; % recycle content:", "")</f>
        <v/>
      </c>
      <c r="K240" s="3523">
        <f>note604.1.1</f>
        <v>0</v>
      </c>
      <c r="L240" s="3524"/>
      <c r="O240" s="28">
        <f>IF(AND(H240&gt;0,I240&gt;0),1,0)</f>
        <v>0</v>
      </c>
    </row>
    <row r="241" spans="3:18">
      <c r="C241" s="1461" t="str">
        <f t="shared" si="45"/>
        <v/>
      </c>
      <c r="D241" s="1462" t="s">
        <v>2099</v>
      </c>
      <c r="E241" s="1746" t="s">
        <v>809</v>
      </c>
      <c r="F241" s="1700">
        <v>2</v>
      </c>
      <c r="G241" s="1701">
        <f>IF(claim604.1.1=F241,F241,0)</f>
        <v>0</v>
      </c>
      <c r="H241" s="3547"/>
      <c r="I241" s="3547"/>
      <c r="J241" s="3555"/>
      <c r="K241" s="3348"/>
      <c r="L241" s="3525"/>
    </row>
    <row r="242" spans="3:18" ht="16" thickBot="1">
      <c r="C242" s="1461" t="str">
        <f t="shared" si="45"/>
        <v/>
      </c>
      <c r="D242" s="1462" t="s">
        <v>2099</v>
      </c>
      <c r="E242" s="1746" t="s">
        <v>810</v>
      </c>
      <c r="F242" s="1700">
        <v>3</v>
      </c>
      <c r="G242" s="1701">
        <f>IF(claim604.1.1=F242,F242,0)</f>
        <v>0</v>
      </c>
      <c r="H242" s="3548"/>
      <c r="I242" s="3548"/>
      <c r="J242" s="3561"/>
      <c r="K242" s="3336"/>
      <c r="L242" s="3526"/>
    </row>
    <row r="243" spans="3:18" ht="16.5" customHeight="1" thickTop="1">
      <c r="C243" s="1461" t="str">
        <f>IF(SUM(G244:G246)&gt;0,"P","")</f>
        <v/>
      </c>
      <c r="D243" s="1462" t="s">
        <v>2099</v>
      </c>
      <c r="E243" s="3572" t="s">
        <v>1990</v>
      </c>
      <c r="F243" s="3573"/>
      <c r="G243" s="3573"/>
      <c r="H243" s="3573"/>
      <c r="I243" s="3574"/>
      <c r="J243" s="1728"/>
      <c r="K243" s="3577"/>
      <c r="L243" s="3578"/>
    </row>
    <row r="244" spans="3:18">
      <c r="C244" s="1461" t="str">
        <f t="shared" ref="C244:C255" si="46">IF(G244&gt;0,"P","")</f>
        <v/>
      </c>
      <c r="D244" s="1462" t="s">
        <v>2099</v>
      </c>
      <c r="E244" s="1746" t="s">
        <v>808</v>
      </c>
      <c r="F244" s="1700">
        <v>2</v>
      </c>
      <c r="G244" s="1701">
        <f>IF(claim604.1.2=F244,F244,0)</f>
        <v>0</v>
      </c>
      <c r="H244" s="3546"/>
      <c r="I244" s="3546"/>
      <c r="J244" s="1767" t="str">
        <f>IF(SUM(H244:I246)&gt;0,"List 2 major materials &amp; % recycle content:", "")</f>
        <v/>
      </c>
      <c r="K244" s="3523">
        <f>note604.1.2</f>
        <v>0</v>
      </c>
      <c r="L244" s="3524"/>
      <c r="O244" s="28">
        <f>IF(AND(H244&gt;0,I244&gt;0),1,0)</f>
        <v>0</v>
      </c>
      <c r="P244" s="1342">
        <f>IF(AND(J244&lt;&gt;"",J245=""),1,0)</f>
        <v>0</v>
      </c>
      <c r="Q244" s="1375"/>
      <c r="R244" s="1375"/>
    </row>
    <row r="245" spans="3:18">
      <c r="C245" s="1461" t="str">
        <f t="shared" si="46"/>
        <v/>
      </c>
      <c r="D245" s="1462" t="s">
        <v>2099</v>
      </c>
      <c r="E245" s="1746" t="s">
        <v>809</v>
      </c>
      <c r="F245" s="1700">
        <v>4</v>
      </c>
      <c r="G245" s="1701">
        <f>IF(claim604.1.2=F245,F245,0)</f>
        <v>0</v>
      </c>
      <c r="H245" s="3547"/>
      <c r="I245" s="3547"/>
      <c r="J245" s="3555"/>
      <c r="K245" s="3348"/>
      <c r="L245" s="3525"/>
    </row>
    <row r="246" spans="3:18" ht="16" thickBot="1">
      <c r="C246" s="1461" t="str">
        <f t="shared" si="46"/>
        <v/>
      </c>
      <c r="D246" s="1462" t="s">
        <v>2099</v>
      </c>
      <c r="E246" s="1746" t="s">
        <v>810</v>
      </c>
      <c r="F246" s="1700">
        <v>6</v>
      </c>
      <c r="G246" s="1701">
        <f>IF(claim604.1.2=F246,F246,0)</f>
        <v>0</v>
      </c>
      <c r="H246" s="3548"/>
      <c r="I246" s="3548"/>
      <c r="J246" s="3561"/>
      <c r="K246" s="3336"/>
      <c r="L246" s="3526"/>
    </row>
    <row r="247" spans="3:18" ht="16" thickTop="1">
      <c r="C247" s="1461"/>
      <c r="D247" s="1462"/>
      <c r="E247" s="3539" t="s">
        <v>489</v>
      </c>
      <c r="F247" s="3540"/>
      <c r="G247" s="3540"/>
      <c r="H247" s="3540"/>
      <c r="I247" s="3540"/>
      <c r="J247" s="3540"/>
      <c r="K247" s="3540"/>
      <c r="L247" s="3541"/>
    </row>
    <row r="248" spans="3:18" ht="42.75" customHeight="1" thickBot="1">
      <c r="C248" s="1461" t="str">
        <f t="shared" si="46"/>
        <v/>
      </c>
      <c r="D248" s="1462" t="s">
        <v>2100</v>
      </c>
      <c r="E248" s="1768" t="s">
        <v>2549</v>
      </c>
      <c r="F248" s="2007" t="s">
        <v>3</v>
      </c>
      <c r="G248" s="1660">
        <f>claim605.1</f>
        <v>0</v>
      </c>
      <c r="H248" s="2073"/>
      <c r="I248" s="2072"/>
      <c r="J248" s="1254"/>
      <c r="K248" s="3340">
        <f>note605.1</f>
        <v>0</v>
      </c>
      <c r="L248" s="3579"/>
      <c r="O248" s="28">
        <f>IF(AND(H248&gt;0,I248&gt;0),1,0)</f>
        <v>0</v>
      </c>
    </row>
    <row r="249" spans="3:18" ht="61.5" customHeight="1" thickTop="1" thickBot="1">
      <c r="C249" s="1461" t="str">
        <f t="shared" si="46"/>
        <v/>
      </c>
      <c r="D249" s="1462" t="s">
        <v>2099</v>
      </c>
      <c r="E249" s="2010" t="s">
        <v>2550</v>
      </c>
      <c r="F249" s="2002">
        <v>6</v>
      </c>
      <c r="G249" s="2006">
        <f>claim605.2</f>
        <v>0</v>
      </c>
      <c r="H249" s="2008"/>
      <c r="I249" s="2004"/>
      <c r="J249" s="1248"/>
      <c r="K249" s="3316">
        <f>note605.2</f>
        <v>0</v>
      </c>
      <c r="L249" s="3580"/>
      <c r="O249" s="28">
        <f>IF(AND(H249&gt;0,I249&gt;0),1,0)</f>
        <v>0</v>
      </c>
    </row>
    <row r="250" spans="3:18" ht="85.5" customHeight="1" thickTop="1" thickBot="1">
      <c r="C250" s="1461"/>
      <c r="D250" s="1462"/>
      <c r="E250" s="1776" t="s">
        <v>2551</v>
      </c>
      <c r="F250" s="1700">
        <v>7</v>
      </c>
      <c r="G250" s="1701">
        <f>claim605.3</f>
        <v>0</v>
      </c>
      <c r="H250" s="1404"/>
      <c r="I250" s="1409"/>
      <c r="J250" s="1254"/>
      <c r="K250" s="2003"/>
      <c r="L250" s="2009"/>
    </row>
    <row r="251" spans="3:18" ht="28.5" customHeight="1" thickTop="1">
      <c r="C251" s="1461" t="str">
        <f>IF(SUM(G252:G255)&gt;0,"P","")</f>
        <v/>
      </c>
      <c r="D251" s="1462" t="s">
        <v>2100</v>
      </c>
      <c r="E251" s="3847" t="s">
        <v>2552</v>
      </c>
      <c r="F251" s="3848"/>
      <c r="G251" s="3848"/>
      <c r="H251" s="3848"/>
      <c r="I251" s="3849"/>
      <c r="J251" s="1216"/>
      <c r="K251" s="3346"/>
      <c r="L251" s="3575"/>
    </row>
    <row r="252" spans="3:18">
      <c r="C252" s="1461" t="str">
        <f t="shared" si="46"/>
        <v/>
      </c>
      <c r="D252" s="1462" t="s">
        <v>2100</v>
      </c>
      <c r="E252" s="1746" t="s">
        <v>818</v>
      </c>
      <c r="F252" s="1700">
        <v>3</v>
      </c>
      <c r="G252" s="1701">
        <f>IF(score605.4=F252,F252,0)</f>
        <v>0</v>
      </c>
      <c r="H252" s="3505"/>
      <c r="I252" s="3505"/>
      <c r="J252" s="1350" t="str">
        <f>IF(SUM(H252:I255)&gt;0,"Enter recylced materials:","")</f>
        <v/>
      </c>
      <c r="K252" s="3523">
        <f>note605.3</f>
        <v>0</v>
      </c>
      <c r="L252" s="3524"/>
      <c r="O252" s="28">
        <f>IF(AND(H252&gt;0,I252&gt;0),1,0)</f>
        <v>0</v>
      </c>
      <c r="P252" s="1342">
        <f>IF(AND(J252&lt;&gt;"",J253=""),1,0)</f>
        <v>0</v>
      </c>
      <c r="Q252" s="1375"/>
      <c r="R252" s="1375"/>
    </row>
    <row r="253" spans="3:18">
      <c r="C253" s="1461" t="str">
        <f t="shared" si="46"/>
        <v/>
      </c>
      <c r="D253" s="1462" t="s">
        <v>2100</v>
      </c>
      <c r="E253" s="1746" t="s">
        <v>817</v>
      </c>
      <c r="F253" s="1700">
        <v>4</v>
      </c>
      <c r="G253" s="1701">
        <f>IF(score605.4=F253,F253,0)</f>
        <v>0</v>
      </c>
      <c r="H253" s="3581"/>
      <c r="I253" s="3581"/>
      <c r="J253" s="3555"/>
      <c r="K253" s="3348"/>
      <c r="L253" s="3525"/>
    </row>
    <row r="254" spans="3:18">
      <c r="C254" s="1461" t="str">
        <f t="shared" si="46"/>
        <v/>
      </c>
      <c r="D254" s="1462" t="s">
        <v>2100</v>
      </c>
      <c r="E254" s="1746" t="s">
        <v>816</v>
      </c>
      <c r="F254" s="1700">
        <v>5</v>
      </c>
      <c r="G254" s="1701">
        <f>IF(score605.4=F254,F254,0)</f>
        <v>0</v>
      </c>
      <c r="H254" s="3581"/>
      <c r="I254" s="3581"/>
      <c r="J254" s="3555"/>
      <c r="K254" s="3348"/>
      <c r="L254" s="3525"/>
    </row>
    <row r="255" spans="3:18">
      <c r="C255" s="1458" t="str">
        <f t="shared" si="46"/>
        <v/>
      </c>
      <c r="D255" s="282" t="s">
        <v>2100</v>
      </c>
      <c r="E255" s="1746" t="s">
        <v>815</v>
      </c>
      <c r="F255" s="1700">
        <v>6</v>
      </c>
      <c r="G255" s="1701">
        <f>IF(score605.4=F255,F255,0)</f>
        <v>0</v>
      </c>
      <c r="H255" s="3582"/>
      <c r="I255" s="3582"/>
      <c r="J255" s="3561"/>
      <c r="K255" s="3336"/>
      <c r="L255" s="3526"/>
    </row>
    <row r="256" spans="3:18">
      <c r="E256" s="3539" t="s">
        <v>490</v>
      </c>
      <c r="F256" s="3540"/>
      <c r="G256" s="3540"/>
      <c r="H256" s="3540"/>
      <c r="I256" s="3540"/>
      <c r="J256" s="3540"/>
      <c r="K256" s="3540"/>
      <c r="L256" s="3541"/>
    </row>
    <row r="257" spans="3:18">
      <c r="C257" s="1458" t="str">
        <f>IF(SUM(G257:G260)&gt;0,"P","")</f>
        <v/>
      </c>
      <c r="D257" s="282" t="s">
        <v>2101</v>
      </c>
      <c r="E257" s="1768" t="s">
        <v>1788</v>
      </c>
      <c r="F257" s="1456" t="s">
        <v>491</v>
      </c>
      <c r="G257" s="253">
        <f>claim606.1</f>
        <v>0</v>
      </c>
      <c r="H257" s="3546"/>
      <c r="I257" s="3505"/>
      <c r="J257" s="1345" t="str">
        <f>IF(SUM(H257:I260)&gt;0,"Enter product types","")</f>
        <v/>
      </c>
      <c r="K257" s="3523">
        <f>note606.1</f>
        <v>0</v>
      </c>
      <c r="L257" s="3524"/>
      <c r="P257" s="1342">
        <f>IF(AND(J257&lt;&gt;"",J258=""),1,0)</f>
        <v>0</v>
      </c>
      <c r="Q257" s="1375"/>
      <c r="R257" s="1375"/>
    </row>
    <row r="258" spans="3:18">
      <c r="C258" s="1458" t="str">
        <f t="shared" ref="C258:C264" si="47">IF(G258&gt;0,"P","")</f>
        <v/>
      </c>
      <c r="D258" s="282" t="s">
        <v>2101</v>
      </c>
      <c r="E258" s="1746" t="s">
        <v>1784</v>
      </c>
      <c r="F258" s="1711">
        <v>3</v>
      </c>
      <c r="G258" s="1769">
        <f>claim606.1_1</f>
        <v>0</v>
      </c>
      <c r="H258" s="3547"/>
      <c r="I258" s="3581"/>
      <c r="J258" s="3618"/>
      <c r="K258" s="3348"/>
      <c r="L258" s="3525"/>
    </row>
    <row r="259" spans="3:18">
      <c r="C259" s="1458" t="str">
        <f t="shared" si="47"/>
        <v/>
      </c>
      <c r="D259" s="282" t="s">
        <v>2101</v>
      </c>
      <c r="E259" s="1746" t="s">
        <v>1785</v>
      </c>
      <c r="F259" s="1711">
        <v>6</v>
      </c>
      <c r="G259" s="1769">
        <f>claim606.1_2</f>
        <v>0</v>
      </c>
      <c r="H259" s="3547"/>
      <c r="I259" s="3581"/>
      <c r="J259" s="3618"/>
      <c r="K259" s="3348"/>
      <c r="L259" s="3525"/>
    </row>
    <row r="260" spans="3:18" ht="16" thickBot="1">
      <c r="C260" s="1458" t="str">
        <f t="shared" si="47"/>
        <v/>
      </c>
      <c r="D260" s="282" t="s">
        <v>2101</v>
      </c>
      <c r="E260" s="1748" t="s">
        <v>1786</v>
      </c>
      <c r="F260" s="244" t="s">
        <v>1787</v>
      </c>
      <c r="G260" s="1089">
        <f>claim606.1_3</f>
        <v>0</v>
      </c>
      <c r="H260" s="3564"/>
      <c r="I260" s="3582"/>
      <c r="J260" s="3619"/>
      <c r="K260" s="3531"/>
      <c r="L260" s="3532"/>
    </row>
    <row r="261" spans="3:18" ht="15.75" customHeight="1" thickTop="1">
      <c r="C261" s="1458" t="str">
        <f>IF(SUM(G262:G265)&gt;0,"P","")</f>
        <v/>
      </c>
      <c r="D261" s="282" t="s">
        <v>2100</v>
      </c>
      <c r="E261" s="3615" t="s">
        <v>1792</v>
      </c>
      <c r="F261" s="3616"/>
      <c r="G261" s="3616"/>
      <c r="H261" s="3616"/>
      <c r="I261" s="3617"/>
      <c r="J261" s="1214"/>
      <c r="K261" s="3324"/>
      <c r="L261" s="3576"/>
    </row>
    <row r="262" spans="3:18">
      <c r="C262" s="1458" t="str">
        <f t="shared" si="47"/>
        <v/>
      </c>
      <c r="D262" s="282" t="s">
        <v>2100</v>
      </c>
      <c r="E262" s="3567" t="s">
        <v>2094</v>
      </c>
      <c r="F262" s="3565">
        <v>3</v>
      </c>
      <c r="G262" s="3562">
        <f>claim606.2_1</f>
        <v>0</v>
      </c>
      <c r="H262" s="3546"/>
      <c r="I262" s="3629"/>
      <c r="J262" s="1345" t="str">
        <f>IF(SUM(H262:I265)&gt;0,"Enter product types &amp; certification","")</f>
        <v/>
      </c>
      <c r="K262" s="3949">
        <f>note606.2</f>
        <v>0</v>
      </c>
      <c r="L262" s="3950"/>
      <c r="O262" s="28">
        <f>IF(AND(H262&gt;0,I262&gt;0),1,0)</f>
        <v>0</v>
      </c>
      <c r="P262" s="1342">
        <f>IF(AND(J262&lt;&gt;"",J263=""),1,0)</f>
        <v>0</v>
      </c>
      <c r="Q262" s="1375"/>
      <c r="R262" s="1375"/>
    </row>
    <row r="263" spans="3:18" ht="41.25" customHeight="1">
      <c r="D263" s="282" t="s">
        <v>2100</v>
      </c>
      <c r="E263" s="3593"/>
      <c r="F263" s="3315"/>
      <c r="G263" s="3596"/>
      <c r="H263" s="3564"/>
      <c r="I263" s="3647"/>
      <c r="J263" s="1244"/>
      <c r="K263" s="3951"/>
      <c r="L263" s="3952"/>
    </row>
    <row r="264" spans="3:18">
      <c r="C264" s="1458" t="str">
        <f t="shared" si="47"/>
        <v/>
      </c>
      <c r="D264" s="282" t="s">
        <v>2100</v>
      </c>
      <c r="E264" s="3567" t="s">
        <v>2095</v>
      </c>
      <c r="F264" s="3565">
        <v>4</v>
      </c>
      <c r="G264" s="3562">
        <f>claim606.2_2</f>
        <v>0</v>
      </c>
      <c r="H264" s="3546"/>
      <c r="I264" s="3629"/>
      <c r="J264" s="1345" t="str">
        <f>IF(SUM(H264:I267)&gt;0,"Enter product types &amp; certification","")</f>
        <v/>
      </c>
      <c r="K264" s="3951"/>
      <c r="L264" s="3952"/>
      <c r="O264" s="28">
        <f>IF(AND(H264&gt;0,I264&gt;0),1,0)</f>
        <v>0</v>
      </c>
      <c r="P264" s="1342">
        <f>IF(AND(J264&lt;&gt;"",J265=""),1,0)</f>
        <v>0</v>
      </c>
      <c r="Q264" s="1375"/>
      <c r="R264" s="1375"/>
    </row>
    <row r="265" spans="3:18" ht="39.75" customHeight="1" thickBot="1">
      <c r="D265" s="282" t="s">
        <v>2100</v>
      </c>
      <c r="E265" s="3568"/>
      <c r="F265" s="3566"/>
      <c r="G265" s="3563"/>
      <c r="H265" s="3564"/>
      <c r="I265" s="3647"/>
      <c r="J265" s="1244"/>
      <c r="K265" s="3953"/>
      <c r="L265" s="3954"/>
    </row>
    <row r="266" spans="3:18" ht="30.75" customHeight="1" thickTop="1">
      <c r="C266" s="1458" t="str">
        <f>IF(SUM(G267:G269)&gt;0,"P","")</f>
        <v/>
      </c>
      <c r="D266" s="282" t="s">
        <v>2099</v>
      </c>
      <c r="E266" s="3615" t="s">
        <v>1795</v>
      </c>
      <c r="F266" s="3616"/>
      <c r="G266" s="3616"/>
      <c r="H266" s="3616"/>
      <c r="I266" s="3617"/>
      <c r="J266" s="644"/>
      <c r="K266" s="3363"/>
      <c r="L266" s="3363"/>
    </row>
    <row r="267" spans="3:18">
      <c r="C267" s="1458" t="str">
        <f t="shared" ref="C267:C275" si="48">IF(G267&gt;0,"P","")</f>
        <v/>
      </c>
      <c r="D267" s="282" t="s">
        <v>2099</v>
      </c>
      <c r="E267" s="1746" t="s">
        <v>824</v>
      </c>
      <c r="F267" s="1711">
        <v>2</v>
      </c>
      <c r="G267" s="1701">
        <f>IF(claim606.3=F267,F267,0)</f>
        <v>0</v>
      </c>
      <c r="H267" s="3546"/>
      <c r="I267" s="3546"/>
      <c r="J267" s="1345" t="str">
        <f>IF(SUM(H267:I270)&gt;0,"Enter product types","")</f>
        <v/>
      </c>
      <c r="K267" s="3523">
        <f>note606.3</f>
        <v>0</v>
      </c>
      <c r="L267" s="3524"/>
      <c r="O267" s="28">
        <f>IF(AND(H267&gt;0,I267&gt;0),1,0)</f>
        <v>0</v>
      </c>
      <c r="P267" s="1342">
        <f>IF(AND(J267&lt;&gt;"",J268=""),1,0)</f>
        <v>0</v>
      </c>
      <c r="Q267" s="1375"/>
      <c r="R267" s="1375"/>
    </row>
    <row r="268" spans="3:18">
      <c r="C268" s="1458" t="str">
        <f t="shared" si="48"/>
        <v/>
      </c>
      <c r="D268" s="282" t="s">
        <v>2099</v>
      </c>
      <c r="E268" s="1746" t="s">
        <v>1793</v>
      </c>
      <c r="F268" s="1711">
        <v>4</v>
      </c>
      <c r="G268" s="1701">
        <f>IF(claim606.3=F268,F268,0)</f>
        <v>0</v>
      </c>
      <c r="H268" s="3547"/>
      <c r="I268" s="3547"/>
      <c r="J268" s="3555"/>
      <c r="K268" s="3348"/>
      <c r="L268" s="3525"/>
    </row>
    <row r="269" spans="3:18" ht="16" thickBot="1">
      <c r="C269" s="1458" t="str">
        <f t="shared" si="48"/>
        <v/>
      </c>
      <c r="D269" s="282" t="s">
        <v>2099</v>
      </c>
      <c r="E269" s="1746" t="s">
        <v>1796</v>
      </c>
      <c r="F269" s="1711">
        <v>6</v>
      </c>
      <c r="G269" s="1701">
        <f>IF(claim606.3=F269,F269,0)</f>
        <v>0</v>
      </c>
      <c r="H269" s="3548"/>
      <c r="I269" s="3548"/>
      <c r="J269" s="3561"/>
      <c r="K269" s="3336"/>
      <c r="L269" s="3526"/>
    </row>
    <row r="270" spans="3:18" ht="16" thickTop="1">
      <c r="D270" s="282" t="s">
        <v>2099</v>
      </c>
      <c r="E270" s="3539" t="s">
        <v>1811</v>
      </c>
      <c r="F270" s="3540"/>
      <c r="G270" s="3540"/>
      <c r="H270" s="3540"/>
      <c r="I270" s="3540"/>
      <c r="J270" s="3540"/>
      <c r="K270" s="3540"/>
      <c r="L270" s="3541"/>
    </row>
    <row r="271" spans="3:18" ht="30">
      <c r="C271" s="1458" t="str">
        <f t="shared" si="48"/>
        <v/>
      </c>
      <c r="D271" s="282" t="s">
        <v>2101</v>
      </c>
      <c r="E271" s="1768" t="s">
        <v>1797</v>
      </c>
      <c r="F271" s="1654">
        <v>3</v>
      </c>
      <c r="G271" s="1660">
        <f>claim607.1_1</f>
        <v>0</v>
      </c>
      <c r="H271" s="1708"/>
      <c r="I271" s="1716"/>
      <c r="J271" s="1254"/>
      <c r="K271" s="3583">
        <f>note607.1_1</f>
        <v>0</v>
      </c>
      <c r="L271" s="3584"/>
      <c r="O271" s="28">
        <f>IF(AND(H271&gt;0,I271&gt;0),1,0)</f>
        <v>0</v>
      </c>
    </row>
    <row r="272" spans="3:18" ht="16" thickBot="1">
      <c r="C272" s="1458" t="str">
        <f t="shared" si="48"/>
        <v/>
      </c>
      <c r="D272" s="282" t="s">
        <v>2101</v>
      </c>
      <c r="E272" s="1770" t="s">
        <v>1798</v>
      </c>
      <c r="F272" s="1666">
        <v>3</v>
      </c>
      <c r="G272" s="1659">
        <f>claim607.1_2</f>
        <v>0</v>
      </c>
      <c r="H272" s="1708"/>
      <c r="I272" s="1716"/>
      <c r="J272" s="1671"/>
      <c r="K272" s="3301">
        <f>note607.1_2</f>
        <v>0</v>
      </c>
      <c r="L272" s="3614"/>
      <c r="O272" s="28">
        <f>IF(AND(H272&gt;0,I272&gt;0),1,0)</f>
        <v>0</v>
      </c>
    </row>
    <row r="273" spans="3:18" ht="16" thickTop="1">
      <c r="C273" s="1458" t="str">
        <f t="shared" si="48"/>
        <v/>
      </c>
      <c r="D273" s="282" t="s">
        <v>2101</v>
      </c>
      <c r="E273" s="1721" t="s">
        <v>1799</v>
      </c>
      <c r="F273" s="245">
        <v>1</v>
      </c>
      <c r="G273" s="1078">
        <f>claim607.2</f>
        <v>0</v>
      </c>
      <c r="H273" s="1708"/>
      <c r="I273" s="1716"/>
      <c r="J273" s="1256"/>
      <c r="K273" s="3373">
        <f>note607.2</f>
        <v>0</v>
      </c>
      <c r="L273" s="3967"/>
      <c r="O273" s="28">
        <f>IF(AND(H273&gt;0,I273&gt;0),1,0)</f>
        <v>0</v>
      </c>
    </row>
    <row r="274" spans="3:18">
      <c r="D274" s="282" t="s">
        <v>2101</v>
      </c>
      <c r="E274" s="3539" t="s">
        <v>1810</v>
      </c>
      <c r="F274" s="3540"/>
      <c r="G274" s="3540"/>
      <c r="H274" s="3540"/>
      <c r="I274" s="3540"/>
      <c r="J274" s="3540"/>
      <c r="K274" s="3540"/>
      <c r="L274" s="3541"/>
    </row>
    <row r="275" spans="3:18" ht="15" customHeight="1">
      <c r="C275" s="1458" t="str">
        <f t="shared" si="48"/>
        <v/>
      </c>
      <c r="D275" s="282" t="s">
        <v>2099</v>
      </c>
      <c r="E275" s="3770" t="s">
        <v>1981</v>
      </c>
      <c r="F275" s="3608" t="s">
        <v>2013</v>
      </c>
      <c r="G275" s="3946">
        <f>claim608.1</f>
        <v>0</v>
      </c>
      <c r="H275" s="3546"/>
      <c r="I275" s="3836"/>
      <c r="J275" s="1348" t="str">
        <f>IF(SUM(H275,I275)&gt;0,"Enter product descriptions:","")</f>
        <v/>
      </c>
      <c r="K275" s="3613">
        <f>note608.1</f>
        <v>0</v>
      </c>
      <c r="L275" s="3524"/>
    </row>
    <row r="276" spans="3:18" ht="54" customHeight="1">
      <c r="D276" s="282" t="s">
        <v>2099</v>
      </c>
      <c r="E276" s="3867"/>
      <c r="F276" s="3609"/>
      <c r="G276" s="3947"/>
      <c r="H276" s="3547"/>
      <c r="I276" s="3837"/>
      <c r="J276" s="3603"/>
      <c r="K276" s="2336"/>
      <c r="L276" s="3525"/>
      <c r="O276" s="3960">
        <f>IF(SUM(H275,I275)&gt;9,1,0)</f>
        <v>0</v>
      </c>
      <c r="P276" s="1342">
        <f>IF(AND(J275&lt;&gt;"",J276=""),1,0)</f>
        <v>0</v>
      </c>
      <c r="Q276" s="1375"/>
      <c r="R276" s="1375"/>
    </row>
    <row r="277" spans="3:18">
      <c r="E277" s="3847"/>
      <c r="F277" s="3610"/>
      <c r="G277" s="3948"/>
      <c r="H277" s="3564"/>
      <c r="I277" s="3838"/>
      <c r="J277" s="3604"/>
      <c r="K277" s="3169"/>
      <c r="L277" s="3526"/>
      <c r="O277" s="3960"/>
      <c r="P277" s="1342"/>
      <c r="Q277" s="1375"/>
      <c r="R277" s="1375"/>
    </row>
    <row r="278" spans="3:18">
      <c r="E278" s="3605"/>
      <c r="F278" s="3606"/>
      <c r="G278" s="3606"/>
      <c r="H278" s="3606"/>
      <c r="I278" s="3606"/>
      <c r="J278" s="3606"/>
      <c r="K278" s="3606"/>
      <c r="L278" s="3607"/>
    </row>
    <row r="279" spans="3:18" ht="18.75" customHeight="1">
      <c r="C279" s="1458" t="str">
        <f t="shared" ref="C279" si="49">IF(G279&gt;0,"P","")</f>
        <v/>
      </c>
      <c r="D279" s="282" t="s">
        <v>2099</v>
      </c>
      <c r="E279" s="3961" t="s">
        <v>2011</v>
      </c>
      <c r="F279" s="3608" t="s">
        <v>2012</v>
      </c>
      <c r="G279" s="3963">
        <f>claim609.1</f>
        <v>0</v>
      </c>
      <c r="H279" s="3546"/>
      <c r="I279" s="3546"/>
      <c r="J279" s="1348" t="str">
        <f>IF(SUM(H279,I279)&gt;0,"Enter material descriptions:","")</f>
        <v/>
      </c>
      <c r="K279" s="3523">
        <f>note609.1</f>
        <v>0</v>
      </c>
      <c r="L279" s="3524"/>
      <c r="O279" s="28">
        <f>IF(SUM(H279,I279)&gt;10,1,0)</f>
        <v>0</v>
      </c>
      <c r="P279" s="1342">
        <f>IF(AND(J279&lt;&gt;"",J280=""),1,0)</f>
        <v>0</v>
      </c>
      <c r="Q279" s="1375"/>
      <c r="R279" s="1375"/>
    </row>
    <row r="280" spans="3:18" ht="19.5" customHeight="1">
      <c r="D280" s="282" t="s">
        <v>2099</v>
      </c>
      <c r="E280" s="3962"/>
      <c r="F280" s="3610"/>
      <c r="G280" s="3964"/>
      <c r="H280" s="3564"/>
      <c r="I280" s="3564"/>
      <c r="J280" s="1362"/>
      <c r="K280" s="3336"/>
      <c r="L280" s="3526"/>
    </row>
    <row r="281" spans="3:18">
      <c r="E281" s="3539" t="s">
        <v>1807</v>
      </c>
      <c r="F281" s="3540"/>
      <c r="G281" s="3540"/>
      <c r="H281" s="3540"/>
      <c r="I281" s="3540"/>
      <c r="J281" s="3540"/>
      <c r="K281" s="3540"/>
      <c r="L281" s="3541"/>
    </row>
    <row r="282" spans="3:18" ht="16">
      <c r="C282" s="1458" t="str">
        <f t="shared" ref="C282" si="50">IF(G282&gt;0,"P","")</f>
        <v/>
      </c>
      <c r="D282" s="282" t="s">
        <v>2100</v>
      </c>
      <c r="E282" s="3770" t="s">
        <v>1992</v>
      </c>
      <c r="F282" s="3591" t="s">
        <v>1982</v>
      </c>
      <c r="G282" s="3611">
        <f>claim610.1</f>
        <v>0</v>
      </c>
      <c r="H282" s="3587">
        <f>IF(SUM(H284,I284,H287,H291)&gt;15,15,SUM(H284,I284,H287,H291))</f>
        <v>0</v>
      </c>
      <c r="I282" s="3588"/>
      <c r="J282" s="1348" t="str">
        <f>IF(SUM(I284:I295)&gt;0,"Explain verification at final","")</f>
        <v/>
      </c>
      <c r="K282" s="3613">
        <f>note610.1</f>
        <v>0</v>
      </c>
      <c r="L282" s="3524"/>
      <c r="P282" s="1342">
        <f>IF(AND(J282&lt;&gt;"",J283=""),1,0)</f>
        <v>0</v>
      </c>
      <c r="Q282" s="1375"/>
      <c r="R282" s="1375"/>
    </row>
    <row r="283" spans="3:18" ht="49.5" customHeight="1">
      <c r="D283" s="282" t="s">
        <v>2100</v>
      </c>
      <c r="E283" s="3847"/>
      <c r="F283" s="3592"/>
      <c r="G283" s="3612"/>
      <c r="H283" s="3589"/>
      <c r="I283" s="3590"/>
      <c r="J283" s="1667"/>
      <c r="K283" s="3169"/>
      <c r="L283" s="3526"/>
    </row>
    <row r="284" spans="3:18" ht="21" customHeight="1">
      <c r="C284" s="1458" t="str">
        <f t="shared" ref="C284:C294" si="51">IF(G284&gt;0,"P","")</f>
        <v/>
      </c>
      <c r="D284" s="282" t="s">
        <v>2100</v>
      </c>
      <c r="E284" s="3567" t="s">
        <v>1993</v>
      </c>
      <c r="F284" s="3859">
        <v>15</v>
      </c>
      <c r="G284" s="3562">
        <f>claim610.1.1</f>
        <v>0</v>
      </c>
      <c r="H284" s="3505"/>
      <c r="I284" s="3601"/>
      <c r="J284" s="1371" t="str">
        <f>IF(SUM(H284:I287)&gt;0,"Enter LCA tool used and who did the LCA","")</f>
        <v/>
      </c>
      <c r="K284" s="3523">
        <f>note610.1.1</f>
        <v>0</v>
      </c>
      <c r="L284" s="3524"/>
      <c r="P284" s="1342">
        <f>IF(AND(J284&lt;&gt;"",J285=""),1,0)</f>
        <v>0</v>
      </c>
      <c r="Q284" s="1375"/>
      <c r="R284" s="1375"/>
    </row>
    <row r="285" spans="3:18" ht="33" customHeight="1">
      <c r="C285" s="1458" t="str">
        <f t="shared" si="51"/>
        <v/>
      </c>
      <c r="D285" s="282" t="s">
        <v>2100</v>
      </c>
      <c r="E285" s="3593"/>
      <c r="F285" s="3860"/>
      <c r="G285" s="3596"/>
      <c r="H285" s="3582"/>
      <c r="I285" s="3602"/>
      <c r="J285" s="1661"/>
      <c r="K285" s="3336"/>
      <c r="L285" s="3526"/>
    </row>
    <row r="286" spans="3:18" ht="60" customHeight="1">
      <c r="C286" s="1458" t="str">
        <f t="shared" si="51"/>
        <v/>
      </c>
      <c r="D286" s="282" t="s">
        <v>2100</v>
      </c>
      <c r="E286" s="1770" t="s">
        <v>1998</v>
      </c>
      <c r="F286" s="1347" t="s">
        <v>1994</v>
      </c>
      <c r="G286" s="1659">
        <f>claim610.1.2</f>
        <v>0</v>
      </c>
      <c r="H286" s="3955"/>
      <c r="I286" s="3956"/>
      <c r="J286" s="1771"/>
      <c r="K286" s="3957"/>
      <c r="L286" s="3957"/>
      <c r="N286" s="1349"/>
    </row>
    <row r="287" spans="3:18" ht="28.5" customHeight="1">
      <c r="C287" s="1458" t="str">
        <f t="shared" si="51"/>
        <v/>
      </c>
      <c r="D287" s="282" t="s">
        <v>2100</v>
      </c>
      <c r="E287" s="3567" t="s">
        <v>1999</v>
      </c>
      <c r="F287" s="3594" t="s">
        <v>494</v>
      </c>
      <c r="G287" s="3562">
        <f>claim610.1.2</f>
        <v>0</v>
      </c>
      <c r="H287" s="3970">
        <f>IF(SUM(H289*2,H290*3,I289*2,I290*3)&gt;10,10,SUM(H289*2,H290*3,I289*2,I290*3))</f>
        <v>0</v>
      </c>
      <c r="I287" s="3971"/>
      <c r="J287" s="1371" t="str">
        <f>IF(SUM(H289:I290)&gt;0,"Enter LCA tool used, products compared &amp; who did the LCA","")</f>
        <v/>
      </c>
      <c r="K287" s="3518">
        <f>note610.1.2_1</f>
        <v>0</v>
      </c>
      <c r="L287" s="3519"/>
      <c r="P287" s="1342">
        <f>IF(AND(J287&lt;&gt;"",J288=""),1,0)</f>
        <v>0</v>
      </c>
      <c r="Q287" s="1375"/>
      <c r="R287" s="1375"/>
    </row>
    <row r="288" spans="3:18" ht="51.75" customHeight="1">
      <c r="C288" s="1458" t="str">
        <f t="shared" si="51"/>
        <v/>
      </c>
      <c r="D288" s="282" t="s">
        <v>2100</v>
      </c>
      <c r="E288" s="3593"/>
      <c r="F288" s="3595"/>
      <c r="G288" s="3596"/>
      <c r="H288" s="3972"/>
      <c r="I288" s="3973"/>
      <c r="J288" s="3555"/>
      <c r="K288" s="3330"/>
      <c r="L288" s="3560"/>
      <c r="N288" s="1349"/>
    </row>
    <row r="289" spans="3:18">
      <c r="C289" s="1458" t="str">
        <f t="shared" si="51"/>
        <v/>
      </c>
      <c r="D289" s="282" t="s">
        <v>2100</v>
      </c>
      <c r="E289" s="3864" t="s">
        <v>1833</v>
      </c>
      <c r="F289" s="3865"/>
      <c r="G289" s="1701">
        <f>enter610.1.2_1_4meas</f>
        <v>0</v>
      </c>
      <c r="H289" s="1357"/>
      <c r="I289" s="1358"/>
      <c r="J289" s="3555"/>
      <c r="K289" s="3330"/>
      <c r="L289" s="3560"/>
    </row>
    <row r="290" spans="3:18">
      <c r="C290" s="1458" t="str">
        <f t="shared" si="51"/>
        <v/>
      </c>
      <c r="D290" s="282" t="s">
        <v>2100</v>
      </c>
      <c r="E290" s="3864" t="s">
        <v>1834</v>
      </c>
      <c r="F290" s="3865"/>
      <c r="G290" s="1701">
        <f>enter610.1.2_1_5meas</f>
        <v>0</v>
      </c>
      <c r="H290" s="1359"/>
      <c r="I290" s="1360"/>
      <c r="J290" s="3561"/>
      <c r="K290" s="3289"/>
      <c r="L290" s="3527"/>
    </row>
    <row r="291" spans="3:18" ht="42" customHeight="1">
      <c r="C291" s="1458" t="str">
        <f t="shared" si="51"/>
        <v/>
      </c>
      <c r="D291" s="282" t="s">
        <v>2100</v>
      </c>
      <c r="E291" s="1707" t="s">
        <v>2000</v>
      </c>
      <c r="F291" s="1772" t="s">
        <v>494</v>
      </c>
      <c r="G291" s="1701">
        <f>choice610.1.2_2</f>
        <v>0</v>
      </c>
      <c r="H291" s="3585">
        <f>ar610.1.2.2</f>
        <v>0</v>
      </c>
      <c r="I291" s="3586"/>
      <c r="J291" s="1371" t="str">
        <f>IF(SUM(H291:I294)&gt;0,"Enter LCA tool used, assemblies compared &amp; who did the LCA","")</f>
        <v/>
      </c>
      <c r="K291" s="3518">
        <f>note610.1.2_2</f>
        <v>0</v>
      </c>
      <c r="L291" s="3519"/>
      <c r="P291" s="1342">
        <f>IF(AND(J291&lt;&gt;"",J292=""),1,0)</f>
        <v>0</v>
      </c>
      <c r="Q291" s="1375"/>
      <c r="R291" s="1375"/>
    </row>
    <row r="292" spans="3:18">
      <c r="C292" s="1458" t="str">
        <f t="shared" si="51"/>
        <v/>
      </c>
      <c r="D292" s="282" t="s">
        <v>2100</v>
      </c>
      <c r="E292" s="3864" t="s">
        <v>1836</v>
      </c>
      <c r="F292" s="3865"/>
      <c r="G292" s="1773">
        <f>enter610.1.2_2_walls</f>
        <v>0</v>
      </c>
      <c r="H292" s="1357"/>
      <c r="I292" s="1358"/>
      <c r="J292" s="3555"/>
      <c r="K292" s="3330"/>
      <c r="L292" s="3560"/>
    </row>
    <row r="293" spans="3:18">
      <c r="C293" s="1458" t="str">
        <f t="shared" si="51"/>
        <v/>
      </c>
      <c r="D293" s="282" t="s">
        <v>2100</v>
      </c>
      <c r="E293" s="3864" t="s">
        <v>1837</v>
      </c>
      <c r="F293" s="3865"/>
      <c r="G293" s="1773">
        <f>enter610.1.2_2_walls</f>
        <v>0</v>
      </c>
      <c r="H293" s="1357"/>
      <c r="I293" s="1361"/>
      <c r="J293" s="3555"/>
      <c r="K293" s="3330"/>
      <c r="L293" s="3560"/>
    </row>
    <row r="294" spans="3:18">
      <c r="C294" s="1458" t="str">
        <f t="shared" si="51"/>
        <v/>
      </c>
      <c r="D294" s="282" t="s">
        <v>2100</v>
      </c>
      <c r="E294" s="3864" t="s">
        <v>1838</v>
      </c>
      <c r="F294" s="3865"/>
      <c r="G294" s="1773">
        <f>enter610.1.2_2_interior</f>
        <v>0</v>
      </c>
      <c r="H294" s="1357"/>
      <c r="I294" s="1361"/>
      <c r="J294" s="3555"/>
      <c r="K294" s="3330"/>
      <c r="L294" s="3560"/>
    </row>
    <row r="295" spans="3:18">
      <c r="D295" s="282" t="s">
        <v>2100</v>
      </c>
      <c r="E295" s="3864" t="s">
        <v>1839</v>
      </c>
      <c r="F295" s="3865"/>
      <c r="G295" s="1773">
        <f>enter610.1.2_2_floors</f>
        <v>0</v>
      </c>
      <c r="H295" s="1357"/>
      <c r="I295" s="1360"/>
      <c r="J295" s="3561"/>
      <c r="K295" s="3289"/>
      <c r="L295" s="3527"/>
    </row>
    <row r="296" spans="3:18">
      <c r="E296" s="3539" t="s">
        <v>1806</v>
      </c>
      <c r="F296" s="3540"/>
      <c r="G296" s="3540"/>
      <c r="H296" s="3540"/>
      <c r="I296" s="3540"/>
      <c r="J296" s="3540"/>
      <c r="K296" s="3540"/>
      <c r="L296" s="3541"/>
    </row>
    <row r="297" spans="3:18" ht="21.75" customHeight="1">
      <c r="C297" s="1458" t="str">
        <f t="shared" ref="C297" si="52">IF(G297&gt;0,"P","")</f>
        <v/>
      </c>
      <c r="D297" s="282" t="s">
        <v>2099</v>
      </c>
      <c r="E297" s="3770" t="s">
        <v>2006</v>
      </c>
      <c r="F297" s="3866"/>
      <c r="G297" s="3976">
        <f>claim611.1</f>
        <v>0</v>
      </c>
      <c r="H297" s="3505"/>
      <c r="I297" s="3505"/>
      <c r="J297" s="1350" t="str">
        <f>IF(SUM(H297:I297)&gt;0,"Enter manufacturer &amp; ISO registrar","")</f>
        <v/>
      </c>
      <c r="K297" s="3523">
        <f>note611.1</f>
        <v>0</v>
      </c>
      <c r="L297" s="3524"/>
      <c r="O297" s="28">
        <f>IF(SUM(H297,I297)&gt;10,1,0)</f>
        <v>0</v>
      </c>
      <c r="P297" s="1342">
        <f>IF(AND(J297&lt;&gt;"",J298=""),1,0)</f>
        <v>0</v>
      </c>
      <c r="Q297" s="1375"/>
      <c r="R297" s="1375"/>
    </row>
    <row r="298" spans="3:18" ht="15" customHeight="1">
      <c r="D298" s="282" t="s">
        <v>2099</v>
      </c>
      <c r="E298" s="3867"/>
      <c r="F298" s="3868"/>
      <c r="G298" s="3977"/>
      <c r="H298" s="3581"/>
      <c r="I298" s="3581"/>
      <c r="J298" s="3555"/>
      <c r="K298" s="3348"/>
      <c r="L298" s="3525"/>
    </row>
    <row r="299" spans="3:18" ht="15.75" customHeight="1">
      <c r="D299" s="282" t="s">
        <v>2099</v>
      </c>
      <c r="E299" s="3867"/>
      <c r="F299" s="3868"/>
      <c r="G299" s="3977"/>
      <c r="H299" s="3581"/>
      <c r="I299" s="3581"/>
      <c r="J299" s="3555"/>
      <c r="K299" s="3348"/>
      <c r="L299" s="3525"/>
    </row>
    <row r="300" spans="3:18" ht="33.75" customHeight="1">
      <c r="D300" s="282" t="s">
        <v>2099</v>
      </c>
      <c r="E300" s="3847"/>
      <c r="F300" s="3848"/>
      <c r="G300" s="3978"/>
      <c r="H300" s="3582"/>
      <c r="I300" s="3582"/>
      <c r="J300" s="3555"/>
      <c r="K300" s="3336"/>
      <c r="L300" s="3526"/>
    </row>
    <row r="301" spans="3:18" ht="18.75" customHeight="1">
      <c r="C301" s="1458" t="str">
        <f t="shared" ref="C301" si="53">IF(G301&gt;0,"P","")</f>
        <v/>
      </c>
      <c r="D301" s="282" t="s">
        <v>2099</v>
      </c>
      <c r="E301" s="3567" t="s">
        <v>1814</v>
      </c>
      <c r="F301" s="3974" t="s">
        <v>470</v>
      </c>
      <c r="G301" s="3900">
        <f>claim611.2</f>
        <v>0</v>
      </c>
      <c r="H301" s="3902"/>
      <c r="I301" s="3902"/>
      <c r="J301" s="1372" t="str">
        <f>IF(OR(I307&gt;0,H303&gt;0,H304&gt;0,H306&gt;0,H308&gt;0,H309&gt;0),"Explain verification out of sequence","")</f>
        <v/>
      </c>
      <c r="K301" s="3597"/>
      <c r="L301" s="3598"/>
      <c r="N301" s="1349"/>
      <c r="O301" s="28">
        <f>IF(SUM(H303:I309)&gt;9,1,0)</f>
        <v>0</v>
      </c>
      <c r="P301" s="1342">
        <f>IF(AND(J301&lt;&gt;"",J302=""),1,0)</f>
        <v>0</v>
      </c>
      <c r="Q301" s="1375"/>
      <c r="R301" s="1375"/>
    </row>
    <row r="302" spans="3:18" ht="40.5" customHeight="1">
      <c r="D302" s="282" t="s">
        <v>2099</v>
      </c>
      <c r="E302" s="3593"/>
      <c r="F302" s="3975"/>
      <c r="G302" s="3901"/>
      <c r="H302" s="3903"/>
      <c r="I302" s="3903"/>
      <c r="J302" s="1661"/>
      <c r="K302" s="3599"/>
      <c r="L302" s="3600"/>
    </row>
    <row r="303" spans="3:18">
      <c r="C303" s="1458" t="str">
        <f t="shared" ref="C303:C314" si="54">IF(G303&gt;0,"P","")</f>
        <v/>
      </c>
      <c r="D303" s="282" t="s">
        <v>2101</v>
      </c>
      <c r="E303" s="1746" t="s">
        <v>1815</v>
      </c>
      <c r="F303" s="1774">
        <v>3</v>
      </c>
      <c r="G303" s="1701">
        <f>IF(claim611.2_1=F303,F303,0)</f>
        <v>0</v>
      </c>
      <c r="H303" s="1708"/>
      <c r="I303" s="1702"/>
      <c r="J303" s="1702"/>
      <c r="K303" s="3583">
        <f>note611.2_1</f>
        <v>0</v>
      </c>
      <c r="L303" s="3584"/>
      <c r="O303" s="28">
        <f>IF(AND(H303&gt;0,I303&gt;0),1,0)</f>
        <v>0</v>
      </c>
    </row>
    <row r="304" spans="3:18">
      <c r="C304" s="1458" t="str">
        <f t="shared" si="54"/>
        <v/>
      </c>
      <c r="D304" s="282" t="s">
        <v>2101</v>
      </c>
      <c r="E304" s="1746" t="s">
        <v>1816</v>
      </c>
      <c r="F304" s="1774">
        <v>3</v>
      </c>
      <c r="G304" s="1701">
        <f>IF(claim611.2_2=F304,F304,0)</f>
        <v>0</v>
      </c>
      <c r="H304" s="1708"/>
      <c r="I304" s="1702"/>
      <c r="J304" s="1702"/>
      <c r="K304" s="3583">
        <f>note611.2_2</f>
        <v>0</v>
      </c>
      <c r="L304" s="3584"/>
      <c r="O304" s="28">
        <f t="shared" ref="O304:O314" si="55">IF(AND(H304&gt;0,I304&gt;0),1,0)</f>
        <v>0</v>
      </c>
    </row>
    <row r="305" spans="3:18">
      <c r="C305" s="1458" t="str">
        <f t="shared" si="54"/>
        <v/>
      </c>
      <c r="D305" s="282" t="s">
        <v>2099</v>
      </c>
      <c r="E305" s="1746" t="s">
        <v>1817</v>
      </c>
      <c r="F305" s="1774">
        <v>3</v>
      </c>
      <c r="G305" s="1701">
        <f>IF(claim611.2_3=F305,F305,0)</f>
        <v>0</v>
      </c>
      <c r="H305" s="1702"/>
      <c r="I305" s="1702"/>
      <c r="J305" s="1702"/>
      <c r="K305" s="3583">
        <f>note611.2_3</f>
        <v>0</v>
      </c>
      <c r="L305" s="3584"/>
      <c r="O305" s="28">
        <f t="shared" si="55"/>
        <v>0</v>
      </c>
    </row>
    <row r="306" spans="3:18" ht="30">
      <c r="C306" s="1458" t="str">
        <f t="shared" si="54"/>
        <v/>
      </c>
      <c r="D306" s="282" t="s">
        <v>2101</v>
      </c>
      <c r="E306" s="1746" t="s">
        <v>1818</v>
      </c>
      <c r="F306" s="1774">
        <v>3</v>
      </c>
      <c r="G306" s="1701">
        <f>IF(claim611.2_4=F306,F306,0)</f>
        <v>0</v>
      </c>
      <c r="H306" s="1708"/>
      <c r="I306" s="1702"/>
      <c r="J306" s="1702"/>
      <c r="K306" s="3583">
        <f>note611.2_4</f>
        <v>0</v>
      </c>
      <c r="L306" s="3584"/>
      <c r="O306" s="28">
        <f t="shared" si="55"/>
        <v>0</v>
      </c>
    </row>
    <row r="307" spans="3:18">
      <c r="C307" s="1458" t="str">
        <f t="shared" si="54"/>
        <v/>
      </c>
      <c r="D307" s="282" t="s">
        <v>2101</v>
      </c>
      <c r="E307" s="1746" t="s">
        <v>1819</v>
      </c>
      <c r="F307" s="1774">
        <v>3</v>
      </c>
      <c r="G307" s="1701">
        <f>IF(claim611.2_5=F307,F307,0)</f>
        <v>0</v>
      </c>
      <c r="H307" s="1702"/>
      <c r="I307" s="1708"/>
      <c r="J307" s="1702"/>
      <c r="K307" s="3583">
        <f>note611.2_5</f>
        <v>0</v>
      </c>
      <c r="L307" s="3584"/>
      <c r="O307" s="28">
        <f t="shared" si="55"/>
        <v>0</v>
      </c>
    </row>
    <row r="308" spans="3:18" ht="30">
      <c r="C308" s="1458" t="str">
        <f t="shared" si="54"/>
        <v/>
      </c>
      <c r="D308" s="282" t="s">
        <v>2101</v>
      </c>
      <c r="E308" s="1746" t="s">
        <v>1820</v>
      </c>
      <c r="F308" s="1774">
        <v>3</v>
      </c>
      <c r="G308" s="1701">
        <f>IF(claim611.2_6=F308,F308,0)</f>
        <v>0</v>
      </c>
      <c r="H308" s="1708"/>
      <c r="I308" s="1702"/>
      <c r="J308" s="1702"/>
      <c r="K308" s="3583">
        <f>note611.2_6</f>
        <v>0</v>
      </c>
      <c r="L308" s="3584"/>
      <c r="O308" s="28">
        <f t="shared" si="55"/>
        <v>0</v>
      </c>
    </row>
    <row r="309" spans="3:18" ht="30">
      <c r="C309" s="1458" t="str">
        <f t="shared" si="54"/>
        <v/>
      </c>
      <c r="D309" s="282" t="s">
        <v>2101</v>
      </c>
      <c r="E309" s="1746" t="s">
        <v>1821</v>
      </c>
      <c r="F309" s="1774">
        <v>3</v>
      </c>
      <c r="G309" s="1701">
        <f>IF(claim611.2_7=F309,F309,0)</f>
        <v>0</v>
      </c>
      <c r="H309" s="1708"/>
      <c r="I309" s="1702"/>
      <c r="J309" s="1702"/>
      <c r="K309" s="3583">
        <f>note611.2_7</f>
        <v>0</v>
      </c>
      <c r="L309" s="3584"/>
      <c r="O309" s="28">
        <f t="shared" si="55"/>
        <v>0</v>
      </c>
    </row>
    <row r="310" spans="3:18" ht="30">
      <c r="C310" s="1458" t="str">
        <f t="shared" si="54"/>
        <v/>
      </c>
      <c r="D310" s="282" t="s">
        <v>2099</v>
      </c>
      <c r="E310" s="1768" t="s">
        <v>1822</v>
      </c>
      <c r="F310" s="1351" t="s">
        <v>494</v>
      </c>
      <c r="G310" s="1676">
        <f>claim611.2</f>
        <v>0</v>
      </c>
      <c r="H310" s="1216"/>
      <c r="I310" s="1216"/>
      <c r="J310" s="1216"/>
      <c r="K310" s="3687"/>
      <c r="L310" s="3688"/>
      <c r="O310" s="28">
        <f>IF(SUM(H311:I314)&gt;9,1,0)</f>
        <v>0</v>
      </c>
    </row>
    <row r="311" spans="3:18" ht="82.5" customHeight="1">
      <c r="C311" s="1458" t="str">
        <f t="shared" si="54"/>
        <v/>
      </c>
      <c r="D311" s="282" t="s">
        <v>2101</v>
      </c>
      <c r="E311" s="1746" t="s">
        <v>1823</v>
      </c>
      <c r="F311" s="1774">
        <v>3</v>
      </c>
      <c r="G311" s="1701">
        <f>IF(claim611.3_1=F311,F311,0)</f>
        <v>0</v>
      </c>
      <c r="H311" s="1708"/>
      <c r="I311" s="1702"/>
      <c r="J311" s="1702"/>
      <c r="K311" s="3583">
        <f>note611.3_1</f>
        <v>0</v>
      </c>
      <c r="L311" s="3584"/>
      <c r="O311" s="28">
        <f t="shared" si="55"/>
        <v>0</v>
      </c>
    </row>
    <row r="312" spans="3:18" ht="69.75" customHeight="1">
      <c r="C312" s="1458" t="str">
        <f t="shared" si="54"/>
        <v/>
      </c>
      <c r="D312" s="282" t="s">
        <v>2101</v>
      </c>
      <c r="E312" s="1746" t="s">
        <v>1824</v>
      </c>
      <c r="F312" s="1774">
        <v>3</v>
      </c>
      <c r="G312" s="1701">
        <f>IF(claim611.3_2=F312,F312,0)</f>
        <v>0</v>
      </c>
      <c r="H312" s="1708"/>
      <c r="I312" s="1702"/>
      <c r="J312" s="1702"/>
      <c r="K312" s="3583">
        <f>note611.3_2</f>
        <v>0</v>
      </c>
      <c r="L312" s="3584"/>
      <c r="O312" s="28">
        <f t="shared" si="55"/>
        <v>0</v>
      </c>
    </row>
    <row r="313" spans="3:18" ht="42" customHeight="1">
      <c r="C313" s="1458" t="str">
        <f t="shared" si="54"/>
        <v/>
      </c>
      <c r="D313" s="282" t="s">
        <v>2101</v>
      </c>
      <c r="E313" s="1746" t="s">
        <v>1825</v>
      </c>
      <c r="F313" s="1774">
        <v>3</v>
      </c>
      <c r="G313" s="1701">
        <f>IF(claim611.3_3=F313,F313,0)</f>
        <v>0</v>
      </c>
      <c r="H313" s="1708"/>
      <c r="I313" s="1702"/>
      <c r="J313" s="1702"/>
      <c r="K313" s="3583">
        <f>note611.3_3</f>
        <v>0</v>
      </c>
      <c r="L313" s="3584"/>
      <c r="O313" s="28">
        <f t="shared" si="55"/>
        <v>0</v>
      </c>
    </row>
    <row r="314" spans="3:18" ht="15" customHeight="1">
      <c r="C314" s="1458" t="str">
        <f t="shared" si="54"/>
        <v/>
      </c>
      <c r="D314" s="282" t="s">
        <v>2100</v>
      </c>
      <c r="E314" s="3625" t="s">
        <v>1826</v>
      </c>
      <c r="F314" s="3861">
        <v>1</v>
      </c>
      <c r="G314" s="3562">
        <f>IF(claim611.3_4=F314,F314,0)</f>
        <v>0</v>
      </c>
      <c r="H314" s="3546"/>
      <c r="I314" s="3551"/>
      <c r="J314" s="1670" t="str">
        <f>IF(I314&gt;0,"Explain verification at final:","")</f>
        <v/>
      </c>
      <c r="K314" s="1352"/>
      <c r="L314" s="1775"/>
      <c r="O314" s="28">
        <f t="shared" si="55"/>
        <v>0</v>
      </c>
      <c r="P314" s="1342">
        <f>IF(AND(J314&lt;&gt;"",J315=""),1,0)</f>
        <v>0</v>
      </c>
      <c r="Q314" s="1375"/>
      <c r="R314" s="1375"/>
    </row>
    <row r="315" spans="3:18" ht="27" customHeight="1">
      <c r="D315" s="282" t="s">
        <v>2100</v>
      </c>
      <c r="E315" s="3626"/>
      <c r="F315" s="3862"/>
      <c r="G315" s="3596"/>
      <c r="H315" s="3564"/>
      <c r="I315" s="3664"/>
      <c r="J315" s="1661"/>
      <c r="K315" s="3583">
        <f>note611.3_4</f>
        <v>0</v>
      </c>
      <c r="L315" s="3584"/>
    </row>
    <row r="316" spans="3:18">
      <c r="E316" s="3539" t="s">
        <v>495</v>
      </c>
      <c r="F316" s="3540"/>
      <c r="G316" s="3540"/>
      <c r="H316" s="3540"/>
      <c r="I316" s="3540"/>
      <c r="J316" s="3540"/>
      <c r="K316" s="3540"/>
      <c r="L316" s="3541"/>
    </row>
    <row r="317" spans="3:18" ht="16" thickBot="1">
      <c r="E317" s="3539" t="s">
        <v>496</v>
      </c>
      <c r="F317" s="3540"/>
      <c r="G317" s="3540"/>
      <c r="H317" s="3540"/>
      <c r="I317" s="3540"/>
      <c r="J317" s="3540"/>
      <c r="K317" s="3540"/>
      <c r="L317" s="3541"/>
    </row>
    <row r="318" spans="3:18" ht="16" thickTop="1">
      <c r="C318" s="1458" t="s">
        <v>2104</v>
      </c>
      <c r="D318" s="282" t="s">
        <v>2099</v>
      </c>
      <c r="E318" s="1777" t="s">
        <v>498</v>
      </c>
      <c r="F318" s="251"/>
      <c r="G318" s="251"/>
      <c r="H318" s="1233"/>
      <c r="I318" s="1233"/>
      <c r="J318" s="1224"/>
      <c r="K318" s="3326"/>
      <c r="L318" s="3515"/>
    </row>
    <row r="319" spans="3:18">
      <c r="C319" s="1458" t="s">
        <v>2104</v>
      </c>
      <c r="D319" s="282" t="s">
        <v>2100</v>
      </c>
      <c r="E319" s="1778" t="s">
        <v>499</v>
      </c>
      <c r="F319" s="1779"/>
      <c r="G319" s="1779"/>
      <c r="H319" s="1780"/>
      <c r="I319" s="1780"/>
      <c r="J319" s="1781"/>
      <c r="K319" s="3516"/>
      <c r="L319" s="3517"/>
    </row>
    <row r="320" spans="3:18" ht="71.25" customHeight="1">
      <c r="C320" s="1458" t="s">
        <v>2104</v>
      </c>
      <c r="D320" s="282" t="s">
        <v>2100</v>
      </c>
      <c r="E320" s="1699" t="s">
        <v>2554</v>
      </c>
      <c r="F320" s="1765" t="s">
        <v>3</v>
      </c>
      <c r="G320" s="1820">
        <f xml:space="preserve"> claim701.4.1.1</f>
        <v>0</v>
      </c>
      <c r="H320" s="1839"/>
      <c r="I320" s="1760"/>
      <c r="J320" s="1716"/>
      <c r="K320" s="3583">
        <f>note701.4.1.1</f>
        <v>0</v>
      </c>
      <c r="L320" s="3584"/>
      <c r="P320" s="1392"/>
      <c r="Q320" s="28">
        <f>IF(H320="",1,0)</f>
        <v>1</v>
      </c>
    </row>
    <row r="321" spans="3:18" ht="77.25" customHeight="1" thickBot="1">
      <c r="C321" s="1458" t="s">
        <v>2104</v>
      </c>
      <c r="D321" s="282" t="s">
        <v>2100</v>
      </c>
      <c r="E321" s="1743" t="s">
        <v>2555</v>
      </c>
      <c r="F321" s="1380" t="s">
        <v>3</v>
      </c>
      <c r="G321" s="1098">
        <f xml:space="preserve"> claim701.4.1.2</f>
        <v>0</v>
      </c>
      <c r="H321" s="1373"/>
      <c r="I321" s="1374"/>
      <c r="J321" s="1257"/>
      <c r="K321" s="3301">
        <f>note701.4.1.2</f>
        <v>0</v>
      </c>
      <c r="L321" s="3614"/>
      <c r="Q321" s="28">
        <f>IF(H321="",1,0)</f>
        <v>1</v>
      </c>
    </row>
    <row r="322" spans="3:18" ht="16" thickTop="1">
      <c r="C322" s="1458" t="s">
        <v>2104</v>
      </c>
      <c r="D322" s="282" t="s">
        <v>2100</v>
      </c>
      <c r="E322" s="1782" t="s">
        <v>502</v>
      </c>
      <c r="F322" s="258"/>
      <c r="G322" s="258"/>
      <c r="H322" s="1235"/>
      <c r="I322" s="1235"/>
      <c r="J322" s="1225"/>
      <c r="K322" s="3326"/>
      <c r="L322" s="3515"/>
    </row>
    <row r="323" spans="3:18" ht="57.75" customHeight="1">
      <c r="C323" s="1458" t="s">
        <v>2104</v>
      </c>
      <c r="D323" s="282" t="s">
        <v>2100</v>
      </c>
      <c r="E323" s="1699" t="s">
        <v>2556</v>
      </c>
      <c r="F323" s="1765" t="s">
        <v>3</v>
      </c>
      <c r="G323" s="1968">
        <f xml:space="preserve"> claim701.4.2.1</f>
        <v>0</v>
      </c>
      <c r="H323" s="1821"/>
      <c r="I323" s="1760"/>
      <c r="J323" s="1783"/>
      <c r="K323" s="3583">
        <f>note701.4.2.1</f>
        <v>0</v>
      </c>
      <c r="L323" s="3584"/>
      <c r="Q323" s="28">
        <f>IF(H323="",1,0)</f>
        <v>1</v>
      </c>
    </row>
    <row r="324" spans="3:18" ht="46.5" customHeight="1">
      <c r="C324" s="1458" t="s">
        <v>2104</v>
      </c>
      <c r="D324" s="282" t="s">
        <v>2100</v>
      </c>
      <c r="E324" s="1705" t="s">
        <v>2557</v>
      </c>
      <c r="F324" s="1393" t="s">
        <v>3</v>
      </c>
      <c r="G324" s="1964">
        <f>claim701.4.2.2</f>
        <v>0</v>
      </c>
      <c r="H324" s="1969"/>
      <c r="I324" s="1395"/>
      <c r="J324" s="1396"/>
      <c r="K324" s="3523">
        <f>note701.4.2.2</f>
        <v>0</v>
      </c>
      <c r="L324" s="3524"/>
      <c r="Q324" s="28">
        <f>IF(H324="",1,0)</f>
        <v>1</v>
      </c>
    </row>
    <row r="325" spans="3:18" ht="31" thickBot="1">
      <c r="C325" s="1458" t="s">
        <v>2104</v>
      </c>
      <c r="D325" s="282" t="s">
        <v>2099</v>
      </c>
      <c r="E325" s="1743" t="s">
        <v>2558</v>
      </c>
      <c r="F325" s="1380" t="s">
        <v>3</v>
      </c>
      <c r="G325" s="1965">
        <f xml:space="preserve"> claim701.4.2.3</f>
        <v>0</v>
      </c>
      <c r="H325" s="1970"/>
      <c r="I325" s="1374"/>
      <c r="J325" s="1258"/>
      <c r="K325" s="3301">
        <f>note701.4.2.3</f>
        <v>0</v>
      </c>
      <c r="L325" s="3614"/>
      <c r="Q325" s="28">
        <f>IF(H325="",1,0)</f>
        <v>1</v>
      </c>
    </row>
    <row r="326" spans="3:18" ht="16" thickTop="1">
      <c r="C326" s="1458" t="s">
        <v>2104</v>
      </c>
      <c r="D326" s="282" t="s">
        <v>2099</v>
      </c>
      <c r="E326" s="1782" t="s">
        <v>504</v>
      </c>
      <c r="F326" s="258"/>
      <c r="G326" s="258"/>
      <c r="H326" s="1235"/>
      <c r="I326" s="1235"/>
      <c r="J326" s="1225"/>
      <c r="K326" s="3326"/>
      <c r="L326" s="3515"/>
    </row>
    <row r="327" spans="3:18" ht="63" customHeight="1">
      <c r="C327" s="1458" t="s">
        <v>2104</v>
      </c>
      <c r="D327" s="282" t="s">
        <v>2100</v>
      </c>
      <c r="E327" s="1699" t="s">
        <v>2559</v>
      </c>
      <c r="F327" s="1784" t="s">
        <v>3</v>
      </c>
      <c r="G327" s="1394">
        <f xml:space="preserve"> claim701.4.3.1</f>
        <v>0</v>
      </c>
      <c r="H327" s="1971"/>
      <c r="I327" s="1410"/>
      <c r="J327" s="1396"/>
      <c r="K327" s="3513">
        <f>note701.4.3.1</f>
        <v>0</v>
      </c>
      <c r="L327" s="3514"/>
      <c r="Q327" s="28">
        <f>IF(H327="Not Met",1,0)</f>
        <v>0</v>
      </c>
    </row>
    <row r="328" spans="3:18" ht="54.75" customHeight="1">
      <c r="C328" s="1458" t="s">
        <v>2104</v>
      </c>
      <c r="D328" s="282" t="s">
        <v>2100</v>
      </c>
      <c r="E328" s="1699" t="s">
        <v>2560</v>
      </c>
      <c r="F328" s="1684" t="s">
        <v>3</v>
      </c>
      <c r="G328" s="1394" t="str">
        <f>score701.4.3.2</f>
        <v>Not Met</v>
      </c>
      <c r="H328" s="1971"/>
      <c r="I328" s="1410"/>
      <c r="J328" s="1396"/>
      <c r="K328" s="1390"/>
      <c r="L328" s="1785"/>
      <c r="Q328" s="28">
        <f>IF(H328="",1,0)</f>
        <v>1</v>
      </c>
    </row>
    <row r="329" spans="3:18" ht="55.5" customHeight="1">
      <c r="C329" s="1458" t="s">
        <v>2104</v>
      </c>
      <c r="D329" s="282" t="s">
        <v>2099</v>
      </c>
      <c r="E329" s="1699" t="s">
        <v>2148</v>
      </c>
      <c r="F329" s="1127"/>
      <c r="G329" s="1786"/>
      <c r="H329" s="3585" t="str">
        <f>IF(OR(H330="Visual Inspection - Insulation Better than Grade 3",AND(H330="Testing Option at Final",J331&lt;&gt;"")),"Met","")</f>
        <v/>
      </c>
      <c r="I329" s="3586"/>
      <c r="J329" s="1787"/>
      <c r="K329" s="3516"/>
      <c r="L329" s="3517"/>
    </row>
    <row r="330" spans="3:18">
      <c r="C330" s="1458" t="s">
        <v>2104</v>
      </c>
      <c r="D330" s="282" t="s">
        <v>2101</v>
      </c>
      <c r="E330" s="3705" t="s">
        <v>2016</v>
      </c>
      <c r="F330" s="3852" t="s">
        <v>3</v>
      </c>
      <c r="G330" s="1394">
        <f>IF(choice701.4.3.2="Testing Option", claim701.4.3.2,0)</f>
        <v>0</v>
      </c>
      <c r="H330" s="3546"/>
      <c r="I330" s="3943"/>
      <c r="J330" s="1788" t="str">
        <f>IF(OR(H330="Met",I330="Met"),"Enter ACH50 value","")</f>
        <v/>
      </c>
      <c r="K330" s="3518">
        <f>note701.4.3.2_1</f>
        <v>0</v>
      </c>
      <c r="L330" s="3519"/>
      <c r="P330" s="1392">
        <f>IF(AND(J330&lt;&gt;"",J331=""),1,0)</f>
        <v>0</v>
      </c>
      <c r="Q330" s="28">
        <f>IF(H330="",1,0)</f>
        <v>1</v>
      </c>
      <c r="R330" s="28">
        <f>IF(H329="",1,0)</f>
        <v>1</v>
      </c>
    </row>
    <row r="331" spans="3:18">
      <c r="C331" s="1458" t="s">
        <v>2104</v>
      </c>
      <c r="D331" s="282" t="s">
        <v>2101</v>
      </c>
      <c r="E331" s="3898"/>
      <c r="F331" s="3545"/>
      <c r="G331" s="1383"/>
      <c r="H331" s="3547"/>
      <c r="I331" s="3944"/>
      <c r="J331" s="1384"/>
      <c r="K331" s="3330"/>
      <c r="L331" s="3560"/>
    </row>
    <row r="332" spans="3:18" ht="51" customHeight="1">
      <c r="C332" s="1458" t="s">
        <v>2104</v>
      </c>
      <c r="D332" s="282" t="s">
        <v>2101</v>
      </c>
      <c r="E332" s="3706"/>
      <c r="F332" s="3545"/>
      <c r="G332" s="1100">
        <f>IF(ch7ACH50&lt;&gt;"",CONCATENATE(ch7ACH50," ACH50"),0)</f>
        <v>0</v>
      </c>
      <c r="H332" s="3547"/>
      <c r="I332" s="3945"/>
      <c r="J332" s="1384"/>
      <c r="K332" s="3330"/>
      <c r="L332" s="3560"/>
    </row>
    <row r="333" spans="3:18" ht="66.75" customHeight="1">
      <c r="C333" s="1458" t="s">
        <v>2104</v>
      </c>
      <c r="D333" s="282" t="s">
        <v>2100</v>
      </c>
      <c r="E333" s="1789" t="s">
        <v>2090</v>
      </c>
      <c r="F333" s="3853"/>
      <c r="G333" s="1394">
        <f>IF(choice701.4.3.2="Visual Inspection Option", claim701.4.3.2,0)</f>
        <v>0</v>
      </c>
      <c r="H333" s="3564"/>
      <c r="I333" s="1395"/>
      <c r="J333" s="1396"/>
      <c r="K333" s="3513">
        <f>note701.4.3.2_2</f>
        <v>0</v>
      </c>
      <c r="L333" s="3514"/>
    </row>
    <row r="334" spans="3:18" ht="45">
      <c r="C334" s="1458" t="s">
        <v>2104</v>
      </c>
      <c r="D334" s="282" t="s">
        <v>2100</v>
      </c>
      <c r="E334" s="1699" t="s">
        <v>2562</v>
      </c>
      <c r="F334" s="1790" t="s">
        <v>3</v>
      </c>
      <c r="G334" s="1847">
        <f xml:space="preserve"> claim701.4.3.3</f>
        <v>0</v>
      </c>
      <c r="H334" s="1974"/>
      <c r="I334" s="2074"/>
      <c r="J334" s="1791"/>
      <c r="K334" s="3513">
        <f>note701.4.3.3</f>
        <v>0</v>
      </c>
      <c r="L334" s="3514"/>
      <c r="Q334" s="28">
        <f>IF(AND(H334="",ReportType="Rough"),1,0)</f>
        <v>0</v>
      </c>
      <c r="R334" s="28">
        <f>IF(OR( ReportType="Rough",H334&lt;&gt;"",I334&lt;&gt;""),0,1)</f>
        <v>1</v>
      </c>
    </row>
    <row r="335" spans="3:18" ht="126.75" customHeight="1" thickBot="1">
      <c r="C335" s="1458" t="s">
        <v>2104</v>
      </c>
      <c r="D335" s="282" t="s">
        <v>2099</v>
      </c>
      <c r="E335" s="1699" t="s">
        <v>2563</v>
      </c>
      <c r="F335" s="1790" t="s">
        <v>3</v>
      </c>
      <c r="G335" s="1792">
        <f>claim701.4.3.4</f>
        <v>0</v>
      </c>
      <c r="H335" s="1793"/>
      <c r="I335" s="1794"/>
      <c r="J335" s="1794"/>
      <c r="K335" s="3513">
        <f>note701.4.3.4</f>
        <v>0</v>
      </c>
      <c r="L335" s="3514"/>
      <c r="R335" s="28">
        <f>IF(AND(H335="",I335=""),1,0)</f>
        <v>1</v>
      </c>
    </row>
    <row r="336" spans="3:18" ht="32" thickTop="1" thickBot="1">
      <c r="C336" s="1458" t="s">
        <v>2104</v>
      </c>
      <c r="D336" s="282" t="s">
        <v>2101</v>
      </c>
      <c r="E336" s="1795" t="s">
        <v>2564</v>
      </c>
      <c r="F336" s="1381" t="s">
        <v>3</v>
      </c>
      <c r="G336" s="1972">
        <f>claim701.4.4</f>
        <v>0</v>
      </c>
      <c r="H336" s="1385"/>
      <c r="I336" s="1973"/>
      <c r="J336" s="1332"/>
      <c r="K336" s="3332">
        <f>note701.4.4</f>
        <v>0</v>
      </c>
      <c r="L336" s="3507"/>
      <c r="R336" s="28">
        <f>IF(AND(I336="",ReportType="Final"),1,0)</f>
        <v>0</v>
      </c>
    </row>
    <row r="337" spans="3:18" ht="31" thickTop="1">
      <c r="C337" s="1458" t="s">
        <v>2104</v>
      </c>
      <c r="D337" s="282" t="s">
        <v>2100</v>
      </c>
      <c r="E337" s="1795" t="s">
        <v>2565</v>
      </c>
      <c r="F337" s="1381" t="s">
        <v>3</v>
      </c>
      <c r="G337" s="1006">
        <f>IF(AND(startHVAC1&lt;&gt;"Boiler",startHVAC2&lt;&gt;"Boiler",startHVAC3&lt;&gt;"Boiler",startHVAC1&lt;&gt;""), "N/A", claim701.4.5)</f>
        <v>0</v>
      </c>
      <c r="H337" s="1966"/>
      <c r="I337" s="1967"/>
      <c r="J337" s="1259"/>
      <c r="K337" s="3332">
        <f>note701.4.5</f>
        <v>0</v>
      </c>
      <c r="L337" s="3507"/>
      <c r="Q337" s="28">
        <f>IF(AND(H337="",ReportType="Rough"),1,0)</f>
        <v>0</v>
      </c>
      <c r="R337" s="28">
        <f>IF(OR(H337&lt;&gt;"",I337="Met",ReportType="Rough"),0,1)</f>
        <v>1</v>
      </c>
    </row>
    <row r="338" spans="3:18">
      <c r="E338" s="1975" t="s">
        <v>2519</v>
      </c>
      <c r="F338" s="1976"/>
      <c r="G338" s="1977"/>
      <c r="H338" s="3509" t="str">
        <f>IF(COUNTBLANK(H320:I337)&gt;24,"Not yet met","Met")</f>
        <v>Not yet met</v>
      </c>
      <c r="I338" s="3509"/>
      <c r="J338" s="1978"/>
      <c r="K338" s="1979"/>
      <c r="L338" s="1952"/>
    </row>
    <row r="339" spans="3:18" ht="12.75" customHeight="1">
      <c r="E339" s="3502" t="s">
        <v>2593</v>
      </c>
      <c r="F339" s="3503"/>
      <c r="G339" s="3503"/>
      <c r="H339" s="3503"/>
      <c r="I339" s="3503"/>
      <c r="J339" s="3503"/>
      <c r="K339" s="3503"/>
      <c r="L339" s="3504"/>
      <c r="M339" s="2075"/>
      <c r="N339" s="2075"/>
      <c r="O339" s="2075"/>
      <c r="P339" s="2075"/>
      <c r="Q339" s="2075"/>
    </row>
    <row r="340" spans="3:18" ht="12.75" customHeight="1">
      <c r="E340" s="2076"/>
      <c r="F340" s="2077"/>
      <c r="G340" s="2077"/>
      <c r="H340" s="2077"/>
      <c r="I340" s="2077"/>
      <c r="J340" s="2077"/>
      <c r="K340" s="2077"/>
      <c r="L340" s="2078"/>
      <c r="M340" s="1940"/>
      <c r="N340" s="1940"/>
      <c r="O340" s="1940"/>
      <c r="P340" s="1940"/>
      <c r="Q340" s="1940"/>
    </row>
    <row r="341" spans="3:18" ht="12.75" customHeight="1">
      <c r="E341" s="3508" t="s">
        <v>2591</v>
      </c>
      <c r="F341" s="2207"/>
      <c r="G341" s="2079">
        <v>22</v>
      </c>
      <c r="H341" s="2077"/>
      <c r="I341" s="2077"/>
      <c r="J341" s="2077"/>
      <c r="K341" s="2077"/>
      <c r="L341" s="2078"/>
      <c r="M341" s="1940"/>
      <c r="N341" s="1940"/>
      <c r="O341" s="1940"/>
      <c r="P341" s="1940"/>
      <c r="Q341" s="1940"/>
    </row>
    <row r="342" spans="3:18" ht="12.75" customHeight="1">
      <c r="E342" s="2076"/>
      <c r="F342" s="2077"/>
      <c r="G342" s="2077"/>
      <c r="H342" s="2077"/>
      <c r="I342" s="2077"/>
      <c r="J342" s="2077"/>
      <c r="K342" s="2077"/>
      <c r="L342" s="2078"/>
      <c r="M342" s="1940"/>
      <c r="N342" s="1940"/>
      <c r="O342" s="1940"/>
      <c r="P342" s="1940"/>
      <c r="Q342" s="1940"/>
    </row>
    <row r="343" spans="3:18" ht="16">
      <c r="E343" s="2076"/>
      <c r="F343" s="2077"/>
      <c r="G343" s="2077" t="s">
        <v>2513</v>
      </c>
      <c r="H343" s="2077" t="s">
        <v>2514</v>
      </c>
      <c r="I343" s="2077"/>
      <c r="J343" s="2077"/>
      <c r="K343" s="2077"/>
      <c r="L343" s="2078"/>
      <c r="M343" s="1940"/>
      <c r="N343" s="1940"/>
      <c r="O343" s="1940"/>
      <c r="P343" s="1940"/>
      <c r="Q343" s="1940"/>
    </row>
    <row r="344" spans="3:18">
      <c r="E344" s="1953"/>
      <c r="F344" s="1101" t="s">
        <v>2507</v>
      </c>
      <c r="G344" s="1957">
        <v>1</v>
      </c>
      <c r="H344" s="1957">
        <v>1</v>
      </c>
      <c r="I344" s="1957"/>
      <c r="J344" s="1958"/>
      <c r="K344" s="1959"/>
      <c r="L344" s="2049"/>
    </row>
    <row r="345" spans="3:18">
      <c r="E345" s="1953"/>
      <c r="F345" s="1101" t="s">
        <v>2508</v>
      </c>
      <c r="G345" s="1957">
        <v>1</v>
      </c>
      <c r="H345" s="1957">
        <v>1</v>
      </c>
      <c r="I345" s="1957"/>
      <c r="J345" s="1958"/>
      <c r="K345" s="1959"/>
      <c r="L345" s="2049"/>
    </row>
    <row r="346" spans="3:18">
      <c r="E346" s="1953"/>
      <c r="F346" s="1101" t="s">
        <v>2509</v>
      </c>
      <c r="G346" s="1957">
        <v>1</v>
      </c>
      <c r="H346" s="1957">
        <v>1</v>
      </c>
      <c r="I346" s="1957"/>
      <c r="J346" s="1958"/>
      <c r="K346" s="1959"/>
      <c r="L346" s="2049" t="s">
        <v>2518</v>
      </c>
    </row>
    <row r="347" spans="3:18">
      <c r="E347" s="1953"/>
      <c r="F347" s="1101" t="s">
        <v>2510</v>
      </c>
      <c r="G347" s="1957">
        <v>1</v>
      </c>
      <c r="H347" s="1957">
        <v>1</v>
      </c>
      <c r="I347" s="1957"/>
      <c r="J347" s="1958"/>
      <c r="K347" s="1959"/>
      <c r="L347" s="2049"/>
    </row>
    <row r="348" spans="3:18">
      <c r="E348" s="1953"/>
      <c r="F348" s="1101" t="s">
        <v>2511</v>
      </c>
      <c r="G348" s="1957">
        <v>1</v>
      </c>
      <c r="H348" s="1957">
        <v>1</v>
      </c>
      <c r="I348" s="1957"/>
      <c r="J348" s="1958"/>
      <c r="K348" s="1959"/>
      <c r="L348" s="2049"/>
    </row>
    <row r="349" spans="3:18">
      <c r="E349" s="1953"/>
      <c r="F349" s="1101" t="s">
        <v>2512</v>
      </c>
      <c r="G349" s="1957">
        <v>1</v>
      </c>
      <c r="H349" s="1957">
        <v>1</v>
      </c>
      <c r="I349" s="1957"/>
      <c r="J349" s="1958"/>
      <c r="K349" s="1959"/>
      <c r="L349" s="2049"/>
    </row>
    <row r="350" spans="3:18">
      <c r="E350" s="1953"/>
      <c r="F350" s="1101"/>
      <c r="G350" s="1955"/>
      <c r="H350" s="1956"/>
      <c r="I350" s="1957"/>
      <c r="J350" s="1958"/>
      <c r="K350" s="1959"/>
      <c r="L350" s="2049"/>
    </row>
    <row r="351" spans="3:18">
      <c r="E351" s="1953"/>
      <c r="F351" s="1986" t="s">
        <v>2515</v>
      </c>
      <c r="G351" s="2034">
        <f>SUM(G344:G349)</f>
        <v>6</v>
      </c>
      <c r="H351" s="2034">
        <f>SUM(H344:H349)</f>
        <v>6</v>
      </c>
      <c r="I351" s="1957"/>
      <c r="J351" s="1958"/>
      <c r="K351" s="1959"/>
      <c r="L351" s="2049"/>
    </row>
    <row r="352" spans="3:18">
      <c r="E352" s="1953"/>
      <c r="F352" s="1101"/>
      <c r="G352" s="1955"/>
      <c r="H352" s="1956"/>
      <c r="I352" s="1957"/>
      <c r="J352" s="1958"/>
      <c r="K352" s="1959"/>
      <c r="L352" s="2049"/>
    </row>
    <row r="353" spans="5:17">
      <c r="E353" s="1953"/>
      <c r="F353" s="1986" t="s">
        <v>2516</v>
      </c>
      <c r="G353" s="1955">
        <f>IF(G341&gt;0,G351/G341,0)</f>
        <v>0.27272727272727271</v>
      </c>
      <c r="H353" s="2034">
        <f>IF(G341&gt;0,H351/G341,0)</f>
        <v>0.27272727272727271</v>
      </c>
      <c r="I353" s="1957"/>
      <c r="J353" s="1958"/>
      <c r="K353" s="1959"/>
      <c r="L353" s="2049"/>
    </row>
    <row r="354" spans="5:17">
      <c r="E354" s="1953"/>
      <c r="F354" s="1954"/>
      <c r="G354" s="1955"/>
      <c r="H354" s="1956"/>
      <c r="I354" s="1957"/>
      <c r="J354" s="1958"/>
      <c r="K354" s="1959"/>
      <c r="L354" s="2049"/>
    </row>
    <row r="355" spans="5:17" ht="15" customHeight="1">
      <c r="E355" s="3499" t="s">
        <v>2592</v>
      </c>
      <c r="F355" s="3500"/>
      <c r="G355" s="3500"/>
      <c r="H355" s="3500"/>
      <c r="I355" s="3500"/>
      <c r="J355" s="3500"/>
      <c r="K355" s="3500"/>
      <c r="L355" s="3501"/>
      <c r="M355" s="2075"/>
      <c r="N355" s="2075"/>
      <c r="O355" s="2075"/>
      <c r="P355" s="2075"/>
      <c r="Q355" s="2075"/>
    </row>
    <row r="356" spans="5:17">
      <c r="E356" s="1953"/>
      <c r="F356" s="1954"/>
      <c r="G356" s="1955"/>
      <c r="H356" s="1956"/>
      <c r="I356" s="1957"/>
      <c r="J356" s="1958"/>
      <c r="K356" s="1959"/>
      <c r="L356" s="2049"/>
    </row>
    <row r="357" spans="5:17">
      <c r="E357" s="3508" t="s">
        <v>2591</v>
      </c>
      <c r="F357" s="2207"/>
      <c r="G357" s="1957">
        <v>1</v>
      </c>
      <c r="H357" s="1956"/>
      <c r="I357" s="1957"/>
      <c r="J357" s="1958"/>
      <c r="K357" s="1959"/>
      <c r="L357" s="2049"/>
    </row>
    <row r="358" spans="5:17">
      <c r="E358" s="1953"/>
      <c r="F358" s="2077"/>
      <c r="G358" s="1955"/>
      <c r="H358" s="1956"/>
      <c r="I358" s="1957"/>
      <c r="J358" s="1958"/>
      <c r="K358" s="1959"/>
      <c r="L358" s="2049"/>
    </row>
    <row r="359" spans="5:17" ht="16">
      <c r="E359" s="1953"/>
      <c r="F359" s="1101"/>
      <c r="G359" s="2077" t="s">
        <v>2513</v>
      </c>
      <c r="H359" s="2077" t="s">
        <v>2514</v>
      </c>
      <c r="I359" s="1957"/>
      <c r="J359" s="1958"/>
      <c r="K359" s="1959"/>
      <c r="L359" s="2049"/>
    </row>
    <row r="360" spans="5:17">
      <c r="E360" s="1953"/>
      <c r="F360" s="1101" t="s">
        <v>2507</v>
      </c>
      <c r="G360" s="1957">
        <v>1</v>
      </c>
      <c r="H360" s="1957">
        <v>1</v>
      </c>
      <c r="I360" s="1957"/>
      <c r="J360" s="1958"/>
      <c r="K360" s="1959"/>
      <c r="L360" s="2049"/>
    </row>
    <row r="361" spans="5:17">
      <c r="E361" s="1953"/>
      <c r="F361" s="1101" t="s">
        <v>2508</v>
      </c>
      <c r="G361" s="1957">
        <v>1</v>
      </c>
      <c r="H361" s="1957">
        <v>1</v>
      </c>
      <c r="I361" s="1957"/>
      <c r="J361" s="1958"/>
      <c r="K361" s="1959"/>
      <c r="L361" s="2049"/>
    </row>
    <row r="362" spans="5:17">
      <c r="E362" s="1953"/>
      <c r="F362" s="1101" t="s">
        <v>2509</v>
      </c>
      <c r="G362" s="1957">
        <v>1</v>
      </c>
      <c r="H362" s="1957">
        <v>1</v>
      </c>
      <c r="I362" s="1957"/>
      <c r="J362" s="1958"/>
      <c r="K362" s="1959"/>
      <c r="L362" s="2049"/>
    </row>
    <row r="363" spans="5:17">
      <c r="E363" s="1953"/>
      <c r="F363" s="1101" t="s">
        <v>2510</v>
      </c>
      <c r="G363" s="1957">
        <v>1</v>
      </c>
      <c r="H363" s="1957">
        <v>1</v>
      </c>
      <c r="I363" s="1957"/>
      <c r="J363" s="1958"/>
      <c r="K363" s="1959"/>
      <c r="L363" s="2049"/>
    </row>
    <row r="364" spans="5:17">
      <c r="E364" s="1953"/>
      <c r="F364" s="1101" t="s">
        <v>2511</v>
      </c>
      <c r="G364" s="1957">
        <v>1</v>
      </c>
      <c r="H364" s="1957">
        <v>1</v>
      </c>
      <c r="I364" s="1957"/>
      <c r="J364" s="1958"/>
      <c r="K364" s="1959"/>
      <c r="L364" s="2049"/>
    </row>
    <row r="365" spans="5:17">
      <c r="E365" s="1953"/>
      <c r="F365" s="1101" t="s">
        <v>2512</v>
      </c>
      <c r="G365" s="1957">
        <v>1</v>
      </c>
      <c r="H365" s="1957">
        <v>1</v>
      </c>
      <c r="I365" s="1957"/>
      <c r="J365" s="1958"/>
      <c r="K365" s="1959"/>
      <c r="L365" s="2049"/>
    </row>
    <row r="366" spans="5:17">
      <c r="E366" s="1953"/>
      <c r="F366" s="1101"/>
      <c r="G366" s="1955"/>
      <c r="H366" s="1956"/>
      <c r="I366" s="1957"/>
      <c r="J366" s="1958"/>
      <c r="K366" s="1959"/>
      <c r="L366" s="2049"/>
    </row>
    <row r="367" spans="5:17">
      <c r="E367" s="1953"/>
      <c r="F367" s="1986" t="s">
        <v>2515</v>
      </c>
      <c r="G367" s="2034">
        <f>SUM(G360:G365)</f>
        <v>6</v>
      </c>
      <c r="H367" s="2034">
        <f>SUM(H360:H365)</f>
        <v>6</v>
      </c>
      <c r="I367" s="1957"/>
      <c r="J367" s="1958"/>
      <c r="K367" s="1959"/>
      <c r="L367" s="2049"/>
    </row>
    <row r="368" spans="5:17">
      <c r="E368" s="1953"/>
      <c r="F368" s="1101"/>
      <c r="G368" s="1955"/>
      <c r="H368" s="2034"/>
      <c r="I368" s="1957"/>
      <c r="J368" s="1958"/>
      <c r="K368" s="1959"/>
      <c r="L368" s="2049"/>
    </row>
    <row r="369" spans="3:12">
      <c r="E369" s="1953"/>
      <c r="F369" s="1986" t="s">
        <v>2516</v>
      </c>
      <c r="G369" s="1955">
        <f>IF(G357&gt;0,G367/G357,0)</f>
        <v>6</v>
      </c>
      <c r="H369" s="2035">
        <f>IF(G357&gt;0,H367/G357,0)</f>
        <v>6</v>
      </c>
      <c r="I369" s="1957"/>
      <c r="J369" s="1958"/>
      <c r="K369" s="1959"/>
      <c r="L369" s="2049"/>
    </row>
    <row r="370" spans="3:12">
      <c r="E370" s="1953"/>
      <c r="F370" s="1960"/>
      <c r="G370" s="1955"/>
      <c r="H370" s="2034"/>
      <c r="I370" s="1957"/>
      <c r="J370" s="1958"/>
      <c r="K370" s="1959"/>
      <c r="L370" s="2049"/>
    </row>
    <row r="371" spans="3:12">
      <c r="E371" s="1953"/>
      <c r="F371" s="1986" t="s">
        <v>2517</v>
      </c>
      <c r="G371" s="1955"/>
      <c r="H371" s="2036">
        <f>IF(H353&gt;0,(H353-H369)/H353*100,0)</f>
        <v>-2100.0000000000005</v>
      </c>
      <c r="I371" s="1957" t="s">
        <v>737</v>
      </c>
      <c r="J371" s="1958"/>
      <c r="K371" s="1959"/>
      <c r="L371" s="2049"/>
    </row>
    <row r="372" spans="3:12">
      <c r="E372" s="1953"/>
      <c r="F372" s="1954"/>
      <c r="G372" s="1955"/>
      <c r="H372" s="1956"/>
      <c r="I372" s="1957"/>
      <c r="J372" s="1958"/>
      <c r="K372" s="1959"/>
      <c r="L372" s="2049"/>
    </row>
    <row r="373" spans="3:12">
      <c r="C373" s="1458" t="s">
        <v>2104</v>
      </c>
      <c r="D373" s="1460" t="s">
        <v>2099</v>
      </c>
      <c r="E373" s="3707" t="s">
        <v>1956</v>
      </c>
      <c r="F373" s="3708"/>
      <c r="G373" s="1740"/>
      <c r="H373" s="1740"/>
      <c r="I373" s="1740"/>
      <c r="J373" s="1741" t="str">
        <f>IF(AND(H371&gt;44.99,H338="Met"),"EMERALD",IF(AND(H371&gt;34.99,H338="Met"),"GOLD",IF(AND(H371&gt;24.99,H338="Met"),"SILVER",IF(AND(H371&gt;14.99,H338="Met"),"BRONZE","no threshold achieved yet"))))</f>
        <v>no threshold achieved yet</v>
      </c>
      <c r="K373" s="1322"/>
      <c r="L373" s="1813"/>
    </row>
    <row r="374" spans="3:12">
      <c r="E374" s="3539" t="s">
        <v>505</v>
      </c>
      <c r="F374" s="3540"/>
      <c r="G374" s="3540"/>
      <c r="H374" s="3540"/>
      <c r="I374" s="3540"/>
      <c r="J374" s="3540"/>
      <c r="K374" s="3540"/>
      <c r="L374" s="3541"/>
    </row>
    <row r="375" spans="3:12">
      <c r="E375" s="3718" t="s">
        <v>2521</v>
      </c>
      <c r="F375" s="3719"/>
      <c r="G375" s="3719"/>
      <c r="H375" s="3719"/>
      <c r="I375" s="3719"/>
      <c r="J375" s="3719"/>
      <c r="K375" s="3719"/>
      <c r="L375" s="3720"/>
    </row>
    <row r="376" spans="3:12" ht="26">
      <c r="E376" s="3981" t="s">
        <v>2353</v>
      </c>
      <c r="F376" s="3982"/>
      <c r="G376" s="2080" t="s">
        <v>2363</v>
      </c>
      <c r="H376" s="2080" t="s">
        <v>2366</v>
      </c>
      <c r="I376" s="2080" t="s">
        <v>2364</v>
      </c>
      <c r="J376" s="2081" t="s">
        <v>2365</v>
      </c>
      <c r="K376" s="1961"/>
      <c r="L376" s="1962"/>
    </row>
    <row r="377" spans="3:12">
      <c r="E377" s="3979" t="s">
        <v>2354</v>
      </c>
      <c r="F377" s="3980"/>
      <c r="G377" s="2082"/>
      <c r="H377" s="2082"/>
      <c r="I377" s="2082"/>
      <c r="J377" s="2083"/>
      <c r="K377" s="1961"/>
      <c r="L377" s="1962"/>
    </row>
    <row r="378" spans="3:12">
      <c r="E378" s="3968" t="s">
        <v>2355</v>
      </c>
      <c r="F378" s="3969"/>
      <c r="G378" s="4316">
        <v>1</v>
      </c>
      <c r="H378" s="4316">
        <v>1</v>
      </c>
      <c r="I378" s="4316">
        <v>1</v>
      </c>
      <c r="J378" s="2085">
        <f>G378*I378</f>
        <v>1</v>
      </c>
      <c r="K378" s="1961"/>
      <c r="L378" s="1962"/>
    </row>
    <row r="379" spans="3:12">
      <c r="E379" s="3968" t="s">
        <v>1449</v>
      </c>
      <c r="F379" s="3969"/>
      <c r="G379" s="4316">
        <v>1</v>
      </c>
      <c r="H379" s="4316">
        <v>1</v>
      </c>
      <c r="I379" s="4316">
        <v>1</v>
      </c>
      <c r="J379" s="2085">
        <f>G379*I379</f>
        <v>1</v>
      </c>
      <c r="K379" s="1961"/>
      <c r="L379" s="1962"/>
    </row>
    <row r="380" spans="3:12">
      <c r="E380" s="3979" t="s">
        <v>2356</v>
      </c>
      <c r="F380" s="3980"/>
      <c r="G380" s="2082"/>
      <c r="H380" s="2082"/>
      <c r="I380" s="2082"/>
      <c r="J380" s="2083"/>
      <c r="K380" s="1961"/>
      <c r="L380" s="1962"/>
    </row>
    <row r="381" spans="3:12">
      <c r="E381" s="3968" t="s">
        <v>2357</v>
      </c>
      <c r="F381" s="3969"/>
      <c r="G381" s="4316">
        <v>1</v>
      </c>
      <c r="H381" s="4316">
        <v>1</v>
      </c>
      <c r="I381" s="4316">
        <v>1</v>
      </c>
      <c r="J381" s="2085">
        <f t="shared" ref="J381:J385" si="56">G381*I381</f>
        <v>1</v>
      </c>
      <c r="K381" s="1961"/>
      <c r="L381" s="1962"/>
    </row>
    <row r="382" spans="3:12">
      <c r="E382" s="3968" t="s">
        <v>2358</v>
      </c>
      <c r="F382" s="3969"/>
      <c r="G382" s="4316">
        <v>1</v>
      </c>
      <c r="H382" s="4316">
        <v>1</v>
      </c>
      <c r="I382" s="4316">
        <v>1</v>
      </c>
      <c r="J382" s="2085">
        <f t="shared" si="56"/>
        <v>1</v>
      </c>
      <c r="K382" s="1961"/>
      <c r="L382" s="1962"/>
    </row>
    <row r="383" spans="3:12">
      <c r="E383" s="3968" t="s">
        <v>2359</v>
      </c>
      <c r="F383" s="3969"/>
      <c r="G383" s="4316">
        <v>1</v>
      </c>
      <c r="H383" s="4316">
        <v>1</v>
      </c>
      <c r="I383" s="4316">
        <v>1</v>
      </c>
      <c r="J383" s="2085">
        <f t="shared" si="56"/>
        <v>1</v>
      </c>
      <c r="K383" s="1961"/>
      <c r="L383" s="1962"/>
    </row>
    <row r="384" spans="3:12">
      <c r="E384" s="3968" t="s">
        <v>2360</v>
      </c>
      <c r="F384" s="3969"/>
      <c r="G384" s="2084"/>
      <c r="H384" s="2084"/>
      <c r="I384" s="2084"/>
      <c r="J384" s="2085">
        <f t="shared" si="56"/>
        <v>0</v>
      </c>
      <c r="K384" s="1961"/>
      <c r="L384" s="1962"/>
    </row>
    <row r="385" spans="5:12">
      <c r="E385" s="3968" t="s">
        <v>2361</v>
      </c>
      <c r="F385" s="3969"/>
      <c r="G385" s="4316">
        <v>1</v>
      </c>
      <c r="H385" s="4316">
        <v>1</v>
      </c>
      <c r="I385" s="4316">
        <v>1</v>
      </c>
      <c r="J385" s="2085">
        <f t="shared" si="56"/>
        <v>1</v>
      </c>
      <c r="K385" s="1961"/>
      <c r="L385" s="1962"/>
    </row>
    <row r="386" spans="5:12">
      <c r="E386" s="3979" t="s">
        <v>2362</v>
      </c>
      <c r="F386" s="3980"/>
      <c r="G386" s="2082"/>
      <c r="H386" s="2082"/>
      <c r="I386" s="2082"/>
      <c r="J386" s="2083"/>
      <c r="K386" s="1961"/>
      <c r="L386" s="1962"/>
    </row>
    <row r="387" spans="5:12">
      <c r="E387" s="3968" t="s">
        <v>2357</v>
      </c>
      <c r="F387" s="3969"/>
      <c r="G387" s="4316">
        <v>1</v>
      </c>
      <c r="H387" s="4316">
        <v>1</v>
      </c>
      <c r="I387" s="4316">
        <v>1</v>
      </c>
      <c r="J387" s="2085">
        <f t="shared" ref="J387:J391" si="57">G387*I387</f>
        <v>1</v>
      </c>
      <c r="K387" s="1961"/>
      <c r="L387" s="1962"/>
    </row>
    <row r="388" spans="5:12">
      <c r="E388" s="3968" t="s">
        <v>2358</v>
      </c>
      <c r="F388" s="3969"/>
      <c r="G388" s="2084"/>
      <c r="H388" s="2084"/>
      <c r="I388" s="2084"/>
      <c r="J388" s="2085">
        <f t="shared" si="57"/>
        <v>0</v>
      </c>
      <c r="K388" s="1961"/>
      <c r="L388" s="1962"/>
    </row>
    <row r="389" spans="5:12">
      <c r="E389" s="3968" t="s">
        <v>2359</v>
      </c>
      <c r="F389" s="3969"/>
      <c r="G389" s="4316">
        <v>1</v>
      </c>
      <c r="H389" s="4316">
        <v>1</v>
      </c>
      <c r="I389" s="4316">
        <v>1</v>
      </c>
      <c r="J389" s="2085">
        <f t="shared" si="57"/>
        <v>1</v>
      </c>
      <c r="K389" s="1961"/>
      <c r="L389" s="1962"/>
    </row>
    <row r="390" spans="5:12">
      <c r="E390" s="3968" t="s">
        <v>2360</v>
      </c>
      <c r="F390" s="3969"/>
      <c r="G390" s="4316">
        <v>1</v>
      </c>
      <c r="H390" s="4316">
        <v>1</v>
      </c>
      <c r="I390" s="4316">
        <v>1</v>
      </c>
      <c r="J390" s="2085">
        <f t="shared" si="57"/>
        <v>1</v>
      </c>
      <c r="K390" s="1961"/>
      <c r="L390" s="1962"/>
    </row>
    <row r="391" spans="5:12">
      <c r="E391" s="3968" t="s">
        <v>2361</v>
      </c>
      <c r="F391" s="3969"/>
      <c r="G391" s="4316">
        <v>1</v>
      </c>
      <c r="H391" s="4316">
        <v>1</v>
      </c>
      <c r="I391" s="4316">
        <v>1</v>
      </c>
      <c r="J391" s="2085">
        <f t="shared" si="57"/>
        <v>1</v>
      </c>
      <c r="K391" s="1961"/>
      <c r="L391" s="1962"/>
    </row>
    <row r="392" spans="5:12">
      <c r="E392" s="3979" t="s">
        <v>2362</v>
      </c>
      <c r="F392" s="3980"/>
      <c r="G392" s="2082"/>
      <c r="H392" s="2082"/>
      <c r="I392" s="2082"/>
      <c r="J392" s="2083"/>
      <c r="K392" s="1961"/>
      <c r="L392" s="1962"/>
    </row>
    <row r="393" spans="5:12">
      <c r="E393" s="3968" t="s">
        <v>2357</v>
      </c>
      <c r="F393" s="3969"/>
      <c r="G393" s="4316">
        <v>1</v>
      </c>
      <c r="H393" s="4316">
        <v>1</v>
      </c>
      <c r="I393" s="4316">
        <v>1</v>
      </c>
      <c r="J393" s="2085">
        <f t="shared" ref="J393:J397" si="58">G393*I393</f>
        <v>1</v>
      </c>
      <c r="K393" s="1961"/>
      <c r="L393" s="1962"/>
    </row>
    <row r="394" spans="5:12">
      <c r="E394" s="3968" t="s">
        <v>2358</v>
      </c>
      <c r="F394" s="3969"/>
      <c r="G394" s="4316">
        <v>1</v>
      </c>
      <c r="H394" s="4316">
        <v>1</v>
      </c>
      <c r="I394" s="4316">
        <v>1</v>
      </c>
      <c r="J394" s="2085">
        <f t="shared" si="58"/>
        <v>1</v>
      </c>
      <c r="K394" s="1961"/>
      <c r="L394" s="1962"/>
    </row>
    <row r="395" spans="5:12">
      <c r="E395" s="3968" t="s">
        <v>2359</v>
      </c>
      <c r="F395" s="3969"/>
      <c r="G395" s="4316">
        <v>1</v>
      </c>
      <c r="H395" s="4316">
        <v>1</v>
      </c>
      <c r="I395" s="4316">
        <v>1</v>
      </c>
      <c r="J395" s="2085">
        <f t="shared" si="58"/>
        <v>1</v>
      </c>
      <c r="K395" s="1961"/>
      <c r="L395" s="1962"/>
    </row>
    <row r="396" spans="5:12">
      <c r="E396" s="3968" t="s">
        <v>2360</v>
      </c>
      <c r="F396" s="3969"/>
      <c r="G396" s="4316">
        <v>1</v>
      </c>
      <c r="H396" s="4316">
        <v>1</v>
      </c>
      <c r="I396" s="4316">
        <v>1</v>
      </c>
      <c r="J396" s="2085">
        <f t="shared" si="58"/>
        <v>1</v>
      </c>
      <c r="K396" s="1961"/>
      <c r="L396" s="1962"/>
    </row>
    <row r="397" spans="5:12">
      <c r="E397" s="3968" t="s">
        <v>2361</v>
      </c>
      <c r="F397" s="3969"/>
      <c r="G397" s="2084"/>
      <c r="H397" s="2084"/>
      <c r="I397" s="2084"/>
      <c r="J397" s="2085">
        <f t="shared" si="58"/>
        <v>0</v>
      </c>
      <c r="K397" s="1961"/>
      <c r="L397" s="1962"/>
    </row>
    <row r="398" spans="5:12">
      <c r="E398" s="3979" t="s">
        <v>139</v>
      </c>
      <c r="F398" s="3980"/>
      <c r="G398" s="2082"/>
      <c r="H398" s="2082"/>
      <c r="I398" s="2082"/>
      <c r="J398" s="2083"/>
      <c r="K398" s="1961"/>
      <c r="L398" s="1962"/>
    </row>
    <row r="399" spans="5:12">
      <c r="E399" s="3983"/>
      <c r="F399" s="3984"/>
      <c r="G399" s="2084"/>
      <c r="H399" s="2084"/>
      <c r="I399" s="2084"/>
      <c r="J399" s="2085">
        <f t="shared" ref="J399:J403" si="59">G399*I399</f>
        <v>0</v>
      </c>
      <c r="K399" s="1961"/>
      <c r="L399" s="1962"/>
    </row>
    <row r="400" spans="5:12">
      <c r="E400" s="3983"/>
      <c r="F400" s="3984"/>
      <c r="G400" s="2084"/>
      <c r="H400" s="2084"/>
      <c r="I400" s="2084"/>
      <c r="J400" s="2085">
        <f t="shared" si="59"/>
        <v>0</v>
      </c>
      <c r="K400" s="1961"/>
      <c r="L400" s="1962"/>
    </row>
    <row r="401" spans="5:12">
      <c r="E401" s="3983"/>
      <c r="F401" s="3984"/>
      <c r="G401" s="2084"/>
      <c r="H401" s="2084"/>
      <c r="I401" s="2084"/>
      <c r="J401" s="2085">
        <f t="shared" si="59"/>
        <v>0</v>
      </c>
      <c r="K401" s="1961"/>
      <c r="L401" s="1962"/>
    </row>
    <row r="402" spans="5:12">
      <c r="E402" s="3983"/>
      <c r="F402" s="3984"/>
      <c r="G402" s="2084"/>
      <c r="H402" s="2084"/>
      <c r="I402" s="2084"/>
      <c r="J402" s="2085">
        <f t="shared" si="59"/>
        <v>0</v>
      </c>
      <c r="K402" s="1961"/>
      <c r="L402" s="1962"/>
    </row>
    <row r="403" spans="5:12">
      <c r="E403" s="3983"/>
      <c r="F403" s="3984"/>
      <c r="G403" s="2084"/>
      <c r="H403" s="2084"/>
      <c r="I403" s="2084"/>
      <c r="J403" s="2085">
        <f t="shared" si="59"/>
        <v>0</v>
      </c>
      <c r="K403" s="1961"/>
      <c r="L403" s="1962"/>
    </row>
    <row r="404" spans="5:12">
      <c r="E404" s="2086"/>
      <c r="F404" s="2087"/>
      <c r="G404" s="2088"/>
      <c r="H404" s="2088"/>
      <c r="I404" s="2088"/>
      <c r="J404" s="2089"/>
      <c r="K404" s="1961"/>
      <c r="L404" s="1962"/>
    </row>
    <row r="405" spans="5:12">
      <c r="E405" s="2086"/>
      <c r="F405" s="2087"/>
      <c r="G405" s="2088"/>
      <c r="H405" s="2088"/>
      <c r="I405" s="2088"/>
      <c r="J405" s="2089"/>
      <c r="K405" s="1961"/>
      <c r="L405" s="1962"/>
    </row>
    <row r="406" spans="5:12">
      <c r="E406" s="3979" t="s">
        <v>2367</v>
      </c>
      <c r="F406" s="3980"/>
      <c r="G406" s="3980"/>
      <c r="H406" s="2090"/>
      <c r="I406" s="2090"/>
      <c r="J406" s="2089"/>
      <c r="K406" s="1961"/>
      <c r="L406" s="1962"/>
    </row>
    <row r="407" spans="5:12" ht="26">
      <c r="E407" s="2091"/>
      <c r="F407" s="2092"/>
      <c r="G407" s="2080" t="s">
        <v>2363</v>
      </c>
      <c r="H407" s="2080" t="s">
        <v>2372</v>
      </c>
      <c r="I407" s="2080" t="s">
        <v>2364</v>
      </c>
      <c r="J407" s="2081" t="s">
        <v>2365</v>
      </c>
      <c r="K407" s="1961"/>
      <c r="L407" s="1962"/>
    </row>
    <row r="408" spans="5:12">
      <c r="E408" s="3985" t="s">
        <v>2368</v>
      </c>
      <c r="F408" s="3986"/>
      <c r="G408" s="2084"/>
      <c r="H408" s="2084"/>
      <c r="I408" s="2084"/>
      <c r="J408" s="2085">
        <f>G408*H408/12*I408</f>
        <v>0</v>
      </c>
      <c r="K408" s="1961"/>
      <c r="L408" s="1962"/>
    </row>
    <row r="409" spans="5:12">
      <c r="E409" s="3985" t="s">
        <v>2369</v>
      </c>
      <c r="F409" s="3986"/>
      <c r="G409" s="2084"/>
      <c r="H409" s="2084"/>
      <c r="I409" s="2084"/>
      <c r="J409" s="2085">
        <f t="shared" ref="J409:J411" si="60">G409*H409/12*I409</f>
        <v>0</v>
      </c>
      <c r="K409" s="1961"/>
      <c r="L409" s="1962"/>
    </row>
    <row r="410" spans="5:12">
      <c r="E410" s="3968" t="s">
        <v>2370</v>
      </c>
      <c r="F410" s="3969"/>
      <c r="G410" s="2084"/>
      <c r="H410" s="2084"/>
      <c r="I410" s="2084"/>
      <c r="J410" s="2085">
        <f t="shared" si="60"/>
        <v>0</v>
      </c>
      <c r="K410" s="1961"/>
      <c r="L410" s="1962"/>
    </row>
    <row r="411" spans="5:12">
      <c r="E411" s="3968" t="s">
        <v>2371</v>
      </c>
      <c r="F411" s="3969"/>
      <c r="G411" s="2084"/>
      <c r="H411" s="2084"/>
      <c r="I411" s="2084"/>
      <c r="J411" s="2085">
        <f t="shared" si="60"/>
        <v>0</v>
      </c>
      <c r="K411" s="1961"/>
      <c r="L411" s="1962"/>
    </row>
    <row r="412" spans="5:12">
      <c r="E412" s="3979" t="s">
        <v>139</v>
      </c>
      <c r="F412" s="3980"/>
      <c r="G412" s="2082"/>
      <c r="H412" s="2082"/>
      <c r="I412" s="2082"/>
      <c r="J412" s="2083"/>
      <c r="K412" s="1961"/>
      <c r="L412" s="1962"/>
    </row>
    <row r="413" spans="5:12">
      <c r="E413" s="3983"/>
      <c r="F413" s="3984"/>
      <c r="G413" s="2084"/>
      <c r="H413" s="2084"/>
      <c r="I413" s="2084"/>
      <c r="J413" s="2085">
        <f t="shared" ref="J413:J416" si="61">G413*H413/12*I413</f>
        <v>0</v>
      </c>
      <c r="K413" s="1961"/>
      <c r="L413" s="1962"/>
    </row>
    <row r="414" spans="5:12">
      <c r="E414" s="3983"/>
      <c r="F414" s="3984"/>
      <c r="G414" s="2084"/>
      <c r="H414" s="2084"/>
      <c r="I414" s="2084"/>
      <c r="J414" s="2085">
        <f t="shared" si="61"/>
        <v>0</v>
      </c>
      <c r="K414" s="1961"/>
      <c r="L414" s="1962"/>
    </row>
    <row r="415" spans="5:12">
      <c r="E415" s="3983"/>
      <c r="F415" s="3984"/>
      <c r="G415" s="2084"/>
      <c r="H415" s="2084"/>
      <c r="I415" s="2084"/>
      <c r="J415" s="2085">
        <f t="shared" si="61"/>
        <v>0</v>
      </c>
      <c r="K415" s="1961"/>
      <c r="L415" s="1962"/>
    </row>
    <row r="416" spans="5:12">
      <c r="E416" s="3983"/>
      <c r="F416" s="3984"/>
      <c r="G416" s="2084"/>
      <c r="H416" s="2084"/>
      <c r="I416" s="2084"/>
      <c r="J416" s="2085">
        <f t="shared" si="61"/>
        <v>0</v>
      </c>
      <c r="K416" s="1961"/>
      <c r="L416" s="1962"/>
    </row>
    <row r="417" spans="5:12">
      <c r="E417" s="2093"/>
      <c r="F417" s="2094"/>
      <c r="G417" s="2095"/>
      <c r="H417" s="2095"/>
      <c r="I417" s="2095"/>
      <c r="J417" s="2046"/>
      <c r="K417" s="1961"/>
      <c r="L417" s="1962"/>
    </row>
    <row r="418" spans="5:12">
      <c r="E418" s="2093"/>
      <c r="F418" s="2045" t="s">
        <v>2374</v>
      </c>
      <c r="G418" s="2095"/>
      <c r="H418" s="2095"/>
      <c r="I418" s="2095"/>
      <c r="J418" s="2096">
        <f>SUM(J378:J416)</f>
        <v>14</v>
      </c>
      <c r="K418" s="1961"/>
      <c r="L418" s="1962"/>
    </row>
    <row r="419" spans="5:12">
      <c r="E419" s="2093"/>
      <c r="F419" s="2097"/>
      <c r="G419" s="2095"/>
      <c r="H419" s="2095"/>
      <c r="I419" s="2095"/>
      <c r="J419" s="2095"/>
      <c r="K419" s="1961"/>
      <c r="L419" s="1962"/>
    </row>
    <row r="420" spans="5:12">
      <c r="E420" s="2093"/>
      <c r="F420" s="2097"/>
      <c r="G420" s="2095"/>
      <c r="H420" s="2095"/>
      <c r="I420" s="2095"/>
      <c r="J420" s="2095"/>
      <c r="K420" s="1982"/>
      <c r="L420" s="1983"/>
    </row>
    <row r="421" spans="5:12">
      <c r="E421" s="3510" t="s">
        <v>2520</v>
      </c>
      <c r="F421" s="3511"/>
      <c r="G421" s="3511"/>
      <c r="H421" s="3511"/>
      <c r="I421" s="3511"/>
      <c r="J421" s="3511"/>
      <c r="K421" s="3511"/>
      <c r="L421" s="3512"/>
    </row>
    <row r="422" spans="5:12" ht="26">
      <c r="E422" s="3981" t="s">
        <v>2353</v>
      </c>
      <c r="F422" s="3982"/>
      <c r="G422" s="2080" t="s">
        <v>2363</v>
      </c>
      <c r="H422" s="2080" t="s">
        <v>2366</v>
      </c>
      <c r="I422" s="2080" t="s">
        <v>2364</v>
      </c>
      <c r="J422" s="2080" t="s">
        <v>2365</v>
      </c>
      <c r="K422" s="1984"/>
      <c r="L422" s="1985"/>
    </row>
    <row r="423" spans="5:12">
      <c r="E423" s="3979" t="s">
        <v>2354</v>
      </c>
      <c r="F423" s="3980"/>
      <c r="G423" s="2082"/>
      <c r="H423" s="2082"/>
      <c r="I423" s="2082"/>
      <c r="J423" s="2083"/>
      <c r="K423" s="1961"/>
      <c r="L423" s="1962"/>
    </row>
    <row r="424" spans="5:12">
      <c r="E424" s="3968" t="s">
        <v>2355</v>
      </c>
      <c r="F424" s="3969"/>
      <c r="G424" s="4316">
        <v>1</v>
      </c>
      <c r="H424" s="4316">
        <v>1</v>
      </c>
      <c r="I424" s="4316">
        <v>1</v>
      </c>
      <c r="J424" s="2085">
        <f>G424*I424</f>
        <v>1</v>
      </c>
      <c r="K424" s="1961"/>
      <c r="L424" s="1962"/>
    </row>
    <row r="425" spans="5:12">
      <c r="E425" s="3968" t="s">
        <v>1449</v>
      </c>
      <c r="F425" s="3969"/>
      <c r="G425" s="4316">
        <v>1</v>
      </c>
      <c r="H425" s="4316">
        <v>1</v>
      </c>
      <c r="I425" s="4316">
        <v>1</v>
      </c>
      <c r="J425" s="2085">
        <f>G425*I425</f>
        <v>1</v>
      </c>
      <c r="K425" s="1961"/>
      <c r="L425" s="1962"/>
    </row>
    <row r="426" spans="5:12">
      <c r="E426" s="3979" t="s">
        <v>2356</v>
      </c>
      <c r="F426" s="3980"/>
      <c r="G426" s="2082"/>
      <c r="H426" s="2082"/>
      <c r="I426" s="2082"/>
      <c r="J426" s="2083"/>
      <c r="K426" s="1961"/>
      <c r="L426" s="1962"/>
    </row>
    <row r="427" spans="5:12">
      <c r="E427" s="3968" t="s">
        <v>2357</v>
      </c>
      <c r="F427" s="3969"/>
      <c r="G427" s="4316">
        <v>1</v>
      </c>
      <c r="H427" s="4316">
        <v>1</v>
      </c>
      <c r="I427" s="4316">
        <v>1</v>
      </c>
      <c r="J427" s="2085">
        <f>G427*I427</f>
        <v>1</v>
      </c>
      <c r="K427" s="1961"/>
      <c r="L427" s="1962"/>
    </row>
    <row r="428" spans="5:12">
      <c r="E428" s="3968" t="s">
        <v>2358</v>
      </c>
      <c r="F428" s="3969"/>
      <c r="G428" s="4316"/>
      <c r="H428" s="4316"/>
      <c r="I428" s="4316"/>
      <c r="J428" s="2085">
        <f>G428*I428</f>
        <v>0</v>
      </c>
      <c r="K428" s="1961"/>
      <c r="L428" s="1962"/>
    </row>
    <row r="429" spans="5:12">
      <c r="E429" s="3968" t="s">
        <v>2359</v>
      </c>
      <c r="F429" s="3969"/>
      <c r="G429" s="4316">
        <v>1</v>
      </c>
      <c r="H429" s="4316">
        <v>1</v>
      </c>
      <c r="I429" s="4316">
        <v>1</v>
      </c>
      <c r="J429" s="2085">
        <f>G429*I429</f>
        <v>1</v>
      </c>
      <c r="K429" s="1961"/>
      <c r="L429" s="1962"/>
    </row>
    <row r="430" spans="5:12">
      <c r="E430" s="3968" t="s">
        <v>2360</v>
      </c>
      <c r="F430" s="3969"/>
      <c r="G430" s="4316">
        <v>1</v>
      </c>
      <c r="H430" s="4316">
        <v>1</v>
      </c>
      <c r="I430" s="4316">
        <v>1</v>
      </c>
      <c r="J430" s="2085">
        <f>G430*I430</f>
        <v>1</v>
      </c>
      <c r="K430" s="1961"/>
      <c r="L430" s="1962"/>
    </row>
    <row r="431" spans="5:12">
      <c r="E431" s="3968" t="s">
        <v>2361</v>
      </c>
      <c r="F431" s="3969"/>
      <c r="G431" s="2084">
        <v>1</v>
      </c>
      <c r="H431" s="2084">
        <v>1</v>
      </c>
      <c r="I431" s="2084">
        <v>1</v>
      </c>
      <c r="J431" s="2085">
        <f>G431*I431</f>
        <v>1</v>
      </c>
      <c r="K431" s="1961"/>
      <c r="L431" s="1962"/>
    </row>
    <row r="432" spans="5:12">
      <c r="E432" s="3979" t="s">
        <v>2362</v>
      </c>
      <c r="F432" s="3980"/>
      <c r="G432" s="2082"/>
      <c r="H432" s="2082"/>
      <c r="I432" s="2082"/>
      <c r="J432" s="2083"/>
      <c r="K432" s="1961"/>
      <c r="L432" s="1962"/>
    </row>
    <row r="433" spans="5:12">
      <c r="E433" s="3968" t="s">
        <v>2357</v>
      </c>
      <c r="F433" s="3969"/>
      <c r="G433" s="4316">
        <v>1</v>
      </c>
      <c r="H433" s="4316">
        <v>1</v>
      </c>
      <c r="I433" s="4316">
        <v>1</v>
      </c>
      <c r="J433" s="2085">
        <f t="shared" ref="J433:J437" si="62">G433*I433</f>
        <v>1</v>
      </c>
      <c r="K433" s="1961"/>
      <c r="L433" s="1962"/>
    </row>
    <row r="434" spans="5:12">
      <c r="E434" s="3968" t="s">
        <v>2358</v>
      </c>
      <c r="F434" s="3969"/>
      <c r="G434" s="4316"/>
      <c r="H434" s="4316"/>
      <c r="I434" s="4316"/>
      <c r="J434" s="2085">
        <f t="shared" si="62"/>
        <v>0</v>
      </c>
      <c r="K434" s="1961"/>
      <c r="L434" s="1962"/>
    </row>
    <row r="435" spans="5:12">
      <c r="E435" s="3968" t="s">
        <v>2359</v>
      </c>
      <c r="F435" s="3969"/>
      <c r="G435" s="4316">
        <v>1</v>
      </c>
      <c r="H435" s="4316">
        <v>1</v>
      </c>
      <c r="I435" s="4316">
        <v>1</v>
      </c>
      <c r="J435" s="2085">
        <f t="shared" si="62"/>
        <v>1</v>
      </c>
      <c r="K435" s="1961"/>
      <c r="L435" s="1962"/>
    </row>
    <row r="436" spans="5:12">
      <c r="E436" s="3968" t="s">
        <v>2360</v>
      </c>
      <c r="F436" s="3969"/>
      <c r="G436" s="4316">
        <v>1</v>
      </c>
      <c r="H436" s="4316">
        <v>1</v>
      </c>
      <c r="I436" s="4316">
        <v>1</v>
      </c>
      <c r="J436" s="2085">
        <f t="shared" si="62"/>
        <v>1</v>
      </c>
      <c r="K436" s="1961"/>
      <c r="L436" s="1962"/>
    </row>
    <row r="437" spans="5:12">
      <c r="E437" s="3968" t="s">
        <v>2361</v>
      </c>
      <c r="F437" s="3969"/>
      <c r="G437" s="2084">
        <v>1</v>
      </c>
      <c r="H437" s="2084">
        <v>1</v>
      </c>
      <c r="I437" s="2084">
        <v>1</v>
      </c>
      <c r="J437" s="2085">
        <f t="shared" si="62"/>
        <v>1</v>
      </c>
      <c r="K437" s="1961"/>
      <c r="L437" s="1962"/>
    </row>
    <row r="438" spans="5:12">
      <c r="E438" s="3979" t="s">
        <v>2362</v>
      </c>
      <c r="F438" s="3980"/>
      <c r="G438" s="2082"/>
      <c r="H438" s="2082"/>
      <c r="I438" s="2082"/>
      <c r="J438" s="2083"/>
      <c r="K438" s="1961"/>
      <c r="L438" s="1962"/>
    </row>
    <row r="439" spans="5:12">
      <c r="E439" s="3968" t="s">
        <v>2357</v>
      </c>
      <c r="F439" s="3969"/>
      <c r="G439" s="2084">
        <v>1</v>
      </c>
      <c r="H439" s="2084">
        <v>1</v>
      </c>
      <c r="I439" s="2084">
        <v>1</v>
      </c>
      <c r="J439" s="2085">
        <f t="shared" ref="J439:J443" si="63">G439*I439</f>
        <v>1</v>
      </c>
      <c r="K439" s="1961"/>
      <c r="L439" s="1962"/>
    </row>
    <row r="440" spans="5:12">
      <c r="E440" s="3968" t="s">
        <v>2358</v>
      </c>
      <c r="F440" s="3969"/>
      <c r="G440" s="2084"/>
      <c r="H440" s="2084"/>
      <c r="I440" s="2084"/>
      <c r="J440" s="2085">
        <f t="shared" si="63"/>
        <v>0</v>
      </c>
      <c r="K440" s="1961"/>
      <c r="L440" s="1962"/>
    </row>
    <row r="441" spans="5:12">
      <c r="E441" s="3968" t="s">
        <v>2359</v>
      </c>
      <c r="F441" s="3969"/>
      <c r="G441" s="2084">
        <v>1</v>
      </c>
      <c r="H441" s="2084">
        <v>1</v>
      </c>
      <c r="I441" s="2084">
        <v>1</v>
      </c>
      <c r="J441" s="2085">
        <f t="shared" si="63"/>
        <v>1</v>
      </c>
      <c r="K441" s="1961"/>
      <c r="L441" s="1962"/>
    </row>
    <row r="442" spans="5:12">
      <c r="E442" s="3968" t="s">
        <v>2360</v>
      </c>
      <c r="F442" s="3969"/>
      <c r="G442" s="2084">
        <v>1</v>
      </c>
      <c r="H442" s="2084">
        <v>1</v>
      </c>
      <c r="I442" s="2084">
        <v>1</v>
      </c>
      <c r="J442" s="2085">
        <f t="shared" si="63"/>
        <v>1</v>
      </c>
      <c r="K442" s="1961"/>
      <c r="L442" s="1962"/>
    </row>
    <row r="443" spans="5:12">
      <c r="E443" s="3968" t="s">
        <v>2361</v>
      </c>
      <c r="F443" s="3969"/>
      <c r="G443" s="2084">
        <v>1</v>
      </c>
      <c r="H443" s="2084">
        <v>1</v>
      </c>
      <c r="I443" s="2084">
        <v>1</v>
      </c>
      <c r="J443" s="2085">
        <f t="shared" si="63"/>
        <v>1</v>
      </c>
      <c r="K443" s="1961"/>
      <c r="L443" s="1962"/>
    </row>
    <row r="444" spans="5:12">
      <c r="E444" s="3979" t="s">
        <v>139</v>
      </c>
      <c r="F444" s="3980"/>
      <c r="G444" s="2082"/>
      <c r="H444" s="2082"/>
      <c r="I444" s="2082"/>
      <c r="J444" s="2083"/>
      <c r="K444" s="1961"/>
      <c r="L444" s="1962"/>
    </row>
    <row r="445" spans="5:12">
      <c r="E445" s="3983"/>
      <c r="F445" s="3984"/>
      <c r="G445" s="2084">
        <v>1</v>
      </c>
      <c r="H445" s="2084">
        <v>1</v>
      </c>
      <c r="I445" s="2084">
        <v>1</v>
      </c>
      <c r="J445" s="2085">
        <f t="shared" ref="J445:J449" si="64">G445*I445</f>
        <v>1</v>
      </c>
      <c r="K445" s="1961"/>
      <c r="L445" s="1962"/>
    </row>
    <row r="446" spans="5:12">
      <c r="E446" s="3983"/>
      <c r="F446" s="3984"/>
      <c r="G446" s="2084"/>
      <c r="H446" s="2084"/>
      <c r="I446" s="2084"/>
      <c r="J446" s="2085">
        <f t="shared" si="64"/>
        <v>0</v>
      </c>
      <c r="K446" s="1961"/>
      <c r="L446" s="1962"/>
    </row>
    <row r="447" spans="5:12">
      <c r="E447" s="3983"/>
      <c r="F447" s="3984"/>
      <c r="G447" s="2084">
        <v>1</v>
      </c>
      <c r="H447" s="2084">
        <v>1</v>
      </c>
      <c r="I447" s="2084">
        <v>1</v>
      </c>
      <c r="J447" s="2085">
        <f t="shared" si="64"/>
        <v>1</v>
      </c>
      <c r="K447" s="1961"/>
      <c r="L447" s="1962"/>
    </row>
    <row r="448" spans="5:12">
      <c r="E448" s="3983"/>
      <c r="F448" s="3984"/>
      <c r="G448" s="2084">
        <v>1</v>
      </c>
      <c r="H448" s="2084">
        <v>1</v>
      </c>
      <c r="I448" s="2084">
        <v>1</v>
      </c>
      <c r="J448" s="2085">
        <f t="shared" si="64"/>
        <v>1</v>
      </c>
      <c r="K448" s="1961"/>
      <c r="L448" s="1962"/>
    </row>
    <row r="449" spans="5:12">
      <c r="E449" s="3983"/>
      <c r="F449" s="3984"/>
      <c r="G449" s="2084">
        <v>1</v>
      </c>
      <c r="H449" s="2084">
        <v>1</v>
      </c>
      <c r="I449" s="2084">
        <v>1</v>
      </c>
      <c r="J449" s="2085">
        <f t="shared" si="64"/>
        <v>1</v>
      </c>
      <c r="K449" s="1961"/>
      <c r="L449" s="1962"/>
    </row>
    <row r="450" spans="5:12">
      <c r="E450" s="2086"/>
      <c r="F450" s="2087"/>
      <c r="G450" s="2088"/>
      <c r="H450" s="2088"/>
      <c r="I450" s="2088"/>
      <c r="J450" s="2089"/>
      <c r="K450" s="1961"/>
      <c r="L450" s="1962"/>
    </row>
    <row r="451" spans="5:12">
      <c r="E451" s="2086"/>
      <c r="F451" s="2087"/>
      <c r="G451" s="2088"/>
      <c r="H451" s="2088"/>
      <c r="I451" s="2088"/>
      <c r="J451" s="2089"/>
      <c r="K451" s="1961"/>
      <c r="L451" s="1962"/>
    </row>
    <row r="452" spans="5:12">
      <c r="E452" s="3979" t="s">
        <v>2367</v>
      </c>
      <c r="F452" s="3980"/>
      <c r="G452" s="3980"/>
      <c r="H452" s="2090"/>
      <c r="I452" s="2090"/>
      <c r="J452" s="2089"/>
      <c r="K452" s="1961"/>
      <c r="L452" s="1962"/>
    </row>
    <row r="453" spans="5:12" ht="26">
      <c r="E453" s="2091"/>
      <c r="F453" s="2092"/>
      <c r="G453" s="2080" t="s">
        <v>2363</v>
      </c>
      <c r="H453" s="2080" t="s">
        <v>2372</v>
      </c>
      <c r="I453" s="2080" t="s">
        <v>2364</v>
      </c>
      <c r="J453" s="2081" t="s">
        <v>2365</v>
      </c>
      <c r="K453" s="1961"/>
      <c r="L453" s="1962"/>
    </row>
    <row r="454" spans="5:12">
      <c r="E454" s="3985" t="s">
        <v>2368</v>
      </c>
      <c r="F454" s="3986"/>
      <c r="G454" s="2084">
        <v>1</v>
      </c>
      <c r="H454" s="2084">
        <v>1</v>
      </c>
      <c r="I454" s="2084">
        <v>1</v>
      </c>
      <c r="J454" s="2085">
        <f>G454*H454/12*I454</f>
        <v>8.3333333333333329E-2</v>
      </c>
      <c r="K454" s="1961"/>
      <c r="L454" s="1962"/>
    </row>
    <row r="455" spans="5:12">
      <c r="E455" s="3985" t="s">
        <v>2369</v>
      </c>
      <c r="F455" s="3986"/>
      <c r="G455" s="2084"/>
      <c r="H455" s="2084"/>
      <c r="I455" s="2084"/>
      <c r="J455" s="2085">
        <f t="shared" ref="J455:J457" si="65">G455*H455/12*I455</f>
        <v>0</v>
      </c>
      <c r="K455" s="1961"/>
      <c r="L455" s="1962"/>
    </row>
    <row r="456" spans="5:12">
      <c r="E456" s="3968" t="s">
        <v>2370</v>
      </c>
      <c r="F456" s="3969"/>
      <c r="G456" s="2084">
        <v>1</v>
      </c>
      <c r="H456" s="2084">
        <v>1</v>
      </c>
      <c r="I456" s="2084">
        <v>1</v>
      </c>
      <c r="J456" s="2085">
        <f t="shared" si="65"/>
        <v>8.3333333333333329E-2</v>
      </c>
      <c r="K456" s="1961"/>
      <c r="L456" s="1962"/>
    </row>
    <row r="457" spans="5:12">
      <c r="E457" s="3968" t="s">
        <v>2371</v>
      </c>
      <c r="F457" s="3969"/>
      <c r="G457" s="2084">
        <v>1</v>
      </c>
      <c r="H457" s="2084">
        <v>1</v>
      </c>
      <c r="I457" s="2084">
        <v>1</v>
      </c>
      <c r="J457" s="2085">
        <f t="shared" si="65"/>
        <v>8.3333333333333329E-2</v>
      </c>
      <c r="K457" s="1961"/>
      <c r="L457" s="1962"/>
    </row>
    <row r="458" spans="5:12">
      <c r="E458" s="3979" t="s">
        <v>139</v>
      </c>
      <c r="F458" s="3980"/>
      <c r="G458" s="2082"/>
      <c r="H458" s="2082"/>
      <c r="I458" s="2082"/>
      <c r="J458" s="2083"/>
      <c r="K458" s="1961"/>
      <c r="L458" s="1962"/>
    </row>
    <row r="459" spans="5:12">
      <c r="E459" s="3983"/>
      <c r="F459" s="3984"/>
      <c r="G459" s="2084">
        <v>1</v>
      </c>
      <c r="H459" s="2084">
        <v>1</v>
      </c>
      <c r="I459" s="2084">
        <v>1</v>
      </c>
      <c r="J459" s="2085">
        <f t="shared" ref="J459:J462" si="66">G459*H459/12*I459</f>
        <v>8.3333333333333329E-2</v>
      </c>
      <c r="K459" s="1961"/>
      <c r="L459" s="1962"/>
    </row>
    <row r="460" spans="5:12">
      <c r="E460" s="3983"/>
      <c r="F460" s="3984"/>
      <c r="G460" s="2084">
        <v>1</v>
      </c>
      <c r="H460" s="2084">
        <v>1</v>
      </c>
      <c r="I460" s="2084">
        <v>1</v>
      </c>
      <c r="J460" s="2085">
        <f t="shared" si="66"/>
        <v>8.3333333333333329E-2</v>
      </c>
      <c r="K460" s="1961"/>
      <c r="L460" s="1962"/>
    </row>
    <row r="461" spans="5:12">
      <c r="E461" s="3983"/>
      <c r="F461" s="3984"/>
      <c r="G461" s="2084"/>
      <c r="H461" s="2084"/>
      <c r="I461" s="2084"/>
      <c r="J461" s="2085">
        <f t="shared" si="66"/>
        <v>0</v>
      </c>
      <c r="K461" s="1961"/>
      <c r="L461" s="1962"/>
    </row>
    <row r="462" spans="5:12">
      <c r="E462" s="3983"/>
      <c r="F462" s="3984"/>
      <c r="G462" s="2084">
        <v>1</v>
      </c>
      <c r="H462" s="2084">
        <v>5</v>
      </c>
      <c r="I462" s="2084">
        <v>1</v>
      </c>
      <c r="J462" s="2085">
        <f t="shared" si="66"/>
        <v>0.41666666666666669</v>
      </c>
      <c r="K462" s="1961"/>
      <c r="L462" s="1962"/>
    </row>
    <row r="463" spans="5:12">
      <c r="E463" s="2093"/>
      <c r="F463" s="2094"/>
      <c r="G463" s="2095"/>
      <c r="H463" s="2095"/>
      <c r="I463" s="2095"/>
      <c r="J463" s="2046"/>
      <c r="K463" s="1961"/>
      <c r="L463" s="1962"/>
    </row>
    <row r="464" spans="5:12">
      <c r="E464" s="2093"/>
      <c r="F464" s="2045" t="s">
        <v>2374</v>
      </c>
      <c r="G464" s="2095"/>
      <c r="H464" s="2095"/>
      <c r="I464" s="2095"/>
      <c r="J464" s="2096">
        <f>SUM(J424:J462)</f>
        <v>18.833333333333329</v>
      </c>
      <c r="K464" s="1961"/>
      <c r="L464" s="1962"/>
    </row>
    <row r="465" spans="3:22">
      <c r="E465" s="2093"/>
      <c r="F465" s="2097"/>
      <c r="G465" s="2095"/>
      <c r="H465" s="2095"/>
      <c r="I465" s="2095"/>
      <c r="J465" s="2046"/>
      <c r="K465" s="1961"/>
      <c r="L465" s="1962"/>
    </row>
    <row r="466" spans="3:22">
      <c r="E466" s="2093"/>
      <c r="F466" s="2097" t="s">
        <v>2522</v>
      </c>
      <c r="G466" s="2098">
        <f>IF(J418&gt;0,(J418-J464)/J418*100,0)</f>
        <v>-34.52380952380949</v>
      </c>
      <c r="H466" s="2095"/>
      <c r="I466" s="2095"/>
      <c r="J466" s="2046"/>
      <c r="K466" s="1961"/>
      <c r="L466" s="1962"/>
    </row>
    <row r="467" spans="3:22">
      <c r="E467" s="2093"/>
      <c r="F467" s="2097"/>
      <c r="G467" s="2095"/>
      <c r="H467" s="2095"/>
      <c r="I467" s="2095"/>
      <c r="J467" s="2046"/>
      <c r="K467" s="1961"/>
      <c r="L467" s="1962"/>
    </row>
    <row r="468" spans="3:22">
      <c r="C468" s="1458" t="s">
        <v>2104</v>
      </c>
      <c r="D468" s="282" t="s">
        <v>2099</v>
      </c>
      <c r="E468" s="3707" t="s">
        <v>1957</v>
      </c>
      <c r="F468" s="3708"/>
      <c r="G468" s="1740"/>
      <c r="H468" s="1740"/>
      <c r="I468" s="1740"/>
      <c r="J468" s="1741" t="str">
        <f>IF(G466&gt;=50,"EMERALD",IF(G466&gt;=40,"GOLD",IF(G466&gt;=30,"SILVER",IF(G466&gt;=20,"BRONZE","no threshold achieved yet"))))</f>
        <v>no threshold achieved yet</v>
      </c>
      <c r="K468" s="1323"/>
      <c r="L468" s="1817"/>
    </row>
    <row r="469" spans="3:22">
      <c r="E469" s="3520" t="s">
        <v>506</v>
      </c>
      <c r="F469" s="3521"/>
      <c r="G469" s="3521"/>
      <c r="H469" s="3521"/>
      <c r="I469" s="3521"/>
      <c r="J469" s="3521"/>
      <c r="K469" s="3521"/>
      <c r="L469" s="3522"/>
    </row>
    <row r="470" spans="3:22">
      <c r="E470" s="3539" t="s">
        <v>507</v>
      </c>
      <c r="F470" s="3540"/>
      <c r="G470" s="3540"/>
      <c r="H470" s="3540"/>
      <c r="I470" s="3540"/>
      <c r="J470" s="3540"/>
      <c r="K470" s="3540"/>
      <c r="L470" s="3541"/>
    </row>
    <row r="471" spans="3:22">
      <c r="D471" s="282" t="s">
        <v>2099</v>
      </c>
      <c r="E471" s="1796" t="s">
        <v>508</v>
      </c>
      <c r="F471" s="264"/>
      <c r="G471" s="264"/>
      <c r="H471" s="1231"/>
      <c r="I471" s="1231"/>
      <c r="J471" s="1226"/>
      <c r="K471" s="3516"/>
      <c r="L471" s="3517"/>
    </row>
    <row r="472" spans="3:22">
      <c r="C472" s="1458" t="s">
        <v>2104</v>
      </c>
      <c r="D472" s="282" t="s">
        <v>2099</v>
      </c>
      <c r="E472" s="3857" t="s">
        <v>1677</v>
      </c>
      <c r="F472" s="3565">
        <v>5</v>
      </c>
      <c r="G472" s="1701">
        <f>IF(choice901.1.1="Met",5,IF(choice901.1.1="No natural draft","0",0))</f>
        <v>0</v>
      </c>
      <c r="H472" s="3711"/>
      <c r="I472" s="3712"/>
      <c r="J472" s="3554"/>
      <c r="K472" s="3518">
        <f>note901.1.1</f>
        <v>0</v>
      </c>
      <c r="L472" s="3519"/>
    </row>
    <row r="473" spans="3:22" ht="66" customHeight="1">
      <c r="C473" s="1458" t="s">
        <v>2104</v>
      </c>
      <c r="D473" s="282" t="s">
        <v>2099</v>
      </c>
      <c r="E473" s="3858"/>
      <c r="F473" s="3315"/>
      <c r="G473" s="1701">
        <f>choice901.1.1</f>
        <v>0</v>
      </c>
      <c r="H473" s="3713"/>
      <c r="I473" s="3714"/>
      <c r="J473" s="3561"/>
      <c r="K473" s="3289"/>
      <c r="L473" s="3527"/>
      <c r="R473" s="1398">
        <f>IF(H472="",1,0)</f>
        <v>1</v>
      </c>
      <c r="S473" s="28">
        <f>IF(AND($H$472=5,(AND(SUM($H$476:$I$477)&gt;0,SUM($H$478:$I$479)&gt;0))),1,0)</f>
        <v>0</v>
      </c>
    </row>
    <row r="474" spans="3:22" ht="30">
      <c r="C474" s="1458" t="str">
        <f t="shared" ref="C474" si="67">IF(G474&gt;0,"P","")</f>
        <v/>
      </c>
      <c r="D474" s="282" t="s">
        <v>2099</v>
      </c>
      <c r="E474" s="1699" t="s">
        <v>1678</v>
      </c>
      <c r="F474" s="1700">
        <v>5</v>
      </c>
      <c r="G474" s="1701">
        <f>claim901.1.2</f>
        <v>0</v>
      </c>
      <c r="H474" s="1702"/>
      <c r="I474" s="1702"/>
      <c r="J474" s="1702"/>
      <c r="K474" s="3513">
        <f>note901.1.2</f>
        <v>0</v>
      </c>
      <c r="L474" s="3514"/>
      <c r="O474" s="28">
        <f>IF(AND(H474&gt;0,I474&gt;0),1,0)</f>
        <v>0</v>
      </c>
    </row>
    <row r="475" spans="3:22" ht="30">
      <c r="C475" s="1458" t="str">
        <f>IF(SUM(G476:G479)&gt;0,"P","")</f>
        <v/>
      </c>
      <c r="D475" s="282" t="s">
        <v>2099</v>
      </c>
      <c r="E475" s="1699" t="s">
        <v>1679</v>
      </c>
      <c r="F475" s="1801"/>
      <c r="G475" s="1801"/>
      <c r="H475" s="1802"/>
      <c r="I475" s="1802"/>
      <c r="J475" s="1803"/>
      <c r="K475" s="3516"/>
      <c r="L475" s="3517"/>
    </row>
    <row r="476" spans="3:22">
      <c r="C476" s="1458" t="str">
        <f t="shared" ref="C476:C479" si="68">IF(G476&gt;0,"P","")</f>
        <v/>
      </c>
      <c r="D476" s="282" t="s">
        <v>2099</v>
      </c>
      <c r="E476" s="1789" t="s">
        <v>1680</v>
      </c>
      <c r="F476" s="1700">
        <v>3</v>
      </c>
      <c r="G476" s="1701">
        <f>IF(choice901.1.3_1="Power Vent",3,0)</f>
        <v>0</v>
      </c>
      <c r="H476" s="3505"/>
      <c r="I476" s="3505"/>
      <c r="J476" s="3554"/>
      <c r="K476" s="3518">
        <f>note901.1.3_1</f>
        <v>0</v>
      </c>
      <c r="L476" s="3519"/>
      <c r="O476" s="28">
        <f>IF(AND(H476&gt;0,I476&gt;0),1,0)</f>
        <v>0</v>
      </c>
      <c r="T476" s="28">
        <f>IF(AND($H$472=5,$H$476&gt;0,(AND(SUM($H$476:$I$477)&gt;0,SUM($H$478:$I$479)&gt;0))),1,0)</f>
        <v>0</v>
      </c>
      <c r="U476" s="28">
        <f>IF(AND($H$472=5,$I$476&gt;0,(AND(SUM($H$476:$I$477)&gt;0,SUM($H$478:$I$479)&gt;0))),1,0)</f>
        <v>0</v>
      </c>
    </row>
    <row r="477" spans="3:22">
      <c r="C477" s="1458" t="str">
        <f t="shared" si="68"/>
        <v/>
      </c>
      <c r="D477" s="282" t="s">
        <v>2099</v>
      </c>
      <c r="E477" s="1789" t="s">
        <v>1681</v>
      </c>
      <c r="F477" s="1700">
        <v>5</v>
      </c>
      <c r="G477" s="1701">
        <f>IF(choice901.1.3_1="Direct Vent",5,0)</f>
        <v>0</v>
      </c>
      <c r="H477" s="3582"/>
      <c r="I477" s="3582"/>
      <c r="J477" s="3561"/>
      <c r="K477" s="3289"/>
      <c r="L477" s="3527"/>
    </row>
    <row r="478" spans="3:22">
      <c r="C478" s="1458" t="str">
        <f t="shared" si="68"/>
        <v/>
      </c>
      <c r="D478" s="282" t="s">
        <v>2099</v>
      </c>
      <c r="E478" s="1789" t="s">
        <v>1682</v>
      </c>
      <c r="F478" s="1700">
        <v>3</v>
      </c>
      <c r="G478" s="1701">
        <f>IF(choice901.1.3_2="Power Vent",3,0)</f>
        <v>0</v>
      </c>
      <c r="H478" s="3505"/>
      <c r="I478" s="3505"/>
      <c r="J478" s="3554"/>
      <c r="K478" s="3518">
        <f>note901.1.3_2</f>
        <v>0</v>
      </c>
      <c r="L478" s="3519"/>
      <c r="O478" s="28">
        <f>IF(AND(H478&gt;0,I478&gt;0),1,0)</f>
        <v>0</v>
      </c>
      <c r="U478" s="28">
        <f>IF(AND($H$472=5,$I$478&gt;0,(AND(SUM($H$476:$I$477)&gt;0,SUM($H$478:$I$479)&gt;0))),1,0)</f>
        <v>0</v>
      </c>
      <c r="V478" s="28">
        <f>IF(AND($H$472=5,$H$478&gt;0,(AND(SUM($H$476:$I$477)&gt;0,SUM($H$478:$I$479)&gt;0))),1,0)</f>
        <v>0</v>
      </c>
    </row>
    <row r="479" spans="3:22">
      <c r="C479" s="1458" t="str">
        <f t="shared" si="68"/>
        <v/>
      </c>
      <c r="D479" s="282" t="s">
        <v>2099</v>
      </c>
      <c r="E479" s="1789" t="s">
        <v>1683</v>
      </c>
      <c r="F479" s="1700">
        <v>5</v>
      </c>
      <c r="G479" s="1701">
        <f>IF(choice901.1.3_2="Direct Vent",5,0)</f>
        <v>0</v>
      </c>
      <c r="H479" s="3582"/>
      <c r="I479" s="3582"/>
      <c r="J479" s="3561"/>
      <c r="K479" s="3289"/>
      <c r="L479" s="3527"/>
    </row>
    <row r="480" spans="3:22" ht="81.75" customHeight="1">
      <c r="C480" s="1458" t="s">
        <v>2104</v>
      </c>
      <c r="D480" s="282" t="s">
        <v>2101</v>
      </c>
      <c r="E480" s="1699" t="s">
        <v>2566</v>
      </c>
      <c r="F480" s="1765" t="s">
        <v>295</v>
      </c>
      <c r="G480" s="1773">
        <f>claim901.1.4</f>
        <v>0</v>
      </c>
      <c r="H480" s="1708"/>
      <c r="I480" s="1702"/>
      <c r="J480" s="1704"/>
      <c r="K480" s="3513">
        <f>note901.1.4</f>
        <v>0</v>
      </c>
      <c r="L480" s="3514"/>
      <c r="R480" s="28">
        <f>IF(AND(H480="",I480=""),1,0)</f>
        <v>1</v>
      </c>
    </row>
    <row r="481" spans="3:19" ht="43.5" customHeight="1">
      <c r="C481" s="1458" t="s">
        <v>2104</v>
      </c>
      <c r="D481" s="282" t="s">
        <v>2101</v>
      </c>
      <c r="E481" s="3709" t="s">
        <v>1685</v>
      </c>
      <c r="F481" s="1393"/>
      <c r="G481" s="1659"/>
      <c r="H481" s="3601"/>
      <c r="I481" s="3546">
        <v>0</v>
      </c>
      <c r="J481" s="3554"/>
      <c r="K481" s="1663"/>
      <c r="L481" s="1804"/>
      <c r="R481" s="28">
        <f>IF(AND($I$481&gt;0,$I$480="No gas fireplace or heating equipment"),1,0)</f>
        <v>0</v>
      </c>
    </row>
    <row r="482" spans="3:19" ht="17.25" customHeight="1">
      <c r="C482" s="1458" t="s">
        <v>2104</v>
      </c>
      <c r="D482" s="282" t="s">
        <v>2101</v>
      </c>
      <c r="E482" s="3710"/>
      <c r="F482" s="1666">
        <v>7</v>
      </c>
      <c r="G482" s="1659">
        <f>claim901.1.5</f>
        <v>0</v>
      </c>
      <c r="H482" s="3602"/>
      <c r="I482" s="3564"/>
      <c r="J482" s="3561"/>
      <c r="K482" s="3518">
        <f>note901.1.5</f>
        <v>0</v>
      </c>
      <c r="L482" s="3519"/>
    </row>
    <row r="483" spans="3:19">
      <c r="C483" s="1458" t="str">
        <f>IF(SUM(G484:G485)&gt;0,"P","")</f>
        <v/>
      </c>
      <c r="D483" s="282" t="s">
        <v>2101</v>
      </c>
      <c r="E483" s="1699" t="s">
        <v>1686</v>
      </c>
      <c r="F483" s="1798"/>
      <c r="G483" s="1799"/>
      <c r="H483" s="1761"/>
      <c r="I483" s="1761"/>
      <c r="J483" s="1761"/>
      <c r="K483" s="3577"/>
      <c r="L483" s="3578"/>
    </row>
    <row r="484" spans="3:19">
      <c r="C484" s="1458" t="str">
        <f t="shared" ref="C484:C485" si="69">IF(G484&gt;0,"P","")</f>
        <v/>
      </c>
      <c r="D484" s="282" t="s">
        <v>2101</v>
      </c>
      <c r="E484" s="1814" t="s">
        <v>1687</v>
      </c>
      <c r="F484" s="1700">
        <v>2</v>
      </c>
      <c r="G484" s="1701">
        <f>IF(choice901.1.6="Unconditioned space",2,0)</f>
        <v>0</v>
      </c>
      <c r="H484" s="3505"/>
      <c r="I484" s="3505"/>
      <c r="J484" s="3554"/>
      <c r="K484" s="3518">
        <f>note901.1.6</f>
        <v>0</v>
      </c>
      <c r="L484" s="3519"/>
      <c r="O484" s="28">
        <f>IF(AND(H484&gt;0,I484&gt;0),1,0)</f>
        <v>0</v>
      </c>
    </row>
    <row r="485" spans="3:19" ht="16" thickBot="1">
      <c r="C485" s="1458" t="str">
        <f t="shared" si="69"/>
        <v/>
      </c>
      <c r="D485" s="282" t="s">
        <v>2101</v>
      </c>
      <c r="E485" s="1818" t="s">
        <v>1688</v>
      </c>
      <c r="F485" s="1666">
        <v>5</v>
      </c>
      <c r="G485" s="1659">
        <f>IF(choice901.1.6="Conditioned space",5,0)</f>
        <v>0</v>
      </c>
      <c r="H485" s="3582"/>
      <c r="I485" s="3582"/>
      <c r="J485" s="3556"/>
      <c r="K485" s="3330"/>
      <c r="L485" s="3560"/>
    </row>
    <row r="486" spans="3:19" ht="16" thickTop="1">
      <c r="D486" s="282" t="s">
        <v>2101</v>
      </c>
      <c r="E486" s="1745" t="s">
        <v>1689</v>
      </c>
      <c r="F486" s="232"/>
      <c r="G486" s="232"/>
      <c r="H486" s="1232"/>
      <c r="I486" s="1232"/>
      <c r="J486" s="1220"/>
      <c r="K486" s="3326"/>
      <c r="L486" s="3515"/>
    </row>
    <row r="487" spans="3:19" ht="30">
      <c r="C487" s="1458" t="s">
        <v>2104</v>
      </c>
      <c r="D487" s="282" t="s">
        <v>2101</v>
      </c>
      <c r="E487" s="1699" t="s">
        <v>2567</v>
      </c>
      <c r="F487" s="1801"/>
      <c r="G487" s="1801"/>
      <c r="H487" s="1802"/>
      <c r="I487" s="1802"/>
      <c r="J487" s="1803"/>
      <c r="K487" s="3516"/>
      <c r="L487" s="3517"/>
    </row>
    <row r="488" spans="3:19" ht="40.5" customHeight="1">
      <c r="C488" s="1458" t="s">
        <v>2104</v>
      </c>
      <c r="D488" s="282" t="s">
        <v>2101</v>
      </c>
      <c r="E488" s="3705" t="s">
        <v>1691</v>
      </c>
      <c r="F488" s="3696" t="s">
        <v>1692</v>
      </c>
      <c r="G488" s="1819">
        <f>choice901.2.1_1</f>
        <v>0</v>
      </c>
      <c r="H488" s="3703"/>
      <c r="I488" s="1399"/>
      <c r="J488" s="3701"/>
      <c r="K488" s="3523">
        <f>note901.2.1_1</f>
        <v>0</v>
      </c>
      <c r="L488" s="3524"/>
      <c r="R488" s="28">
        <f>IF(AND(H488="",I488=""),1,0)</f>
        <v>1</v>
      </c>
      <c r="S488" s="28">
        <f>IF(AND(I489&lt;&gt;"",$I$498&gt;0),1,0)</f>
        <v>0</v>
      </c>
    </row>
    <row r="489" spans="3:19" ht="17.25" customHeight="1">
      <c r="C489" s="1458" t="s">
        <v>2104</v>
      </c>
      <c r="D489" s="282" t="s">
        <v>2101</v>
      </c>
      <c r="E489" s="3706"/>
      <c r="F489" s="3697"/>
      <c r="G489" s="1652" t="str">
        <f>IF(claim901.2.1_1=4,4,"0")</f>
        <v>0</v>
      </c>
      <c r="H489" s="3704"/>
      <c r="I489" s="1400" t="str">
        <f>IF(I488="Met",4,"")</f>
        <v/>
      </c>
      <c r="J489" s="3702"/>
      <c r="K489" s="3336"/>
      <c r="L489" s="3526"/>
    </row>
    <row r="490" spans="3:19" ht="59.25" customHeight="1">
      <c r="C490" s="1458" t="s">
        <v>2104</v>
      </c>
      <c r="D490" s="282" t="s">
        <v>2101</v>
      </c>
      <c r="E490" s="3705" t="s">
        <v>1693</v>
      </c>
      <c r="F490" s="3696" t="s">
        <v>1694</v>
      </c>
      <c r="G490" s="1819">
        <f>choice901.2.1_2</f>
        <v>0</v>
      </c>
      <c r="H490" s="3703"/>
      <c r="I490" s="1399"/>
      <c r="J490" s="3701"/>
      <c r="K490" s="3523">
        <f>note901.2.1_2</f>
        <v>0</v>
      </c>
      <c r="L490" s="3524"/>
      <c r="R490" s="28">
        <f>IF(AND(H490="",I490=""),1,0)</f>
        <v>1</v>
      </c>
      <c r="S490" s="28">
        <f>IF(AND(I491&lt;&gt;"",$I$498&gt;0),1,0)</f>
        <v>0</v>
      </c>
    </row>
    <row r="491" spans="3:19" ht="15.75" customHeight="1">
      <c r="C491" s="1458" t="s">
        <v>2104</v>
      </c>
      <c r="D491" s="282" t="s">
        <v>2101</v>
      </c>
      <c r="E491" s="3706"/>
      <c r="F491" s="3697"/>
      <c r="G491" s="1652" t="str">
        <f>IF(claim901.2.1_2=6,6,"0")</f>
        <v>0</v>
      </c>
      <c r="H491" s="3704"/>
      <c r="I491" s="1400" t="str">
        <f>IF(I490="Met",6,"")</f>
        <v/>
      </c>
      <c r="J491" s="3702"/>
      <c r="K491" s="3336"/>
      <c r="L491" s="3526"/>
    </row>
    <row r="492" spans="3:19" ht="48" customHeight="1">
      <c r="C492" s="1458" t="s">
        <v>2104</v>
      </c>
      <c r="D492" s="282" t="s">
        <v>2101</v>
      </c>
      <c r="E492" s="3705" t="s">
        <v>1695</v>
      </c>
      <c r="F492" s="3696" t="s">
        <v>1694</v>
      </c>
      <c r="G492" s="1819">
        <f>choice901.2.1_3</f>
        <v>0</v>
      </c>
      <c r="H492" s="3703"/>
      <c r="I492" s="1399"/>
      <c r="J492" s="3701"/>
      <c r="K492" s="3523">
        <f>note901.2.1_3</f>
        <v>0</v>
      </c>
      <c r="L492" s="3524"/>
      <c r="R492" s="28">
        <f>IF(AND(H492="",I492=""),1,0)</f>
        <v>1</v>
      </c>
      <c r="S492" s="28">
        <f>IF(AND(I493&lt;&gt;"",$I$498&gt;0),1,0)</f>
        <v>0</v>
      </c>
    </row>
    <row r="493" spans="3:19" ht="23.25" customHeight="1">
      <c r="C493" s="1458" t="s">
        <v>2104</v>
      </c>
      <c r="D493" s="282" t="s">
        <v>2101</v>
      </c>
      <c r="E493" s="3706"/>
      <c r="F493" s="3697"/>
      <c r="G493" s="1652" t="str">
        <f>IF(claim901.2.1_3=6,6,"0")</f>
        <v>0</v>
      </c>
      <c r="H493" s="3704"/>
      <c r="I493" s="1400" t="str">
        <f>IF(I492="Met",6,"")</f>
        <v/>
      </c>
      <c r="J493" s="3702"/>
      <c r="K493" s="3336"/>
      <c r="L493" s="3526"/>
    </row>
    <row r="494" spans="3:19" ht="37.5" customHeight="1">
      <c r="C494" s="1458" t="s">
        <v>2104</v>
      </c>
      <c r="D494" s="282" t="s">
        <v>2101</v>
      </c>
      <c r="E494" s="3705" t="s">
        <v>1696</v>
      </c>
      <c r="F494" s="3696" t="s">
        <v>1694</v>
      </c>
      <c r="G494" s="1819">
        <f>choice901.2.1_4</f>
        <v>0</v>
      </c>
      <c r="H494" s="3703"/>
      <c r="I494" s="1399"/>
      <c r="J494" s="3701"/>
      <c r="K494" s="3523">
        <f>note901.2.1_4</f>
        <v>0</v>
      </c>
      <c r="L494" s="3524"/>
      <c r="R494" s="28">
        <f>IF(AND(H494="",I494=""),1,0)</f>
        <v>1</v>
      </c>
      <c r="S494" s="28">
        <f>IF(AND(I495&lt;&gt;"",$I$498&gt;0),1,0)</f>
        <v>0</v>
      </c>
    </row>
    <row r="495" spans="3:19" ht="12" customHeight="1">
      <c r="C495" s="1458" t="s">
        <v>2104</v>
      </c>
      <c r="D495" s="282" t="s">
        <v>2101</v>
      </c>
      <c r="E495" s="3706"/>
      <c r="F495" s="3697"/>
      <c r="G495" s="1652" t="str">
        <f>IF(claim901.2.1_4=6,6,"0")</f>
        <v>0</v>
      </c>
      <c r="H495" s="3704"/>
      <c r="I495" s="1400" t="str">
        <f>IF(I494="Met",6,"")</f>
        <v/>
      </c>
      <c r="J495" s="3702"/>
      <c r="K495" s="3336"/>
      <c r="L495" s="3526"/>
    </row>
    <row r="496" spans="3:19" ht="37.5" customHeight="1">
      <c r="C496" s="1458" t="s">
        <v>2104</v>
      </c>
      <c r="D496" s="282" t="s">
        <v>2101</v>
      </c>
      <c r="E496" s="3705" t="s">
        <v>1697</v>
      </c>
      <c r="F496" s="3696" t="s">
        <v>1694</v>
      </c>
      <c r="G496" s="1819">
        <f>choice901.2.1_5</f>
        <v>0</v>
      </c>
      <c r="H496" s="3703"/>
      <c r="I496" s="1399"/>
      <c r="J496" s="3701"/>
      <c r="K496" s="3523">
        <f>note901.2.1_5</f>
        <v>0</v>
      </c>
      <c r="L496" s="3524"/>
      <c r="R496" s="28">
        <f>IF(AND(H496="",I496=""),1,0)</f>
        <v>1</v>
      </c>
      <c r="S496" s="28">
        <f>IF(AND(I497&lt;&gt;"",$I$498&gt;0),1,0)</f>
        <v>0</v>
      </c>
    </row>
    <row r="497" spans="3:19" ht="20.25" customHeight="1">
      <c r="C497" s="1458" t="s">
        <v>2104</v>
      </c>
      <c r="D497" s="282" t="s">
        <v>2101</v>
      </c>
      <c r="E497" s="3706"/>
      <c r="F497" s="3697"/>
      <c r="G497" s="1652" t="str">
        <f>IF(claim901.2.1_5=6,6,"0")</f>
        <v>0</v>
      </c>
      <c r="H497" s="3704"/>
      <c r="I497" s="1400" t="str">
        <f>IF(I496="Met",6,"")</f>
        <v/>
      </c>
      <c r="J497" s="3702"/>
      <c r="K497" s="3336"/>
      <c r="L497" s="3526"/>
    </row>
    <row r="498" spans="3:19" ht="16" thickBot="1">
      <c r="C498" s="1458" t="str">
        <f>IF(G498&gt;0,"P","")</f>
        <v/>
      </c>
      <c r="D498" s="282" t="s">
        <v>2101</v>
      </c>
      <c r="E498" s="1743" t="s">
        <v>1698</v>
      </c>
      <c r="F498" s="220">
        <v>7</v>
      </c>
      <c r="G498" s="221">
        <f>claim901.2.2</f>
        <v>0</v>
      </c>
      <c r="H498" s="1760"/>
      <c r="I498" s="1702"/>
      <c r="J498" s="1245"/>
      <c r="K498" s="3340">
        <f>note901.2.2</f>
        <v>0</v>
      </c>
      <c r="L498" s="3579"/>
      <c r="S498" s="28">
        <f>IF(AND(I498&gt;0,SUM(I488:I496)&gt;0),1,0)</f>
        <v>0</v>
      </c>
    </row>
    <row r="499" spans="3:19" ht="16" thickTop="1">
      <c r="D499" s="282" t="s">
        <v>2101</v>
      </c>
      <c r="E499" s="1745" t="s">
        <v>509</v>
      </c>
      <c r="F499" s="232"/>
      <c r="G499" s="232"/>
      <c r="H499" s="1232"/>
      <c r="I499" s="1232"/>
      <c r="J499" s="1220"/>
      <c r="K499" s="3326"/>
      <c r="L499" s="3515"/>
    </row>
    <row r="500" spans="3:19" ht="30" customHeight="1">
      <c r="C500" s="1458" t="s">
        <v>2104</v>
      </c>
      <c r="D500" s="282" t="s">
        <v>2101</v>
      </c>
      <c r="E500" s="3533" t="s">
        <v>1699</v>
      </c>
      <c r="F500" s="3696" t="s">
        <v>510</v>
      </c>
      <c r="G500" s="1820">
        <f>choice901.3_1_a</f>
        <v>0</v>
      </c>
      <c r="H500" s="1395"/>
      <c r="I500" s="1821"/>
      <c r="J500" s="3546"/>
      <c r="K500" s="3523">
        <f>note901.3_1_a</f>
        <v>0</v>
      </c>
      <c r="L500" s="3524"/>
      <c r="R500" s="28">
        <f>IF(AND(H500="",I500=""),1,0)</f>
        <v>1</v>
      </c>
      <c r="S500" s="28">
        <f>IF(AND(I501&gt;0,I505&gt;0),1,0)</f>
        <v>0</v>
      </c>
    </row>
    <row r="501" spans="3:19" ht="13.5" customHeight="1">
      <c r="C501" s="1458" t="s">
        <v>2104</v>
      </c>
      <c r="D501" s="282" t="s">
        <v>2101</v>
      </c>
      <c r="E501" s="3695"/>
      <c r="F501" s="3697"/>
      <c r="G501" s="1407" t="str">
        <f>IF(claim901.3_1_a=0,"0",claim901.3_1_a)</f>
        <v>0</v>
      </c>
      <c r="H501" s="1389"/>
      <c r="I501" s="1683">
        <f>IF(I500="Met",2,0)</f>
        <v>0</v>
      </c>
      <c r="J501" s="3564"/>
      <c r="K501" s="3336"/>
      <c r="L501" s="3526"/>
    </row>
    <row r="502" spans="3:19" ht="29.25" customHeight="1">
      <c r="C502" s="1458" t="s">
        <v>2104</v>
      </c>
      <c r="D502" s="282" t="s">
        <v>2101</v>
      </c>
      <c r="E502" s="3533" t="s">
        <v>1700</v>
      </c>
      <c r="F502" s="3696" t="s">
        <v>510</v>
      </c>
      <c r="G502" s="1820">
        <f>choice901.3_1_b</f>
        <v>0</v>
      </c>
      <c r="H502" s="1395"/>
      <c r="I502" s="1821"/>
      <c r="J502" s="3546"/>
      <c r="K502" s="3523">
        <f>note901.3_1_b</f>
        <v>0</v>
      </c>
      <c r="L502" s="3524"/>
      <c r="R502" s="28">
        <f>IF(AND(H502="",I502=""),1,0)</f>
        <v>1</v>
      </c>
      <c r="S502" s="28">
        <f>IF(AND(I503&gt;0,I505&gt;0),1,0)</f>
        <v>0</v>
      </c>
    </row>
    <row r="503" spans="3:19" ht="17.25" customHeight="1">
      <c r="C503" s="1458" t="s">
        <v>2104</v>
      </c>
      <c r="D503" s="282" t="s">
        <v>2101</v>
      </c>
      <c r="E503" s="3695"/>
      <c r="F503" s="3697"/>
      <c r="G503" s="1407" t="str">
        <f>IF(claim901.3_1_b=0,"0",claim901.3_1_b)</f>
        <v>0</v>
      </c>
      <c r="H503" s="1389"/>
      <c r="I503" s="1683">
        <f>IF(I502="Met",2,0)</f>
        <v>0</v>
      </c>
      <c r="J503" s="3564"/>
      <c r="K503" s="3336"/>
      <c r="L503" s="3526"/>
    </row>
    <row r="504" spans="3:19" ht="75">
      <c r="C504" s="1458" t="str">
        <f>IF(G504&gt;0,"P","")</f>
        <v/>
      </c>
      <c r="D504" s="282" t="s">
        <v>2101</v>
      </c>
      <c r="E504" s="1699" t="s">
        <v>1701</v>
      </c>
      <c r="F504" s="1700">
        <v>8</v>
      </c>
      <c r="G504" s="1701">
        <f>claim901.3_1_c</f>
        <v>0</v>
      </c>
      <c r="H504" s="1760"/>
      <c r="I504" s="1702"/>
      <c r="J504" s="1702"/>
      <c r="K504" s="3513">
        <f>note901.3_1_c</f>
        <v>0</v>
      </c>
      <c r="L504" s="3514"/>
    </row>
    <row r="505" spans="3:19" ht="16" thickBot="1">
      <c r="C505" s="1458" t="str">
        <f>IF(G505&gt;0,"P","")</f>
        <v/>
      </c>
      <c r="D505" s="282" t="s">
        <v>2101</v>
      </c>
      <c r="E505" s="1743" t="s">
        <v>1702</v>
      </c>
      <c r="F505" s="220">
        <v>10</v>
      </c>
      <c r="G505" s="221">
        <f>claim901.3_2</f>
        <v>0</v>
      </c>
      <c r="H505" s="1374"/>
      <c r="I505" s="1257"/>
      <c r="J505" s="1245"/>
      <c r="K505" s="3340">
        <f>note901.3_2</f>
        <v>0</v>
      </c>
      <c r="L505" s="3579"/>
    </row>
    <row r="506" spans="3:19" ht="61" thickTop="1">
      <c r="C506" s="1458" t="s">
        <v>2104</v>
      </c>
      <c r="D506" s="282" t="s">
        <v>2100</v>
      </c>
      <c r="E506" s="1745" t="s">
        <v>2568</v>
      </c>
      <c r="F506" s="1765" t="s">
        <v>511</v>
      </c>
      <c r="G506" s="1822">
        <f>claim901.4_1</f>
        <v>0</v>
      </c>
      <c r="H506" s="1402"/>
      <c r="I506" s="1401"/>
      <c r="J506" s="1263"/>
      <c r="K506" s="3332">
        <f>note901.4_1</f>
        <v>0</v>
      </c>
      <c r="L506" s="3507"/>
      <c r="Q506" s="28">
        <f>IF(H506="",1,0)</f>
        <v>1</v>
      </c>
    </row>
    <row r="507" spans="3:19" ht="45">
      <c r="C507" s="1458" t="str">
        <f>IF(G507&gt;0,"P","")</f>
        <v/>
      </c>
      <c r="D507" s="282" t="s">
        <v>2101</v>
      </c>
      <c r="E507" s="1816" t="s">
        <v>2569</v>
      </c>
      <c r="F507" s="1765" t="s">
        <v>2014</v>
      </c>
      <c r="G507" s="1822">
        <f>claim901.4_2thru6</f>
        <v>0</v>
      </c>
      <c r="H507" s="1823"/>
      <c r="I507" s="1824">
        <f>IF(SUM(I509:I512,I514:I517,I519:I522,I524:I527,I529:I532)&gt;10,10,SUM(I509:I512,I514:I517,I519:I522,I524:I527,I529:I532))</f>
        <v>0</v>
      </c>
      <c r="J507" s="1825"/>
      <c r="K507" s="3577"/>
      <c r="L507" s="3578"/>
    </row>
    <row r="508" spans="3:19" ht="30">
      <c r="C508" s="1458" t="str">
        <f>IF(SUM(G509:G512)&gt;0,"P","")</f>
        <v/>
      </c>
      <c r="D508" s="282" t="s">
        <v>2101</v>
      </c>
      <c r="E508" s="1699" t="s">
        <v>1706</v>
      </c>
      <c r="F508" s="1798"/>
      <c r="G508" s="1799"/>
      <c r="H508" s="1826"/>
      <c r="I508" s="1761"/>
      <c r="J508" s="1761"/>
      <c r="K508" s="3577"/>
      <c r="L508" s="3578"/>
    </row>
    <row r="509" spans="3:19">
      <c r="C509" s="1458" t="str">
        <f t="shared" ref="C509:C512" si="70">IF(G509&gt;0,"P","")</f>
        <v/>
      </c>
      <c r="D509" s="282" t="s">
        <v>2101</v>
      </c>
      <c r="E509" s="1789" t="s">
        <v>1571</v>
      </c>
      <c r="F509" s="1700">
        <v>2</v>
      </c>
      <c r="G509" s="1701">
        <f>claim901.4_2a</f>
        <v>0</v>
      </c>
      <c r="H509" s="1395"/>
      <c r="I509" s="1671"/>
      <c r="J509" s="3698"/>
      <c r="K509" s="3518">
        <f>note901.4_2</f>
        <v>0</v>
      </c>
      <c r="L509" s="3519"/>
      <c r="S509" s="28">
        <f>IF(AND(I509&gt;0,SUM($I$509,$I$514,$I$519,$I$524,$I$529)&gt;2),1,0)</f>
        <v>0</v>
      </c>
    </row>
    <row r="510" spans="3:19">
      <c r="C510" s="1458" t="str">
        <f t="shared" si="70"/>
        <v/>
      </c>
      <c r="D510" s="282" t="s">
        <v>2101</v>
      </c>
      <c r="E510" s="1789" t="s">
        <v>1572</v>
      </c>
      <c r="F510" s="1700">
        <v>2</v>
      </c>
      <c r="G510" s="1701">
        <f>claim901.4_2b</f>
        <v>0</v>
      </c>
      <c r="H510" s="1397"/>
      <c r="I510" s="1254"/>
      <c r="J510" s="3699"/>
      <c r="K510" s="3330"/>
      <c r="L510" s="3560"/>
      <c r="S510" s="28">
        <f>IF(AND(I510&gt;0,SUM($I$510,$I$515,$I$520,$I$525,$I$530)&gt;2),1,0)</f>
        <v>0</v>
      </c>
    </row>
    <row r="511" spans="3:19">
      <c r="C511" s="1458" t="str">
        <f t="shared" si="70"/>
        <v/>
      </c>
      <c r="D511" s="282" t="s">
        <v>2101</v>
      </c>
      <c r="E511" s="1789" t="s">
        <v>1573</v>
      </c>
      <c r="F511" s="1700">
        <v>2</v>
      </c>
      <c r="G511" s="1701">
        <f>claim901.4_2c</f>
        <v>0</v>
      </c>
      <c r="H511" s="1397"/>
      <c r="I511" s="1254"/>
      <c r="J511" s="3699"/>
      <c r="K511" s="3330"/>
      <c r="L511" s="3560"/>
      <c r="S511" s="28">
        <f>IF(AND(I511&gt;0,SUM($I$511,$I$516,$I$521,$I$526,$I$531)&gt;2),1,0)</f>
        <v>0</v>
      </c>
    </row>
    <row r="512" spans="3:19">
      <c r="C512" s="1458" t="str">
        <f t="shared" si="70"/>
        <v/>
      </c>
      <c r="D512" s="282" t="s">
        <v>2101</v>
      </c>
      <c r="E512" s="1789" t="s">
        <v>1574</v>
      </c>
      <c r="F512" s="1700">
        <v>2</v>
      </c>
      <c r="G512" s="1701">
        <f>claim901.4_2d</f>
        <v>0</v>
      </c>
      <c r="H512" s="1389"/>
      <c r="I512" s="1672"/>
      <c r="J512" s="3700"/>
      <c r="K512" s="3289"/>
      <c r="L512" s="3527"/>
      <c r="S512" s="28">
        <f>IF(AND(I512&gt;0,SUM($I$512,$I$517,$I$522,$I$527,$I$532)&gt;2),1,0)</f>
        <v>0</v>
      </c>
    </row>
    <row r="513" spans="3:19">
      <c r="C513" s="1458" t="str">
        <f t="shared" ref="C513" si="71">IF(SUM(G514:G517)&gt;0,"P","")</f>
        <v/>
      </c>
      <c r="D513" s="282" t="s">
        <v>2101</v>
      </c>
      <c r="E513" s="1699" t="s">
        <v>1710</v>
      </c>
      <c r="F513" s="1798"/>
      <c r="G513" s="1799"/>
      <c r="H513" s="1826"/>
      <c r="I513" s="1761"/>
      <c r="J513" s="1761"/>
      <c r="K513" s="3577"/>
      <c r="L513" s="3578"/>
    </row>
    <row r="514" spans="3:19">
      <c r="C514" s="1458" t="str">
        <f t="shared" ref="C514:C517" si="72">IF(G514&gt;0,"P","")</f>
        <v/>
      </c>
      <c r="D514" s="282" t="s">
        <v>2101</v>
      </c>
      <c r="E514" s="1789" t="s">
        <v>1571</v>
      </c>
      <c r="F514" s="1700">
        <v>2</v>
      </c>
      <c r="G514" s="1701">
        <f>claim901.4_3a</f>
        <v>0</v>
      </c>
      <c r="H514" s="1395"/>
      <c r="I514" s="1671"/>
      <c r="J514" s="3554"/>
      <c r="K514" s="3518">
        <f>note901.4_3</f>
        <v>0</v>
      </c>
      <c r="L514" s="3519"/>
      <c r="S514" s="28">
        <f>IF(AND(I514&gt;0,SUM($I$509,$I$514,$I$519,$I$524,$I$529)&gt;2),1,0)</f>
        <v>0</v>
      </c>
    </row>
    <row r="515" spans="3:19">
      <c r="C515" s="1458" t="str">
        <f t="shared" si="72"/>
        <v/>
      </c>
      <c r="D515" s="282" t="s">
        <v>2101</v>
      </c>
      <c r="E515" s="1789" t="s">
        <v>1572</v>
      </c>
      <c r="F515" s="1700">
        <v>2</v>
      </c>
      <c r="G515" s="1701">
        <f>claim901.4_3b</f>
        <v>0</v>
      </c>
      <c r="H515" s="1397"/>
      <c r="I515" s="1254"/>
      <c r="J515" s="3555"/>
      <c r="K515" s="3330"/>
      <c r="L515" s="3560"/>
      <c r="S515" s="28">
        <f>IF(AND(I515&gt;0,SUM($I$510,$I$515,$I$520,$I$525,$I$530)&gt;2),1,0)</f>
        <v>0</v>
      </c>
    </row>
    <row r="516" spans="3:19">
      <c r="C516" s="1458" t="str">
        <f t="shared" si="72"/>
        <v/>
      </c>
      <c r="D516" s="282" t="s">
        <v>2101</v>
      </c>
      <c r="E516" s="1789" t="s">
        <v>1573</v>
      </c>
      <c r="F516" s="1700">
        <v>2</v>
      </c>
      <c r="G516" s="1701">
        <f>claim901.4_3c</f>
        <v>0</v>
      </c>
      <c r="H516" s="1397"/>
      <c r="I516" s="1254"/>
      <c r="J516" s="3555"/>
      <c r="K516" s="3330"/>
      <c r="L516" s="3560"/>
      <c r="S516" s="28">
        <f>IF(AND(I516&gt;0,SUM($I$511,$I$516,$I$521,$I$526,$I$531)&gt;2),1,0)</f>
        <v>0</v>
      </c>
    </row>
    <row r="517" spans="3:19">
      <c r="C517" s="1458" t="str">
        <f t="shared" si="72"/>
        <v/>
      </c>
      <c r="D517" s="282" t="s">
        <v>2101</v>
      </c>
      <c r="E517" s="1789" t="s">
        <v>1574</v>
      </c>
      <c r="F517" s="1700">
        <v>2</v>
      </c>
      <c r="G517" s="1701">
        <f>claim901.4_3d</f>
        <v>0</v>
      </c>
      <c r="H517" s="1389"/>
      <c r="I517" s="1672"/>
      <c r="J517" s="3561"/>
      <c r="K517" s="3289"/>
      <c r="L517" s="3527"/>
      <c r="S517" s="28">
        <f>IF(AND(I517&gt;0,SUM($I$512,$I$517,$I$522,$I$527,$I$532)&gt;2),1,0)</f>
        <v>0</v>
      </c>
    </row>
    <row r="518" spans="3:19">
      <c r="C518" s="1458" t="str">
        <f>IF(SUM(G519:G522)&gt;0,"P","")</f>
        <v/>
      </c>
      <c r="D518" s="282" t="s">
        <v>2101</v>
      </c>
      <c r="E518" s="1699" t="s">
        <v>2617</v>
      </c>
      <c r="F518" s="1798"/>
      <c r="G518" s="1799"/>
      <c r="H518" s="1826"/>
      <c r="I518" s="1761"/>
      <c r="J518" s="1809"/>
      <c r="K518" s="3577"/>
      <c r="L518" s="3578"/>
    </row>
    <row r="519" spans="3:19">
      <c r="C519" s="1458" t="str">
        <f t="shared" ref="C519:C522" si="73">IF(G519&gt;0,"P","")</f>
        <v/>
      </c>
      <c r="D519" s="282" t="s">
        <v>2101</v>
      </c>
      <c r="E519" s="1789" t="s">
        <v>1571</v>
      </c>
      <c r="F519" s="1700">
        <v>3</v>
      </c>
      <c r="G519" s="1701">
        <f>claim901.4_4a</f>
        <v>0</v>
      </c>
      <c r="H519" s="1395"/>
      <c r="I519" s="1671"/>
      <c r="J519" s="3554"/>
      <c r="K519" s="3518">
        <f>note901.4_4</f>
        <v>0</v>
      </c>
      <c r="L519" s="3519"/>
      <c r="S519" s="28">
        <f>IF(AND(I519&gt;0,SUM($I$509,$I$514,$I$519,$I$524,$I$529)&gt;3),1,0)</f>
        <v>0</v>
      </c>
    </row>
    <row r="520" spans="3:19">
      <c r="C520" s="1458" t="str">
        <f t="shared" si="73"/>
        <v/>
      </c>
      <c r="D520" s="282" t="s">
        <v>2101</v>
      </c>
      <c r="E520" s="1789" t="s">
        <v>1572</v>
      </c>
      <c r="F520" s="1700">
        <v>3</v>
      </c>
      <c r="G520" s="1701">
        <f>claim901.4_4b</f>
        <v>0</v>
      </c>
      <c r="H520" s="1397"/>
      <c r="I520" s="1254"/>
      <c r="J520" s="3555"/>
      <c r="K520" s="3330"/>
      <c r="L520" s="3560"/>
      <c r="S520" s="28">
        <f t="shared" ref="S520:S522" si="74">IF(AND(I520&gt;0,SUM($I$509,$I$514,$I$519,$I$524,$I$529)&gt;3),1,0)</f>
        <v>0</v>
      </c>
    </row>
    <row r="521" spans="3:19">
      <c r="C521" s="1458" t="str">
        <f t="shared" si="73"/>
        <v/>
      </c>
      <c r="D521" s="282" t="s">
        <v>2101</v>
      </c>
      <c r="E521" s="1789" t="s">
        <v>1573</v>
      </c>
      <c r="F521" s="1700">
        <v>3</v>
      </c>
      <c r="G521" s="1701">
        <f>claim901.4_4c</f>
        <v>0</v>
      </c>
      <c r="H521" s="1397"/>
      <c r="I521" s="1254"/>
      <c r="J521" s="3555"/>
      <c r="K521" s="3330"/>
      <c r="L521" s="3560"/>
      <c r="S521" s="28">
        <f t="shared" si="74"/>
        <v>0</v>
      </c>
    </row>
    <row r="522" spans="3:19">
      <c r="C522" s="1458" t="str">
        <f t="shared" si="73"/>
        <v/>
      </c>
      <c r="D522" s="282" t="s">
        <v>2101</v>
      </c>
      <c r="E522" s="1789" t="s">
        <v>1574</v>
      </c>
      <c r="F522" s="1700">
        <v>3</v>
      </c>
      <c r="G522" s="1701">
        <f>claim901.4_4d</f>
        <v>0</v>
      </c>
      <c r="H522" s="1389"/>
      <c r="I522" s="1672"/>
      <c r="J522" s="3561"/>
      <c r="K522" s="3289"/>
      <c r="L522" s="3527"/>
      <c r="S522" s="28">
        <f t="shared" si="74"/>
        <v>0</v>
      </c>
    </row>
    <row r="523" spans="3:19" ht="30">
      <c r="C523" s="1458" t="str">
        <f>IF(SUM(G524:G527)&gt;0,"P","")</f>
        <v/>
      </c>
      <c r="D523" s="282" t="s">
        <v>2101</v>
      </c>
      <c r="E523" s="1699" t="s">
        <v>1708</v>
      </c>
      <c r="F523" s="1798"/>
      <c r="G523" s="1799"/>
      <c r="H523" s="1826"/>
      <c r="I523" s="1761"/>
      <c r="J523" s="1809"/>
      <c r="K523" s="3577"/>
      <c r="L523" s="3578"/>
    </row>
    <row r="524" spans="3:19">
      <c r="C524" s="1458" t="str">
        <f t="shared" ref="C524:C527" si="75">IF(G524&gt;0,"P","")</f>
        <v/>
      </c>
      <c r="D524" s="282" t="s">
        <v>2101</v>
      </c>
      <c r="E524" s="1789" t="s">
        <v>1571</v>
      </c>
      <c r="F524" s="1700">
        <v>4</v>
      </c>
      <c r="G524" s="1701">
        <f>claim901.4_5a</f>
        <v>0</v>
      </c>
      <c r="H524" s="1395"/>
      <c r="I524" s="1671"/>
      <c r="J524" s="3554"/>
      <c r="K524" s="3518">
        <f>note901.4_5</f>
        <v>0</v>
      </c>
      <c r="L524" s="3519"/>
      <c r="S524" s="28">
        <f>IF(AND(I524&gt;0,SUM($I$509,$I$514,$I$519,$I$524,$I$529)&gt;4),1,0)</f>
        <v>0</v>
      </c>
    </row>
    <row r="525" spans="3:19">
      <c r="C525" s="1458" t="str">
        <f t="shared" si="75"/>
        <v/>
      </c>
      <c r="D525" s="282" t="s">
        <v>2101</v>
      </c>
      <c r="E525" s="1789" t="s">
        <v>1572</v>
      </c>
      <c r="F525" s="1700">
        <v>4</v>
      </c>
      <c r="G525" s="1701">
        <f>claim901.4_5b</f>
        <v>0</v>
      </c>
      <c r="H525" s="1397"/>
      <c r="I525" s="1254"/>
      <c r="J525" s="3555"/>
      <c r="K525" s="3330"/>
      <c r="L525" s="3560"/>
      <c r="S525" s="28">
        <f t="shared" ref="S525:S527" si="76">IF(AND(I525&gt;0,SUM($I$509,$I$514,$I$519,$I$524,$I$529)&gt;4),1,0)</f>
        <v>0</v>
      </c>
    </row>
    <row r="526" spans="3:19">
      <c r="C526" s="1458" t="str">
        <f t="shared" si="75"/>
        <v/>
      </c>
      <c r="D526" s="282" t="s">
        <v>2101</v>
      </c>
      <c r="E526" s="1789" t="s">
        <v>1573</v>
      </c>
      <c r="F526" s="1700">
        <v>4</v>
      </c>
      <c r="G526" s="1701">
        <f>claim901.4_5c</f>
        <v>0</v>
      </c>
      <c r="H526" s="1397"/>
      <c r="I526" s="1254"/>
      <c r="J526" s="3555"/>
      <c r="K526" s="3330"/>
      <c r="L526" s="3560"/>
      <c r="S526" s="28">
        <f t="shared" si="76"/>
        <v>0</v>
      </c>
    </row>
    <row r="527" spans="3:19">
      <c r="C527" s="1458" t="str">
        <f t="shared" si="75"/>
        <v/>
      </c>
      <c r="D527" s="282" t="s">
        <v>2101</v>
      </c>
      <c r="E527" s="1789" t="s">
        <v>1574</v>
      </c>
      <c r="F527" s="1700">
        <v>4</v>
      </c>
      <c r="G527" s="1701">
        <f>claim901.4_5d</f>
        <v>0</v>
      </c>
      <c r="H527" s="1389"/>
      <c r="I527" s="1672"/>
      <c r="J527" s="3561"/>
      <c r="K527" s="3289"/>
      <c r="L527" s="3527"/>
      <c r="S527" s="28">
        <f t="shared" si="76"/>
        <v>0</v>
      </c>
    </row>
    <row r="528" spans="3:19">
      <c r="C528" s="1458" t="str">
        <f>IF(SUM(G529:G532)&gt;0,"P","")</f>
        <v/>
      </c>
      <c r="D528" s="282" t="s">
        <v>2101</v>
      </c>
      <c r="E528" s="1699" t="s">
        <v>1709</v>
      </c>
      <c r="F528" s="1798"/>
      <c r="G528" s="1799"/>
      <c r="H528" s="1826"/>
      <c r="I528" s="1761"/>
      <c r="J528" s="1809"/>
      <c r="K528" s="3577"/>
      <c r="L528" s="3578"/>
    </row>
    <row r="529" spans="3:19">
      <c r="C529" s="1458" t="str">
        <f t="shared" ref="C529:C535" si="77">IF(G529&gt;0,"P","")</f>
        <v/>
      </c>
      <c r="D529" s="282" t="s">
        <v>2101</v>
      </c>
      <c r="E529" s="1789" t="s">
        <v>1571</v>
      </c>
      <c r="F529" s="1700">
        <v>4</v>
      </c>
      <c r="G529" s="1701">
        <f>claim901.4_6a</f>
        <v>0</v>
      </c>
      <c r="H529" s="1395"/>
      <c r="I529" s="1671"/>
      <c r="J529" s="3554"/>
      <c r="K529" s="3518">
        <f>note901.4_6</f>
        <v>0</v>
      </c>
      <c r="L529" s="3519"/>
      <c r="S529" s="28">
        <f t="shared" ref="S529:S532" si="78">IF(AND(I529&gt;0,SUM($I$509,$I$514,$I$519,$I$524,$I$529)&gt;4),1,0)</f>
        <v>0</v>
      </c>
    </row>
    <row r="530" spans="3:19">
      <c r="C530" s="1458" t="str">
        <f t="shared" si="77"/>
        <v/>
      </c>
      <c r="D530" s="282" t="s">
        <v>2101</v>
      </c>
      <c r="E530" s="1789" t="s">
        <v>1572</v>
      </c>
      <c r="F530" s="1700">
        <v>4</v>
      </c>
      <c r="G530" s="1701">
        <f>claim901.4_6b</f>
        <v>0</v>
      </c>
      <c r="H530" s="1397"/>
      <c r="I530" s="1254"/>
      <c r="J530" s="3555"/>
      <c r="K530" s="3330"/>
      <c r="L530" s="3560"/>
      <c r="S530" s="28">
        <f t="shared" si="78"/>
        <v>0</v>
      </c>
    </row>
    <row r="531" spans="3:19">
      <c r="C531" s="1458" t="str">
        <f t="shared" si="77"/>
        <v/>
      </c>
      <c r="D531" s="282" t="s">
        <v>2101</v>
      </c>
      <c r="E531" s="1789" t="s">
        <v>1573</v>
      </c>
      <c r="F531" s="1700">
        <v>4</v>
      </c>
      <c r="G531" s="1701">
        <f>claim901.4_6c</f>
        <v>0</v>
      </c>
      <c r="H531" s="1397"/>
      <c r="I531" s="1254"/>
      <c r="J531" s="3555"/>
      <c r="K531" s="3330"/>
      <c r="L531" s="3560"/>
      <c r="S531" s="28">
        <f t="shared" si="78"/>
        <v>0</v>
      </c>
    </row>
    <row r="532" spans="3:19" ht="16" thickBot="1">
      <c r="C532" s="1458" t="str">
        <f t="shared" si="77"/>
        <v/>
      </c>
      <c r="D532" s="282" t="s">
        <v>2101</v>
      </c>
      <c r="E532" s="1815" t="s">
        <v>1574</v>
      </c>
      <c r="F532" s="1666">
        <v>4</v>
      </c>
      <c r="G532" s="1659">
        <f>claim901.4_6d</f>
        <v>0</v>
      </c>
      <c r="H532" s="1397"/>
      <c r="I532" s="1672"/>
      <c r="J532" s="3556"/>
      <c r="K532" s="3330"/>
      <c r="L532" s="3560"/>
      <c r="S532" s="28">
        <f t="shared" si="78"/>
        <v>0</v>
      </c>
    </row>
    <row r="533" spans="3:19" ht="31" thickTop="1">
      <c r="C533" s="1458" t="str">
        <f>IF(SUM(G534:G535)&gt;0,"P","")</f>
        <v/>
      </c>
      <c r="D533" s="282" t="s">
        <v>2101</v>
      </c>
      <c r="E533" s="1721" t="s">
        <v>2570</v>
      </c>
      <c r="F533" s="647"/>
      <c r="G533" s="1058">
        <f>choice901.5</f>
        <v>0</v>
      </c>
      <c r="H533" s="1403"/>
      <c r="I533" s="1403"/>
      <c r="J533" s="1227"/>
      <c r="K533" s="3324"/>
      <c r="L533" s="3576"/>
    </row>
    <row r="534" spans="3:19" ht="30">
      <c r="C534" s="1458" t="str">
        <f t="shared" si="77"/>
        <v/>
      </c>
      <c r="D534" s="282" t="s">
        <v>2101</v>
      </c>
      <c r="E534" s="1827" t="s">
        <v>1712</v>
      </c>
      <c r="F534" s="1731">
        <v>5</v>
      </c>
      <c r="G534" s="1652">
        <f>IF(claim901.5=3,3,0)</f>
        <v>0</v>
      </c>
      <c r="H534" s="3674"/>
      <c r="I534" s="3676"/>
      <c r="J534" s="3676"/>
      <c r="K534" s="3518">
        <f>note901.5</f>
        <v>0</v>
      </c>
      <c r="L534" s="3519"/>
    </row>
    <row r="535" spans="3:19" ht="45">
      <c r="C535" s="1458" t="str">
        <f t="shared" si="77"/>
        <v/>
      </c>
      <c r="D535" s="282" t="s">
        <v>2101</v>
      </c>
      <c r="E535" s="1827" t="s">
        <v>1713</v>
      </c>
      <c r="F535" s="1731">
        <v>3</v>
      </c>
      <c r="G535" s="1652">
        <f>IF(claim901.5=5,5,0)</f>
        <v>0</v>
      </c>
      <c r="H535" s="3675"/>
      <c r="I535" s="3677"/>
      <c r="J535" s="3677"/>
      <c r="K535" s="3289"/>
      <c r="L535" s="3527"/>
    </row>
    <row r="536" spans="3:19">
      <c r="C536" s="1458" t="s">
        <v>2104</v>
      </c>
      <c r="D536" s="282" t="s">
        <v>2101</v>
      </c>
      <c r="E536" s="1707" t="s">
        <v>1714</v>
      </c>
      <c r="F536" s="1828"/>
      <c r="G536" s="1829"/>
      <c r="H536" s="1802"/>
      <c r="I536" s="1802"/>
      <c r="J536" s="1830"/>
      <c r="K536" s="3516"/>
      <c r="L536" s="3517"/>
    </row>
    <row r="537" spans="3:19">
      <c r="C537" s="1458" t="s">
        <v>2104</v>
      </c>
      <c r="D537" s="282" t="s">
        <v>2101</v>
      </c>
      <c r="E537" s="1699" t="s">
        <v>1715</v>
      </c>
      <c r="F537" s="1765" t="s">
        <v>3</v>
      </c>
      <c r="G537" s="1701">
        <f>claim901.6_1</f>
        <v>0</v>
      </c>
      <c r="H537" s="1760"/>
      <c r="I537" s="1702"/>
      <c r="J537" s="1702"/>
      <c r="K537" s="3513">
        <f>note901.6_1</f>
        <v>0</v>
      </c>
      <c r="L537" s="3514"/>
      <c r="N537" s="28">
        <f>IF(I537="",1,I537)</f>
        <v>1</v>
      </c>
      <c r="R537" s="28">
        <f>IF(I537="",1,0)</f>
        <v>1</v>
      </c>
    </row>
    <row r="538" spans="3:19" ht="171" customHeight="1">
      <c r="C538" s="1458" t="str">
        <f t="shared" ref="C538:C558" si="79">IF(G538&gt;0,"P","")</f>
        <v/>
      </c>
      <c r="D538" s="282" t="s">
        <v>2101</v>
      </c>
      <c r="E538" s="1699" t="s">
        <v>2572</v>
      </c>
      <c r="F538" s="1700">
        <v>6</v>
      </c>
      <c r="G538" s="1701">
        <f>claim901.6_2_a</f>
        <v>0</v>
      </c>
      <c r="H538" s="1395"/>
      <c r="I538" s="1404"/>
      <c r="J538" s="1404"/>
      <c r="K538" s="3518">
        <f>note901.6_2</f>
        <v>0</v>
      </c>
      <c r="L538" s="3519"/>
    </row>
    <row r="539" spans="3:19" ht="16" thickBot="1">
      <c r="C539" s="1458" t="str">
        <f t="shared" si="79"/>
        <v/>
      </c>
      <c r="D539" s="282" t="s">
        <v>2101</v>
      </c>
      <c r="E539" s="1743" t="s">
        <v>2571</v>
      </c>
      <c r="F539" s="220">
        <v>2</v>
      </c>
      <c r="G539" s="221">
        <f>claim901.6_2_b</f>
        <v>0</v>
      </c>
      <c r="H539" s="1831"/>
      <c r="I539" s="1726"/>
      <c r="J539" s="1726"/>
      <c r="K539" s="3537"/>
      <c r="L539" s="3538"/>
    </row>
    <row r="540" spans="3:19" ht="257" thickTop="1" thickBot="1">
      <c r="C540" s="1458" t="str">
        <f t="shared" si="79"/>
        <v/>
      </c>
      <c r="D540" s="282" t="s">
        <v>2101</v>
      </c>
      <c r="E540" s="2005" t="s">
        <v>2573</v>
      </c>
      <c r="F540" s="1666">
        <v>6</v>
      </c>
      <c r="G540" s="1659">
        <f>claim901.7</f>
        <v>0</v>
      </c>
      <c r="H540" s="1397"/>
      <c r="I540" s="1254"/>
      <c r="J540" s="1254"/>
      <c r="K540" s="3481">
        <f>note901.7</f>
        <v>0</v>
      </c>
      <c r="L540" s="3557"/>
    </row>
    <row r="541" spans="3:19" ht="98.25" customHeight="1" thickTop="1" thickBot="1">
      <c r="C541" s="1458" t="str">
        <f t="shared" si="79"/>
        <v/>
      </c>
      <c r="D541" s="282" t="s">
        <v>2101</v>
      </c>
      <c r="E541" s="2021" t="s">
        <v>2574</v>
      </c>
      <c r="F541" s="1059">
        <v>4</v>
      </c>
      <c r="G541" s="1060">
        <f>claim901.8</f>
        <v>0</v>
      </c>
      <c r="H541" s="1405"/>
      <c r="I541" s="1260"/>
      <c r="J541" s="1260"/>
      <c r="K541" s="3332">
        <f>note901.8</f>
        <v>0</v>
      </c>
      <c r="L541" s="3507"/>
    </row>
    <row r="542" spans="3:19" ht="46" thickTop="1">
      <c r="C542" s="1458" t="str">
        <f>IF(SUM(G543:G545)&gt;0,"P","")</f>
        <v/>
      </c>
      <c r="D542" s="282" t="s">
        <v>2101</v>
      </c>
      <c r="E542" s="1745" t="s">
        <v>2575</v>
      </c>
      <c r="F542" s="232"/>
      <c r="G542" s="232"/>
      <c r="H542" s="1232"/>
      <c r="I542" s="1232"/>
      <c r="J542" s="1220"/>
      <c r="K542" s="3326"/>
      <c r="L542" s="3515"/>
    </row>
    <row r="543" spans="3:19" ht="75">
      <c r="C543" s="1458" t="str">
        <f t="shared" si="79"/>
        <v/>
      </c>
      <c r="D543" s="282" t="s">
        <v>2101</v>
      </c>
      <c r="E543" s="1699" t="s">
        <v>1721</v>
      </c>
      <c r="F543" s="1805">
        <v>5</v>
      </c>
      <c r="G543" s="1806">
        <f>claim901.9.1</f>
        <v>0</v>
      </c>
      <c r="H543" s="1807"/>
      <c r="I543" s="1808"/>
      <c r="J543" s="1808"/>
      <c r="K543" s="3513">
        <f>note901.9.1</f>
        <v>0</v>
      </c>
      <c r="L543" s="3514"/>
    </row>
    <row r="544" spans="3:19">
      <c r="C544" s="1458" t="str">
        <f t="shared" si="79"/>
        <v/>
      </c>
      <c r="D544" s="282" t="s">
        <v>2101</v>
      </c>
      <c r="E544" s="1699" t="s">
        <v>1722</v>
      </c>
      <c r="F544" s="1805">
        <v>1</v>
      </c>
      <c r="G544" s="1806">
        <f>claim901.9.2</f>
        <v>0</v>
      </c>
      <c r="H544" s="1807"/>
      <c r="I544" s="1808"/>
      <c r="J544" s="1808"/>
      <c r="K544" s="3513">
        <f>note901.9.2</f>
        <v>0</v>
      </c>
      <c r="L544" s="3514"/>
      <c r="S544" s="28">
        <f>IF(AND(I544&gt;0,AND(I543&lt;&gt;5,I545&lt;&gt;8)),1,0)</f>
        <v>0</v>
      </c>
    </row>
    <row r="545" spans="3:19" ht="31" thickBot="1">
      <c r="C545" s="1458" t="str">
        <f t="shared" si="79"/>
        <v/>
      </c>
      <c r="D545" s="282" t="s">
        <v>2101</v>
      </c>
      <c r="E545" s="1743" t="s">
        <v>1723</v>
      </c>
      <c r="F545" s="995">
        <v>8</v>
      </c>
      <c r="G545" s="1002">
        <f>claim901.9.3</f>
        <v>0</v>
      </c>
      <c r="H545" s="1374"/>
      <c r="I545" s="1264"/>
      <c r="J545" s="1264"/>
      <c r="K545" s="3340">
        <f>note901.9.3</f>
        <v>0</v>
      </c>
      <c r="L545" s="3579"/>
    </row>
    <row r="546" spans="3:19" ht="32" thickTop="1" thickBot="1">
      <c r="C546" s="1458" t="s">
        <v>2104</v>
      </c>
      <c r="D546" s="282" t="s">
        <v>2101</v>
      </c>
      <c r="E546" s="1834" t="s">
        <v>2576</v>
      </c>
      <c r="F546" s="1382" t="s">
        <v>3</v>
      </c>
      <c r="G546" s="1676">
        <f>claim901.9.4</f>
        <v>0</v>
      </c>
      <c r="H546" s="1397"/>
      <c r="I546" s="2022"/>
      <c r="J546" s="2022"/>
      <c r="K546" s="3316">
        <f>note901.9.4</f>
        <v>0</v>
      </c>
      <c r="L546" s="3580"/>
      <c r="R546" s="28">
        <f>IF(AND(ReportType="Final",I546=""),1,0)</f>
        <v>0</v>
      </c>
    </row>
    <row r="547" spans="3:19" ht="46" thickTop="1">
      <c r="C547" s="1458" t="str">
        <f>IF(SUM(G548:G550)&gt;0,"P","")</f>
        <v/>
      </c>
      <c r="D547" s="282" t="s">
        <v>2101</v>
      </c>
      <c r="E547" s="1745" t="s">
        <v>2578</v>
      </c>
      <c r="F547" s="232"/>
      <c r="G547" s="1064"/>
      <c r="H547" s="1234"/>
      <c r="I547" s="1234"/>
      <c r="J547" s="1228"/>
      <c r="K547" s="3326"/>
      <c r="L547" s="3515"/>
    </row>
    <row r="548" spans="3:19">
      <c r="C548" s="1458" t="str">
        <f t="shared" si="79"/>
        <v/>
      </c>
      <c r="D548" s="282" t="s">
        <v>2101</v>
      </c>
      <c r="E548" s="1699" t="s">
        <v>1725</v>
      </c>
      <c r="F548" s="1700">
        <v>8</v>
      </c>
      <c r="G548" s="1701">
        <f>IF(claim901.10=8,8,0)</f>
        <v>0</v>
      </c>
      <c r="H548" s="3601"/>
      <c r="I548" s="3505"/>
      <c r="J548" s="3505"/>
      <c r="K548" s="3518">
        <f>note901.10</f>
        <v>0</v>
      </c>
      <c r="L548" s="3519"/>
    </row>
    <row r="549" spans="3:19">
      <c r="C549" s="1458" t="str">
        <f t="shared" si="79"/>
        <v/>
      </c>
      <c r="D549" s="282" t="s">
        <v>2101</v>
      </c>
      <c r="E549" s="1699" t="s">
        <v>1726</v>
      </c>
      <c r="F549" s="1700">
        <v>5</v>
      </c>
      <c r="G549" s="1701">
        <f>IF(choice901.10="GreenSeal GS-36",5,0)</f>
        <v>0</v>
      </c>
      <c r="H549" s="3673"/>
      <c r="I549" s="3581"/>
      <c r="J549" s="3581"/>
      <c r="K549" s="3330"/>
      <c r="L549" s="3560"/>
    </row>
    <row r="550" spans="3:19" ht="16" thickBot="1">
      <c r="C550" s="1458" t="str">
        <f t="shared" si="79"/>
        <v/>
      </c>
      <c r="D550" s="282" t="s">
        <v>2101</v>
      </c>
      <c r="E550" s="1743" t="s">
        <v>1727</v>
      </c>
      <c r="F550" s="220">
        <v>5</v>
      </c>
      <c r="G550" s="221">
        <f>IF(choice901.10="SCAQMD Rule 1168",5,0)</f>
        <v>0</v>
      </c>
      <c r="H550" s="3678"/>
      <c r="I550" s="3506"/>
      <c r="J550" s="3506"/>
      <c r="K550" s="3537"/>
      <c r="L550" s="3538"/>
    </row>
    <row r="551" spans="3:19" ht="92" thickTop="1" thickBot="1">
      <c r="C551" s="1458" t="str">
        <f t="shared" si="79"/>
        <v/>
      </c>
      <c r="D551" s="282" t="s">
        <v>2101</v>
      </c>
      <c r="E551" s="1745" t="s">
        <v>2579</v>
      </c>
      <c r="F551" s="1059">
        <v>4</v>
      </c>
      <c r="G551" s="1060">
        <f>claim901.11</f>
        <v>0</v>
      </c>
      <c r="H551" s="3693"/>
      <c r="I551" s="3694"/>
      <c r="J551" s="1265"/>
      <c r="K551" s="3316">
        <f>note901.11</f>
        <v>0</v>
      </c>
      <c r="L551" s="3580"/>
    </row>
    <row r="552" spans="3:19" ht="47" thickTop="1" thickBot="1">
      <c r="C552" s="1458" t="str">
        <f t="shared" si="79"/>
        <v/>
      </c>
      <c r="D552" s="282" t="s">
        <v>2101</v>
      </c>
      <c r="E552" s="1744" t="s">
        <v>1733</v>
      </c>
      <c r="F552" s="242">
        <v>3</v>
      </c>
      <c r="G552" s="229">
        <f>claim901.12</f>
        <v>0</v>
      </c>
      <c r="H552" s="1406"/>
      <c r="I552" s="1248"/>
      <c r="J552" s="1248"/>
      <c r="K552" s="3316">
        <f>note901.12</f>
        <v>0</v>
      </c>
      <c r="L552" s="3580"/>
    </row>
    <row r="553" spans="3:19" ht="16" thickTop="1">
      <c r="C553" s="1458" t="str">
        <f>IF(SUM(G554:G555)&gt;0,"P","")</f>
        <v/>
      </c>
      <c r="D553" s="282" t="s">
        <v>2101</v>
      </c>
      <c r="E553" s="1745" t="s">
        <v>1734</v>
      </c>
      <c r="F553" s="232"/>
      <c r="G553" s="1064"/>
      <c r="H553" s="1234"/>
      <c r="I553" s="1234"/>
      <c r="J553" s="1228"/>
      <c r="K553" s="3326"/>
      <c r="L553" s="3515"/>
    </row>
    <row r="554" spans="3:19">
      <c r="C554" s="1458" t="str">
        <f t="shared" si="79"/>
        <v/>
      </c>
      <c r="D554" s="282" t="s">
        <v>2101</v>
      </c>
      <c r="E554" s="1699" t="s">
        <v>512</v>
      </c>
      <c r="F554" s="1700">
        <v>1</v>
      </c>
      <c r="G554" s="1701">
        <f>IF(choice901.13="Exterior grilles",1,0)</f>
        <v>0</v>
      </c>
      <c r="H554" s="1395"/>
      <c r="I554" s="3505"/>
      <c r="J554" s="1671"/>
      <c r="K554" s="3518">
        <f>note901.13</f>
        <v>0</v>
      </c>
      <c r="L554" s="3519"/>
    </row>
    <row r="555" spans="3:19" ht="16" thickBot="1">
      <c r="C555" s="1458" t="str">
        <f t="shared" si="79"/>
        <v/>
      </c>
      <c r="D555" s="282" t="s">
        <v>2101</v>
      </c>
      <c r="E555" s="1743" t="s">
        <v>513</v>
      </c>
      <c r="F555" s="220">
        <v>1</v>
      </c>
      <c r="G555" s="221">
        <f>IF(choice901.13="Interior grilles",1,0)</f>
        <v>0</v>
      </c>
      <c r="H555" s="1831"/>
      <c r="I555" s="3506"/>
      <c r="J555" s="1726"/>
      <c r="K555" s="3537"/>
      <c r="L555" s="3538"/>
    </row>
    <row r="556" spans="3:19" ht="16" thickTop="1">
      <c r="C556" s="1458" t="str">
        <f>IF(SUM(G557:G558)&gt;0,"P","")</f>
        <v/>
      </c>
      <c r="D556" s="282" t="s">
        <v>2101</v>
      </c>
      <c r="E556" s="1832" t="s">
        <v>2129</v>
      </c>
      <c r="F556" s="1450"/>
      <c r="G556" s="1451"/>
      <c r="H556" s="1397"/>
      <c r="I556" s="1454"/>
      <c r="J556" s="1454"/>
      <c r="K556" s="1452"/>
      <c r="L556" s="1833"/>
    </row>
    <row r="557" spans="3:19" ht="30" customHeight="1">
      <c r="C557" s="1458" t="str">
        <f t="shared" si="79"/>
        <v/>
      </c>
      <c r="D557" s="282" t="s">
        <v>2101</v>
      </c>
      <c r="E557" s="1834" t="s">
        <v>2130</v>
      </c>
      <c r="F557" s="1654">
        <v>1</v>
      </c>
      <c r="G557" s="1660">
        <f>claim901.14_1</f>
        <v>0</v>
      </c>
      <c r="H557" s="1397"/>
      <c r="I557" s="1254"/>
      <c r="J557" s="1254"/>
      <c r="K557" s="3330">
        <f>note901.14</f>
        <v>0</v>
      </c>
      <c r="L557" s="3560"/>
    </row>
    <row r="558" spans="3:19" ht="30">
      <c r="C558" s="1458" t="str">
        <f t="shared" si="79"/>
        <v/>
      </c>
      <c r="D558" s="282" t="s">
        <v>2101</v>
      </c>
      <c r="E558" s="1834" t="s">
        <v>2131</v>
      </c>
      <c r="F558" s="1654">
        <v>1</v>
      </c>
      <c r="G558" s="1660">
        <f>claim901.14_2</f>
        <v>0</v>
      </c>
      <c r="H558" s="1397"/>
      <c r="I558" s="1254"/>
      <c r="J558" s="1254"/>
      <c r="K558" s="3289"/>
      <c r="L558" s="3527"/>
      <c r="S558" s="28">
        <f>IF(AND(I558&gt;0,BldgType&lt;&gt;"Multi-Unit"),1,0)</f>
        <v>0</v>
      </c>
    </row>
    <row r="559" spans="3:19" ht="39" customHeight="1">
      <c r="C559" s="1458" t="s">
        <v>2104</v>
      </c>
      <c r="D559" s="282" t="s">
        <v>2100</v>
      </c>
      <c r="E559" s="1746" t="s">
        <v>2580</v>
      </c>
      <c r="F559" s="1765" t="s">
        <v>3</v>
      </c>
      <c r="G559" s="1701">
        <f>claim901.15</f>
        <v>0</v>
      </c>
      <c r="H559" s="1409"/>
      <c r="I559" s="2023"/>
      <c r="J559" s="1404"/>
      <c r="K559" s="3513">
        <f>note901.15</f>
        <v>0</v>
      </c>
      <c r="L559" s="3514"/>
      <c r="O559" s="28">
        <f>IF(ar901.15="",1,0)</f>
        <v>1</v>
      </c>
    </row>
    <row r="560" spans="3:19" ht="16" thickBot="1">
      <c r="E560" s="3690" t="s">
        <v>514</v>
      </c>
      <c r="F560" s="3691"/>
      <c r="G560" s="3691"/>
      <c r="H560" s="3691"/>
      <c r="I560" s="3691"/>
      <c r="J560" s="3691"/>
      <c r="K560" s="3691"/>
      <c r="L560" s="3692"/>
    </row>
    <row r="561" spans="3:18" ht="16" thickBot="1">
      <c r="E561" s="1835" t="s">
        <v>1735</v>
      </c>
      <c r="F561" s="1836"/>
      <c r="G561" s="1836"/>
      <c r="H561" s="1837"/>
      <c r="I561" s="1837"/>
      <c r="J561" s="1838"/>
      <c r="K561" s="3487"/>
      <c r="L561" s="3689"/>
    </row>
    <row r="562" spans="3:18" ht="16" thickTop="1">
      <c r="D562" s="282" t="s">
        <v>2101</v>
      </c>
      <c r="E562" s="1745" t="s">
        <v>515</v>
      </c>
      <c r="F562" s="261"/>
      <c r="G562" s="232"/>
      <c r="H562" s="1232"/>
      <c r="I562" s="1232"/>
      <c r="J562" s="1220"/>
      <c r="K562" s="3326"/>
      <c r="L562" s="3515"/>
    </row>
    <row r="563" spans="3:18">
      <c r="C563" s="1458" t="s">
        <v>2104</v>
      </c>
      <c r="D563" s="282" t="s">
        <v>2101</v>
      </c>
      <c r="E563" s="1797" t="s">
        <v>516</v>
      </c>
      <c r="F563" s="1828"/>
      <c r="G563" s="1801"/>
      <c r="H563" s="1802"/>
      <c r="I563" s="1802"/>
      <c r="J563" s="1803"/>
      <c r="K563" s="3516"/>
      <c r="L563" s="3517"/>
    </row>
    <row r="564" spans="3:18" ht="24.75" customHeight="1">
      <c r="C564" s="1458" t="s">
        <v>2104</v>
      </c>
      <c r="D564" s="282" t="s">
        <v>2101</v>
      </c>
      <c r="E564" s="3533" t="s">
        <v>517</v>
      </c>
      <c r="F564" s="3852" t="s">
        <v>3</v>
      </c>
      <c r="G564" s="1820">
        <f>choice902.1.1_1</f>
        <v>0</v>
      </c>
      <c r="H564" s="1395"/>
      <c r="I564" s="1716"/>
      <c r="J564" s="3546"/>
      <c r="K564" s="3518">
        <f>note902.1.1_1</f>
        <v>0</v>
      </c>
      <c r="L564" s="3519"/>
      <c r="R564" s="28">
        <f>IF(I564="",1,0)</f>
        <v>1</v>
      </c>
    </row>
    <row r="565" spans="3:18">
      <c r="C565" s="1458" t="s">
        <v>2104</v>
      </c>
      <c r="D565" s="282" t="s">
        <v>2101</v>
      </c>
      <c r="E565" s="3695"/>
      <c r="F565" s="3853"/>
      <c r="G565" s="1407" t="str">
        <f>IF(claim902.1.1_1=0,"0",claim902.1.1_1)</f>
        <v>0</v>
      </c>
      <c r="H565" s="1389"/>
      <c r="I565" s="1683" t="str">
        <f>IF(I564="Met plus window",1,"")</f>
        <v/>
      </c>
      <c r="J565" s="3564"/>
      <c r="K565" s="3289"/>
      <c r="L565" s="3527"/>
    </row>
    <row r="566" spans="3:18">
      <c r="C566" s="1458" t="s">
        <v>2104</v>
      </c>
      <c r="D566" s="282" t="s">
        <v>2101</v>
      </c>
      <c r="E566" s="1699" t="s">
        <v>518</v>
      </c>
      <c r="F566" s="1765" t="s">
        <v>3</v>
      </c>
      <c r="G566" s="1820">
        <f>claim902.1.1_2</f>
        <v>0</v>
      </c>
      <c r="H566" s="1760"/>
      <c r="I566" s="1839"/>
      <c r="J566" s="1716"/>
      <c r="K566" s="3513">
        <f>note902.1.1_2</f>
        <v>0</v>
      </c>
      <c r="L566" s="3514"/>
      <c r="R566" s="28">
        <f>IF(I566="",1,0)</f>
        <v>1</v>
      </c>
    </row>
    <row r="567" spans="3:18">
      <c r="C567" s="1458" t="s">
        <v>2104</v>
      </c>
      <c r="D567" s="282" t="s">
        <v>2101</v>
      </c>
      <c r="E567" s="1699" t="s">
        <v>519</v>
      </c>
      <c r="F567" s="1700">
        <v>8</v>
      </c>
      <c r="G567" s="1701">
        <f>claim902.1.1_3</f>
        <v>0</v>
      </c>
      <c r="H567" s="1760"/>
      <c r="I567" s="1702"/>
      <c r="J567" s="1702"/>
      <c r="K567" s="3513">
        <f>note902.1.1_3</f>
        <v>0</v>
      </c>
      <c r="L567" s="3514"/>
    </row>
    <row r="568" spans="3:18">
      <c r="C568" s="1458" t="str">
        <f>IF(SUM(G569:G572)&gt;0,"P","")</f>
        <v/>
      </c>
      <c r="D568" s="282" t="s">
        <v>2101</v>
      </c>
      <c r="E568" s="1797" t="s">
        <v>520</v>
      </c>
      <c r="F568" s="1840"/>
      <c r="G568" s="1841"/>
      <c r="H568" s="1842"/>
      <c r="I568" s="1842"/>
      <c r="J568" s="1843"/>
      <c r="K568" s="3516"/>
      <c r="L568" s="3517"/>
    </row>
    <row r="569" spans="3:18">
      <c r="C569" s="1458" t="str">
        <f t="shared" ref="C569:C576" si="80">IF(G569&gt;0,"P","")</f>
        <v/>
      </c>
      <c r="D569" s="282" t="s">
        <v>2101</v>
      </c>
      <c r="E569" s="1699" t="s">
        <v>521</v>
      </c>
      <c r="F569" s="1700">
        <v>5</v>
      </c>
      <c r="G569" s="1701">
        <f>IF(choice902.1.2="1 device",5,0)</f>
        <v>0</v>
      </c>
      <c r="H569" s="3601"/>
      <c r="I569" s="3505"/>
      <c r="J569" s="3554"/>
      <c r="K569" s="3518">
        <f>note902.1.2</f>
        <v>0</v>
      </c>
      <c r="L569" s="3519"/>
    </row>
    <row r="570" spans="3:18">
      <c r="C570" s="1458" t="str">
        <f t="shared" si="80"/>
        <v/>
      </c>
      <c r="D570" s="282" t="s">
        <v>2101</v>
      </c>
      <c r="E570" s="1699" t="s">
        <v>522</v>
      </c>
      <c r="F570" s="1700">
        <v>7</v>
      </c>
      <c r="G570" s="1701">
        <f>IF(choice902.1.2="2 devices",7,0)</f>
        <v>0</v>
      </c>
      <c r="H570" s="3673"/>
      <c r="I570" s="3581"/>
      <c r="J570" s="3555"/>
      <c r="K570" s="3330"/>
      <c r="L570" s="3560"/>
      <c r="O570" s="1349"/>
    </row>
    <row r="571" spans="3:18">
      <c r="C571" s="1458" t="str">
        <f t="shared" si="80"/>
        <v/>
      </c>
      <c r="D571" s="282" t="s">
        <v>2101</v>
      </c>
      <c r="E571" s="1699" t="s">
        <v>1737</v>
      </c>
      <c r="F571" s="1700">
        <v>9</v>
      </c>
      <c r="G571" s="1701">
        <f>IF(choice902.1.2="3 devices",9,0)</f>
        <v>0</v>
      </c>
      <c r="H571" s="3673"/>
      <c r="I571" s="3581"/>
      <c r="J571" s="3555"/>
      <c r="K571" s="3330"/>
      <c r="L571" s="3560"/>
    </row>
    <row r="572" spans="3:18">
      <c r="C572" s="1458" t="str">
        <f t="shared" si="80"/>
        <v/>
      </c>
      <c r="D572" s="282" t="s">
        <v>2101</v>
      </c>
      <c r="E572" s="1699" t="s">
        <v>1736</v>
      </c>
      <c r="F572" s="1700">
        <v>11</v>
      </c>
      <c r="G572" s="1701">
        <f>IF(choice902.1.2="4+ devices",11,0)</f>
        <v>0</v>
      </c>
      <c r="H572" s="3602"/>
      <c r="I572" s="3582"/>
      <c r="J572" s="3561"/>
      <c r="K572" s="3289"/>
      <c r="L572" s="3527"/>
    </row>
    <row r="573" spans="3:18" ht="62.25" customHeight="1">
      <c r="C573" s="1458" t="str">
        <f t="shared" si="80"/>
        <v/>
      </c>
      <c r="D573" s="282" t="s">
        <v>2101</v>
      </c>
      <c r="E573" s="1797" t="s">
        <v>1738</v>
      </c>
      <c r="F573" s="1700">
        <v>8</v>
      </c>
      <c r="G573" s="1701">
        <f>claim902.1.3</f>
        <v>0</v>
      </c>
      <c r="H573" s="1760"/>
      <c r="I573" s="1702"/>
      <c r="J573" s="1702"/>
      <c r="K573" s="3513">
        <f>note902.1.3</f>
        <v>0</v>
      </c>
      <c r="L573" s="3514"/>
    </row>
    <row r="574" spans="3:18">
      <c r="C574" s="1458" t="str">
        <f>IF(G574&gt;0,"P","")</f>
        <v/>
      </c>
      <c r="D574" s="282" t="s">
        <v>2101</v>
      </c>
      <c r="E574" s="1797" t="s">
        <v>523</v>
      </c>
      <c r="F574" s="1844" t="s">
        <v>487</v>
      </c>
      <c r="G574" s="1712">
        <f>claim902.1.4</f>
        <v>0</v>
      </c>
      <c r="H574" s="1812"/>
      <c r="I574" s="1845">
        <f>IF(SUM(I575*2,I576*3)&gt;12,12,SUM(I575*2,I576*3))</f>
        <v>0</v>
      </c>
      <c r="J574" s="1793"/>
      <c r="K574" s="3518">
        <f>note902.1.4</f>
        <v>0</v>
      </c>
      <c r="L574" s="3519"/>
    </row>
    <row r="575" spans="3:18" ht="30">
      <c r="C575" s="1458" t="str">
        <f t="shared" si="80"/>
        <v/>
      </c>
      <c r="D575" s="282" t="s">
        <v>2101</v>
      </c>
      <c r="E575" s="1699" t="s">
        <v>524</v>
      </c>
      <c r="F575" s="1700" t="s">
        <v>525</v>
      </c>
      <c r="G575" s="1701">
        <f>choice902.1.4_1</f>
        <v>0</v>
      </c>
      <c r="H575" s="1407" t="s">
        <v>2074</v>
      </c>
      <c r="I575" s="1404"/>
      <c r="J575" s="1254"/>
      <c r="K575" s="3330"/>
      <c r="L575" s="3560"/>
    </row>
    <row r="576" spans="3:18" ht="46" thickBot="1">
      <c r="C576" s="1458" t="str">
        <f t="shared" si="80"/>
        <v/>
      </c>
      <c r="D576" s="282" t="s">
        <v>2101</v>
      </c>
      <c r="E576" s="1743" t="s">
        <v>526</v>
      </c>
      <c r="F576" s="220" t="s">
        <v>527</v>
      </c>
      <c r="G576" s="221">
        <f>choice902.1.4_2</f>
        <v>0</v>
      </c>
      <c r="H576" s="1846" t="s">
        <v>2075</v>
      </c>
      <c r="I576" s="1408"/>
      <c r="J576" s="1726"/>
      <c r="K576" s="3537"/>
      <c r="L576" s="3538"/>
    </row>
    <row r="577" spans="3:22" ht="16" thickTop="1">
      <c r="E577" s="1745" t="s">
        <v>528</v>
      </c>
      <c r="F577" s="243"/>
      <c r="G577" s="243"/>
      <c r="H577" s="1234"/>
      <c r="I577" s="1234"/>
      <c r="J577" s="1219"/>
      <c r="K577" s="3326"/>
      <c r="L577" s="3515"/>
    </row>
    <row r="578" spans="3:22" ht="60">
      <c r="C578" s="1458" t="s">
        <v>2104</v>
      </c>
      <c r="D578" s="282" t="s">
        <v>2101</v>
      </c>
      <c r="E578" s="1797" t="s">
        <v>529</v>
      </c>
      <c r="F578" s="1790" t="s">
        <v>1743</v>
      </c>
      <c r="G578" s="1847">
        <f>choice902.2.1</f>
        <v>0</v>
      </c>
      <c r="H578" s="1848"/>
      <c r="I578" s="1849"/>
      <c r="J578" s="1850"/>
      <c r="K578" s="3516"/>
      <c r="L578" s="3517"/>
    </row>
    <row r="579" spans="3:22" ht="30">
      <c r="C579" s="1458" t="str">
        <f t="shared" ref="C579:C584" si="81">IF(G579&gt;0,"P","")</f>
        <v/>
      </c>
      <c r="D579" s="282" t="s">
        <v>2101</v>
      </c>
      <c r="E579" s="1699" t="s">
        <v>1739</v>
      </c>
      <c r="F579" s="1700">
        <v>3</v>
      </c>
      <c r="G579" s="1701">
        <f>IF(claim902.2.1=3,3,0)</f>
        <v>0</v>
      </c>
      <c r="H579" s="3601"/>
      <c r="I579" s="3505"/>
      <c r="J579" s="3505"/>
      <c r="K579" s="3518">
        <f>note902.2.1</f>
        <v>0</v>
      </c>
      <c r="L579" s="3519"/>
    </row>
    <row r="580" spans="3:22" ht="30">
      <c r="C580" s="1458" t="str">
        <f t="shared" si="81"/>
        <v/>
      </c>
      <c r="D580" s="282" t="s">
        <v>2101</v>
      </c>
      <c r="E580" s="1699" t="s">
        <v>1740</v>
      </c>
      <c r="F580" s="1700">
        <v>6</v>
      </c>
      <c r="G580" s="1701">
        <f>IF(claim902.2.1=6,6,0)</f>
        <v>0</v>
      </c>
      <c r="H580" s="3673"/>
      <c r="I580" s="3581"/>
      <c r="J580" s="3581"/>
      <c r="K580" s="3330"/>
      <c r="L580" s="3560"/>
    </row>
    <row r="581" spans="3:22">
      <c r="C581" s="1458" t="str">
        <f t="shared" si="81"/>
        <v/>
      </c>
      <c r="D581" s="282" t="s">
        <v>2101</v>
      </c>
      <c r="E581" s="1699" t="s">
        <v>1741</v>
      </c>
      <c r="F581" s="1700">
        <v>7</v>
      </c>
      <c r="G581" s="1701">
        <f>IF(claim902.2.1=7,7,0)</f>
        <v>0</v>
      </c>
      <c r="H581" s="3673"/>
      <c r="I581" s="3581"/>
      <c r="J581" s="3581"/>
      <c r="K581" s="3330"/>
      <c r="L581" s="3560"/>
    </row>
    <row r="582" spans="3:22">
      <c r="C582" s="1458" t="str">
        <f t="shared" si="81"/>
        <v/>
      </c>
      <c r="D582" s="282" t="s">
        <v>2101</v>
      </c>
      <c r="E582" s="1699" t="s">
        <v>1742</v>
      </c>
      <c r="F582" s="1700">
        <v>8</v>
      </c>
      <c r="G582" s="1701">
        <f>IF(claim902.2.1=8,8,0)</f>
        <v>0</v>
      </c>
      <c r="H582" s="3602"/>
      <c r="I582" s="3582"/>
      <c r="J582" s="3582"/>
      <c r="K582" s="3289"/>
      <c r="L582" s="3527"/>
    </row>
    <row r="583" spans="3:22" ht="30">
      <c r="C583" s="1458" t="str">
        <f t="shared" si="81"/>
        <v/>
      </c>
      <c r="D583" s="282" t="s">
        <v>2101</v>
      </c>
      <c r="E583" s="1797" t="s">
        <v>1744</v>
      </c>
      <c r="F583" s="1700">
        <v>4</v>
      </c>
      <c r="G583" s="1701">
        <f>claim902.2.2</f>
        <v>0</v>
      </c>
      <c r="H583" s="1760"/>
      <c r="I583" s="1702"/>
      <c r="J583" s="1702"/>
      <c r="K583" s="3513">
        <f>note902.2.2</f>
        <v>0</v>
      </c>
      <c r="L583" s="3514"/>
    </row>
    <row r="584" spans="3:22" ht="46" thickBot="1">
      <c r="C584" s="1458" t="str">
        <f t="shared" si="81"/>
        <v/>
      </c>
      <c r="D584" s="282" t="s">
        <v>2101</v>
      </c>
      <c r="E584" s="1800" t="s">
        <v>1745</v>
      </c>
      <c r="F584" s="220">
        <v>3</v>
      </c>
      <c r="G584" s="221">
        <f>claim902.2.3</f>
        <v>0</v>
      </c>
      <c r="H584" s="1374"/>
      <c r="I584" s="1245"/>
      <c r="J584" s="1245"/>
      <c r="K584" s="3340">
        <f>note902.2.3</f>
        <v>0</v>
      </c>
      <c r="L584" s="3579"/>
    </row>
    <row r="585" spans="3:22" ht="16" thickTop="1">
      <c r="C585" s="1458" t="s">
        <v>2104</v>
      </c>
      <c r="D585" s="282" t="s">
        <v>2099</v>
      </c>
      <c r="E585" s="1745" t="s">
        <v>530</v>
      </c>
      <c r="F585" s="243"/>
      <c r="G585" s="243"/>
      <c r="H585" s="1234"/>
      <c r="I585" s="1234"/>
      <c r="J585" s="1219" t="s">
        <v>2077</v>
      </c>
      <c r="K585" s="3326"/>
      <c r="L585" s="3515"/>
    </row>
    <row r="586" spans="3:22" ht="32.25" customHeight="1">
      <c r="C586" s="1458" t="s">
        <v>2104</v>
      </c>
      <c r="D586" s="282" t="s">
        <v>2099</v>
      </c>
      <c r="E586" s="1699" t="s">
        <v>2105</v>
      </c>
      <c r="F586" s="1765" t="s">
        <v>3</v>
      </c>
      <c r="G586" s="1407">
        <f>claim902.3</f>
        <v>0</v>
      </c>
      <c r="H586" s="3989"/>
      <c r="I586" s="3990"/>
      <c r="J586" s="1851"/>
      <c r="K586" s="3518">
        <f>note902.3_1</f>
        <v>0</v>
      </c>
      <c r="L586" s="3519"/>
      <c r="S586" s="28">
        <f>IF(AND(vn902.3_1=1,SUM(H587:I588)&lt;7),1,0)</f>
        <v>0</v>
      </c>
      <c r="T586" s="28">
        <f>IF(AND(vn902.3_1="",ReportType="Final"),1,0)</f>
        <v>0</v>
      </c>
    </row>
    <row r="587" spans="3:22">
      <c r="C587" s="1458" t="s">
        <v>2104</v>
      </c>
      <c r="D587" s="282" t="s">
        <v>2099</v>
      </c>
      <c r="E587" s="1715" t="s">
        <v>532</v>
      </c>
      <c r="F587" s="1700">
        <v>7</v>
      </c>
      <c r="G587" s="1701">
        <f>IF(claim902.3_1=7,7,0)</f>
        <v>0</v>
      </c>
      <c r="H587" s="3991">
        <f>IF(ar902.3_1="Met - Zone 1 Active system",10,IF(ar902.3_1="Met - Zone 1 Passive system",7,0))</f>
        <v>0</v>
      </c>
      <c r="I587" s="3992"/>
      <c r="J587" s="1254"/>
      <c r="K587" s="3330"/>
      <c r="L587" s="3560"/>
      <c r="O587" s="28">
        <f>IF(AND(H587&gt;0,I587&gt;0),1,0)</f>
        <v>0</v>
      </c>
      <c r="S587" s="28">
        <f>IF(AND(H587&gt;0,J586&lt;&gt;1),1,0)</f>
        <v>0</v>
      </c>
      <c r="T587" s="28">
        <f>IF(AND(I587&gt;0,J586&lt;&gt;1),1,0)</f>
        <v>0</v>
      </c>
    </row>
    <row r="588" spans="3:22">
      <c r="C588" s="1458" t="s">
        <v>2104</v>
      </c>
      <c r="D588" s="282" t="s">
        <v>2101</v>
      </c>
      <c r="E588" s="1715" t="s">
        <v>533</v>
      </c>
      <c r="F588" s="1700">
        <v>10</v>
      </c>
      <c r="G588" s="1701">
        <f>IF(claim902.3_1=10,10,0)</f>
        <v>0</v>
      </c>
      <c r="H588" s="3993"/>
      <c r="I588" s="3994"/>
      <c r="J588" s="1672"/>
      <c r="K588" s="3289"/>
      <c r="L588" s="3527"/>
      <c r="O588" s="28">
        <f>IF(AND(H588&gt;0,I588&gt;0),1,0)</f>
        <v>0</v>
      </c>
      <c r="S588" s="28">
        <f>IF(AND(H588&gt;0,J586&lt;&gt;1),1,0)</f>
        <v>0</v>
      </c>
      <c r="T588" s="28">
        <f>IF(AND(I588&gt;0,J586&lt;&gt;1),1,0)</f>
        <v>0</v>
      </c>
    </row>
    <row r="589" spans="3:22">
      <c r="C589" s="1458" t="str">
        <f>IF(G590&gt;0,"P","")</f>
        <v/>
      </c>
      <c r="D589" s="282" t="s">
        <v>2099</v>
      </c>
      <c r="E589" s="1699" t="s">
        <v>534</v>
      </c>
      <c r="F589" s="1828"/>
      <c r="G589" s="1852"/>
      <c r="H589" s="1853"/>
      <c r="I589" s="1853"/>
      <c r="J589" s="1853"/>
      <c r="K589" s="3679"/>
      <c r="L589" s="3680"/>
    </row>
    <row r="590" spans="3:22" ht="16" thickBot="1">
      <c r="C590" s="1458" t="str">
        <f t="shared" ref="C590" si="82">IF(G590&gt;0,"P","")</f>
        <v/>
      </c>
      <c r="D590" s="282" t="s">
        <v>2099</v>
      </c>
      <c r="E590" s="1729" t="s">
        <v>2076</v>
      </c>
      <c r="F590" s="1700">
        <v>7</v>
      </c>
      <c r="G590" s="1701">
        <f>claim902.3_2</f>
        <v>0</v>
      </c>
      <c r="H590" s="1404"/>
      <c r="I590" s="1409"/>
      <c r="J590" s="1254"/>
      <c r="K590" s="3537">
        <f>note902.3_2</f>
        <v>0</v>
      </c>
      <c r="L590" s="3538"/>
      <c r="O590" s="28">
        <f>IF(AND(H590&gt;0,I590&gt;0),1,0)</f>
        <v>0</v>
      </c>
      <c r="S590" s="28">
        <f>IF(AND(I590&gt;0,J586=""),1,0)</f>
        <v>0</v>
      </c>
      <c r="T590" s="28">
        <f>IF(AND(H590&gt;0,J586=""),1,0)</f>
        <v>0</v>
      </c>
      <c r="U590" s="28">
        <f>IF(AND(H590&gt;0,J586=1),1,0)</f>
        <v>0</v>
      </c>
      <c r="V590" s="28">
        <f>IF(AND(I590&gt;0,J586=1),1,0)</f>
        <v>0</v>
      </c>
    </row>
    <row r="591" spans="3:22" ht="16" thickTop="1">
      <c r="D591" s="282" t="s">
        <v>2099</v>
      </c>
      <c r="E591" s="1745" t="s">
        <v>2091</v>
      </c>
      <c r="F591" s="243"/>
      <c r="G591" s="243"/>
      <c r="H591" s="1234"/>
      <c r="I591" s="1234"/>
      <c r="J591" s="1219"/>
      <c r="K591" s="3326"/>
      <c r="L591" s="3515"/>
    </row>
    <row r="592" spans="3:22" ht="30">
      <c r="C592" s="1458" t="str">
        <f t="shared" ref="C592:C594" si="83">IF(G592&gt;0,"P","")</f>
        <v/>
      </c>
      <c r="D592" s="282" t="s">
        <v>2100</v>
      </c>
      <c r="E592" s="1699" t="s">
        <v>1746</v>
      </c>
      <c r="F592" s="1700">
        <v>3</v>
      </c>
      <c r="G592" s="1701">
        <f>IF(choice902.4="Registers covered during construction",3,0)</f>
        <v>0</v>
      </c>
      <c r="H592" s="1702"/>
      <c r="I592" s="1760"/>
      <c r="J592" s="1702"/>
      <c r="K592" s="3513">
        <f>note902.4_1</f>
        <v>0</v>
      </c>
      <c r="L592" s="3514"/>
      <c r="T592" s="28">
        <f>IF(AND(H592&gt;0,I593&gt;0),1,0)</f>
        <v>0</v>
      </c>
    </row>
    <row r="593" spans="3:19" ht="46" thickBot="1">
      <c r="C593" s="1458" t="str">
        <f t="shared" si="83"/>
        <v/>
      </c>
      <c r="D593" s="282" t="s">
        <v>2101</v>
      </c>
      <c r="E593" s="1743" t="s">
        <v>1747</v>
      </c>
      <c r="F593" s="220">
        <v>3</v>
      </c>
      <c r="G593" s="221">
        <f>IF(choice902.4="Registers vacuumed before occupancy",3,0)</f>
        <v>0</v>
      </c>
      <c r="H593" s="1374"/>
      <c r="I593" s="1245"/>
      <c r="J593" s="1245"/>
      <c r="K593" s="3340">
        <f>note902.4_2</f>
        <v>0</v>
      </c>
      <c r="L593" s="3579"/>
    </row>
    <row r="594" spans="3:19" ht="17" thickTop="1" thickBot="1">
      <c r="C594" s="1458" t="str">
        <f t="shared" si="83"/>
        <v/>
      </c>
      <c r="D594" s="282" t="s">
        <v>2101</v>
      </c>
      <c r="E594" s="1744" t="s">
        <v>537</v>
      </c>
      <c r="F594" s="242">
        <v>3</v>
      </c>
      <c r="G594" s="229">
        <f>claim902.5</f>
        <v>0</v>
      </c>
      <c r="H594" s="1702"/>
      <c r="I594" s="1702"/>
      <c r="J594" s="1248"/>
      <c r="K594" s="3316">
        <f>note902.5</f>
        <v>0</v>
      </c>
      <c r="L594" s="3580"/>
      <c r="O594" s="28">
        <f>IF(AND(H594&gt;0,I594&gt;0),1,0)</f>
        <v>0</v>
      </c>
    </row>
    <row r="595" spans="3:19" ht="31" thickTop="1">
      <c r="C595" s="1458" t="s">
        <v>2104</v>
      </c>
      <c r="D595" s="282" t="s">
        <v>2100</v>
      </c>
      <c r="E595" s="1768" t="s">
        <v>1748</v>
      </c>
      <c r="F595" s="1382" t="s">
        <v>3</v>
      </c>
      <c r="G595" s="1067">
        <f>claim902.6</f>
        <v>0</v>
      </c>
      <c r="H595" s="1266"/>
      <c r="I595" s="1411"/>
      <c r="J595" s="1266"/>
      <c r="K595" s="3481">
        <f>note902.6</f>
        <v>0</v>
      </c>
      <c r="L595" s="3557"/>
      <c r="Q595" s="28">
        <f>IF(H595="",1,0)</f>
        <v>1</v>
      </c>
    </row>
    <row r="596" spans="3:19">
      <c r="E596" s="3520" t="s">
        <v>538</v>
      </c>
      <c r="F596" s="3521"/>
      <c r="G596" s="3521"/>
      <c r="H596" s="3521"/>
      <c r="I596" s="3521"/>
      <c r="J596" s="3521"/>
      <c r="K596" s="3521"/>
      <c r="L596" s="3522"/>
    </row>
    <row r="597" spans="3:19">
      <c r="E597" s="1768" t="s">
        <v>1750</v>
      </c>
      <c r="F597" s="1654"/>
      <c r="G597" s="646"/>
      <c r="H597" s="1216"/>
      <c r="I597" s="1216"/>
      <c r="J597" s="1216"/>
      <c r="K597" s="3687"/>
      <c r="L597" s="3688"/>
    </row>
    <row r="598" spans="3:19" ht="30">
      <c r="C598" s="1458" t="str">
        <f t="shared" ref="C598:C599" si="84">IF(G598&gt;0,"P","")</f>
        <v/>
      </c>
      <c r="D598" s="282" t="s">
        <v>2099</v>
      </c>
      <c r="E598" s="1699" t="s">
        <v>1749</v>
      </c>
      <c r="F598" s="1700">
        <v>2</v>
      </c>
      <c r="G598" s="1810">
        <f>IF(claim903.1=2,2,0)</f>
        <v>0</v>
      </c>
      <c r="H598" s="3505"/>
      <c r="I598" s="3505"/>
      <c r="J598" s="1811"/>
      <c r="K598" s="3513">
        <f>note903.1.1</f>
        <v>0</v>
      </c>
      <c r="L598" s="3514"/>
      <c r="O598" s="28">
        <f t="shared" ref="O598" si="85">IF(AND(H598&gt;0,I598&gt;0),1,0)</f>
        <v>0</v>
      </c>
    </row>
    <row r="599" spans="3:19" ht="16" thickBot="1">
      <c r="C599" s="1458" t="str">
        <f t="shared" si="84"/>
        <v/>
      </c>
      <c r="D599" s="282" t="s">
        <v>2099</v>
      </c>
      <c r="E599" s="1743" t="s">
        <v>1751</v>
      </c>
      <c r="F599" s="220">
        <v>5</v>
      </c>
      <c r="G599" s="1002">
        <f>IF(claim903.1=5,5,0)</f>
        <v>0</v>
      </c>
      <c r="H599" s="3506"/>
      <c r="I599" s="3506"/>
      <c r="J599" s="1264"/>
      <c r="K599" s="3340">
        <f>note903.1.2</f>
        <v>0</v>
      </c>
      <c r="L599" s="3579"/>
    </row>
    <row r="600" spans="3:19" ht="16" thickTop="1">
      <c r="D600" s="282" t="s">
        <v>2099</v>
      </c>
      <c r="E600" s="1745" t="s">
        <v>1752</v>
      </c>
      <c r="F600" s="232"/>
      <c r="G600" s="232"/>
      <c r="H600" s="1232"/>
      <c r="I600" s="1232"/>
      <c r="J600" s="1220"/>
      <c r="K600" s="3326"/>
      <c r="L600" s="3515"/>
    </row>
    <row r="601" spans="3:19" ht="28.5" customHeight="1">
      <c r="C601" s="1458" t="str">
        <f t="shared" ref="C601:C602" si="86">IF(G601&gt;0,"P","")</f>
        <v/>
      </c>
      <c r="D601" s="282" t="s">
        <v>2099</v>
      </c>
      <c r="E601" s="1797" t="s">
        <v>1753</v>
      </c>
      <c r="F601" s="1711">
        <v>1</v>
      </c>
      <c r="G601" s="1806">
        <f>IF(claim903.2=1,1,0)</f>
        <v>0</v>
      </c>
      <c r="H601" s="3505"/>
      <c r="I601" s="3505"/>
      <c r="J601" s="3685"/>
      <c r="K601" s="3518">
        <f>note903.2_1</f>
        <v>0</v>
      </c>
      <c r="L601" s="3519"/>
      <c r="O601" s="28">
        <f t="shared" ref="O601" si="87">IF(AND(H601&gt;0,I601&gt;0),1,0)</f>
        <v>0</v>
      </c>
    </row>
    <row r="602" spans="3:19" ht="31" thickBot="1">
      <c r="C602" s="1458" t="str">
        <f t="shared" si="86"/>
        <v/>
      </c>
      <c r="D602" s="282" t="s">
        <v>2099</v>
      </c>
      <c r="E602" s="1800" t="s">
        <v>1754</v>
      </c>
      <c r="F602" s="220">
        <v>3</v>
      </c>
      <c r="G602" s="1002">
        <f>IF(claim903.2=3,3,0)</f>
        <v>0</v>
      </c>
      <c r="H602" s="3506"/>
      <c r="I602" s="3506"/>
      <c r="J602" s="3686"/>
      <c r="K602" s="3537"/>
      <c r="L602" s="3538"/>
    </row>
    <row r="603" spans="3:19" ht="32" thickTop="1" thickBot="1">
      <c r="C603" s="1458" t="str">
        <f>IF(SUM(G604:G605)&gt;0,"P","")</f>
        <v/>
      </c>
      <c r="D603" s="282" t="s">
        <v>2101</v>
      </c>
      <c r="E603" s="1766" t="s">
        <v>2078</v>
      </c>
      <c r="F603" s="1068"/>
      <c r="G603" s="1658"/>
      <c r="H603" s="1681"/>
      <c r="I603" s="1681"/>
      <c r="J603" s="1681"/>
      <c r="K603" s="3489"/>
      <c r="L603" s="3498"/>
    </row>
    <row r="604" spans="3:19" ht="16" thickTop="1">
      <c r="C604" s="1458" t="str">
        <f t="shared" ref="C604:C608" si="88">IF(G604&gt;0,"P","")</f>
        <v/>
      </c>
      <c r="D604" s="282" t="s">
        <v>2101</v>
      </c>
      <c r="E604" s="1699" t="s">
        <v>1756</v>
      </c>
      <c r="F604" s="1805">
        <f>IF(AND(OR(VCZ=1,VCZ=2,VCZ=3,VCZ=4,VCZ=5),OR(startClimateType="Warm-Humid",startClimateType="Moist")),7,0)</f>
        <v>0</v>
      </c>
      <c r="G604" s="1810">
        <f>IF(choice903.3="additional dehumidification system",7,0)</f>
        <v>0</v>
      </c>
      <c r="H604" s="3673"/>
      <c r="I604" s="3671"/>
      <c r="J604" s="3671"/>
      <c r="K604" s="3332">
        <f>note903.3_1</f>
        <v>0</v>
      </c>
      <c r="L604" s="3507"/>
      <c r="S604" s="28">
        <f>IF(AND(I604&gt;0,I6&lt;&gt;"Moist"),1,0)</f>
        <v>0</v>
      </c>
    </row>
    <row r="605" spans="3:19">
      <c r="C605" s="1458" t="str">
        <f t="shared" si="88"/>
        <v/>
      </c>
      <c r="D605" s="282" t="s">
        <v>2101</v>
      </c>
      <c r="E605" s="1705" t="s">
        <v>1757</v>
      </c>
      <c r="F605" s="1674">
        <f>IF(AND(OR(VCZ=1,VCZ=2,VCZ=3,VCZ=4,VCZ=5),OR(startClimateType="Warm-Humid",startClimateType="Moist")),7,0)</f>
        <v>0</v>
      </c>
      <c r="G605" s="1675">
        <f>IF(choice903.3="central HVAC system with dehumidification mode",7,0)</f>
        <v>0</v>
      </c>
      <c r="H605" s="3602"/>
      <c r="I605" s="3672"/>
      <c r="J605" s="3672"/>
      <c r="K605" s="3518">
        <f>note903.3_2</f>
        <v>0</v>
      </c>
      <c r="L605" s="3519"/>
    </row>
    <row r="606" spans="3:19">
      <c r="E606" s="3520" t="s">
        <v>539</v>
      </c>
      <c r="F606" s="3521"/>
      <c r="G606" s="3521"/>
      <c r="H606" s="3521"/>
      <c r="I606" s="3521"/>
      <c r="J606" s="3521"/>
      <c r="K606" s="3521"/>
      <c r="L606" s="3522"/>
    </row>
    <row r="607" spans="3:19" ht="60">
      <c r="C607" s="1458" t="str">
        <f t="shared" si="88"/>
        <v/>
      </c>
      <c r="D607" s="282" t="s">
        <v>2101</v>
      </c>
      <c r="E607" s="1796" t="s">
        <v>1758</v>
      </c>
      <c r="F607" s="1655">
        <v>2</v>
      </c>
      <c r="G607" s="1664">
        <f>claim904.1</f>
        <v>0</v>
      </c>
      <c r="H607" s="1389"/>
      <c r="I607" s="1672"/>
      <c r="J607" s="1672"/>
      <c r="K607" s="3513">
        <f>note904.1</f>
        <v>0</v>
      </c>
      <c r="L607" s="3514"/>
    </row>
    <row r="608" spans="3:19" ht="45">
      <c r="C608" s="1458" t="str">
        <f t="shared" si="88"/>
        <v/>
      </c>
      <c r="D608" s="282" t="s">
        <v>2101</v>
      </c>
      <c r="E608" s="1776" t="s">
        <v>1759</v>
      </c>
      <c r="F608" s="1700">
        <v>2</v>
      </c>
      <c r="G608" s="1701">
        <f>claim904.2</f>
        <v>0</v>
      </c>
      <c r="H608" s="1760"/>
      <c r="I608" s="1702"/>
      <c r="J608" s="1702"/>
      <c r="K608" s="3513">
        <f>note904.2</f>
        <v>0</v>
      </c>
      <c r="L608" s="3514"/>
    </row>
    <row r="609" spans="3:19">
      <c r="E609" s="3520" t="s">
        <v>540</v>
      </c>
      <c r="F609" s="3521"/>
      <c r="G609" s="3521"/>
      <c r="H609" s="3521"/>
      <c r="I609" s="3521"/>
      <c r="J609" s="3521"/>
      <c r="K609" s="3521"/>
      <c r="L609" s="3522"/>
    </row>
    <row r="610" spans="3:19">
      <c r="E610" s="3520" t="s">
        <v>541</v>
      </c>
      <c r="F610" s="3521"/>
      <c r="G610" s="3521"/>
      <c r="H610" s="3521"/>
      <c r="I610" s="3521"/>
      <c r="J610" s="3521"/>
      <c r="K610" s="3521"/>
      <c r="L610" s="3522"/>
    </row>
    <row r="611" spans="3:19" ht="60">
      <c r="C611" s="1458" t="str">
        <f>IF(G611&gt;0,"p","")</f>
        <v/>
      </c>
      <c r="D611" s="282" t="s">
        <v>2101</v>
      </c>
      <c r="E611" s="1796" t="s">
        <v>2081</v>
      </c>
      <c r="F611" s="270" t="s">
        <v>1625</v>
      </c>
      <c r="G611" s="1673">
        <f>claim1001.1</f>
        <v>0</v>
      </c>
      <c r="H611" s="1391"/>
      <c r="I611" s="1412">
        <f>IF(BldgType="Single-Family",IF(ROUNDDOWN(Formulas!I249/2,0)&lt;9,ROUNDDOWN(Formulas!I249/2,0),8),0)</f>
        <v>0</v>
      </c>
      <c r="J611" s="1261"/>
      <c r="K611" s="3516"/>
      <c r="L611" s="3517"/>
    </row>
    <row r="612" spans="3:19">
      <c r="C612" s="1458" t="str">
        <f>IF(G612="Met","P","")</f>
        <v/>
      </c>
      <c r="D612" s="282" t="s">
        <v>2101</v>
      </c>
      <c r="E612" s="1699" t="s">
        <v>1629</v>
      </c>
      <c r="F612" s="1765" t="s">
        <v>3</v>
      </c>
      <c r="G612" s="1407">
        <f>IF(startSingleorMulti="Single-Family",choice1001.1_1,IF(startSingleorMulti="Multi-Unit","NA",choice1001.1_1))</f>
        <v>0</v>
      </c>
      <c r="H612" s="1760"/>
      <c r="I612" s="1716"/>
      <c r="J612" s="1716"/>
      <c r="K612" s="3683">
        <f>note1001.1_1</f>
        <v>0</v>
      </c>
      <c r="L612" s="3684"/>
      <c r="R612" s="28">
        <f>IF(AND(ReportType="Final",BldgType&lt;&gt;"Multi-unit",af1001.1_1=""),1,0)</f>
        <v>0</v>
      </c>
      <c r="S612" s="28">
        <f>IF(AND(BldgType="Single-Family",ReportType="Final",I612=""),1,0)</f>
        <v>0</v>
      </c>
    </row>
    <row r="613" spans="3:19">
      <c r="C613" s="1458" t="str">
        <f t="shared" ref="C613:C632" si="89">IF(G613="Met","P","")</f>
        <v/>
      </c>
      <c r="D613" s="282" t="s">
        <v>2101</v>
      </c>
      <c r="E613" s="1699" t="s">
        <v>1630</v>
      </c>
      <c r="F613" s="1765" t="s">
        <v>3</v>
      </c>
      <c r="G613" s="1407">
        <f>IF(startSingleorMulti="Single-Family",choice1001.1_2,IF(startSingleorMulti="Multi-Unit","NA",choice1001.1_2))</f>
        <v>0</v>
      </c>
      <c r="H613" s="1760"/>
      <c r="I613" s="1716"/>
      <c r="J613" s="1716"/>
      <c r="K613" s="3683">
        <f>note1001.1_2</f>
        <v>0</v>
      </c>
      <c r="L613" s="3684"/>
      <c r="R613" s="28">
        <f>IF(AND(ReportType="Final",BldgType&lt;&gt;"Multi-unit",af1001.1_2=""),1,0)</f>
        <v>0</v>
      </c>
      <c r="S613" s="28">
        <f>IF(AND(BldgType="Single-Family",ReportType="Final",I613=""),1,0)</f>
        <v>0</v>
      </c>
    </row>
    <row r="614" spans="3:19" ht="30">
      <c r="C614" s="1458" t="str">
        <f t="shared" si="89"/>
        <v/>
      </c>
      <c r="D614" s="282" t="s">
        <v>2101</v>
      </c>
      <c r="E614" s="1705" t="s">
        <v>2582</v>
      </c>
      <c r="F614" s="1393" t="s">
        <v>3</v>
      </c>
      <c r="G614" s="1677">
        <f>IF(startSingleorMulti="Single-Family",choice1001.1_3,IF(startSingleorMulti="Multi-Unit","NA",choice1001.1_3))</f>
        <v>0</v>
      </c>
      <c r="H614" s="1395"/>
      <c r="I614" s="1716"/>
      <c r="J614" s="1678"/>
      <c r="K614" s="3683">
        <f>note1001.1_3</f>
        <v>0</v>
      </c>
      <c r="L614" s="3684"/>
      <c r="R614" s="28">
        <f>IF(AND(ReportType="Final",BldgType&lt;&gt;"Multi-unit",af1001.1_3=""),1,0)</f>
        <v>0</v>
      </c>
      <c r="S614" s="28">
        <f>IF(AND(BldgType="Single-Family",ReportType="Final",I614=""),1,0)</f>
        <v>0</v>
      </c>
    </row>
    <row r="615" spans="3:19">
      <c r="C615" s="1458" t="str">
        <f t="shared" si="89"/>
        <v/>
      </c>
      <c r="D615" s="282" t="s">
        <v>2101</v>
      </c>
      <c r="E615" s="1699" t="s">
        <v>1631</v>
      </c>
      <c r="F615" s="1700">
        <v>0.5</v>
      </c>
      <c r="G615" s="1701">
        <f>choice1001.1_4</f>
        <v>0</v>
      </c>
      <c r="H615" s="1760"/>
      <c r="I615" s="1716"/>
      <c r="J615" s="1702"/>
      <c r="K615" s="3683">
        <f>note1001.1_4</f>
        <v>0</v>
      </c>
      <c r="L615" s="3684"/>
    </row>
    <row r="616" spans="3:19">
      <c r="C616" s="1458" t="str">
        <f t="shared" si="89"/>
        <v/>
      </c>
      <c r="D616" s="282" t="s">
        <v>2101</v>
      </c>
      <c r="E616" s="1699" t="s">
        <v>1632</v>
      </c>
      <c r="F616" s="1655">
        <v>0.5</v>
      </c>
      <c r="G616" s="1701">
        <f>choice1001.1_5</f>
        <v>0</v>
      </c>
      <c r="H616" s="1760"/>
      <c r="I616" s="1716"/>
      <c r="J616" s="1702"/>
      <c r="K616" s="3513">
        <f>note1001.1_5</f>
        <v>0</v>
      </c>
      <c r="L616" s="3514"/>
    </row>
    <row r="617" spans="3:19" ht="30">
      <c r="C617" s="1458" t="str">
        <f t="shared" si="89"/>
        <v/>
      </c>
      <c r="D617" s="282" t="s">
        <v>2101</v>
      </c>
      <c r="E617" s="1699" t="s">
        <v>1633</v>
      </c>
      <c r="F617" s="1655">
        <v>0.5</v>
      </c>
      <c r="G617" s="1701">
        <f>choice1001.1_6</f>
        <v>0</v>
      </c>
      <c r="H617" s="1760"/>
      <c r="I617" s="1716"/>
      <c r="J617" s="1702"/>
      <c r="K617" s="3513">
        <f>note1001.1_6</f>
        <v>0</v>
      </c>
      <c r="L617" s="3514"/>
    </row>
    <row r="618" spans="3:19" ht="30">
      <c r="C618" s="1458" t="str">
        <f t="shared" si="89"/>
        <v/>
      </c>
      <c r="D618" s="282" t="s">
        <v>2101</v>
      </c>
      <c r="E618" s="1699" t="s">
        <v>1634</v>
      </c>
      <c r="F618" s="1655">
        <v>0.5</v>
      </c>
      <c r="G618" s="1701">
        <f>choice1001.1_7</f>
        <v>0</v>
      </c>
      <c r="H618" s="1760"/>
      <c r="I618" s="1716"/>
      <c r="J618" s="1702"/>
      <c r="K618" s="3513">
        <f>note1001.1_7</f>
        <v>0</v>
      </c>
      <c r="L618" s="3514"/>
    </row>
    <row r="619" spans="3:19">
      <c r="C619" s="1458" t="str">
        <f t="shared" si="89"/>
        <v/>
      </c>
      <c r="D619" s="282" t="s">
        <v>2101</v>
      </c>
      <c r="E619" s="1699" t="s">
        <v>1635</v>
      </c>
      <c r="F619" s="1655">
        <v>0.5</v>
      </c>
      <c r="G619" s="1701">
        <f>choice1001.1_8</f>
        <v>0</v>
      </c>
      <c r="H619" s="1760"/>
      <c r="I619" s="1716"/>
      <c r="J619" s="1702"/>
      <c r="K619" s="3513">
        <f>note1001.1_8</f>
        <v>0</v>
      </c>
      <c r="L619" s="3514"/>
    </row>
    <row r="620" spans="3:19">
      <c r="C620" s="1458" t="str">
        <f t="shared" si="89"/>
        <v/>
      </c>
      <c r="D620" s="282" t="s">
        <v>2101</v>
      </c>
      <c r="E620" s="1699" t="s">
        <v>1636</v>
      </c>
      <c r="F620" s="1655">
        <v>0.5</v>
      </c>
      <c r="G620" s="1701">
        <f>choice1001.1_9</f>
        <v>0</v>
      </c>
      <c r="H620" s="1760"/>
      <c r="I620" s="1716"/>
      <c r="J620" s="1702"/>
      <c r="K620" s="3513">
        <f>note1001.1_9</f>
        <v>0</v>
      </c>
      <c r="L620" s="3514"/>
    </row>
    <row r="621" spans="3:19">
      <c r="C621" s="1458" t="str">
        <f t="shared" si="89"/>
        <v/>
      </c>
      <c r="D621" s="282" t="s">
        <v>2101</v>
      </c>
      <c r="E621" s="1699" t="s">
        <v>1637</v>
      </c>
      <c r="F621" s="1655">
        <v>0.5</v>
      </c>
      <c r="G621" s="1701">
        <f>choice1001.1_10</f>
        <v>0</v>
      </c>
      <c r="H621" s="1760"/>
      <c r="I621" s="1716"/>
      <c r="J621" s="1702"/>
      <c r="K621" s="3513">
        <f>note1001.1_10</f>
        <v>0</v>
      </c>
      <c r="L621" s="3514"/>
    </row>
    <row r="622" spans="3:19">
      <c r="C622" s="1458" t="str">
        <f t="shared" si="89"/>
        <v/>
      </c>
      <c r="D622" s="282" t="s">
        <v>2101</v>
      </c>
      <c r="E622" s="1699" t="s">
        <v>1638</v>
      </c>
      <c r="F622" s="1655">
        <v>0.5</v>
      </c>
      <c r="G622" s="1701">
        <f>choice1001.1_11</f>
        <v>0</v>
      </c>
      <c r="H622" s="1760"/>
      <c r="I622" s="1716"/>
      <c r="J622" s="1702"/>
      <c r="K622" s="3513">
        <f>note1001.1_11</f>
        <v>0</v>
      </c>
      <c r="L622" s="3514"/>
    </row>
    <row r="623" spans="3:19" ht="30">
      <c r="C623" s="1458" t="str">
        <f t="shared" si="89"/>
        <v/>
      </c>
      <c r="D623" s="282" t="s">
        <v>2101</v>
      </c>
      <c r="E623" s="1699" t="s">
        <v>1639</v>
      </c>
      <c r="F623" s="1655">
        <v>0.5</v>
      </c>
      <c r="G623" s="1701">
        <f>choice1001.1_12</f>
        <v>0</v>
      </c>
      <c r="H623" s="1760"/>
      <c r="I623" s="1716"/>
      <c r="J623" s="1702"/>
      <c r="K623" s="3513">
        <f>note1001.1_12</f>
        <v>0</v>
      </c>
      <c r="L623" s="3514"/>
    </row>
    <row r="624" spans="3:19">
      <c r="C624" s="1458" t="str">
        <f t="shared" si="89"/>
        <v/>
      </c>
      <c r="D624" s="282" t="s">
        <v>2101</v>
      </c>
      <c r="E624" s="1699" t="s">
        <v>1640</v>
      </c>
      <c r="F624" s="1655">
        <v>0.5</v>
      </c>
      <c r="G624" s="1701">
        <f>choice1001.1_13</f>
        <v>0</v>
      </c>
      <c r="H624" s="1760"/>
      <c r="I624" s="1716"/>
      <c r="J624" s="1702"/>
      <c r="K624" s="3513">
        <f>note1001.1_13</f>
        <v>0</v>
      </c>
      <c r="L624" s="3514"/>
    </row>
    <row r="625" spans="3:19" ht="30">
      <c r="C625" s="1458" t="str">
        <f t="shared" si="89"/>
        <v/>
      </c>
      <c r="D625" s="282" t="s">
        <v>2101</v>
      </c>
      <c r="E625" s="1699" t="s">
        <v>1641</v>
      </c>
      <c r="F625" s="1655">
        <v>0.5</v>
      </c>
      <c r="G625" s="1701">
        <f>choice1001.1_14</f>
        <v>0</v>
      </c>
      <c r="H625" s="1760"/>
      <c r="I625" s="1716"/>
      <c r="J625" s="1702"/>
      <c r="K625" s="3513">
        <f>note1001.1_14</f>
        <v>0</v>
      </c>
      <c r="L625" s="3514"/>
    </row>
    <row r="626" spans="3:19">
      <c r="C626" s="1458" t="str">
        <f t="shared" si="89"/>
        <v/>
      </c>
      <c r="D626" s="282" t="s">
        <v>2101</v>
      </c>
      <c r="E626" s="1699" t="s">
        <v>1642</v>
      </c>
      <c r="F626" s="1655">
        <v>0.5</v>
      </c>
      <c r="G626" s="1701">
        <f>choice1001.1_15</f>
        <v>0</v>
      </c>
      <c r="H626" s="1760"/>
      <c r="I626" s="1716"/>
      <c r="J626" s="1702"/>
      <c r="K626" s="3513">
        <f>note1001.1_15</f>
        <v>0</v>
      </c>
      <c r="L626" s="3514"/>
    </row>
    <row r="627" spans="3:19">
      <c r="C627" s="1458" t="str">
        <f t="shared" si="89"/>
        <v/>
      </c>
      <c r="D627" s="282" t="s">
        <v>2101</v>
      </c>
      <c r="E627" s="1699" t="s">
        <v>542</v>
      </c>
      <c r="F627" s="1655">
        <v>0.5</v>
      </c>
      <c r="G627" s="1701">
        <f>choice1001.1_16</f>
        <v>0</v>
      </c>
      <c r="H627" s="1760"/>
      <c r="I627" s="1716"/>
      <c r="J627" s="1702"/>
      <c r="K627" s="3513">
        <f>note1001.1_16</f>
        <v>0</v>
      </c>
      <c r="L627" s="3514"/>
    </row>
    <row r="628" spans="3:19" ht="30">
      <c r="C628" s="1458" t="str">
        <f t="shared" si="89"/>
        <v/>
      </c>
      <c r="D628" s="282" t="s">
        <v>2101</v>
      </c>
      <c r="E628" s="1699" t="s">
        <v>1643</v>
      </c>
      <c r="F628" s="1655">
        <v>0.5</v>
      </c>
      <c r="G628" s="1701">
        <f>choice1001.1_17</f>
        <v>0</v>
      </c>
      <c r="H628" s="1760"/>
      <c r="I628" s="1716"/>
      <c r="J628" s="1702"/>
      <c r="K628" s="3513">
        <f>note1001.1_17</f>
        <v>0</v>
      </c>
      <c r="L628" s="3514"/>
    </row>
    <row r="629" spans="3:19">
      <c r="C629" s="1458" t="str">
        <f t="shared" si="89"/>
        <v/>
      </c>
      <c r="D629" s="282" t="s">
        <v>2101</v>
      </c>
      <c r="E629" s="1699" t="s">
        <v>1644</v>
      </c>
      <c r="F629" s="1655">
        <v>0.5</v>
      </c>
      <c r="G629" s="1701">
        <f>choice1001.1_18</f>
        <v>0</v>
      </c>
      <c r="H629" s="1760"/>
      <c r="I629" s="1716"/>
      <c r="J629" s="1702"/>
      <c r="K629" s="3513">
        <f>note1001.1_18</f>
        <v>0</v>
      </c>
      <c r="L629" s="3514"/>
    </row>
    <row r="630" spans="3:19" ht="30">
      <c r="C630" s="1458" t="str">
        <f t="shared" si="89"/>
        <v/>
      </c>
      <c r="D630" s="282" t="s">
        <v>2101</v>
      </c>
      <c r="E630" s="1699" t="s">
        <v>1645</v>
      </c>
      <c r="F630" s="1655">
        <v>0.5</v>
      </c>
      <c r="G630" s="1701">
        <f>choice1001.1_19</f>
        <v>0</v>
      </c>
      <c r="H630" s="1760"/>
      <c r="I630" s="1716"/>
      <c r="J630" s="1702"/>
      <c r="K630" s="3513">
        <f>note1001.1_19</f>
        <v>0</v>
      </c>
      <c r="L630" s="3514"/>
    </row>
    <row r="631" spans="3:19" ht="30">
      <c r="C631" s="1458" t="str">
        <f t="shared" si="89"/>
        <v/>
      </c>
      <c r="D631" s="282" t="s">
        <v>2101</v>
      </c>
      <c r="E631" s="1705" t="s">
        <v>1646</v>
      </c>
      <c r="F631" s="1654">
        <v>0.5</v>
      </c>
      <c r="G631" s="1659">
        <f>choice1001.1_20</f>
        <v>0</v>
      </c>
      <c r="H631" s="1395"/>
      <c r="I631" s="1716"/>
      <c r="J631" s="1671"/>
      <c r="K631" s="3518">
        <f>note1001.1_20</f>
        <v>0</v>
      </c>
      <c r="L631" s="3519"/>
    </row>
    <row r="632" spans="3:19" ht="30">
      <c r="C632" s="1458" t="str">
        <f t="shared" si="89"/>
        <v/>
      </c>
      <c r="D632" s="282" t="s">
        <v>2101</v>
      </c>
      <c r="E632" s="1705" t="s">
        <v>1647</v>
      </c>
      <c r="F632" s="1666">
        <v>0.5</v>
      </c>
      <c r="G632" s="1659">
        <f>choice1001.1_21</f>
        <v>0</v>
      </c>
      <c r="H632" s="1395"/>
      <c r="I632" s="1716"/>
      <c r="J632" s="1671"/>
      <c r="K632" s="3518">
        <f>note1001.1_21</f>
        <v>0</v>
      </c>
      <c r="L632" s="3519"/>
    </row>
    <row r="633" spans="3:19">
      <c r="D633" s="282" t="s">
        <v>2101</v>
      </c>
      <c r="E633" s="3520" t="s">
        <v>543</v>
      </c>
      <c r="F633" s="3521"/>
      <c r="G633" s="3521"/>
      <c r="H633" s="3521"/>
      <c r="I633" s="3521"/>
      <c r="J633" s="3521"/>
      <c r="K633" s="3521"/>
      <c r="L633" s="3522"/>
    </row>
    <row r="634" spans="3:19" ht="150">
      <c r="D634" s="282" t="s">
        <v>2101</v>
      </c>
      <c r="E634" s="1768" t="s">
        <v>1626</v>
      </c>
      <c r="F634" s="266">
        <v>8</v>
      </c>
      <c r="G634" s="1660">
        <f>claim1002.1</f>
        <v>0</v>
      </c>
      <c r="H634" s="1397"/>
      <c r="I634" s="1254"/>
      <c r="J634" s="1254"/>
      <c r="K634" s="3518">
        <f>note1002.1</f>
        <v>0</v>
      </c>
      <c r="L634" s="3519"/>
    </row>
    <row r="635" spans="3:19">
      <c r="D635" s="282" t="s">
        <v>2101</v>
      </c>
      <c r="E635" s="3520" t="s">
        <v>544</v>
      </c>
      <c r="F635" s="3521"/>
      <c r="G635" s="3521"/>
      <c r="H635" s="3521"/>
      <c r="I635" s="3521"/>
      <c r="J635" s="3521"/>
      <c r="K635" s="3521"/>
      <c r="L635" s="3522"/>
    </row>
    <row r="636" spans="3:19" ht="76" thickBot="1">
      <c r="C636" s="1458" t="str">
        <f>IF(G637&gt;0,"P","")</f>
        <v/>
      </c>
      <c r="D636" s="282" t="s">
        <v>2101</v>
      </c>
      <c r="E636" s="1768" t="s">
        <v>1628</v>
      </c>
      <c r="F636" s="271"/>
      <c r="G636" s="271"/>
      <c r="H636" s="1236"/>
      <c r="I636" s="1236"/>
      <c r="J636" s="1229"/>
      <c r="K636" s="3681"/>
      <c r="L636" s="3682"/>
    </row>
    <row r="637" spans="3:19" ht="43.5" customHeight="1" thickTop="1">
      <c r="C637" s="1458" t="str">
        <f>IF(G637&gt;0,"P","")</f>
        <v/>
      </c>
      <c r="D637" s="282" t="s">
        <v>2101</v>
      </c>
      <c r="E637" s="1721" t="s">
        <v>2082</v>
      </c>
      <c r="F637" s="272" t="s">
        <v>2083</v>
      </c>
      <c r="G637" s="273">
        <f>claim1003.1</f>
        <v>0</v>
      </c>
      <c r="H637" s="1413"/>
      <c r="I637" s="1412">
        <f>IF(BldgType="Multi-Unit",IF(Formulas!I260&gt;4,IF(ROUNDDOWN(Formulas!I260/2,0)&lt;5,ROUNDDOWN(Formulas!I260/2,0),4),0),0)</f>
        <v>0</v>
      </c>
      <c r="J637" s="1267"/>
      <c r="K637" s="3326"/>
      <c r="L637" s="3515"/>
    </row>
    <row r="638" spans="3:19" ht="30">
      <c r="C638" s="1458" t="str">
        <f t="shared" ref="C638:C666" si="90">IF(G638="Met","P","")</f>
        <v/>
      </c>
      <c r="D638" s="282" t="s">
        <v>2101</v>
      </c>
      <c r="E638" s="1699" t="s">
        <v>1648</v>
      </c>
      <c r="F638" s="1765" t="s">
        <v>3</v>
      </c>
      <c r="G638" s="1407">
        <f>IF(startSingleorMulti&lt;&gt;"Single-Family",choice1003.1_1,"NA")</f>
        <v>0</v>
      </c>
      <c r="H638" s="1760"/>
      <c r="I638" s="1716"/>
      <c r="J638" s="1716"/>
      <c r="K638" s="3513">
        <f>note1003.1_1</f>
        <v>0</v>
      </c>
      <c r="L638" s="3514"/>
      <c r="R638" s="28">
        <f>IF(AND(ReportType="Final",BldgType="Multi-unit",af1003.1_1=""),1,0)</f>
        <v>0</v>
      </c>
      <c r="S638" s="28">
        <f t="shared" ref="S638:S645" si="91">IF(AND(I638&lt;&gt;"",BldgType="Single-Family"),1,0)</f>
        <v>0</v>
      </c>
    </row>
    <row r="639" spans="3:19" ht="30">
      <c r="C639" s="1458" t="str">
        <f t="shared" si="90"/>
        <v/>
      </c>
      <c r="D639" s="282" t="s">
        <v>2101</v>
      </c>
      <c r="E639" s="1699" t="s">
        <v>1649</v>
      </c>
      <c r="F639" s="1765" t="s">
        <v>3</v>
      </c>
      <c r="G639" s="1407">
        <f>IF(startSingleorMulti&lt;&gt;"Single-Family",choice1003.1_2,"NA")</f>
        <v>0</v>
      </c>
      <c r="H639" s="1760"/>
      <c r="I639" s="1716"/>
      <c r="J639" s="1716"/>
      <c r="K639" s="3513">
        <f>note1003.1_2</f>
        <v>0</v>
      </c>
      <c r="L639" s="3514"/>
      <c r="R639" s="28">
        <f>IF(AND(ReportType="Final",BldgType="Multi-unit",af1003.1_2=""),1,0)</f>
        <v>0</v>
      </c>
      <c r="S639" s="28">
        <f t="shared" si="91"/>
        <v>0</v>
      </c>
    </row>
    <row r="640" spans="3:19" ht="30">
      <c r="C640" s="1458" t="str">
        <f t="shared" si="90"/>
        <v/>
      </c>
      <c r="D640" s="282" t="s">
        <v>2101</v>
      </c>
      <c r="E640" s="1705" t="s">
        <v>1650</v>
      </c>
      <c r="F640" s="1393" t="s">
        <v>3</v>
      </c>
      <c r="G640" s="1677">
        <f>IF(startSingleorMulti&lt;&gt;"Single-Family",choice1003.1_3,"NA")</f>
        <v>0</v>
      </c>
      <c r="H640" s="1395"/>
      <c r="I640" s="1716"/>
      <c r="J640" s="1678"/>
      <c r="K640" s="3513">
        <f>note1003.1_3</f>
        <v>0</v>
      </c>
      <c r="L640" s="3514"/>
      <c r="R640" s="28">
        <f>IF(AND(ReportType="Final",BldgType="Multi-unit",af1003.1_3=""),1,0)</f>
        <v>0</v>
      </c>
      <c r="S640" s="28">
        <f t="shared" si="91"/>
        <v>0</v>
      </c>
    </row>
    <row r="641" spans="3:19">
      <c r="C641" s="1458" t="str">
        <f t="shared" si="90"/>
        <v/>
      </c>
      <c r="D641" s="282" t="s">
        <v>2101</v>
      </c>
      <c r="E641" s="1699" t="s">
        <v>1651</v>
      </c>
      <c r="F641" s="1854">
        <v>0.5</v>
      </c>
      <c r="G641" s="1701">
        <f>choice1003.1_4</f>
        <v>0</v>
      </c>
      <c r="H641" s="1760"/>
      <c r="I641" s="1716"/>
      <c r="J641" s="1702"/>
      <c r="K641" s="3513">
        <f>note1003.1_4</f>
        <v>0</v>
      </c>
      <c r="L641" s="3514"/>
      <c r="S641" s="28">
        <f t="shared" si="91"/>
        <v>0</v>
      </c>
    </row>
    <row r="642" spans="3:19" ht="30">
      <c r="C642" s="1458" t="str">
        <f t="shared" si="90"/>
        <v/>
      </c>
      <c r="D642" s="282" t="s">
        <v>2101</v>
      </c>
      <c r="E642" s="1699" t="s">
        <v>1652</v>
      </c>
      <c r="F642" s="1854">
        <v>0.5</v>
      </c>
      <c r="G642" s="1701">
        <f>choice1003.1_5</f>
        <v>0</v>
      </c>
      <c r="H642" s="1760"/>
      <c r="I642" s="1716"/>
      <c r="J642" s="1702"/>
      <c r="K642" s="3513">
        <f>note1003.1_5</f>
        <v>0</v>
      </c>
      <c r="L642" s="3514"/>
      <c r="S642" s="28">
        <f t="shared" si="91"/>
        <v>0</v>
      </c>
    </row>
    <row r="643" spans="3:19">
      <c r="C643" s="1458" t="str">
        <f t="shared" si="90"/>
        <v/>
      </c>
      <c r="D643" s="282" t="s">
        <v>2101</v>
      </c>
      <c r="E643" s="1699" t="s">
        <v>1653</v>
      </c>
      <c r="F643" s="1854">
        <v>0.5</v>
      </c>
      <c r="G643" s="1701">
        <f>choice1003.1_6</f>
        <v>0</v>
      </c>
      <c r="H643" s="1760"/>
      <c r="I643" s="1716"/>
      <c r="J643" s="1702"/>
      <c r="K643" s="3513">
        <f>note1003.1_6</f>
        <v>0</v>
      </c>
      <c r="L643" s="3514"/>
      <c r="S643" s="28">
        <f t="shared" si="91"/>
        <v>0</v>
      </c>
    </row>
    <row r="644" spans="3:19">
      <c r="C644" s="1458" t="str">
        <f t="shared" si="90"/>
        <v/>
      </c>
      <c r="D644" s="282" t="s">
        <v>2101</v>
      </c>
      <c r="E644" s="1699" t="s">
        <v>1654</v>
      </c>
      <c r="F644" s="1854">
        <v>0.5</v>
      </c>
      <c r="G644" s="1701">
        <f>choice1003.1_7</f>
        <v>0</v>
      </c>
      <c r="H644" s="1760"/>
      <c r="I644" s="1716"/>
      <c r="J644" s="1702"/>
      <c r="K644" s="3513">
        <f>note1003.1_7</f>
        <v>0</v>
      </c>
      <c r="L644" s="3514"/>
      <c r="S644" s="28">
        <f t="shared" si="91"/>
        <v>0</v>
      </c>
    </row>
    <row r="645" spans="3:19" ht="31" thickBot="1">
      <c r="C645" s="1458" t="str">
        <f t="shared" si="90"/>
        <v/>
      </c>
      <c r="D645" s="282" t="s">
        <v>2101</v>
      </c>
      <c r="E645" s="1705" t="s">
        <v>1655</v>
      </c>
      <c r="F645" s="1855">
        <v>0.5</v>
      </c>
      <c r="G645" s="1659">
        <f>choice1003.1_8</f>
        <v>0</v>
      </c>
      <c r="H645" s="1395"/>
      <c r="I645" s="1716"/>
      <c r="J645" s="1671"/>
      <c r="K645" s="3340">
        <f>note1003.1_8</f>
        <v>0</v>
      </c>
      <c r="L645" s="3579"/>
      <c r="S645" s="28">
        <f t="shared" si="91"/>
        <v>0</v>
      </c>
    </row>
    <row r="646" spans="3:19" ht="57" customHeight="1" thickTop="1">
      <c r="C646" s="1458" t="str">
        <f>IF(G69:G646&gt;0,"P","")</f>
        <v/>
      </c>
      <c r="D646" s="282" t="s">
        <v>2101</v>
      </c>
      <c r="E646" s="1745" t="s">
        <v>2085</v>
      </c>
      <c r="F646" s="272" t="s">
        <v>2086</v>
      </c>
      <c r="G646" s="275">
        <f>claim1003.2</f>
        <v>0</v>
      </c>
      <c r="H646" s="1414"/>
      <c r="I646" s="1415">
        <f>IF(BldgType="Multi-Unit",IF(Formulas!I274&gt;4,IF(ROUNDDOWN(Formulas!I274/2,0)&lt;5,ROUNDDOWN(Formulas!I274/2,0),4),0),0)</f>
        <v>0</v>
      </c>
      <c r="J646" s="1230"/>
      <c r="K646" s="3326"/>
      <c r="L646" s="3515"/>
    </row>
    <row r="647" spans="3:19">
      <c r="C647" s="1458" t="str">
        <f t="shared" si="90"/>
        <v/>
      </c>
      <c r="D647" s="282" t="s">
        <v>2101</v>
      </c>
      <c r="E647" s="1699" t="s">
        <v>1657</v>
      </c>
      <c r="F647" s="1765" t="s">
        <v>3</v>
      </c>
      <c r="G647" s="1856">
        <f>IF(startSingleorMulti&lt;&gt;"Single-Family",choice1003.2_1,"N/A")</f>
        <v>0</v>
      </c>
      <c r="H647" s="1857"/>
      <c r="I647" s="1716"/>
      <c r="J647" s="1716"/>
      <c r="K647" s="3513">
        <f>note1003.2_1</f>
        <v>0</v>
      </c>
      <c r="L647" s="3514"/>
      <c r="R647" s="28">
        <f>IF(AND(ReportType="Final",BldgType="Multi-unit",af1003.2_1=""),1,0)</f>
        <v>0</v>
      </c>
      <c r="S647" s="28">
        <f t="shared" ref="S647:S656" si="92">IF(AND(I647&lt;&gt;"",BldgType="Single-Family"),1,0)</f>
        <v>0</v>
      </c>
    </row>
    <row r="648" spans="3:19">
      <c r="C648" s="1458" t="str">
        <f t="shared" si="90"/>
        <v/>
      </c>
      <c r="D648" s="282" t="s">
        <v>2101</v>
      </c>
      <c r="E648" s="1699" t="s">
        <v>1658</v>
      </c>
      <c r="F648" s="1765" t="s">
        <v>3</v>
      </c>
      <c r="G648" s="1856">
        <f>IF(startSingleorMulti&lt;&gt;"Single-Family",choice1003.2_2,"N/A")</f>
        <v>0</v>
      </c>
      <c r="H648" s="1857"/>
      <c r="I648" s="1716"/>
      <c r="J648" s="1716"/>
      <c r="K648" s="3513">
        <f>note1003.2_2</f>
        <v>0</v>
      </c>
      <c r="L648" s="3514"/>
      <c r="R648" s="28">
        <f>IF(AND(ReportType="Final",BldgType="Multi-unit",af1003.2_2=""),1,0)</f>
        <v>0</v>
      </c>
      <c r="S648" s="28">
        <f t="shared" si="92"/>
        <v>0</v>
      </c>
    </row>
    <row r="649" spans="3:19" ht="30">
      <c r="C649" s="1458" t="str">
        <f t="shared" si="90"/>
        <v/>
      </c>
      <c r="D649" s="282" t="s">
        <v>2101</v>
      </c>
      <c r="E649" s="1705" t="s">
        <v>1659</v>
      </c>
      <c r="F649" s="1666">
        <v>0.5</v>
      </c>
      <c r="G649" s="1677">
        <f>IF(startSingleorMulti&lt;&gt;"Single-Family",choice1003.2_3,"N/A")</f>
        <v>0</v>
      </c>
      <c r="H649" s="1858"/>
      <c r="I649" s="1716"/>
      <c r="J649" s="1678"/>
      <c r="K649" s="3513">
        <f>note1003.2_3</f>
        <v>0</v>
      </c>
      <c r="L649" s="3514"/>
      <c r="S649" s="28">
        <f t="shared" si="92"/>
        <v>0</v>
      </c>
    </row>
    <row r="650" spans="3:19" ht="45">
      <c r="C650" s="1458" t="str">
        <f t="shared" si="90"/>
        <v/>
      </c>
      <c r="D650" s="282" t="s">
        <v>2101</v>
      </c>
      <c r="E650" s="1699" t="s">
        <v>1660</v>
      </c>
      <c r="F650" s="1859">
        <v>0.5</v>
      </c>
      <c r="G650" s="1701">
        <f>choice1003.2_4</f>
        <v>0</v>
      </c>
      <c r="H650" s="1857"/>
      <c r="I650" s="1716"/>
      <c r="J650" s="1702"/>
      <c r="K650" s="3513">
        <f>note1003.2_4</f>
        <v>0</v>
      </c>
      <c r="L650" s="3514"/>
      <c r="S650" s="28">
        <f t="shared" si="92"/>
        <v>0</v>
      </c>
    </row>
    <row r="651" spans="3:19" ht="30">
      <c r="C651" s="1458" t="str">
        <f t="shared" si="90"/>
        <v/>
      </c>
      <c r="D651" s="282" t="s">
        <v>2101</v>
      </c>
      <c r="E651" s="1699" t="s">
        <v>1661</v>
      </c>
      <c r="F651" s="276">
        <v>0.5</v>
      </c>
      <c r="G651" s="1701">
        <f>choice1003.2_5</f>
        <v>0</v>
      </c>
      <c r="H651" s="1857"/>
      <c r="I651" s="1716"/>
      <c r="J651" s="1702"/>
      <c r="K651" s="3513">
        <f>note1003.2_5</f>
        <v>0</v>
      </c>
      <c r="L651" s="3514"/>
      <c r="S651" s="28">
        <f t="shared" si="92"/>
        <v>0</v>
      </c>
    </row>
    <row r="652" spans="3:19">
      <c r="C652" s="1458" t="str">
        <f t="shared" si="90"/>
        <v/>
      </c>
      <c r="D652" s="282" t="s">
        <v>2101</v>
      </c>
      <c r="E652" s="1699" t="s">
        <v>1662</v>
      </c>
      <c r="F652" s="276">
        <v>0.5</v>
      </c>
      <c r="G652" s="1701">
        <f>choice1003.2_6</f>
        <v>0</v>
      </c>
      <c r="H652" s="1857"/>
      <c r="I652" s="1716"/>
      <c r="J652" s="1702"/>
      <c r="K652" s="3513">
        <f>note1003.2_6</f>
        <v>0</v>
      </c>
      <c r="L652" s="3514"/>
      <c r="S652" s="28">
        <f t="shared" si="92"/>
        <v>0</v>
      </c>
    </row>
    <row r="653" spans="3:19" ht="30">
      <c r="C653" s="1458" t="str">
        <f t="shared" si="90"/>
        <v/>
      </c>
      <c r="D653" s="282" t="s">
        <v>2101</v>
      </c>
      <c r="E653" s="1699" t="s">
        <v>1663</v>
      </c>
      <c r="F653" s="276">
        <v>0.5</v>
      </c>
      <c r="G653" s="1701">
        <f>choice1003.2_7</f>
        <v>0</v>
      </c>
      <c r="H653" s="1857"/>
      <c r="I653" s="1716"/>
      <c r="J653" s="1702"/>
      <c r="K653" s="3513">
        <f>note1003.2_7</f>
        <v>0</v>
      </c>
      <c r="L653" s="3514"/>
      <c r="S653" s="28">
        <f t="shared" si="92"/>
        <v>0</v>
      </c>
    </row>
    <row r="654" spans="3:19">
      <c r="C654" s="1458" t="str">
        <f t="shared" si="90"/>
        <v/>
      </c>
      <c r="D654" s="282" t="s">
        <v>2101</v>
      </c>
      <c r="E654" s="1699" t="s">
        <v>1664</v>
      </c>
      <c r="F654" s="276">
        <v>0.5</v>
      </c>
      <c r="G654" s="1701">
        <f>choice1003.2_8</f>
        <v>0</v>
      </c>
      <c r="H654" s="1857"/>
      <c r="I654" s="1716"/>
      <c r="J654" s="1702"/>
      <c r="K654" s="3513">
        <f>note1003.2_8</f>
        <v>0</v>
      </c>
      <c r="L654" s="3514"/>
      <c r="S654" s="28">
        <f t="shared" si="92"/>
        <v>0</v>
      </c>
    </row>
    <row r="655" spans="3:19" ht="30">
      <c r="C655" s="1458" t="str">
        <f t="shared" si="90"/>
        <v/>
      </c>
      <c r="D655" s="282" t="s">
        <v>2101</v>
      </c>
      <c r="E655" s="1699" t="s">
        <v>1665</v>
      </c>
      <c r="F655" s="276">
        <v>0.5</v>
      </c>
      <c r="G655" s="1701">
        <f>choice1003.2_9</f>
        <v>0</v>
      </c>
      <c r="H655" s="1857"/>
      <c r="I655" s="1716"/>
      <c r="J655" s="1702"/>
      <c r="K655" s="3513">
        <f>note1003.2_9</f>
        <v>0</v>
      </c>
      <c r="L655" s="3514"/>
      <c r="S655" s="28">
        <f t="shared" si="92"/>
        <v>0</v>
      </c>
    </row>
    <row r="656" spans="3:19" ht="46" thickBot="1">
      <c r="C656" s="1458" t="str">
        <f t="shared" si="90"/>
        <v/>
      </c>
      <c r="D656" s="282" t="s">
        <v>2101</v>
      </c>
      <c r="E656" s="1705" t="s">
        <v>1666</v>
      </c>
      <c r="F656" s="277">
        <v>0.5</v>
      </c>
      <c r="G656" s="1659">
        <f>choice1003.2_10</f>
        <v>0</v>
      </c>
      <c r="H656" s="1858"/>
      <c r="I656" s="1716"/>
      <c r="J656" s="1671"/>
      <c r="K656" s="3340">
        <f>note1003.2_10</f>
        <v>0</v>
      </c>
      <c r="L656" s="3579"/>
      <c r="S656" s="28">
        <f t="shared" si="92"/>
        <v>0</v>
      </c>
    </row>
    <row r="657" spans="3:19" ht="46" thickTop="1">
      <c r="C657" s="1458" t="str">
        <f>IF(G657&gt;0,"P","")</f>
        <v/>
      </c>
      <c r="D657" s="282" t="s">
        <v>2101</v>
      </c>
      <c r="E657" s="1745" t="s">
        <v>2088</v>
      </c>
      <c r="F657" s="272" t="s">
        <v>2087</v>
      </c>
      <c r="G657" s="275">
        <f>claim1003.3</f>
        <v>0</v>
      </c>
      <c r="H657" s="1414"/>
      <c r="I657" s="1415">
        <f>IF(BldgType="Multi-Unit",IF(Formulas!I287&gt;4,IF(ROUNDDOWN(Formulas!I287/2,0)&lt;5,ROUNDDOWN(Formulas!I287/2,0),4),0),0)</f>
        <v>0</v>
      </c>
      <c r="J657" s="1230"/>
      <c r="K657" s="3326"/>
      <c r="L657" s="3515"/>
    </row>
    <row r="658" spans="3:19" ht="30">
      <c r="C658" s="1458" t="str">
        <f t="shared" si="90"/>
        <v/>
      </c>
      <c r="D658" s="282" t="s">
        <v>2101</v>
      </c>
      <c r="E658" s="1699" t="s">
        <v>1668</v>
      </c>
      <c r="F658" s="1765" t="s">
        <v>3</v>
      </c>
      <c r="G658" s="1856">
        <f>IF(startSingleorMulti&lt;&gt;"Single-Family",choice1003.3_1,"N/A")</f>
        <v>0</v>
      </c>
      <c r="H658" s="1857"/>
      <c r="I658" s="1716"/>
      <c r="J658" s="1716"/>
      <c r="K658" s="3513">
        <f>note1003.3_1</f>
        <v>0</v>
      </c>
      <c r="L658" s="3514"/>
      <c r="R658" s="28">
        <f>IF(AND(ReportType="Final",BldgType="Multi-unit",af1003.3_1=""),1,0)</f>
        <v>0</v>
      </c>
      <c r="S658" s="28">
        <f>IF(AND(I658&lt;&gt;"",BldgType="Single-Family"),1,0)</f>
        <v>0</v>
      </c>
    </row>
    <row r="659" spans="3:19" ht="30">
      <c r="C659" s="1458" t="str">
        <f t="shared" si="90"/>
        <v/>
      </c>
      <c r="D659" s="282" t="s">
        <v>2101</v>
      </c>
      <c r="E659" s="1699" t="s">
        <v>1669</v>
      </c>
      <c r="F659" s="1700">
        <v>0.5</v>
      </c>
      <c r="G659" s="1701">
        <f>choice1003.3_2</f>
        <v>0</v>
      </c>
      <c r="H659" s="1857"/>
      <c r="I659" s="1716"/>
      <c r="J659" s="1702"/>
      <c r="K659" s="3513">
        <f>note1003.1_2</f>
        <v>0</v>
      </c>
      <c r="L659" s="3514"/>
    </row>
    <row r="660" spans="3:19" ht="105">
      <c r="C660" s="1458" t="str">
        <f t="shared" si="90"/>
        <v/>
      </c>
      <c r="D660" s="282" t="s">
        <v>2101</v>
      </c>
      <c r="E660" s="1699" t="s">
        <v>548</v>
      </c>
      <c r="F660" s="1860">
        <v>0.5</v>
      </c>
      <c r="G660" s="1701">
        <f>choice1003.3_3</f>
        <v>0</v>
      </c>
      <c r="H660" s="1857"/>
      <c r="I660" s="1716"/>
      <c r="J660" s="1702"/>
      <c r="K660" s="3513">
        <f>note1003.3_3</f>
        <v>0</v>
      </c>
      <c r="L660" s="3514"/>
    </row>
    <row r="661" spans="3:19" ht="30">
      <c r="C661" s="1458" t="str">
        <f t="shared" si="90"/>
        <v/>
      </c>
      <c r="D661" s="282" t="s">
        <v>2101</v>
      </c>
      <c r="E661" s="1699" t="s">
        <v>1670</v>
      </c>
      <c r="F661" s="1860">
        <v>0.5</v>
      </c>
      <c r="G661" s="1701">
        <f>choice1003.3_4</f>
        <v>0</v>
      </c>
      <c r="H661" s="1857"/>
      <c r="I661" s="1716"/>
      <c r="J661" s="1702"/>
      <c r="K661" s="3513">
        <f>note1003.3_4</f>
        <v>0</v>
      </c>
      <c r="L661" s="3514"/>
    </row>
    <row r="662" spans="3:19">
      <c r="C662" s="1458" t="str">
        <f t="shared" si="90"/>
        <v/>
      </c>
      <c r="D662" s="282" t="s">
        <v>2101</v>
      </c>
      <c r="E662" s="1699" t="s">
        <v>1671</v>
      </c>
      <c r="F662" s="1860">
        <v>0.5</v>
      </c>
      <c r="G662" s="1701">
        <f>choice1003.3_5</f>
        <v>0</v>
      </c>
      <c r="H662" s="1857"/>
      <c r="I662" s="1716"/>
      <c r="J662" s="1702"/>
      <c r="K662" s="3513">
        <f>note1003.3_5</f>
        <v>0</v>
      </c>
      <c r="L662" s="3514"/>
    </row>
    <row r="663" spans="3:19" ht="30">
      <c r="C663" s="1458" t="str">
        <f t="shared" si="90"/>
        <v/>
      </c>
      <c r="D663" s="282" t="s">
        <v>2101</v>
      </c>
      <c r="E663" s="1699" t="s">
        <v>1672</v>
      </c>
      <c r="F663" s="1860">
        <v>0.5</v>
      </c>
      <c r="G663" s="1701">
        <f>choice1003.3_6</f>
        <v>0</v>
      </c>
      <c r="H663" s="1857"/>
      <c r="I663" s="1716"/>
      <c r="J663" s="1702"/>
      <c r="K663" s="3513">
        <f>note1003.3_6</f>
        <v>0</v>
      </c>
      <c r="L663" s="3514"/>
    </row>
    <row r="664" spans="3:19">
      <c r="C664" s="1458" t="str">
        <f t="shared" si="90"/>
        <v/>
      </c>
      <c r="D664" s="282" t="s">
        <v>2101</v>
      </c>
      <c r="E664" s="1699" t="s">
        <v>1673</v>
      </c>
      <c r="F664" s="1860">
        <v>0.5</v>
      </c>
      <c r="G664" s="1701">
        <f>choice1003.3_7</f>
        <v>0</v>
      </c>
      <c r="H664" s="1857"/>
      <c r="I664" s="1716"/>
      <c r="J664" s="1702"/>
      <c r="K664" s="3513">
        <f>note1003.3_7</f>
        <v>0</v>
      </c>
      <c r="L664" s="3514"/>
    </row>
    <row r="665" spans="3:19">
      <c r="C665" s="1458" t="str">
        <f t="shared" si="90"/>
        <v/>
      </c>
      <c r="D665" s="282" t="s">
        <v>2101</v>
      </c>
      <c r="E665" s="1699" t="s">
        <v>1674</v>
      </c>
      <c r="F665" s="1860">
        <v>0.5</v>
      </c>
      <c r="G665" s="1701">
        <f>choice1003.3_8</f>
        <v>0</v>
      </c>
      <c r="H665" s="1857"/>
      <c r="I665" s="1716"/>
      <c r="J665" s="1702"/>
      <c r="K665" s="3513">
        <f>note1003.3_8</f>
        <v>0</v>
      </c>
      <c r="L665" s="3514"/>
    </row>
    <row r="666" spans="3:19">
      <c r="C666" s="1458" t="str">
        <f t="shared" si="90"/>
        <v/>
      </c>
      <c r="D666" s="282" t="s">
        <v>2101</v>
      </c>
      <c r="E666" s="1699" t="s">
        <v>1675</v>
      </c>
      <c r="F666" s="1860">
        <v>0.5</v>
      </c>
      <c r="G666" s="1701">
        <f>choice1003.3_9</f>
        <v>0</v>
      </c>
      <c r="H666" s="1857"/>
      <c r="I666" s="1716"/>
      <c r="J666" s="1702"/>
      <c r="K666" s="3513">
        <f>note1003.3_9</f>
        <v>0</v>
      </c>
      <c r="L666" s="3514"/>
    </row>
    <row r="667" spans="3:19">
      <c r="C667" s="1458" t="s">
        <v>2104</v>
      </c>
      <c r="D667" s="282" t="s">
        <v>2099</v>
      </c>
      <c r="E667" s="3896" t="s">
        <v>1958</v>
      </c>
      <c r="F667" s="3897"/>
      <c r="G667" s="279">
        <f>SUM(G657,G646,G637,G634,G611,G608,G607,G605,G604,G602,G601,G599,G598,G594,G593,G592,G590,G588,G587,G584,G583,G582,G581,G580,G579,G576,G575,G574,G573,G572,G571,G570,G569,G567,G565,G558,G557,G555,G554,G552,G551,G550,G549,G548,G545,G544,G543,G541,G540,G539,G538,G535,G534,G533,G507,G505,G504,G503,G501,G498,G497,G495,G493,G491,G489,G485,G484,G482,G479,G478,G477,G476,G474,G472,G301,G297,G291,G287,G282,G279,G273,G272,G271,G269,G268,G267,G264,G262,G257,G252,G253,G254,G255,G249,G246,G245,G244,G242,G241,G240,G237,G236,G234,G231,G230,G228,G227,G226,G225,G223,G221,G220,G216,G214,G213,G212,G209,G207,G206,G205,G203,G201,G199,G194,G192,G191,G188,G186,G185,G184,G182,G180,G176,G173,G169,G168,G163,G162,G158,G157,G156,G155,G153,G152,G150,G149,G147,G146,G145,G144,G143,G142,G139,G137,G135,G132,G131,G129,G125,G124,G123,G122,G121,G118,G116,G114,G113,G112,G110,G106,G105,G104,G102,G100,G98,G96,G94,G93,G91,G89,G87,G84,G82,G81,G78,G76,G74,G72,G70,G69,G66,G64,G63,G62,G61,G59,G56,G54,G52,G51,G50,G49,G48,G46,G45,G43,G42,G41,G39,G38,G37,G36,G35,G33,G32,G30,G29,G28,G27,G26,G25,G23,G19,G17,G16,G15,G109)</f>
        <v>0</v>
      </c>
    </row>
    <row r="668" spans="3:19" ht="16" thickBot="1">
      <c r="C668" s="1458" t="s">
        <v>2104</v>
      </c>
      <c r="D668" s="1460" t="s">
        <v>2099</v>
      </c>
      <c r="F668" s="3894" t="s">
        <v>1959</v>
      </c>
      <c r="G668" s="3895"/>
      <c r="H668" s="3885">
        <f>SUM(af1003.3,af1003.2,af1003.1,af1002.1,af1001.1,af904.2,af904.1,af903.3,af903.2,ar903.2,ar903.1.2,af903.1.2,af903.1.1,ar903.1.1,ar902.5,af902.5,af902.4_2,ar902.4_1,ar902.3_2a,af902.3_2a,ar902.3_1a,af902.2.3,af902.2.2,af902.2.1_1thru4,af902.1.4,af902.1.3,af902.1.2,af902.1.1_3,af902.1.1_1Step2,af901.14_2,af901.14_1,af901.12,af901.11,af901.10,af901.9.3,af901.9.2,af901.9.1,af901.8,af901.7,af901.6_2b,af901.6_2a,af901.4_2thru6,af901.3_2,af901.3_1c,af901.3_1bStep2,af901.3_1aStep2,af901.2.2,af901.2.1_5Step2,af901.2.1_4Step2,af901.2.1_3Step2,af901.2.1_2Step2,af901.2.1_2Step2,af901.2.1_1Step2,af901.1.6,ar901.1.6,af901.1.5,af901.1.3_2,ar901.1.3_2,af901.1.3_1,ar901.1.2,af901.1.2,af901.1.1,ar611.3_4,af611.3_3,af611.3_2,af611.3_1,af611.2_7,af611.2_6,ar611.2_5,af611.2_4,ar611.2_3,af611.2_3,af611.2_2,af611.2_1,ar611.1,af611.1,af6101.2.2,af610.1.2.1,af610.1,ar609.1,af609.1,af608.1,ar608.1,af607.2,af607.1_2,af607.1_1,af606.3,ar606.3,ar606.2_2,ar606.2_1,af606.1,H252,af605.4,af605.3,ar605.3,af605.2,ar605.2,ar605.1,ar604.1.2,af604.1.2,af604.1.1,ar604.1.1,ar603.3,af603.3,af603.2,af603.1,ar603.1,af602.4.3,ar602.4.3,ar602.4.2,af602.4.2,af602.4.1,af602.3,af602.2,af602.1.14_3,ar602.1.14_3,ar602.1.14_2,af602.1.14_2,af602.1.14_1,ar602.1.12,af602.1.12,ar602.1.10,ar602.1.9_7,ar602.1.9_6,ar602.1.9_5,ar602.1.9_4,ar602.1.9_3,ar602.1.9_2,ar602.1.7.2,ar602.1.7.1_2,ar602.1.7.1_1,ar602.1.6,ar602.1.4.2_1,ar602.1.4.1_1,ar602.1.3.2,ar602.1.2,ar602.1.1.2,ar601.9,ar601.8,ar601.7,af601.7,ar601.6,ar601.5_5,ar601.5_3,ar601.5_2,ar601.5_1,ar601.4,ar601.3_5,ar601.3_3,ar601.3_2,ar601.3_1,ar601.2_3,ar601.2_2,ar601.2_1,af601.1,af505.5,ar505.4,af505.3,af505.2_2,af505.2_1,af505.1_3,ar505.1_2,ar505.1_1,af505.1_2,ar504.3_9,af504.3_7,ar504.3_5,ar504.3_1,ar504.2_3,ar504.2_2,ar504.2_1,ar504.1,ar503.7_2,ar503.7_1,af503.6_4,af503.6_3,af503.6_2,af503.6_1,ar503.5_8,ar503.5_7,ar503.5_6,af503.5_5,af503.5_4,af503.5_3,af503.5_2,af503.5_1,ar503.4_5,ar503.4_4,af503.4_3,ar503.4_2,ar503.4,ar503.3_3,ar503.3_2,ar503.3_1,ar503.2_5,af503.2_4,,ar503.2_3,ar503.2_2,ar503.1_7,ar503.1_6,ar503.1_5,ar503.1_4,ar503.1_3,ar503.1_2,ar503.1_1,ar502.1,ar501.2_4,ar501.2_3,ar501.2_1, ar602.1.14_1)</f>
        <v>0</v>
      </c>
      <c r="I668" s="3885"/>
    </row>
    <row r="669" spans="3:19" ht="21" customHeight="1" thickTop="1" thickBot="1">
      <c r="C669" s="1458" t="s">
        <v>2104</v>
      </c>
      <c r="D669" s="1460" t="s">
        <v>2101</v>
      </c>
      <c r="E669" s="2964" t="s">
        <v>2584</v>
      </c>
      <c r="F669" s="2964"/>
      <c r="G669" s="2964"/>
      <c r="H669" s="3885" t="str">
        <f>vlevel</f>
        <v>Nothing</v>
      </c>
      <c r="I669" s="3885"/>
      <c r="K669" s="1341" t="s">
        <v>1926</v>
      </c>
      <c r="L669" s="3886" t="str">
        <f>K8</f>
        <v>This Report is NOT Ready To Submit</v>
      </c>
      <c r="M669" s="3886"/>
    </row>
    <row r="670" spans="3:19" ht="16" thickTop="1"/>
    <row r="671" spans="3:19">
      <c r="E671" s="3015"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671" s="3015"/>
      <c r="G671" s="3015"/>
      <c r="H671" s="3015"/>
      <c r="I671" s="3015"/>
      <c r="J671" s="3015"/>
      <c r="K671" s="3015"/>
      <c r="L671" s="3015"/>
    </row>
    <row r="672" spans="3:19">
      <c r="E672" s="3015"/>
      <c r="F672" s="3015"/>
      <c r="G672" s="3015"/>
      <c r="H672" s="3015"/>
      <c r="I672" s="3015"/>
      <c r="J672" s="3015"/>
      <c r="K672" s="3015"/>
      <c r="L672" s="3015"/>
    </row>
    <row r="673" spans="5:12">
      <c r="E673" s="3015"/>
      <c r="F673" s="3015"/>
      <c r="G673" s="3015"/>
      <c r="H673" s="3015"/>
      <c r="I673" s="3015"/>
      <c r="J673" s="3015"/>
      <c r="K673" s="3015"/>
      <c r="L673" s="3015"/>
    </row>
  </sheetData>
  <sheetProtection algorithmName="SHA-512" hashValue="hQ6P4O+L0aeUt0VNfkUgjozV6mbyu7+2rEKyQ/7f2L/OpmQGYku9O8c4mINT7k4VQlb9tuzpPw4UJS2YJepcvA==" saltValue="aaguzCGSZorz5Jb2WTwuzQ==" spinCount="100000" sheet="1" formatRows="0" selectLockedCells="1" autoFilter="0"/>
  <autoFilter ref="C11:D669" xr:uid="{00000000-0009-0000-0000-000008000000}"/>
  <mergeCells count="913">
    <mergeCell ref="E671:L673"/>
    <mergeCell ref="G1:I1"/>
    <mergeCell ref="J1:K1"/>
    <mergeCell ref="H586:I586"/>
    <mergeCell ref="H587:I588"/>
    <mergeCell ref="E462:F462"/>
    <mergeCell ref="E452:G452"/>
    <mergeCell ref="E454:F454"/>
    <mergeCell ref="E455:F455"/>
    <mergeCell ref="E456:F456"/>
    <mergeCell ref="E457:F457"/>
    <mergeCell ref="E458:F458"/>
    <mergeCell ref="E459:F459"/>
    <mergeCell ref="E460:F460"/>
    <mergeCell ref="E461:F461"/>
    <mergeCell ref="I481:I482"/>
    <mergeCell ref="E494:E495"/>
    <mergeCell ref="F494:F495"/>
    <mergeCell ref="E496:E497"/>
    <mergeCell ref="F496:F497"/>
    <mergeCell ref="H569:H572"/>
    <mergeCell ref="I569:I572"/>
    <mergeCell ref="E564:E565"/>
    <mergeCell ref="F564:F565"/>
    <mergeCell ref="E442:F442"/>
    <mergeCell ref="E443:F443"/>
    <mergeCell ref="E444:F444"/>
    <mergeCell ref="E445:F445"/>
    <mergeCell ref="E446:F446"/>
    <mergeCell ref="E447:F447"/>
    <mergeCell ref="E448:F448"/>
    <mergeCell ref="E449:F449"/>
    <mergeCell ref="E406:G406"/>
    <mergeCell ref="E408:F408"/>
    <mergeCell ref="E409:F409"/>
    <mergeCell ref="E410:F410"/>
    <mergeCell ref="E411:F411"/>
    <mergeCell ref="E412:F412"/>
    <mergeCell ref="E413:F413"/>
    <mergeCell ref="E414:F414"/>
    <mergeCell ref="E415:F415"/>
    <mergeCell ref="E416:F416"/>
    <mergeCell ref="E433:F433"/>
    <mergeCell ref="E434:F434"/>
    <mergeCell ref="E435:F435"/>
    <mergeCell ref="E436:F436"/>
    <mergeCell ref="E437:F437"/>
    <mergeCell ref="E438:F438"/>
    <mergeCell ref="E400:F400"/>
    <mergeCell ref="E401:F401"/>
    <mergeCell ref="E402:F402"/>
    <mergeCell ref="E403:F403"/>
    <mergeCell ref="E422:F422"/>
    <mergeCell ref="E423:F423"/>
    <mergeCell ref="E439:F439"/>
    <mergeCell ref="E440:F440"/>
    <mergeCell ref="E441:F441"/>
    <mergeCell ref="E424:F424"/>
    <mergeCell ref="E425:F425"/>
    <mergeCell ref="E426:F426"/>
    <mergeCell ref="E427:F427"/>
    <mergeCell ref="E428:F428"/>
    <mergeCell ref="E429:F429"/>
    <mergeCell ref="E430:F430"/>
    <mergeCell ref="E431:F431"/>
    <mergeCell ref="E432:F432"/>
    <mergeCell ref="E386:F386"/>
    <mergeCell ref="E387:F387"/>
    <mergeCell ref="E388:F388"/>
    <mergeCell ref="E389:F389"/>
    <mergeCell ref="E390:F390"/>
    <mergeCell ref="E391:F391"/>
    <mergeCell ref="E397:F397"/>
    <mergeCell ref="E398:F398"/>
    <mergeCell ref="E399:F399"/>
    <mergeCell ref="E377:F377"/>
    <mergeCell ref="E378:F378"/>
    <mergeCell ref="E379:F379"/>
    <mergeCell ref="E380:F380"/>
    <mergeCell ref="E381:F381"/>
    <mergeCell ref="E382:F382"/>
    <mergeCell ref="E383:F383"/>
    <mergeCell ref="E384:F384"/>
    <mergeCell ref="E385:F385"/>
    <mergeCell ref="H314:H315"/>
    <mergeCell ref="K321:L321"/>
    <mergeCell ref="K322:L322"/>
    <mergeCell ref="E394:F394"/>
    <mergeCell ref="E395:F395"/>
    <mergeCell ref="E396:F396"/>
    <mergeCell ref="H188:H189"/>
    <mergeCell ref="I314:I315"/>
    <mergeCell ref="H287:I288"/>
    <mergeCell ref="K323:L323"/>
    <mergeCell ref="K324:L324"/>
    <mergeCell ref="K325:L325"/>
    <mergeCell ref="H330:H333"/>
    <mergeCell ref="J298:J300"/>
    <mergeCell ref="E301:E302"/>
    <mergeCell ref="F301:F302"/>
    <mergeCell ref="E296:L296"/>
    <mergeCell ref="K307:L307"/>
    <mergeCell ref="K309:L309"/>
    <mergeCell ref="G297:G300"/>
    <mergeCell ref="H301:H302"/>
    <mergeCell ref="E392:F392"/>
    <mergeCell ref="E393:F393"/>
    <mergeCell ref="E376:F376"/>
    <mergeCell ref="D2:D8"/>
    <mergeCell ref="C2:C8"/>
    <mergeCell ref="O276:O277"/>
    <mergeCell ref="E275:E277"/>
    <mergeCell ref="K275:L277"/>
    <mergeCell ref="E279:E280"/>
    <mergeCell ref="F279:F280"/>
    <mergeCell ref="G279:G280"/>
    <mergeCell ref="H279:H280"/>
    <mergeCell ref="I279:I280"/>
    <mergeCell ref="K279:L280"/>
    <mergeCell ref="K205:L206"/>
    <mergeCell ref="K211:L211"/>
    <mergeCell ref="H209:H210"/>
    <mergeCell ref="I209:I210"/>
    <mergeCell ref="K209:L210"/>
    <mergeCell ref="H222:H223"/>
    <mergeCell ref="K273:L273"/>
    <mergeCell ref="K266:L266"/>
    <mergeCell ref="K267:L269"/>
    <mergeCell ref="H56:H57"/>
    <mergeCell ref="I56:I57"/>
    <mergeCell ref="E66:E67"/>
    <mergeCell ref="F66:F67"/>
    <mergeCell ref="I330:I332"/>
    <mergeCell ref="E294:F294"/>
    <mergeCell ref="E295:F295"/>
    <mergeCell ref="G284:G285"/>
    <mergeCell ref="K284:L285"/>
    <mergeCell ref="H284:H285"/>
    <mergeCell ref="G262:G263"/>
    <mergeCell ref="H262:H263"/>
    <mergeCell ref="I262:I263"/>
    <mergeCell ref="G275:G277"/>
    <mergeCell ref="I264:I265"/>
    <mergeCell ref="K262:L265"/>
    <mergeCell ref="E289:F289"/>
    <mergeCell ref="E290:F290"/>
    <mergeCell ref="J292:J295"/>
    <mergeCell ref="F262:F263"/>
    <mergeCell ref="E282:E283"/>
    <mergeCell ref="H275:H277"/>
    <mergeCell ref="H286:I286"/>
    <mergeCell ref="K286:L286"/>
    <mergeCell ref="K291:L295"/>
    <mergeCell ref="K311:L311"/>
    <mergeCell ref="K312:L312"/>
    <mergeCell ref="K330:L332"/>
    <mergeCell ref="G66:G67"/>
    <mergeCell ref="H66:H67"/>
    <mergeCell ref="G137:G138"/>
    <mergeCell ref="E58:I58"/>
    <mergeCell ref="H121:H123"/>
    <mergeCell ref="I121:I123"/>
    <mergeCell ref="E56:E57"/>
    <mergeCell ref="F56:F57"/>
    <mergeCell ref="G56:G57"/>
    <mergeCell ref="E64:E65"/>
    <mergeCell ref="F89:F90"/>
    <mergeCell ref="G89:G90"/>
    <mergeCell ref="H129:I132"/>
    <mergeCell ref="E127:L127"/>
    <mergeCell ref="K128:L128"/>
    <mergeCell ref="K56:L57"/>
    <mergeCell ref="G116:G117"/>
    <mergeCell ref="H116:H117"/>
    <mergeCell ref="F64:F65"/>
    <mergeCell ref="I112:I114"/>
    <mergeCell ref="E59:E60"/>
    <mergeCell ref="F59:F60"/>
    <mergeCell ref="J112:J114"/>
    <mergeCell ref="F118:F119"/>
    <mergeCell ref="F72:F73"/>
    <mergeCell ref="H94:H95"/>
    <mergeCell ref="K152:L152"/>
    <mergeCell ref="H158:H161"/>
    <mergeCell ref="E128:I128"/>
    <mergeCell ref="E96:E97"/>
    <mergeCell ref="F96:F97"/>
    <mergeCell ref="E135:E136"/>
    <mergeCell ref="F135:F136"/>
    <mergeCell ref="K139:L140"/>
    <mergeCell ref="E102:E103"/>
    <mergeCell ref="F102:F103"/>
    <mergeCell ref="G102:G103"/>
    <mergeCell ref="H102:H103"/>
    <mergeCell ref="I102:I103"/>
    <mergeCell ref="F100:F101"/>
    <mergeCell ref="E111:I111"/>
    <mergeCell ref="K91:L91"/>
    <mergeCell ref="K92:L92"/>
    <mergeCell ref="K93:L93"/>
    <mergeCell ref="E120:I120"/>
    <mergeCell ref="E115:I115"/>
    <mergeCell ref="E116:E117"/>
    <mergeCell ref="F116:F117"/>
    <mergeCell ref="G64:G65"/>
    <mergeCell ref="H64:H65"/>
    <mergeCell ref="I64:I65"/>
    <mergeCell ref="I66:I67"/>
    <mergeCell ref="G96:G97"/>
    <mergeCell ref="K64:L65"/>
    <mergeCell ref="K94:L95"/>
    <mergeCell ref="K96:L97"/>
    <mergeCell ref="G87:G88"/>
    <mergeCell ref="I84:I85"/>
    <mergeCell ref="K84:L85"/>
    <mergeCell ref="K82:L82"/>
    <mergeCell ref="E83:L83"/>
    <mergeCell ref="K80:L80"/>
    <mergeCell ref="E80:I80"/>
    <mergeCell ref="G76:G77"/>
    <mergeCell ref="H76:H77"/>
    <mergeCell ref="I76:I77"/>
    <mergeCell ref="K76:L77"/>
    <mergeCell ref="K86:L86"/>
    <mergeCell ref="E87:E88"/>
    <mergeCell ref="E92:I92"/>
    <mergeCell ref="E86:I86"/>
    <mergeCell ref="E89:E90"/>
    <mergeCell ref="G188:G189"/>
    <mergeCell ref="J131:J132"/>
    <mergeCell ref="J184:J186"/>
    <mergeCell ref="H96:H97"/>
    <mergeCell ref="I96:I97"/>
    <mergeCell ref="E175:I175"/>
    <mergeCell ref="E179:I179"/>
    <mergeCell ref="E141:I141"/>
    <mergeCell ref="I163:I164"/>
    <mergeCell ref="E139:E140"/>
    <mergeCell ref="G100:G101"/>
    <mergeCell ref="G118:G119"/>
    <mergeCell ref="H118:H119"/>
    <mergeCell ref="I118:I119"/>
    <mergeCell ref="F177:F178"/>
    <mergeCell ref="G177:G178"/>
    <mergeCell ref="H177:H178"/>
    <mergeCell ref="I177:I178"/>
    <mergeCell ref="K336:L336"/>
    <mergeCell ref="K337:L337"/>
    <mergeCell ref="E211:I211"/>
    <mergeCell ref="E219:I219"/>
    <mergeCell ref="E224:I224"/>
    <mergeCell ref="K197:L197"/>
    <mergeCell ref="K215:L215"/>
    <mergeCell ref="K216:L216"/>
    <mergeCell ref="K219:L219"/>
    <mergeCell ref="K199:L200"/>
    <mergeCell ref="K207:L208"/>
    <mergeCell ref="K203:L203"/>
    <mergeCell ref="K204:L204"/>
    <mergeCell ref="K217:L218"/>
    <mergeCell ref="K220:L220"/>
    <mergeCell ref="K230:L230"/>
    <mergeCell ref="K310:L310"/>
    <mergeCell ref="K313:L313"/>
    <mergeCell ref="H267:H269"/>
    <mergeCell ref="I267:I269"/>
    <mergeCell ref="G301:G302"/>
    <mergeCell ref="I301:I302"/>
    <mergeCell ref="K225:L227"/>
    <mergeCell ref="H225:H227"/>
    <mergeCell ref="H669:I669"/>
    <mergeCell ref="L669:M669"/>
    <mergeCell ref="K143:L143"/>
    <mergeCell ref="K144:L144"/>
    <mergeCell ref="K145:L145"/>
    <mergeCell ref="K146:L146"/>
    <mergeCell ref="K147:L147"/>
    <mergeCell ref="K148:L148"/>
    <mergeCell ref="K162:L162"/>
    <mergeCell ref="E165:L165"/>
    <mergeCell ref="H155:H157"/>
    <mergeCell ref="I155:I157"/>
    <mergeCell ref="J155:J157"/>
    <mergeCell ref="F163:F164"/>
    <mergeCell ref="G163:G164"/>
    <mergeCell ref="K315:L315"/>
    <mergeCell ref="E316:L316"/>
    <mergeCell ref="E292:F292"/>
    <mergeCell ref="H668:I668"/>
    <mergeCell ref="E284:E285"/>
    <mergeCell ref="K229:L229"/>
    <mergeCell ref="F668:G668"/>
    <mergeCell ref="E667:F667"/>
    <mergeCell ref="E330:E332"/>
    <mergeCell ref="E293:F293"/>
    <mergeCell ref="E297:F300"/>
    <mergeCell ref="E133:I133"/>
    <mergeCell ref="E166:I166"/>
    <mergeCell ref="E171:I171"/>
    <mergeCell ref="E174:I174"/>
    <mergeCell ref="E134:I134"/>
    <mergeCell ref="I233:I234"/>
    <mergeCell ref="J233:J234"/>
    <mergeCell ref="I184:I186"/>
    <mergeCell ref="J205:J206"/>
    <mergeCell ref="G209:G210"/>
    <mergeCell ref="H205:H206"/>
    <mergeCell ref="I205:I206"/>
    <mergeCell ref="E207:E208"/>
    <mergeCell ref="F233:F234"/>
    <mergeCell ref="H233:H234"/>
    <mergeCell ref="J225:J227"/>
    <mergeCell ref="J222:J223"/>
    <mergeCell ref="E217:E218"/>
    <mergeCell ref="F217:F218"/>
    <mergeCell ref="H137:H138"/>
    <mergeCell ref="I137:I138"/>
    <mergeCell ref="E192:E193"/>
    <mergeCell ref="F330:F333"/>
    <mergeCell ref="E188:E189"/>
    <mergeCell ref="F139:F140"/>
    <mergeCell ref="G139:G140"/>
    <mergeCell ref="E472:E473"/>
    <mergeCell ref="F472:F473"/>
    <mergeCell ref="H139:H140"/>
    <mergeCell ref="I139:I140"/>
    <mergeCell ref="E261:I261"/>
    <mergeCell ref="F284:F285"/>
    <mergeCell ref="E262:E263"/>
    <mergeCell ref="F314:F315"/>
    <mergeCell ref="G314:G315"/>
    <mergeCell ref="H329:I329"/>
    <mergeCell ref="I201:I202"/>
    <mergeCell ref="E317:L317"/>
    <mergeCell ref="K318:L318"/>
    <mergeCell ref="K319:L319"/>
    <mergeCell ref="K320:L320"/>
    <mergeCell ref="E314:E315"/>
    <mergeCell ref="G217:G218"/>
    <mergeCell ref="H217:H218"/>
    <mergeCell ref="I217:I218"/>
    <mergeCell ref="E190:E191"/>
    <mergeCell ref="I275:I277"/>
    <mergeCell ref="F195:F196"/>
    <mergeCell ref="G195:G196"/>
    <mergeCell ref="E209:E210"/>
    <mergeCell ref="F209:F210"/>
    <mergeCell ref="F207:F208"/>
    <mergeCell ref="G207:G208"/>
    <mergeCell ref="H207:H208"/>
    <mergeCell ref="I207:I208"/>
    <mergeCell ref="G201:G202"/>
    <mergeCell ref="H201:H202"/>
    <mergeCell ref="E195:E196"/>
    <mergeCell ref="I222:I223"/>
    <mergeCell ref="E251:I251"/>
    <mergeCell ref="H244:H246"/>
    <mergeCell ref="I244:I246"/>
    <mergeCell ref="E238:L238"/>
    <mergeCell ref="K239:L239"/>
    <mergeCell ref="K198:L198"/>
    <mergeCell ref="H195:H196"/>
    <mergeCell ref="E270:L270"/>
    <mergeCell ref="I199:I200"/>
    <mergeCell ref="I252:I255"/>
    <mergeCell ref="J241:J242"/>
    <mergeCell ref="E2:L2"/>
    <mergeCell ref="J9:J13"/>
    <mergeCell ref="K9:L13"/>
    <mergeCell ref="K7:L7"/>
    <mergeCell ref="K8:L8"/>
    <mergeCell ref="K15:L15"/>
    <mergeCell ref="F6:G6"/>
    <mergeCell ref="F7:G7"/>
    <mergeCell ref="H9:I9"/>
    <mergeCell ref="F9:F11"/>
    <mergeCell ref="E14:I14"/>
    <mergeCell ref="G9:G11"/>
    <mergeCell ref="K5:L5"/>
    <mergeCell ref="F4:I4"/>
    <mergeCell ref="F3:I3"/>
    <mergeCell ref="F5:I5"/>
    <mergeCell ref="K14:L14"/>
    <mergeCell ref="K3:L3"/>
    <mergeCell ref="K4:L4"/>
    <mergeCell ref="K6:L6"/>
    <mergeCell ref="F54:F55"/>
    <mergeCell ref="I188:I189"/>
    <mergeCell ref="K188:L189"/>
    <mergeCell ref="K29:L29"/>
    <mergeCell ref="K30:L30"/>
    <mergeCell ref="K26:L26"/>
    <mergeCell ref="E22:I22"/>
    <mergeCell ref="E44:I44"/>
    <mergeCell ref="E54:E55"/>
    <mergeCell ref="G54:G55"/>
    <mergeCell ref="H54:H55"/>
    <mergeCell ref="K23:L24"/>
    <mergeCell ref="K42:L42"/>
    <mergeCell ref="K43:L43"/>
    <mergeCell ref="K44:L44"/>
    <mergeCell ref="J48:J50"/>
    <mergeCell ref="H53:I53"/>
    <mergeCell ref="E34:I34"/>
    <mergeCell ref="E31:I31"/>
    <mergeCell ref="H35:H37"/>
    <mergeCell ref="I35:I37"/>
    <mergeCell ref="J35:J37"/>
    <mergeCell ref="H48:H50"/>
    <mergeCell ref="E47:I47"/>
    <mergeCell ref="E40:I40"/>
    <mergeCell ref="K16:L16"/>
    <mergeCell ref="K17:L17"/>
    <mergeCell ref="E19:E20"/>
    <mergeCell ref="F19:F20"/>
    <mergeCell ref="G19:G20"/>
    <mergeCell ref="H19:H20"/>
    <mergeCell ref="I19:I20"/>
    <mergeCell ref="K27:L27"/>
    <mergeCell ref="K28:L28"/>
    <mergeCell ref="E18:L18"/>
    <mergeCell ref="E21:L21"/>
    <mergeCell ref="K22:L22"/>
    <mergeCell ref="K25:L25"/>
    <mergeCell ref="E23:E24"/>
    <mergeCell ref="H23:H24"/>
    <mergeCell ref="I23:I24"/>
    <mergeCell ref="K19:L20"/>
    <mergeCell ref="F23:F24"/>
    <mergeCell ref="G23:G24"/>
    <mergeCell ref="K32:L32"/>
    <mergeCell ref="K33:L33"/>
    <mergeCell ref="K34:L34"/>
    <mergeCell ref="K35:L37"/>
    <mergeCell ref="K58:L58"/>
    <mergeCell ref="I59:I63"/>
    <mergeCell ref="K68:L68"/>
    <mergeCell ref="K69:L69"/>
    <mergeCell ref="K70:L70"/>
    <mergeCell ref="K71:L71"/>
    <mergeCell ref="E78:E79"/>
    <mergeCell ref="F78:F79"/>
    <mergeCell ref="J60:J63"/>
    <mergeCell ref="E71:I71"/>
    <mergeCell ref="G59:G60"/>
    <mergeCell ref="H59:H63"/>
    <mergeCell ref="G72:G73"/>
    <mergeCell ref="H72:H73"/>
    <mergeCell ref="I72:I73"/>
    <mergeCell ref="E72:E73"/>
    <mergeCell ref="E74:E75"/>
    <mergeCell ref="F74:F75"/>
    <mergeCell ref="G74:G75"/>
    <mergeCell ref="H74:H75"/>
    <mergeCell ref="I74:I75"/>
    <mergeCell ref="K74:L75"/>
    <mergeCell ref="E76:E77"/>
    <mergeCell ref="F76:F77"/>
    <mergeCell ref="F53:G53"/>
    <mergeCell ref="I48:I50"/>
    <mergeCell ref="K31:L31"/>
    <mergeCell ref="E199:E200"/>
    <mergeCell ref="K133:L133"/>
    <mergeCell ref="K120:L120"/>
    <mergeCell ref="K121:L123"/>
    <mergeCell ref="E204:G204"/>
    <mergeCell ref="K110:L110"/>
    <mergeCell ref="K111:L111"/>
    <mergeCell ref="K53:L53"/>
    <mergeCell ref="I54:I55"/>
    <mergeCell ref="K54:L55"/>
    <mergeCell ref="G78:G79"/>
    <mergeCell ref="H78:H79"/>
    <mergeCell ref="I78:I79"/>
    <mergeCell ref="K78:L79"/>
    <mergeCell ref="E84:E85"/>
    <mergeCell ref="F84:F85"/>
    <mergeCell ref="G84:G85"/>
    <mergeCell ref="H84:H85"/>
    <mergeCell ref="E126:L126"/>
    <mergeCell ref="K124:L124"/>
    <mergeCell ref="K45:L45"/>
    <mergeCell ref="K38:L38"/>
    <mergeCell ref="K39:L39"/>
    <mergeCell ref="K125:L125"/>
    <mergeCell ref="K46:L46"/>
    <mergeCell ref="K47:L47"/>
    <mergeCell ref="K48:L50"/>
    <mergeCell ref="K51:L51"/>
    <mergeCell ref="K52:L52"/>
    <mergeCell ref="K40:L40"/>
    <mergeCell ref="K41:L41"/>
    <mergeCell ref="K66:L67"/>
    <mergeCell ref="K87:L88"/>
    <mergeCell ref="K89:L90"/>
    <mergeCell ref="K72:L73"/>
    <mergeCell ref="K81:L81"/>
    <mergeCell ref="K104:L104"/>
    <mergeCell ref="K105:L105"/>
    <mergeCell ref="K106:L106"/>
    <mergeCell ref="K59:L63"/>
    <mergeCell ref="E107:L107"/>
    <mergeCell ref="K108:L108"/>
    <mergeCell ref="E98:E99"/>
    <mergeCell ref="I100:I101"/>
    <mergeCell ref="K100:L101"/>
    <mergeCell ref="K172:L172"/>
    <mergeCell ref="K179:L179"/>
    <mergeCell ref="H181:I181"/>
    <mergeCell ref="K192:L193"/>
    <mergeCell ref="E154:I154"/>
    <mergeCell ref="K178:L178"/>
    <mergeCell ref="K182:L182"/>
    <mergeCell ref="K183:L183"/>
    <mergeCell ref="E183:I183"/>
    <mergeCell ref="F190:F191"/>
    <mergeCell ref="F188:F189"/>
    <mergeCell ref="F192:F193"/>
    <mergeCell ref="H190:H191"/>
    <mergeCell ref="I190:I191"/>
    <mergeCell ref="H192:H193"/>
    <mergeCell ref="H184:H186"/>
    <mergeCell ref="K168:L168"/>
    <mergeCell ref="K171:L171"/>
    <mergeCell ref="E169:E170"/>
    <mergeCell ref="F169:F170"/>
    <mergeCell ref="G169:G170"/>
    <mergeCell ref="H169:H170"/>
    <mergeCell ref="I169:I170"/>
    <mergeCell ref="E177:E178"/>
    <mergeCell ref="K102:L103"/>
    <mergeCell ref="H100:H101"/>
    <mergeCell ref="E100:E101"/>
    <mergeCell ref="E94:E95"/>
    <mergeCell ref="F94:F95"/>
    <mergeCell ref="G98:G99"/>
    <mergeCell ref="H98:H99"/>
    <mergeCell ref="I98:I99"/>
    <mergeCell ref="K98:L99"/>
    <mergeCell ref="I94:I95"/>
    <mergeCell ref="G94:G95"/>
    <mergeCell ref="F98:F99"/>
    <mergeCell ref="K472:L473"/>
    <mergeCell ref="K474:L474"/>
    <mergeCell ref="K475:L475"/>
    <mergeCell ref="H472:I473"/>
    <mergeCell ref="J472:J473"/>
    <mergeCell ref="K476:L477"/>
    <mergeCell ref="E108:I108"/>
    <mergeCell ref="E374:L374"/>
    <mergeCell ref="E375:L375"/>
    <mergeCell ref="E373:F373"/>
    <mergeCell ref="K116:L117"/>
    <mergeCell ref="K194:L194"/>
    <mergeCell ref="E118:E119"/>
    <mergeCell ref="F199:F200"/>
    <mergeCell ref="G199:G200"/>
    <mergeCell ref="E201:E202"/>
    <mergeCell ref="F201:F202"/>
    <mergeCell ref="E197:I197"/>
    <mergeCell ref="H199:H200"/>
    <mergeCell ref="E187:I187"/>
    <mergeCell ref="K180:L180"/>
    <mergeCell ref="K181:L181"/>
    <mergeCell ref="K118:L119"/>
    <mergeCell ref="E148:I148"/>
    <mergeCell ref="J481:J482"/>
    <mergeCell ref="E492:E493"/>
    <mergeCell ref="F492:F493"/>
    <mergeCell ref="K492:L493"/>
    <mergeCell ref="E468:F468"/>
    <mergeCell ref="E481:E482"/>
    <mergeCell ref="H481:H482"/>
    <mergeCell ref="K478:L479"/>
    <mergeCell ref="K480:L480"/>
    <mergeCell ref="K482:L482"/>
    <mergeCell ref="K483:L483"/>
    <mergeCell ref="K484:L485"/>
    <mergeCell ref="K486:L486"/>
    <mergeCell ref="H478:H479"/>
    <mergeCell ref="I478:I479"/>
    <mergeCell ref="J478:J479"/>
    <mergeCell ref="H484:H485"/>
    <mergeCell ref="I484:I485"/>
    <mergeCell ref="J484:J485"/>
    <mergeCell ref="E469:L469"/>
    <mergeCell ref="E470:L470"/>
    <mergeCell ref="K471:L471"/>
    <mergeCell ref="I476:I477"/>
    <mergeCell ref="J476:J477"/>
    <mergeCell ref="K494:L495"/>
    <mergeCell ref="K487:L487"/>
    <mergeCell ref="E488:E489"/>
    <mergeCell ref="F488:F489"/>
    <mergeCell ref="K488:L489"/>
    <mergeCell ref="E490:E491"/>
    <mergeCell ref="F490:F491"/>
    <mergeCell ref="K490:L491"/>
    <mergeCell ref="J492:J493"/>
    <mergeCell ref="J494:J495"/>
    <mergeCell ref="H492:H493"/>
    <mergeCell ref="H494:H495"/>
    <mergeCell ref="H488:H489"/>
    <mergeCell ref="J488:J489"/>
    <mergeCell ref="J490:J491"/>
    <mergeCell ref="H490:H491"/>
    <mergeCell ref="K496:L497"/>
    <mergeCell ref="K498:L498"/>
    <mergeCell ref="K499:L499"/>
    <mergeCell ref="E500:E501"/>
    <mergeCell ref="F500:F501"/>
    <mergeCell ref="K500:L501"/>
    <mergeCell ref="J509:J512"/>
    <mergeCell ref="J496:J497"/>
    <mergeCell ref="H496:H497"/>
    <mergeCell ref="J500:J501"/>
    <mergeCell ref="J502:J503"/>
    <mergeCell ref="K507:L507"/>
    <mergeCell ref="K508:L508"/>
    <mergeCell ref="K509:L512"/>
    <mergeCell ref="K513:L513"/>
    <mergeCell ref="K514:L517"/>
    <mergeCell ref="K518:L518"/>
    <mergeCell ref="E502:E503"/>
    <mergeCell ref="F502:F503"/>
    <mergeCell ref="K502:L503"/>
    <mergeCell ref="K504:L504"/>
    <mergeCell ref="K505:L505"/>
    <mergeCell ref="K506:L506"/>
    <mergeCell ref="J514:J517"/>
    <mergeCell ref="K534:L535"/>
    <mergeCell ref="K536:L536"/>
    <mergeCell ref="K537:L537"/>
    <mergeCell ref="K538:L539"/>
    <mergeCell ref="K540:L540"/>
    <mergeCell ref="K541:L541"/>
    <mergeCell ref="K519:L522"/>
    <mergeCell ref="K523:L523"/>
    <mergeCell ref="K524:L527"/>
    <mergeCell ref="K528:L528"/>
    <mergeCell ref="K529:L532"/>
    <mergeCell ref="K533:L533"/>
    <mergeCell ref="K542:L542"/>
    <mergeCell ref="K543:L543"/>
    <mergeCell ref="K544:L544"/>
    <mergeCell ref="K545:L545"/>
    <mergeCell ref="K547:L547"/>
    <mergeCell ref="K548:L550"/>
    <mergeCell ref="K564:L565"/>
    <mergeCell ref="K551:L551"/>
    <mergeCell ref="K552:L552"/>
    <mergeCell ref="K553:L553"/>
    <mergeCell ref="K554:L555"/>
    <mergeCell ref="E560:L560"/>
    <mergeCell ref="K559:L559"/>
    <mergeCell ref="K557:L558"/>
    <mergeCell ref="K546:L546"/>
    <mergeCell ref="H551:I551"/>
    <mergeCell ref="I554:I555"/>
    <mergeCell ref="J579:J582"/>
    <mergeCell ref="K566:L566"/>
    <mergeCell ref="K567:L567"/>
    <mergeCell ref="K568:L568"/>
    <mergeCell ref="K569:L572"/>
    <mergeCell ref="K573:L573"/>
    <mergeCell ref="K574:L576"/>
    <mergeCell ref="K561:L561"/>
    <mergeCell ref="K562:L562"/>
    <mergeCell ref="K563:L563"/>
    <mergeCell ref="J569:J572"/>
    <mergeCell ref="J564:J565"/>
    <mergeCell ref="K614:L614"/>
    <mergeCell ref="K615:L615"/>
    <mergeCell ref="K616:L616"/>
    <mergeCell ref="E606:L606"/>
    <mergeCell ref="K607:L607"/>
    <mergeCell ref="K608:L608"/>
    <mergeCell ref="E609:L609"/>
    <mergeCell ref="E610:L610"/>
    <mergeCell ref="K623:L623"/>
    <mergeCell ref="I601:I602"/>
    <mergeCell ref="J601:J602"/>
    <mergeCell ref="K601:L602"/>
    <mergeCell ref="K594:L594"/>
    <mergeCell ref="K595:L595"/>
    <mergeCell ref="E596:L596"/>
    <mergeCell ref="K597:L597"/>
    <mergeCell ref="K598:L598"/>
    <mergeCell ref="K599:L599"/>
    <mergeCell ref="K593:L593"/>
    <mergeCell ref="K577:L577"/>
    <mergeCell ref="K578:L578"/>
    <mergeCell ref="K652:L652"/>
    <mergeCell ref="K641:L641"/>
    <mergeCell ref="K642:L642"/>
    <mergeCell ref="K643:L643"/>
    <mergeCell ref="K644:L644"/>
    <mergeCell ref="K645:L645"/>
    <mergeCell ref="K646:L646"/>
    <mergeCell ref="E635:L635"/>
    <mergeCell ref="K636:L636"/>
    <mergeCell ref="K637:L637"/>
    <mergeCell ref="K638:L638"/>
    <mergeCell ref="K639:L639"/>
    <mergeCell ref="K640:L640"/>
    <mergeCell ref="K611:L611"/>
    <mergeCell ref="K612:L612"/>
    <mergeCell ref="K613:L613"/>
    <mergeCell ref="K629:L629"/>
    <mergeCell ref="K630:L630"/>
    <mergeCell ref="K631:L631"/>
    <mergeCell ref="K632:L632"/>
    <mergeCell ref="H601:H602"/>
    <mergeCell ref="K626:L626"/>
    <mergeCell ref="K627:L627"/>
    <mergeCell ref="K628:L628"/>
    <mergeCell ref="K617:L617"/>
    <mergeCell ref="K618:L618"/>
    <mergeCell ref="K619:L619"/>
    <mergeCell ref="K620:L620"/>
    <mergeCell ref="K621:L621"/>
    <mergeCell ref="K622:L622"/>
    <mergeCell ref="K624:L624"/>
    <mergeCell ref="K625:L625"/>
    <mergeCell ref="I604:I605"/>
    <mergeCell ref="H604:H605"/>
    <mergeCell ref="J604:J605"/>
    <mergeCell ref="H476:H477"/>
    <mergeCell ref="K579:L582"/>
    <mergeCell ref="K583:L583"/>
    <mergeCell ref="K584:L584"/>
    <mergeCell ref="K585:L585"/>
    <mergeCell ref="H579:H582"/>
    <mergeCell ref="I579:I582"/>
    <mergeCell ref="J519:J522"/>
    <mergeCell ref="J524:J527"/>
    <mergeCell ref="J529:J532"/>
    <mergeCell ref="H534:H535"/>
    <mergeCell ref="I534:I535"/>
    <mergeCell ref="J534:J535"/>
    <mergeCell ref="H548:H550"/>
    <mergeCell ref="I548:I550"/>
    <mergeCell ref="J548:J550"/>
    <mergeCell ref="K586:L588"/>
    <mergeCell ref="K589:L589"/>
    <mergeCell ref="K590:L590"/>
    <mergeCell ref="K591:L591"/>
    <mergeCell ref="K592:L592"/>
    <mergeCell ref="K659:L659"/>
    <mergeCell ref="K660:L660"/>
    <mergeCell ref="K661:L661"/>
    <mergeCell ref="K662:L662"/>
    <mergeCell ref="K663:L663"/>
    <mergeCell ref="K664:L664"/>
    <mergeCell ref="K653:L653"/>
    <mergeCell ref="K654:L654"/>
    <mergeCell ref="K655:L655"/>
    <mergeCell ref="K656:L656"/>
    <mergeCell ref="K657:L657"/>
    <mergeCell ref="K658:L658"/>
    <mergeCell ref="H87:H88"/>
    <mergeCell ref="I87:I88"/>
    <mergeCell ref="H89:H90"/>
    <mergeCell ref="I89:I90"/>
    <mergeCell ref="F87:F88"/>
    <mergeCell ref="G192:G193"/>
    <mergeCell ref="I195:I196"/>
    <mergeCell ref="K195:L196"/>
    <mergeCell ref="K184:L186"/>
    <mergeCell ref="K187:L187"/>
    <mergeCell ref="K190:L191"/>
    <mergeCell ref="K109:L109"/>
    <mergeCell ref="I116:I117"/>
    <mergeCell ref="G135:G136"/>
    <mergeCell ref="I135:I136"/>
    <mergeCell ref="K169:L170"/>
    <mergeCell ref="K174:L174"/>
    <mergeCell ref="I192:I193"/>
    <mergeCell ref="K149:L149"/>
    <mergeCell ref="K150:L150"/>
    <mergeCell ref="K175:L175"/>
    <mergeCell ref="K176:L176"/>
    <mergeCell ref="K166:L166"/>
    <mergeCell ref="K167:L167"/>
    <mergeCell ref="K153:L153"/>
    <mergeCell ref="K163:L164"/>
    <mergeCell ref="K173:L173"/>
    <mergeCell ref="E137:E138"/>
    <mergeCell ref="F137:F138"/>
    <mergeCell ref="E163:E164"/>
    <mergeCell ref="K115:L115"/>
    <mergeCell ref="H112:H114"/>
    <mergeCell ref="H135:H136"/>
    <mergeCell ref="K134:L134"/>
    <mergeCell ref="K141:L141"/>
    <mergeCell ref="K142:L142"/>
    <mergeCell ref="I158:I161"/>
    <mergeCell ref="K155:L157"/>
    <mergeCell ref="K158:L158"/>
    <mergeCell ref="K159:L161"/>
    <mergeCell ref="K154:L154"/>
    <mergeCell ref="H163:H164"/>
    <mergeCell ref="J159:J161"/>
    <mergeCell ref="K135:L136"/>
    <mergeCell ref="K137:L138"/>
    <mergeCell ref="K129:L132"/>
    <mergeCell ref="K112:L114"/>
    <mergeCell ref="K151:L151"/>
    <mergeCell ref="J245:J246"/>
    <mergeCell ref="H240:H242"/>
    <mergeCell ref="K271:L271"/>
    <mergeCell ref="K272:L272"/>
    <mergeCell ref="K251:L251"/>
    <mergeCell ref="I257:I260"/>
    <mergeCell ref="J253:J255"/>
    <mergeCell ref="E266:I266"/>
    <mergeCell ref="J258:J260"/>
    <mergeCell ref="E274:L274"/>
    <mergeCell ref="K308:L308"/>
    <mergeCell ref="H291:I291"/>
    <mergeCell ref="H282:I283"/>
    <mergeCell ref="E281:L281"/>
    <mergeCell ref="F282:F283"/>
    <mergeCell ref="K303:L303"/>
    <mergeCell ref="K304:L304"/>
    <mergeCell ref="E287:E288"/>
    <mergeCell ref="F287:F288"/>
    <mergeCell ref="G287:G288"/>
    <mergeCell ref="K287:L290"/>
    <mergeCell ref="J288:J290"/>
    <mergeCell ref="H297:H300"/>
    <mergeCell ref="I297:I300"/>
    <mergeCell ref="K301:L302"/>
    <mergeCell ref="I284:I285"/>
    <mergeCell ref="K305:L305"/>
    <mergeCell ref="K306:L306"/>
    <mergeCell ref="J276:J277"/>
    <mergeCell ref="E278:L278"/>
    <mergeCell ref="F275:F277"/>
    <mergeCell ref="G282:G283"/>
    <mergeCell ref="K282:L283"/>
    <mergeCell ref="E232:L232"/>
    <mergeCell ref="E233:E234"/>
    <mergeCell ref="K212:L214"/>
    <mergeCell ref="K235:L236"/>
    <mergeCell ref="K237:L237"/>
    <mergeCell ref="J268:J269"/>
    <mergeCell ref="G264:G265"/>
    <mergeCell ref="H264:H265"/>
    <mergeCell ref="F264:F265"/>
    <mergeCell ref="E264:E265"/>
    <mergeCell ref="H257:H260"/>
    <mergeCell ref="E239:I239"/>
    <mergeCell ref="E243:I243"/>
    <mergeCell ref="I225:I227"/>
    <mergeCell ref="K224:L224"/>
    <mergeCell ref="K233:L234"/>
    <mergeCell ref="K261:L261"/>
    <mergeCell ref="K240:L242"/>
    <mergeCell ref="K243:L243"/>
    <mergeCell ref="K244:L246"/>
    <mergeCell ref="E247:L247"/>
    <mergeCell ref="K248:L248"/>
    <mergeCell ref="K249:L249"/>
    <mergeCell ref="H252:H255"/>
    <mergeCell ref="K650:L650"/>
    <mergeCell ref="K651:L651"/>
    <mergeCell ref="E633:L633"/>
    <mergeCell ref="K634:L634"/>
    <mergeCell ref="K600:L600"/>
    <mergeCell ref="K297:L300"/>
    <mergeCell ref="K201:L202"/>
    <mergeCell ref="E9:E11"/>
    <mergeCell ref="K257:L260"/>
    <mergeCell ref="K221:L221"/>
    <mergeCell ref="E222:E223"/>
    <mergeCell ref="F222:F223"/>
    <mergeCell ref="K222:L223"/>
    <mergeCell ref="E256:L256"/>
    <mergeCell ref="E235:E236"/>
    <mergeCell ref="F235:F236"/>
    <mergeCell ref="K252:L255"/>
    <mergeCell ref="I240:I242"/>
    <mergeCell ref="H235:H236"/>
    <mergeCell ref="I235:I236"/>
    <mergeCell ref="I212:I214"/>
    <mergeCell ref="J212:J214"/>
    <mergeCell ref="H212:H214"/>
    <mergeCell ref="K231:L231"/>
    <mergeCell ref="K603:L603"/>
    <mergeCell ref="E355:L355"/>
    <mergeCell ref="E339:L339"/>
    <mergeCell ref="H598:H599"/>
    <mergeCell ref="I598:I599"/>
    <mergeCell ref="K228:L228"/>
    <mergeCell ref="E669:G669"/>
    <mergeCell ref="E357:F357"/>
    <mergeCell ref="E341:F341"/>
    <mergeCell ref="H338:I338"/>
    <mergeCell ref="E421:L421"/>
    <mergeCell ref="K334:L334"/>
    <mergeCell ref="K335:L335"/>
    <mergeCell ref="K333:L333"/>
    <mergeCell ref="K326:L326"/>
    <mergeCell ref="K327:L327"/>
    <mergeCell ref="K329:L329"/>
    <mergeCell ref="K665:L665"/>
    <mergeCell ref="K666:L666"/>
    <mergeCell ref="K604:L604"/>
    <mergeCell ref="K605:L605"/>
    <mergeCell ref="K647:L647"/>
    <mergeCell ref="K648:L648"/>
    <mergeCell ref="K649:L649"/>
  </mergeCells>
  <conditionalFormatting sqref="G130">
    <cfRule type="expression" dxfId="591" priority="1181" stopIfTrue="1">
      <formula>OR(AND($G$130&gt;0,SUM($G$129,$G$131:$G$132)&gt;0), AND(square_footage&gt;1500, $G$130=12))</formula>
    </cfRule>
  </conditionalFormatting>
  <conditionalFormatting sqref="G131">
    <cfRule type="expression" dxfId="590" priority="1180" stopIfTrue="1">
      <formula>OR(AND($G$131&gt;0,SUM($G$129:$G$130,$G$132)&gt;0), AND(square_footage&gt;2000, $G$131=9))</formula>
    </cfRule>
  </conditionalFormatting>
  <conditionalFormatting sqref="G132">
    <cfRule type="expression" dxfId="589" priority="1179" stopIfTrue="1">
      <formula>OR(AND($G$132&gt;0,SUM($G$129:$G$131)&gt;0), AND(square_footage&gt;2500, $G$132=6))</formula>
    </cfRule>
  </conditionalFormatting>
  <conditionalFormatting sqref="G505 J505">
    <cfRule type="expression" dxfId="588" priority="1169" stopIfTrue="1">
      <formula>AND($G$505=10,SUM($G$500:$G$504)&gt;0)</formula>
    </cfRule>
  </conditionalFormatting>
  <conditionalFormatting sqref="G500:G501">
    <cfRule type="expression" dxfId="587" priority="1166">
      <formula>OR(AND($G$500="Met",$G$502="No attached garage"),AND($G$500="No attached garage",$G$502="Met"))</formula>
    </cfRule>
    <cfRule type="expression" dxfId="586" priority="1167" stopIfTrue="1">
      <formula>OR(AND($G$505=10,$G$500="Met"),AND($G$500="No attached garage",$G$504=4))</formula>
    </cfRule>
    <cfRule type="expression" dxfId="585" priority="1168">
      <formula>OR(choice901.3_1_a="",choice901.3_1_a="Not Met")</formula>
    </cfRule>
  </conditionalFormatting>
  <conditionalFormatting sqref="G502:G503">
    <cfRule type="expression" dxfId="584" priority="1163">
      <formula>OR(AND($G$500="Met",$G$502="No attached garage"),AND($G$500="No attached garage",$G$502="Met"))</formula>
    </cfRule>
    <cfRule type="expression" dxfId="583" priority="1164" stopIfTrue="1">
      <formula>OR(AND($G$502="Met",$G$505=10),AND($G$502="No attached garage",$G$504=4))</formula>
    </cfRule>
    <cfRule type="expression" dxfId="582" priority="1165" stopIfTrue="1">
      <formula>OR(choice901.3_1_b="",choice901.3_1_b="Not Met")</formula>
    </cfRule>
  </conditionalFormatting>
  <conditionalFormatting sqref="G504 J504">
    <cfRule type="expression" dxfId="581" priority="1162" stopIfTrue="1">
      <formula>AND($G$504&gt;0,$G$505&gt;0)</formula>
    </cfRule>
  </conditionalFormatting>
  <conditionalFormatting sqref="G579 J579">
    <cfRule type="expression" dxfId="580" priority="1161" stopIfTrue="1">
      <formula>AND($G$579&gt;0,SUM($G$580:$G$582)&gt;0)</formula>
    </cfRule>
  </conditionalFormatting>
  <conditionalFormatting sqref="G580">
    <cfRule type="expression" dxfId="579" priority="1160" stopIfTrue="1">
      <formula>AND($G$580&gt;0,SUM($G$579,$G$581:$G$582)&gt;0)</formula>
    </cfRule>
  </conditionalFormatting>
  <conditionalFormatting sqref="G581">
    <cfRule type="expression" dxfId="578" priority="1159" stopIfTrue="1">
      <formula>AND($G$581&gt;0,SUM($G$579:$G$580,$G$582)&gt;0)</formula>
    </cfRule>
  </conditionalFormatting>
  <conditionalFormatting sqref="G582">
    <cfRule type="expression" dxfId="577" priority="1158" stopIfTrue="1">
      <formula>AND($G$582&gt;0,SUM($G$579:$G$581)&gt;0)</formula>
    </cfRule>
  </conditionalFormatting>
  <conditionalFormatting sqref="G587 J587">
    <cfRule type="expression" dxfId="576" priority="1157" stopIfTrue="1">
      <formula>OR(AND($G$587&gt;0,LEFT($G$586,3)&lt;&gt;"Met"),AND($G$587&gt;0,OR($G$588&gt;0,$G$590&gt;0)))</formula>
    </cfRule>
  </conditionalFormatting>
  <conditionalFormatting sqref="G588">
    <cfRule type="expression" dxfId="575" priority="1156" stopIfTrue="1">
      <formula>OR(AND($G$588&gt;0,LEFT($G$586,3)&lt;&gt;"Met"),AND($G$588&gt;0,OR($G$587&gt;0,$G$590&gt;0)))</formula>
    </cfRule>
  </conditionalFormatting>
  <conditionalFormatting sqref="G592:G593 J592:J593">
    <cfRule type="expression" dxfId="574" priority="1155" stopIfTrue="1">
      <formula>AND($G$592&gt;0,$G$593&gt;0)</formula>
    </cfRule>
  </conditionalFormatting>
  <conditionalFormatting sqref="AF1">
    <cfRule type="expression" dxfId="573" priority="1154" stopIfTrue="1">
      <formula>OR(finalLevelReached="Emerald", finalLevelReached="Gold", finalLevelReached="Silver", finalLevelReached="Bronze")</formula>
    </cfRule>
  </conditionalFormatting>
  <conditionalFormatting sqref="K569">
    <cfRule type="expression" dxfId="572" priority="1153" stopIfTrue="1">
      <formula>$G$569&gt;0</formula>
    </cfRule>
  </conditionalFormatting>
  <conditionalFormatting sqref="G229">
    <cfRule type="expression" dxfId="571" priority="1151" stopIfTrue="1">
      <formula>OR($G$229=0, $G$229="Not Met")</formula>
    </cfRule>
  </conditionalFormatting>
  <conditionalFormatting sqref="G320">
    <cfRule type="expression" dxfId="570" priority="1149" stopIfTrue="1">
      <formula>OR($G$320="Not Met", $G$320=0)</formula>
    </cfRule>
  </conditionalFormatting>
  <conditionalFormatting sqref="G321">
    <cfRule type="expression" dxfId="569" priority="1148" stopIfTrue="1">
      <formula>OR($G$321="Not Met", $G$321=0)</formula>
    </cfRule>
  </conditionalFormatting>
  <conditionalFormatting sqref="G323:H323">
    <cfRule type="expression" dxfId="568" priority="1147" stopIfTrue="1">
      <formula>OR($G$323="Not Met", $G$323=0)</formula>
    </cfRule>
  </conditionalFormatting>
  <conditionalFormatting sqref="H325:I325 G324:G325 G327:G329">
    <cfRule type="expression" dxfId="567" priority="1146" stopIfTrue="1">
      <formula>OR($G$324="Not Met", $G$324=0)</formula>
    </cfRule>
  </conditionalFormatting>
  <conditionalFormatting sqref="G566">
    <cfRule type="expression" dxfId="566" priority="1144" stopIfTrue="1">
      <formula>OR(claim902.1.1_2="", $G$566="Not Met")</formula>
    </cfRule>
  </conditionalFormatting>
  <conditionalFormatting sqref="G586">
    <cfRule type="expression" dxfId="565" priority="1143" stopIfTrue="1">
      <formula>OR($G$586="Not Met", $G$586=0)</formula>
    </cfRule>
  </conditionalFormatting>
  <conditionalFormatting sqref="G598:G599 J598:J599">
    <cfRule type="expression" dxfId="564" priority="1142" stopIfTrue="1">
      <formula>OR($G$598="Met", $G$598="N/A")</formula>
    </cfRule>
  </conditionalFormatting>
  <conditionalFormatting sqref="G498 J498">
    <cfRule type="expression" dxfId="563" priority="1141" stopIfTrue="1">
      <formula>AND($G$498=7, SUM($G$489,$G$491,$G$493,$G$495,$G$497)&gt;0)</formula>
    </cfRule>
  </conditionalFormatting>
  <conditionalFormatting sqref="G590 J590">
    <cfRule type="expression" dxfId="562" priority="1140" stopIfTrue="1">
      <formula>OR(AND($G$590&gt;0,$G$586="Met"),AND($G$590&gt;0, OR($G$587&gt;0, $G$588&gt;0)))</formula>
    </cfRule>
  </conditionalFormatting>
  <conditionalFormatting sqref="G612">
    <cfRule type="expression" dxfId="561" priority="1137" stopIfTrue="1">
      <formula>AND($G$612&lt;&gt;"Met",$G$612&lt;&gt;"NA")</formula>
    </cfRule>
    <cfRule type="expression" dxfId="560" priority="1138" stopIfTrue="1">
      <formula>AND($G$612="Met", startSingleorMulti&lt;&gt;"Single-Family")</formula>
    </cfRule>
    <cfRule type="expression" dxfId="559" priority="1139" stopIfTrue="1">
      <formula>OR($G$612="Met", $G$612="N/A")</formula>
    </cfRule>
  </conditionalFormatting>
  <conditionalFormatting sqref="G613">
    <cfRule type="expression" dxfId="558" priority="1134">
      <formula>AND($G$613&lt;&gt;"Met",$G$613&lt;&gt;"NA")</formula>
    </cfRule>
    <cfRule type="expression" dxfId="557" priority="1135" stopIfTrue="1">
      <formula>AND($G$613="Met", startSingleorMulti&lt;&gt;"Single-Family")</formula>
    </cfRule>
    <cfRule type="expression" dxfId="556" priority="1136" stopIfTrue="1">
      <formula>OR($G$613="Met", $G$613="N/A")</formula>
    </cfRule>
  </conditionalFormatting>
  <conditionalFormatting sqref="G614">
    <cfRule type="expression" dxfId="555" priority="1131">
      <formula>AND($G$614&lt;&gt;"Met",$G$614&lt;&gt;"NA")</formula>
    </cfRule>
    <cfRule type="expression" dxfId="554" priority="1132" stopIfTrue="1">
      <formula>AND($G$612="Met", startSingleorMulti&lt;&gt;"Single-Family")</formula>
    </cfRule>
    <cfRule type="expression" dxfId="553" priority="1133" stopIfTrue="1">
      <formula>OR($G$614="Met", $G$614="N/A")</formula>
    </cfRule>
  </conditionalFormatting>
  <conditionalFormatting sqref="G638 J638">
    <cfRule type="expression" dxfId="552" priority="1129" stopIfTrue="1">
      <formula>AND($G$638="Met", startSingleorMulti&lt;&gt;"Multi-Unit")</formula>
    </cfRule>
    <cfRule type="expression" dxfId="551" priority="1130" stopIfTrue="1">
      <formula>OR($G$638="Met", $G$638="N/A")</formula>
    </cfRule>
  </conditionalFormatting>
  <conditionalFormatting sqref="G639 J639">
    <cfRule type="expression" dxfId="550" priority="1127" stopIfTrue="1">
      <formula>AND($G$639="Met", startSingleorMulti&lt;&gt;"Multi-Unit")</formula>
    </cfRule>
    <cfRule type="expression" dxfId="549" priority="1128" stopIfTrue="1">
      <formula>OR($G$639="Met", $G$639="N/A")</formula>
    </cfRule>
  </conditionalFormatting>
  <conditionalFormatting sqref="G640 J640">
    <cfRule type="expression" dxfId="548" priority="1125" stopIfTrue="1">
      <formula>AND($G$640="Met", startSingleorMulti&lt;&gt;"Multi-Unit")</formula>
    </cfRule>
    <cfRule type="expression" dxfId="547" priority="1126" stopIfTrue="1">
      <formula>OR($G$640="Met", $G$640="N/A")</formula>
    </cfRule>
  </conditionalFormatting>
  <conditionalFormatting sqref="G658">
    <cfRule type="expression" dxfId="546" priority="1123" stopIfTrue="1">
      <formula>AND($G$658="Met",startSingleorMulti&lt;&gt;"Multi-Unit")</formula>
    </cfRule>
    <cfRule type="expression" dxfId="545" priority="1124" stopIfTrue="1">
      <formula>OR($G$658="Met", $G$658="N/A")</formula>
    </cfRule>
  </conditionalFormatting>
  <conditionalFormatting sqref="G647">
    <cfRule type="expression" dxfId="544" priority="1121" stopIfTrue="1">
      <formula>AND($G$647="Met", startSingleorMulti&lt;&gt;"Multi-Unit")</formula>
    </cfRule>
    <cfRule type="expression" dxfId="543" priority="1122" stopIfTrue="1">
      <formula>OR($G$647="Met", $G$647="N/A")</formula>
    </cfRule>
  </conditionalFormatting>
  <conditionalFormatting sqref="G648">
    <cfRule type="expression" dxfId="542" priority="1119" stopIfTrue="1">
      <formula>AND($G$648="Met", startSingleorMulti&lt;&gt;"Multi-Unit")</formula>
    </cfRule>
    <cfRule type="expression" dxfId="541" priority="1120" stopIfTrue="1">
      <formula>OR($G$648="Met", $G$648="N/A")</formula>
    </cfRule>
  </conditionalFormatting>
  <conditionalFormatting sqref="G649">
    <cfRule type="expression" dxfId="540" priority="1117" stopIfTrue="1">
      <formula>AND($G$649="Met", startSingleorMulti&lt;&gt;"Multi-Unit")</formula>
    </cfRule>
    <cfRule type="expression" dxfId="539" priority="1118" stopIfTrue="1">
      <formula>OR($G$649="Met", $G$649="N/A")</formula>
    </cfRule>
  </conditionalFormatting>
  <conditionalFormatting sqref="G583 J583">
    <cfRule type="expression" dxfId="538" priority="1115" stopIfTrue="1">
      <formula>AND($G$583&gt;0, SUM($G$579:$G$582)=0)</formula>
    </cfRule>
  </conditionalFormatting>
  <conditionalFormatting sqref="E8">
    <cfRule type="expression" dxfId="537" priority="1114" stopIfTrue="1">
      <formula>$E$8&lt;&gt;" "</formula>
    </cfRule>
  </conditionalFormatting>
  <conditionalFormatting sqref="G558:G559 J558:J559">
    <cfRule type="expression" dxfId="536" priority="1098" stopIfTrue="1">
      <formula>AND($G$558=1, OR(startMultiUnits&lt;2, startSingleorMulti&lt;&gt;"Multi-Unit"))</formula>
    </cfRule>
  </conditionalFormatting>
  <conditionalFormatting sqref="G641 J641">
    <cfRule type="expression" dxfId="535" priority="1097" stopIfTrue="1">
      <formula>AND($G$641="Met", startSingleorMulti&lt;&gt;"Multi-Unit")</formula>
    </cfRule>
  </conditionalFormatting>
  <conditionalFormatting sqref="G615 J615">
    <cfRule type="expression" dxfId="534" priority="1095" stopIfTrue="1">
      <formula>AND($G$615="Met", startSingleorMulti&lt;&gt;"Single-Family")</formula>
    </cfRule>
  </conditionalFormatting>
  <conditionalFormatting sqref="G616 J616">
    <cfRule type="expression" dxfId="533" priority="1094" stopIfTrue="1">
      <formula>AND($G$616="Met", startSingleorMulti&lt;&gt;"Single-Family")</formula>
    </cfRule>
  </conditionalFormatting>
  <conditionalFormatting sqref="G617 J617">
    <cfRule type="expression" dxfId="532" priority="1093" stopIfTrue="1">
      <formula>AND($G$617="Met", startSingleorMulti&lt;&gt;"Single-Family")</formula>
    </cfRule>
  </conditionalFormatting>
  <conditionalFormatting sqref="G618 J618">
    <cfRule type="expression" dxfId="531" priority="1092" stopIfTrue="1">
      <formula>AND($G$618="Met", startSingleorMulti&lt;&gt;"Single-Family")</formula>
    </cfRule>
  </conditionalFormatting>
  <conditionalFormatting sqref="G619 J619">
    <cfRule type="expression" dxfId="530" priority="1091" stopIfTrue="1">
      <formula>AND($G$619="Met", startSingleorMulti&lt;&gt;"Single-Family")</formula>
    </cfRule>
  </conditionalFormatting>
  <conditionalFormatting sqref="G620 J620">
    <cfRule type="expression" dxfId="529" priority="1090" stopIfTrue="1">
      <formula>AND($G$620="Met", startSingleorMulti&lt;&gt;"Single-Family")</formula>
    </cfRule>
  </conditionalFormatting>
  <conditionalFormatting sqref="G621 J621">
    <cfRule type="expression" dxfId="528" priority="1089" stopIfTrue="1">
      <formula>AND($G$621="Met", startSingleorMulti&lt;&gt;"Single-Family")</formula>
    </cfRule>
  </conditionalFormatting>
  <conditionalFormatting sqref="G622 J622">
    <cfRule type="expression" dxfId="527" priority="1088" stopIfTrue="1">
      <formula>AND($G$622="Met", startSingleorMulti&lt;&gt;"Single-Family")</formula>
    </cfRule>
  </conditionalFormatting>
  <conditionalFormatting sqref="G623 J623">
    <cfRule type="expression" dxfId="526" priority="1087" stopIfTrue="1">
      <formula>AND($G$623="Met", startSingleorMulti&lt;&gt;"Single-Family")</formula>
    </cfRule>
  </conditionalFormatting>
  <conditionalFormatting sqref="G624 J624">
    <cfRule type="expression" dxfId="525" priority="1086" stopIfTrue="1">
      <formula>AND($G$624="Met", startSingleorMulti&lt;&gt;"Single-Family")</formula>
    </cfRule>
  </conditionalFormatting>
  <conditionalFormatting sqref="G625 J625">
    <cfRule type="expression" dxfId="524" priority="1085" stopIfTrue="1">
      <formula>AND($G$625="Met", startSingleorMulti&lt;&gt;"Single-Family")</formula>
    </cfRule>
  </conditionalFormatting>
  <conditionalFormatting sqref="G626 J626">
    <cfRule type="expression" dxfId="523" priority="1084" stopIfTrue="1">
      <formula>AND($G$626="Met", startSingleorMulti&lt;&gt;"Single-Family")</formula>
    </cfRule>
  </conditionalFormatting>
  <conditionalFormatting sqref="G627 J627">
    <cfRule type="expression" dxfId="522" priority="1083" stopIfTrue="1">
      <formula>AND($G$627="Met", startSingleorMulti&lt;&gt;"Single-Family")</formula>
    </cfRule>
  </conditionalFormatting>
  <conditionalFormatting sqref="G628 J628">
    <cfRule type="expression" dxfId="521" priority="1082" stopIfTrue="1">
      <formula>AND($G$628="Met", startSingleorMulti&lt;&gt;"Single-Family")</formula>
    </cfRule>
  </conditionalFormatting>
  <conditionalFormatting sqref="G629 J629">
    <cfRule type="expression" dxfId="520" priority="1081" stopIfTrue="1">
      <formula>AND($G$629="Met", startSingleorMulti&lt;&gt;"Single-Family")</formula>
    </cfRule>
  </conditionalFormatting>
  <conditionalFormatting sqref="G630 J630">
    <cfRule type="expression" dxfId="519" priority="1080" stopIfTrue="1">
      <formula>AND($G$630="Met", startSingleorMulti&lt;&gt;"Single-Family")</formula>
    </cfRule>
  </conditionalFormatting>
  <conditionalFormatting sqref="G631:G632 J631:J632">
    <cfRule type="expression" dxfId="518" priority="1079" stopIfTrue="1">
      <formula>AND($G$631="Met", startSingleorMulti&lt;&gt;"Single-Family")</formula>
    </cfRule>
  </conditionalFormatting>
  <conditionalFormatting sqref="G637 J637">
    <cfRule type="expression" dxfId="517" priority="1078" stopIfTrue="1">
      <formula>AND($G$637&gt;0, startSingleorMulti&lt;&gt;"Multi-Unit")</formula>
    </cfRule>
  </conditionalFormatting>
  <conditionalFormatting sqref="G642 J642">
    <cfRule type="expression" dxfId="516" priority="1077" stopIfTrue="1">
      <formula>AND($G$642="Met", startSingleorMulti&lt;&gt;"Multi-Unit")</formula>
    </cfRule>
  </conditionalFormatting>
  <conditionalFormatting sqref="G643 J643">
    <cfRule type="expression" dxfId="515" priority="1076" stopIfTrue="1">
      <formula>AND($G$643="Met", startSingleorMulti&lt;&gt;"Multi-Unit")</formula>
    </cfRule>
  </conditionalFormatting>
  <conditionalFormatting sqref="G644 J644">
    <cfRule type="expression" dxfId="514" priority="1075" stopIfTrue="1">
      <formula>AND($G$644="Met", startSingleorMulti&lt;&gt;"Multi-Unit")</formula>
    </cfRule>
  </conditionalFormatting>
  <conditionalFormatting sqref="G645 J645">
    <cfRule type="expression" dxfId="513" priority="1074" stopIfTrue="1">
      <formula>AND($G$645="Met", startSingleorMulti&lt;&gt;"Multi-Unit")</formula>
    </cfRule>
  </conditionalFormatting>
  <conditionalFormatting sqref="G646 J646">
    <cfRule type="expression" dxfId="512" priority="1073" stopIfTrue="1">
      <formula>AND($G$646&gt;0, startSingleorMulti&lt;&gt;"Multi-Unit")</formula>
    </cfRule>
  </conditionalFormatting>
  <conditionalFormatting sqref="G650 J650">
    <cfRule type="expression" dxfId="511" priority="1072" stopIfTrue="1">
      <formula>AND($G$650="Met", startSingleorMulti&lt;&gt;"Multi-Unit")</formula>
    </cfRule>
  </conditionalFormatting>
  <conditionalFormatting sqref="G651 J651">
    <cfRule type="expression" dxfId="510" priority="1071" stopIfTrue="1">
      <formula>AND($G$651="Met", startSingleorMulti&lt;&gt;"Multi-Unit")</formula>
    </cfRule>
  </conditionalFormatting>
  <conditionalFormatting sqref="G652 J652">
    <cfRule type="expression" dxfId="509" priority="1070" stopIfTrue="1">
      <formula>AND($G$652="Met", startSingleorMulti&lt;&gt;"Multi-Unit")</formula>
    </cfRule>
  </conditionalFormatting>
  <conditionalFormatting sqref="G653 J653">
    <cfRule type="expression" dxfId="508" priority="1069" stopIfTrue="1">
      <formula>AND($G$653="Met", startSingleorMulti&lt;&gt;"Multi-Unit")</formula>
    </cfRule>
  </conditionalFormatting>
  <conditionalFormatting sqref="G654 J654">
    <cfRule type="expression" dxfId="507" priority="1068" stopIfTrue="1">
      <formula>AND($G$654="Met", startSingleorMulti&lt;&gt;"Multi-Unit")</formula>
    </cfRule>
  </conditionalFormatting>
  <conditionalFormatting sqref="G655 J655">
    <cfRule type="expression" dxfId="506" priority="1067" stopIfTrue="1">
      <formula>AND($G$655="Met", startSingleorMulti&lt;&gt;"Multi-Unit")</formula>
    </cfRule>
  </conditionalFormatting>
  <conditionalFormatting sqref="G656 J656">
    <cfRule type="expression" dxfId="505" priority="1066" stopIfTrue="1">
      <formula>AND($G$656="Met", startSingleorMulti&lt;&gt;"Multi-Unit")</formula>
    </cfRule>
  </conditionalFormatting>
  <conditionalFormatting sqref="G657 J657">
    <cfRule type="expression" dxfId="504" priority="1065" stopIfTrue="1">
      <formula>AND($G$657&gt;0, startSingleorMulti&lt;&gt;"Multi-Unit")</formula>
    </cfRule>
  </conditionalFormatting>
  <conditionalFormatting sqref="G659 J659">
    <cfRule type="expression" dxfId="503" priority="1064" stopIfTrue="1">
      <formula>AND($G$659="Met",startSingleorMulti&lt;&gt;"Multi-Unit")</formula>
    </cfRule>
  </conditionalFormatting>
  <conditionalFormatting sqref="G660 J660">
    <cfRule type="expression" dxfId="502" priority="1063" stopIfTrue="1">
      <formula>AND($G$660="Met",startSingleorMulti&lt;&gt;"Multi-Unit")</formula>
    </cfRule>
  </conditionalFormatting>
  <conditionalFormatting sqref="G661 J661">
    <cfRule type="expression" dxfId="501" priority="1062" stopIfTrue="1">
      <formula>AND($G$661="Met",startSingleorMulti&lt;&gt;"Multi-Unit")</formula>
    </cfRule>
  </conditionalFormatting>
  <conditionalFormatting sqref="G662 J662">
    <cfRule type="expression" dxfId="500" priority="1061" stopIfTrue="1">
      <formula>AND($G$662="Met",startSingleorMulti&lt;&gt;"Multi-Unit")</formula>
    </cfRule>
  </conditionalFormatting>
  <conditionalFormatting sqref="G663 J663">
    <cfRule type="expression" dxfId="499" priority="1060" stopIfTrue="1">
      <formula>AND($G$663="Met",startSingleorMulti&lt;&gt;"Multi-Unit")</formula>
    </cfRule>
  </conditionalFormatting>
  <conditionalFormatting sqref="G664 J664">
    <cfRule type="expression" dxfId="498" priority="1059" stopIfTrue="1">
      <formula>AND($G$664="Met",startSingleorMulti&lt;&gt;"Multi-Unit")</formula>
    </cfRule>
  </conditionalFormatting>
  <conditionalFormatting sqref="G665 J665">
    <cfRule type="expression" dxfId="497" priority="1058" stopIfTrue="1">
      <formula>AND($G$665="Met",startSingleorMulti&lt;&gt;"Multi-Unit")</formula>
    </cfRule>
  </conditionalFormatting>
  <conditionalFormatting sqref="G666 J666">
    <cfRule type="expression" dxfId="496" priority="1057" stopIfTrue="1">
      <formula>AND($G$666="Met",startSingleorMulti&lt;&gt;"Multi-Unit")</formula>
    </cfRule>
  </conditionalFormatting>
  <conditionalFormatting sqref="K568">
    <cfRule type="expression" dxfId="495" priority="1055" stopIfTrue="1">
      <formula>$K$568&lt;&gt;0</formula>
    </cfRule>
  </conditionalFormatting>
  <conditionalFormatting sqref="K472">
    <cfRule type="expression" dxfId="494" priority="1054" stopIfTrue="1">
      <formula>$K$472&lt;&gt;0</formula>
    </cfRule>
  </conditionalFormatting>
  <conditionalFormatting sqref="G198">
    <cfRule type="expression" dxfId="493" priority="1052">
      <formula>OR($G$198=0,$G$198="Not Met")</formula>
    </cfRule>
  </conditionalFormatting>
  <conditionalFormatting sqref="G68 J68">
    <cfRule type="expression" dxfId="492" priority="1047">
      <formula>AND($G$68&gt;0,$G$68&lt;&gt;$F$68)</formula>
    </cfRule>
  </conditionalFormatting>
  <conditionalFormatting sqref="G110:I110">
    <cfRule type="expression" dxfId="491" priority="1045">
      <formula>AND(startSingleorMulti&lt;&gt;"Multi-Unit",$G$110&lt;&gt;0)</formula>
    </cfRule>
    <cfRule type="expression" dxfId="490" priority="1046">
      <formula>startSingleorMulti&lt;&gt;"Multi-Unit"</formula>
    </cfRule>
  </conditionalFormatting>
  <conditionalFormatting sqref="G480:G481">
    <cfRule type="expression" dxfId="489" priority="1008">
      <formula>AND($G$480="No gas fireplace or heating equipment",$G$482=7)</formula>
    </cfRule>
    <cfRule type="expression" dxfId="488" priority="1009">
      <formula>OR($G$480=0,$G$480="Not Met")</formula>
    </cfRule>
  </conditionalFormatting>
  <conditionalFormatting sqref="G482:G485 J483:J484">
    <cfRule type="expression" dxfId="487" priority="1007">
      <formula>AND($G$482=7,$G$480="No gas fireplace or heating equipment")</formula>
    </cfRule>
  </conditionalFormatting>
  <conditionalFormatting sqref="G488:G489">
    <cfRule type="expression" dxfId="486" priority="1004">
      <formula>AND($G$489=4,$G$498=7)</formula>
    </cfRule>
    <cfRule type="expression" dxfId="485" priority="1005">
      <formula>OR(choice901.2.1_1="",choice901.2.1_1="Not Met")</formula>
    </cfRule>
  </conditionalFormatting>
  <conditionalFormatting sqref="G490:G491">
    <cfRule type="expression" dxfId="484" priority="1002">
      <formula>AND($G$491=6,$G$498=7)</formula>
    </cfRule>
    <cfRule type="expression" dxfId="483" priority="1003">
      <formula>OR(choice901.2.1_2="",choice901.2.1_2="Not Met")</formula>
    </cfRule>
  </conditionalFormatting>
  <conditionalFormatting sqref="G492:G493">
    <cfRule type="expression" dxfId="482" priority="1000">
      <formula>AND($G$493=6,$G$498=7)</formula>
    </cfRule>
    <cfRule type="expression" dxfId="481" priority="1001">
      <formula>OR(choice901.2.1_3="",choice901.2.1_3="Not Met")</formula>
    </cfRule>
  </conditionalFormatting>
  <conditionalFormatting sqref="G494:G495">
    <cfRule type="expression" dxfId="480" priority="998">
      <formula>AND($G$495=6,$G$498=7)</formula>
    </cfRule>
    <cfRule type="expression" dxfId="479" priority="999">
      <formula>OR(choice901.2.1_4="",choice901.2.1_4="Not Met")</formula>
    </cfRule>
  </conditionalFormatting>
  <conditionalFormatting sqref="G496:G497">
    <cfRule type="expression" dxfId="478" priority="996">
      <formula>AND($G$497=6,$G$498=7)</formula>
    </cfRule>
    <cfRule type="expression" dxfId="477" priority="997">
      <formula>OR(choice901.2.1_5="",choice901.2.1_5="Not Met")</formula>
    </cfRule>
  </conditionalFormatting>
  <conditionalFormatting sqref="G506">
    <cfRule type="expression" dxfId="476" priority="995" stopIfTrue="1">
      <formula>OR(claim901.4_1="",claim901.4_1="Not Met")</formula>
    </cfRule>
  </conditionalFormatting>
  <conditionalFormatting sqref="G509 J509">
    <cfRule type="expression" dxfId="475" priority="994">
      <formula>AND($G$509=2,SUM($G$514,$G$519,$G$524,$G$529)&gt;0)</formula>
    </cfRule>
  </conditionalFormatting>
  <conditionalFormatting sqref="G514 J514">
    <cfRule type="expression" dxfId="474" priority="993">
      <formula>AND($G$514=2,SUM($G$509,$G$519,$G$524,$G$529)&gt;0)</formula>
    </cfRule>
  </conditionalFormatting>
  <conditionalFormatting sqref="G519 J519">
    <cfRule type="expression" dxfId="473" priority="992">
      <formula>AND($G$519=3,SUM($G$509,$G$514,$G$524,$G$529)&gt;0)</formula>
    </cfRule>
  </conditionalFormatting>
  <conditionalFormatting sqref="G524">
    <cfRule type="expression" dxfId="472" priority="991">
      <formula>AND($G$524=4,SUM($G$509,$G$514,$G$519,$G$529)&gt;0)</formula>
    </cfRule>
  </conditionalFormatting>
  <conditionalFormatting sqref="G529 J529">
    <cfRule type="expression" dxfId="471" priority="990">
      <formula>AND($G$529=4,SUM($G$509,$G$514,$G$519,$G$524)&gt;0)</formula>
    </cfRule>
  </conditionalFormatting>
  <conditionalFormatting sqref="G510">
    <cfRule type="expression" dxfId="470" priority="989">
      <formula>AND($G$510=2,SUM($G$515,$G$520,$G$525,$G$530)&gt;0)</formula>
    </cfRule>
  </conditionalFormatting>
  <conditionalFormatting sqref="G515">
    <cfRule type="expression" dxfId="469" priority="988">
      <formula>AND($G$515=2,SUM($G$510,$G$520,$G$525,$G$530)&gt;0)</formula>
    </cfRule>
  </conditionalFormatting>
  <conditionalFormatting sqref="G520">
    <cfRule type="expression" dxfId="468" priority="987">
      <formula>AND($G$520=3,SUM($G$510,$G$515,$G$525,$G$530)&gt;0)</formula>
    </cfRule>
  </conditionalFormatting>
  <conditionalFormatting sqref="G525">
    <cfRule type="expression" dxfId="467" priority="986">
      <formula>AND($G$525=4,SUM($G$510,$G$515,$G$520,$G$530)&gt;0)</formula>
    </cfRule>
  </conditionalFormatting>
  <conditionalFormatting sqref="G530">
    <cfRule type="expression" dxfId="466" priority="985">
      <formula>AND($G$530=4,SUM($G$510,$G$515,$G$520,$G$525)&gt;0)</formula>
    </cfRule>
  </conditionalFormatting>
  <conditionalFormatting sqref="G511">
    <cfRule type="expression" dxfId="465" priority="984">
      <formula>AND($G$511=2,SUM($G$516,$G$521,$G$526,$G$531)&gt;0)</formula>
    </cfRule>
  </conditionalFormatting>
  <conditionalFormatting sqref="G516">
    <cfRule type="expression" dxfId="464" priority="983">
      <formula>AND($G$516=2,SUM($G$511,$G$521,$G$526,$G$531)&gt;0)</formula>
    </cfRule>
  </conditionalFormatting>
  <conditionalFormatting sqref="G521">
    <cfRule type="expression" dxfId="463" priority="982">
      <formula>AND($G$521=3,SUM($G$511,$G$516,$G$526,$G$531)&gt;0)</formula>
    </cfRule>
  </conditionalFormatting>
  <conditionalFormatting sqref="G526">
    <cfRule type="expression" dxfId="462" priority="981">
      <formula>AND($G$526=4,SUM($G$511,$G$516,$G$521,$G$531)&gt;0)</formula>
    </cfRule>
  </conditionalFormatting>
  <conditionalFormatting sqref="G531">
    <cfRule type="expression" dxfId="461" priority="980">
      <formula>AND($G$531=4,SUM($G$511,$G$516,$G$521,$G$526)&gt;0)</formula>
    </cfRule>
  </conditionalFormatting>
  <conditionalFormatting sqref="G512">
    <cfRule type="expression" dxfId="460" priority="979">
      <formula>AND($G$512=2,SUM($G$517,$G$522,$G$527,$G$532)&gt;0)</formula>
    </cfRule>
  </conditionalFormatting>
  <conditionalFormatting sqref="G517">
    <cfRule type="expression" dxfId="459" priority="978">
      <formula>AND($G$517=2,SUM($G$512,$G$522,$G$527,$G$532)&gt;0)</formula>
    </cfRule>
  </conditionalFormatting>
  <conditionalFormatting sqref="G522">
    <cfRule type="expression" dxfId="458" priority="977">
      <formula>AND($G$522=3,SUM($G$512,$G$517,$G$527,$G$532)&gt;0)</formula>
    </cfRule>
  </conditionalFormatting>
  <conditionalFormatting sqref="G527">
    <cfRule type="expression" dxfId="457" priority="976">
      <formula>AND($G$527=4,SUM($G$512,$G$517,$G$522,$G$532)&gt;0)</formula>
    </cfRule>
  </conditionalFormatting>
  <conditionalFormatting sqref="G532">
    <cfRule type="expression" dxfId="456" priority="975">
      <formula>AND($G$532=4,SUM($G$512,$G$517,$G$522,$G$527)&gt;0)</formula>
    </cfRule>
  </conditionalFormatting>
  <conditionalFormatting sqref="G537">
    <cfRule type="expression" dxfId="455" priority="974">
      <formula>OR($G$537=0,$G$537="Not Met")</formula>
    </cfRule>
  </conditionalFormatting>
  <conditionalFormatting sqref="G545:G546 J545:J546">
    <cfRule type="expression" dxfId="454" priority="973" stopIfTrue="1">
      <formula>AND($G$545=8,$G$543=5)</formula>
    </cfRule>
  </conditionalFormatting>
  <conditionalFormatting sqref="G543 J543">
    <cfRule type="expression" dxfId="453" priority="972">
      <formula>AND($G$543=5,$G$545=8)</formula>
    </cfRule>
  </conditionalFormatting>
  <conditionalFormatting sqref="G564">
    <cfRule type="expression" dxfId="452" priority="964" stopIfTrue="1">
      <formula>OR($G$564=0,$G$564="Not Met")</formula>
    </cfRule>
  </conditionalFormatting>
  <conditionalFormatting sqref="G578">
    <cfRule type="expression" dxfId="451" priority="962">
      <formula>AND(choice902.2.1="N/A - air infiltration rate greater than 5 ACH50",OR(AND(ch7blowerdoor&lt;&gt;"",ch7blowerdoor&lt;5),AND(ch7ACH50&lt;&gt;"",ch7ACH50&lt;5)))</formula>
    </cfRule>
    <cfRule type="expression" dxfId="450" priority="963">
      <formula>OR($G$578=0,$G$578="Not Met")</formula>
    </cfRule>
  </conditionalFormatting>
  <conditionalFormatting sqref="G595">
    <cfRule type="expression" dxfId="449" priority="961">
      <formula>OR($G$595=0,$G$595="Not Met")</formula>
    </cfRule>
  </conditionalFormatting>
  <conditionalFormatting sqref="G167:H167">
    <cfRule type="expression" dxfId="448" priority="959">
      <formula>OR($H$167=0,$H$167="Not Met")</formula>
    </cfRule>
  </conditionalFormatting>
  <conditionalFormatting sqref="G172:H172">
    <cfRule type="expression" dxfId="447" priority="957">
      <formula>OR($H$172=0,$H$172="Not Met")</formula>
    </cfRule>
  </conditionalFormatting>
  <conditionalFormatting sqref="G181:H181">
    <cfRule type="expression" dxfId="446" priority="953">
      <formula>$H$181=""</formula>
    </cfRule>
  </conditionalFormatting>
  <conditionalFormatting sqref="G215">
    <cfRule type="expression" dxfId="445" priority="949">
      <formula>OR($G$215=0,$G$215="Not Met")</formula>
    </cfRule>
  </conditionalFormatting>
  <conditionalFormatting sqref="G223">
    <cfRule type="expression" dxfId="444" priority="947">
      <formula>OR($G$223=0,$G$223="Not Met")</formula>
    </cfRule>
  </conditionalFormatting>
  <conditionalFormatting sqref="G222">
    <cfRule type="expression" dxfId="443" priority="946">
      <formula>OR($G$222=0,$G$222="Not Met")</formula>
    </cfRule>
  </conditionalFormatting>
  <conditionalFormatting sqref="G330:G333">
    <cfRule type="expression" dxfId="442" priority="941">
      <formula>AND($G$330=0,$G$332=0,$G$333=0)</formula>
    </cfRule>
  </conditionalFormatting>
  <conditionalFormatting sqref="G330:G331">
    <cfRule type="expression" dxfId="441" priority="940">
      <formula>$G$330="Not Met"</formula>
    </cfRule>
  </conditionalFormatting>
  <conditionalFormatting sqref="G332">
    <cfRule type="expression" dxfId="440" priority="938">
      <formula>AND($G$330&lt;&gt;"Met",$G$332&gt;0)</formula>
    </cfRule>
    <cfRule type="expression" dxfId="439" priority="939">
      <formula>AND($G$330="Not Met",$G$332=0)</formula>
    </cfRule>
  </conditionalFormatting>
  <conditionalFormatting sqref="G334">
    <cfRule type="expression" dxfId="438" priority="937">
      <formula>OR($G$334="Not Met",$G$334=0)</formula>
    </cfRule>
  </conditionalFormatting>
  <conditionalFormatting sqref="G335">
    <cfRule type="expression" dxfId="437" priority="936">
      <formula>OR($G$335="Not Met",$G$335=0)</formula>
    </cfRule>
  </conditionalFormatting>
  <conditionalFormatting sqref="G336">
    <cfRule type="expression" dxfId="436" priority="935">
      <formula>OR($G$336="Not Met",$G$336=0)</formula>
    </cfRule>
  </conditionalFormatting>
  <conditionalFormatting sqref="G584 J584">
    <cfRule type="expression" dxfId="435" priority="837">
      <formula>AND($G$584&gt;0,#REF!&gt;0,#REF!&gt;0)</formula>
    </cfRule>
  </conditionalFormatting>
  <conditionalFormatting sqref="F8">
    <cfRule type="expression" dxfId="434" priority="834">
      <formula>$F$8=""</formula>
    </cfRule>
  </conditionalFormatting>
  <conditionalFormatting sqref="J24">
    <cfRule type="expression" dxfId="433" priority="831" stopIfTrue="1">
      <formula>AND($J$24="",$J$23&lt;&gt;"")</formula>
    </cfRule>
    <cfRule type="expression" dxfId="432" priority="832">
      <formula>$J$24&lt;&gt;""</formula>
    </cfRule>
  </conditionalFormatting>
  <conditionalFormatting sqref="J23">
    <cfRule type="expression" dxfId="431" priority="828">
      <formula>AND($I$23&gt;0,$J$24&lt;&gt;"")</formula>
    </cfRule>
  </conditionalFormatting>
  <conditionalFormatting sqref="I8">
    <cfRule type="expression" dxfId="430" priority="827">
      <formula>$I$8=""</formula>
    </cfRule>
  </conditionalFormatting>
  <conditionalFormatting sqref="J20">
    <cfRule type="expression" dxfId="429" priority="823">
      <formula>AND($J$19&lt;&gt;"",$J$20="")</formula>
    </cfRule>
  </conditionalFormatting>
  <conditionalFormatting sqref="J130">
    <cfRule type="expression" dxfId="428" priority="818">
      <formula>$J$130=""</formula>
    </cfRule>
  </conditionalFormatting>
  <conditionalFormatting sqref="L669:M669 K8:L8">
    <cfRule type="expression" dxfId="427" priority="817">
      <formula>$K$8="This Report is NOT Ready To Submit"</formula>
    </cfRule>
  </conditionalFormatting>
  <conditionalFormatting sqref="J241:J242">
    <cfRule type="expression" dxfId="426" priority="816">
      <formula>AND($J$240&lt;&gt;"",$J$241="")</formula>
    </cfRule>
  </conditionalFormatting>
  <conditionalFormatting sqref="J245:J246">
    <cfRule type="expression" dxfId="425" priority="815">
      <formula>AND($J$244&lt;&gt;"",$J$245="")</formula>
    </cfRule>
  </conditionalFormatting>
  <conditionalFormatting sqref="J55:J56">
    <cfRule type="expression" dxfId="424" priority="811">
      <formula>AND($J$54&lt;&gt;"",$J$55="")</formula>
    </cfRule>
  </conditionalFormatting>
  <conditionalFormatting sqref="J57">
    <cfRule type="expression" dxfId="423" priority="808">
      <formula>AND($J$56&lt;&gt;"",$J$57="")</formula>
    </cfRule>
  </conditionalFormatting>
  <conditionalFormatting sqref="J60:J63">
    <cfRule type="expression" dxfId="422" priority="806">
      <formula>AND($J$59&lt;&gt;"",$J$60="")</formula>
    </cfRule>
  </conditionalFormatting>
  <conditionalFormatting sqref="J65">
    <cfRule type="expression" dxfId="421" priority="805">
      <formula>AND($J$64&lt;&gt;"",$J$65="")</formula>
    </cfRule>
  </conditionalFormatting>
  <conditionalFormatting sqref="J67">
    <cfRule type="expression" dxfId="420" priority="4234">
      <formula>AND($G$66&gt;0,$G$66&lt;&gt;$F$66)</formula>
    </cfRule>
  </conditionalFormatting>
  <conditionalFormatting sqref="H78:I78 H76:I76">
    <cfRule type="expression" dxfId="419" priority="5815">
      <formula>AND($G$72=3,SUM($G$74:$G$78)&lt;3)</formula>
    </cfRule>
  </conditionalFormatting>
  <conditionalFormatting sqref="J73">
    <cfRule type="expression" dxfId="418" priority="803">
      <formula>AND($J$72&lt;&gt;"",$J$73="")</formula>
    </cfRule>
  </conditionalFormatting>
  <conditionalFormatting sqref="J75">
    <cfRule type="expression" dxfId="417" priority="802">
      <formula>AND($J$74&lt;&gt;"",$J$75="")</formula>
    </cfRule>
  </conditionalFormatting>
  <conditionalFormatting sqref="J77">
    <cfRule type="expression" dxfId="416" priority="801">
      <formula>AND($J$76&lt;&gt;"",$J$77="")</formula>
    </cfRule>
  </conditionalFormatting>
  <conditionalFormatting sqref="J79">
    <cfRule type="expression" dxfId="415" priority="800">
      <formula>AND($J$78&lt;&gt;"",$J$79="")</formula>
    </cfRule>
  </conditionalFormatting>
  <conditionalFormatting sqref="J85">
    <cfRule type="expression" dxfId="414" priority="799">
      <formula>AND($J$84&lt;&gt;"",$J$85="")</formula>
    </cfRule>
  </conditionalFormatting>
  <conditionalFormatting sqref="J88">
    <cfRule type="expression" dxfId="413" priority="798">
      <formula>AND(J87&lt;&gt;"",J88="")</formula>
    </cfRule>
  </conditionalFormatting>
  <conditionalFormatting sqref="J90">
    <cfRule type="expression" dxfId="412" priority="797">
      <formula>AND(J89&lt;&gt;"",J90="")</formula>
    </cfRule>
  </conditionalFormatting>
  <conditionalFormatting sqref="J95">
    <cfRule type="expression" dxfId="411" priority="796">
      <formula>AND(J94&lt;&gt;"",J95="")</formula>
    </cfRule>
  </conditionalFormatting>
  <conditionalFormatting sqref="J97">
    <cfRule type="expression" dxfId="410" priority="795">
      <formula>AND(J96&lt;&gt;"",J97="")</formula>
    </cfRule>
  </conditionalFormatting>
  <conditionalFormatting sqref="J99">
    <cfRule type="expression" dxfId="409" priority="794">
      <formula>AND(J98&lt;&gt;"",J99="")</formula>
    </cfRule>
  </conditionalFormatting>
  <conditionalFormatting sqref="J101">
    <cfRule type="expression" dxfId="408" priority="793">
      <formula>AND(J100&lt;&gt;"",J101="")</formula>
    </cfRule>
  </conditionalFormatting>
  <conditionalFormatting sqref="J103">
    <cfRule type="expression" dxfId="407" priority="792">
      <formula>AND(J102&lt;&gt;"",J103="")</formula>
    </cfRule>
  </conditionalFormatting>
  <conditionalFormatting sqref="J117">
    <cfRule type="expression" dxfId="406" priority="791">
      <formula>AND(J116&lt;&gt;"",J117="")</formula>
    </cfRule>
  </conditionalFormatting>
  <conditionalFormatting sqref="J119">
    <cfRule type="expression" dxfId="405" priority="790">
      <formula>AND(J118&lt;&gt;"",J119="")</formula>
    </cfRule>
  </conditionalFormatting>
  <conditionalFormatting sqref="H15 H51:H52">
    <cfRule type="expression" dxfId="404" priority="787">
      <formula>AND(H15&gt;0,I15&gt;0)</formula>
    </cfRule>
  </conditionalFormatting>
  <conditionalFormatting sqref="I15 I176 I51:I52">
    <cfRule type="expression" dxfId="403" priority="786">
      <formula>AND(H15&gt;0,I15&gt;0)</formula>
    </cfRule>
  </conditionalFormatting>
  <conditionalFormatting sqref="H16:H17">
    <cfRule type="expression" dxfId="402" priority="783">
      <formula>AND(H16&gt;0,I16&gt;0)</formula>
    </cfRule>
  </conditionalFormatting>
  <conditionalFormatting sqref="I16:I17">
    <cfRule type="expression" dxfId="401" priority="782">
      <formula>AND(H16&gt;0,I16&gt;0)</formula>
    </cfRule>
  </conditionalFormatting>
  <conditionalFormatting sqref="H19:H20">
    <cfRule type="expression" dxfId="400" priority="781">
      <formula>AND(H19&gt;0,I19&gt;0)</formula>
    </cfRule>
  </conditionalFormatting>
  <conditionalFormatting sqref="I19:I20">
    <cfRule type="expression" dxfId="399" priority="780">
      <formula>AND(H19&gt;0,I19&gt;0)</formula>
    </cfRule>
  </conditionalFormatting>
  <conditionalFormatting sqref="H23:H24">
    <cfRule type="expression" dxfId="398" priority="779">
      <formula>AND(H23&gt;0,I23&gt;0)</formula>
    </cfRule>
  </conditionalFormatting>
  <conditionalFormatting sqref="I23:I24">
    <cfRule type="expression" dxfId="397" priority="778">
      <formula>AND(H23&gt;0,I23&gt;0)</formula>
    </cfRule>
  </conditionalFormatting>
  <conditionalFormatting sqref="H25">
    <cfRule type="expression" dxfId="396" priority="777">
      <formula>AND(H25&gt;0,I25&gt;0)</formula>
    </cfRule>
  </conditionalFormatting>
  <conditionalFormatting sqref="I25">
    <cfRule type="expression" dxfId="395" priority="776">
      <formula>AND(H25&gt;0,I25&gt;0)</formula>
    </cfRule>
  </conditionalFormatting>
  <conditionalFormatting sqref="H26:H30">
    <cfRule type="expression" dxfId="394" priority="775">
      <formula>AND(H26&gt;0,I26&gt;0)</formula>
    </cfRule>
  </conditionalFormatting>
  <conditionalFormatting sqref="I26:I30">
    <cfRule type="expression" dxfId="393" priority="774">
      <formula>AND(H26&gt;0,I26&gt;0)</formula>
    </cfRule>
  </conditionalFormatting>
  <conditionalFormatting sqref="H32:H33">
    <cfRule type="expression" dxfId="392" priority="773">
      <formula>AND(H32&gt;0,I32&gt;0)</formula>
    </cfRule>
  </conditionalFormatting>
  <conditionalFormatting sqref="I32:I33">
    <cfRule type="expression" dxfId="391" priority="772">
      <formula>AND(H32&gt;0,I32&gt;0)</formula>
    </cfRule>
  </conditionalFormatting>
  <conditionalFormatting sqref="H38:H39">
    <cfRule type="expression" dxfId="390" priority="771">
      <formula>AND(H38&gt;0,I38&gt;0)</formula>
    </cfRule>
  </conditionalFormatting>
  <conditionalFormatting sqref="H41:H43">
    <cfRule type="expression" dxfId="389" priority="770">
      <formula>AND(H41&gt;0,I41&gt;0)</formula>
    </cfRule>
  </conditionalFormatting>
  <conditionalFormatting sqref="I38:I39">
    <cfRule type="expression" dxfId="388" priority="769">
      <formula>AND(H38&gt;0,I38&gt;0)</formula>
    </cfRule>
  </conditionalFormatting>
  <conditionalFormatting sqref="H35:H37">
    <cfRule type="expression" dxfId="387" priority="768">
      <formula>AND(H35&gt;0,I35&gt;0)</formula>
    </cfRule>
  </conditionalFormatting>
  <conditionalFormatting sqref="I35:I37">
    <cfRule type="expression" dxfId="386" priority="767">
      <formula>AND(H35&gt;0,I35&gt;0)</formula>
    </cfRule>
  </conditionalFormatting>
  <conditionalFormatting sqref="I41:I43">
    <cfRule type="expression" dxfId="385" priority="766">
      <formula>AND(H41&gt;0,I41&gt;0)</formula>
    </cfRule>
  </conditionalFormatting>
  <conditionalFormatting sqref="H45:H46">
    <cfRule type="expression" dxfId="384" priority="765">
      <formula>AND(H45&gt;0,I45&gt;0)</formula>
    </cfRule>
  </conditionalFormatting>
  <conditionalFormatting sqref="I45:I46">
    <cfRule type="expression" dxfId="383" priority="764">
      <formula>AND(H45&gt;0,I45&gt;0)</formula>
    </cfRule>
  </conditionalFormatting>
  <conditionalFormatting sqref="H48:H50">
    <cfRule type="expression" dxfId="382" priority="763">
      <formula>AND(H48&gt;0,I48&gt;0)</formula>
    </cfRule>
  </conditionalFormatting>
  <conditionalFormatting sqref="I48:I50">
    <cfRule type="expression" dxfId="381" priority="762">
      <formula>AND(H48&gt;0,I48&gt;0)</formula>
    </cfRule>
  </conditionalFormatting>
  <conditionalFormatting sqref="H68:H70">
    <cfRule type="expression" dxfId="380" priority="759">
      <formula>AND(H68&gt;0,I68&gt;0)</formula>
    </cfRule>
  </conditionalFormatting>
  <conditionalFormatting sqref="I68:I70">
    <cfRule type="expression" dxfId="379" priority="758">
      <formula>AND(H68&gt;0,I68&gt;0)</formula>
    </cfRule>
  </conditionalFormatting>
  <conditionalFormatting sqref="J67">
    <cfRule type="expression" dxfId="378" priority="748">
      <formula>AND($J$66&lt;&gt;"",$J$67="")</formula>
    </cfRule>
  </conditionalFormatting>
  <conditionalFormatting sqref="H72:H73">
    <cfRule type="expression" dxfId="377" priority="744">
      <formula>AND(H72&gt;0,I72&gt;0)</formula>
    </cfRule>
  </conditionalFormatting>
  <conditionalFormatting sqref="I72:I73">
    <cfRule type="expression" dxfId="376" priority="707">
      <formula>AND(SUM($H$72:$I$79)&lt;6,SUM($H$72:$I$79)&lt;&gt;0)</formula>
    </cfRule>
    <cfRule type="expression" dxfId="375" priority="743">
      <formula>AND(H72&gt;0,I72&gt;0)</formula>
    </cfRule>
  </conditionalFormatting>
  <conditionalFormatting sqref="H74:H75">
    <cfRule type="expression" dxfId="374" priority="742">
      <formula>AND(H74&gt;0,I74&gt;0)</formula>
    </cfRule>
  </conditionalFormatting>
  <conditionalFormatting sqref="H76:H79">
    <cfRule type="expression" dxfId="373" priority="741">
      <formula>AND(H76&gt;0,I76&gt;0)</formula>
    </cfRule>
  </conditionalFormatting>
  <conditionalFormatting sqref="I76 I74 I78">
    <cfRule type="expression" dxfId="372" priority="740">
      <formula>AND(H74&gt;0,I74&gt;0)</formula>
    </cfRule>
  </conditionalFormatting>
  <conditionalFormatting sqref="H81:H82">
    <cfRule type="expression" dxfId="371" priority="739">
      <formula>AND(H81&gt;0,I81&gt;0)</formula>
    </cfRule>
  </conditionalFormatting>
  <conditionalFormatting sqref="I81:I82">
    <cfRule type="expression" dxfId="370" priority="738">
      <formula>AND(H81&gt;0,I81&gt;0)</formula>
    </cfRule>
  </conditionalFormatting>
  <conditionalFormatting sqref="H84:H85">
    <cfRule type="expression" dxfId="369" priority="737">
      <formula>AND(H84&gt;0,I84&gt;0)</formula>
    </cfRule>
  </conditionalFormatting>
  <conditionalFormatting sqref="I84:I85">
    <cfRule type="expression" dxfId="368" priority="736">
      <formula>AND(H84&gt;0,I84&gt;0)</formula>
    </cfRule>
  </conditionalFormatting>
  <conditionalFormatting sqref="H87:H88">
    <cfRule type="expression" dxfId="367" priority="735">
      <formula>AND(H87&gt;0,I87&gt;0)</formula>
    </cfRule>
  </conditionalFormatting>
  <conditionalFormatting sqref="I87:I88">
    <cfRule type="expression" dxfId="366" priority="734">
      <formula>AND(H87&gt;0,I87&gt;0)</formula>
    </cfRule>
  </conditionalFormatting>
  <conditionalFormatting sqref="H89:H90">
    <cfRule type="expression" dxfId="365" priority="733">
      <formula>AND(H89&gt;0,I89&gt;0)</formula>
    </cfRule>
  </conditionalFormatting>
  <conditionalFormatting sqref="I89:I90">
    <cfRule type="expression" dxfId="364" priority="732">
      <formula>AND(H89&gt;0,I89&gt;0)</formula>
    </cfRule>
  </conditionalFormatting>
  <conditionalFormatting sqref="H91">
    <cfRule type="expression" dxfId="363" priority="731">
      <formula>AND(H91&gt;0,I91&gt;0)</formula>
    </cfRule>
  </conditionalFormatting>
  <conditionalFormatting sqref="I91">
    <cfRule type="expression" dxfId="362" priority="730">
      <formula>AND(H91&gt;0,I91&gt;0)</formula>
    </cfRule>
  </conditionalFormatting>
  <conditionalFormatting sqref="H93">
    <cfRule type="expression" dxfId="361" priority="729">
      <formula>AND(H93&gt;0,I93&gt;0)</formula>
    </cfRule>
  </conditionalFormatting>
  <conditionalFormatting sqref="I93">
    <cfRule type="expression" dxfId="360" priority="728">
      <formula>AND(H93&gt;0,I93&gt;0)</formula>
    </cfRule>
  </conditionalFormatting>
  <conditionalFormatting sqref="H94:H103">
    <cfRule type="expression" dxfId="359" priority="727">
      <formula>AND(H94&gt;0,I94&gt;0)</formula>
    </cfRule>
  </conditionalFormatting>
  <conditionalFormatting sqref="I94:I103">
    <cfRule type="expression" dxfId="358" priority="726">
      <formula>AND(H94&gt;0,I94&gt;0)</formula>
    </cfRule>
  </conditionalFormatting>
  <conditionalFormatting sqref="H104:H106">
    <cfRule type="expression" dxfId="357" priority="725">
      <formula>AND(H104&gt;0,I104&gt;0)</formula>
    </cfRule>
  </conditionalFormatting>
  <conditionalFormatting sqref="I104:I106">
    <cfRule type="expression" dxfId="356" priority="724">
      <formula>AND(H104&gt;0,I104&gt;0)</formula>
    </cfRule>
  </conditionalFormatting>
  <conditionalFormatting sqref="H109:H110">
    <cfRule type="expression" dxfId="355" priority="723">
      <formula>AND(H109&gt;0,I109&gt;0)</formula>
    </cfRule>
  </conditionalFormatting>
  <conditionalFormatting sqref="I109:I110">
    <cfRule type="expression" dxfId="354" priority="722">
      <formula>AND(H109&gt;0,I109&gt;0)</formula>
    </cfRule>
  </conditionalFormatting>
  <conditionalFormatting sqref="H112:H114">
    <cfRule type="expression" dxfId="353" priority="721">
      <formula>AND(H112&gt;0,I112&gt;0)</formula>
    </cfRule>
  </conditionalFormatting>
  <conditionalFormatting sqref="I112:I114">
    <cfRule type="expression" dxfId="352" priority="720">
      <formula>AND(H112&gt;0,I112&gt;0)</formula>
    </cfRule>
  </conditionalFormatting>
  <conditionalFormatting sqref="H116:H119">
    <cfRule type="expression" dxfId="351" priority="719">
      <formula>AND(H116&gt;0,I116&gt;0)</formula>
    </cfRule>
  </conditionalFormatting>
  <conditionalFormatting sqref="I116:I119">
    <cfRule type="expression" dxfId="350" priority="718">
      <formula>AND(H116&gt;0,I116&gt;0)</formula>
    </cfRule>
  </conditionalFormatting>
  <conditionalFormatting sqref="H121:H123">
    <cfRule type="expression" dxfId="349" priority="717">
      <formula>AND(H121&gt;0,I121&gt;0)</formula>
    </cfRule>
  </conditionalFormatting>
  <conditionalFormatting sqref="I121:I123">
    <cfRule type="expression" dxfId="348" priority="716">
      <formula>AND(H121&gt;0,I121&gt;0)</formula>
    </cfRule>
  </conditionalFormatting>
  <conditionalFormatting sqref="H124:H125">
    <cfRule type="expression" dxfId="347" priority="715">
      <formula>AND(H124&gt;0,I124&gt;0)</formula>
    </cfRule>
  </conditionalFormatting>
  <conditionalFormatting sqref="I124:I125">
    <cfRule type="expression" dxfId="346" priority="714">
      <formula>AND(H124&gt;0,I124&gt;0)</formula>
    </cfRule>
  </conditionalFormatting>
  <conditionalFormatting sqref="I76 I74 I78">
    <cfRule type="expression" dxfId="345" priority="706">
      <formula>AND(H74&gt;0,I74&gt;0)</formula>
    </cfRule>
  </conditionalFormatting>
  <conditionalFormatting sqref="I74:I79">
    <cfRule type="expression" dxfId="344" priority="703">
      <formula>AND(SUM($H$72:$I$79)&lt;6,SUM($H$72:$I$79)&lt;&gt;0)</formula>
    </cfRule>
    <cfRule type="expression" dxfId="343" priority="704">
      <formula>AND(H74&gt;0,I74&gt;0)</formula>
    </cfRule>
  </conditionalFormatting>
  <conditionalFormatting sqref="I74:I79">
    <cfRule type="expression" dxfId="342" priority="701">
      <formula>AND(SUM($H$72:$I$79)&lt;6,SUM($H$72:$I$79)&lt;&gt;0)</formula>
    </cfRule>
    <cfRule type="expression" dxfId="341" priority="702">
      <formula>AND(H74&gt;0,I74&gt;0)</formula>
    </cfRule>
  </conditionalFormatting>
  <conditionalFormatting sqref="J122">
    <cfRule type="expression" dxfId="340" priority="48" stopIfTrue="1">
      <formula>AND($J$121&lt;&gt;"",$J$122="")</formula>
    </cfRule>
    <cfRule type="expression" dxfId="339" priority="700">
      <formula>OR(AND($I$121=5,$J$122&gt;43560/7),AND($I$121=8,$J$122&gt;43560/14),AND($I$121=11,$J$122&gt;43560/21))</formula>
    </cfRule>
  </conditionalFormatting>
  <conditionalFormatting sqref="J253:J255">
    <cfRule type="expression" dxfId="338" priority="699">
      <formula>AND($J$253="",$J$252&lt;&gt;"")</formula>
    </cfRule>
  </conditionalFormatting>
  <conditionalFormatting sqref="J258:J260">
    <cfRule type="expression" dxfId="337" priority="698">
      <formula>AND($J$258="",$J$257&lt;&gt;"")</formula>
    </cfRule>
  </conditionalFormatting>
  <conditionalFormatting sqref="J280">
    <cfRule type="expression" dxfId="336" priority="696">
      <formula>AND($J$280="",$J$279&lt;&gt;"")</formula>
    </cfRule>
  </conditionalFormatting>
  <conditionalFormatting sqref="H135:H136">
    <cfRule type="expression" dxfId="335" priority="695">
      <formula>AND(H135&gt;0,I135&gt;0)</formula>
    </cfRule>
  </conditionalFormatting>
  <conditionalFormatting sqref="H137:H140">
    <cfRule type="expression" dxfId="334" priority="694">
      <formula>AND(H137&gt;0,I137&gt;0)</formula>
    </cfRule>
  </conditionalFormatting>
  <conditionalFormatting sqref="I135:I136">
    <cfRule type="expression" dxfId="333" priority="693">
      <formula>AND(H135&gt;0,I135&gt;0)</formula>
    </cfRule>
  </conditionalFormatting>
  <conditionalFormatting sqref="I137:I140">
    <cfRule type="expression" dxfId="332" priority="692">
      <formula>AND(H137&gt;0,I137&gt;0)</formula>
    </cfRule>
  </conditionalFormatting>
  <conditionalFormatting sqref="H142">
    <cfRule type="expression" dxfId="331" priority="691">
      <formula>AND(H142&gt;0,I142&gt;0)</formula>
    </cfRule>
  </conditionalFormatting>
  <conditionalFormatting sqref="I142">
    <cfRule type="expression" dxfId="330" priority="690">
      <formula>AND(H142&gt;0,I142&gt;0)</formula>
    </cfRule>
  </conditionalFormatting>
  <conditionalFormatting sqref="H143:H146">
    <cfRule type="expression" dxfId="329" priority="689">
      <formula>AND(H143&gt;0,I143&gt;0)</formula>
    </cfRule>
  </conditionalFormatting>
  <conditionalFormatting sqref="I143:I146">
    <cfRule type="expression" priority="688">
      <formula>AND(H143&gt;0,I143&gt;0)</formula>
    </cfRule>
  </conditionalFormatting>
  <conditionalFormatting sqref="I143:I146">
    <cfRule type="expression" dxfId="328" priority="687">
      <formula>AND(H143&gt;0,I143&gt;0)</formula>
    </cfRule>
  </conditionalFormatting>
  <conditionalFormatting sqref="H147">
    <cfRule type="expression" dxfId="327" priority="686">
      <formula>AND(H147&gt;0,I147&gt;0)</formula>
    </cfRule>
  </conditionalFormatting>
  <conditionalFormatting sqref="I147">
    <cfRule type="expression" priority="685">
      <formula>AND(H147&gt;0,I147&gt;0)</formula>
    </cfRule>
  </conditionalFormatting>
  <conditionalFormatting sqref="I147">
    <cfRule type="expression" dxfId="326" priority="684">
      <formula>AND(H147&gt;0,I147&gt;0)</formula>
    </cfRule>
  </conditionalFormatting>
  <conditionalFormatting sqref="H149:H153">
    <cfRule type="expression" dxfId="325" priority="683">
      <formula>AND(H149&gt;0,I149&gt;0)</formula>
    </cfRule>
  </conditionalFormatting>
  <conditionalFormatting sqref="I149:I153">
    <cfRule type="expression" dxfId="324" priority="681">
      <formula>AND(H149&gt;0,I149&gt;0)</formula>
    </cfRule>
  </conditionalFormatting>
  <conditionalFormatting sqref="H149:I153 H162:I162">
    <cfRule type="expression" dxfId="323" priority="680">
      <formula>AND(H149&gt;0,SUM($H$149:$I$153)&gt;13)</formula>
    </cfRule>
  </conditionalFormatting>
  <conditionalFormatting sqref="J159:J161">
    <cfRule type="expression" dxfId="322" priority="676">
      <formula>AND(J158&lt;&gt;"",J159="")</formula>
    </cfRule>
  </conditionalFormatting>
  <conditionalFormatting sqref="H155:I157">
    <cfRule type="expression" dxfId="321" priority="675">
      <formula>AND($H$155&gt;0,$I$155&gt;0)</formula>
    </cfRule>
  </conditionalFormatting>
  <conditionalFormatting sqref="H158:I161">
    <cfRule type="expression" dxfId="320" priority="673">
      <formula>AND($H$158&gt;0,$I$158&gt;0)</formula>
    </cfRule>
  </conditionalFormatting>
  <conditionalFormatting sqref="H162">
    <cfRule type="expression" dxfId="319" priority="671">
      <formula>AND(H162&gt;0,I162&gt;0)</formula>
    </cfRule>
  </conditionalFormatting>
  <conditionalFormatting sqref="I162">
    <cfRule type="expression" dxfId="318" priority="669">
      <formula>AND(H162&gt;0,I162&gt;0)</formula>
    </cfRule>
  </conditionalFormatting>
  <conditionalFormatting sqref="H163:H164">
    <cfRule type="expression" dxfId="317" priority="667">
      <formula>AND(H163&gt;0,I163&gt;0)</formula>
    </cfRule>
  </conditionalFormatting>
  <conditionalFormatting sqref="I163:I164">
    <cfRule type="expression" dxfId="316" priority="666">
      <formula>AND(H163&gt;0,I163&gt;0)</formula>
    </cfRule>
  </conditionalFormatting>
  <conditionalFormatting sqref="J164">
    <cfRule type="expression" dxfId="315" priority="665">
      <formula>AND(J163&lt;&gt;"",J164="")</formula>
    </cfRule>
  </conditionalFormatting>
  <conditionalFormatting sqref="H168">
    <cfRule type="expression" dxfId="314" priority="664">
      <formula>AND(H168&gt;0,I168&gt;0)</formula>
    </cfRule>
  </conditionalFormatting>
  <conditionalFormatting sqref="I168">
    <cfRule type="expression" dxfId="313" priority="662">
      <formula>AND(H168&gt;0,I168&gt;0)</formula>
    </cfRule>
  </conditionalFormatting>
  <conditionalFormatting sqref="J170">
    <cfRule type="expression" dxfId="312" priority="660">
      <formula>AND(J169&lt;&gt;"",J170="")</formula>
    </cfRule>
  </conditionalFormatting>
  <conditionalFormatting sqref="H169:H170">
    <cfRule type="expression" dxfId="311" priority="659">
      <formula>AND(H169&gt;0,I169&gt;0)</formula>
    </cfRule>
  </conditionalFormatting>
  <conditionalFormatting sqref="I169:I170">
    <cfRule type="expression" dxfId="310" priority="658">
      <formula>AND(H169&gt;0,I169&gt;0)</formula>
    </cfRule>
  </conditionalFormatting>
  <conditionalFormatting sqref="H173">
    <cfRule type="expression" dxfId="309" priority="657">
      <formula>AND(H173&gt;0,I173&gt;0)</formula>
    </cfRule>
  </conditionalFormatting>
  <conditionalFormatting sqref="I173">
    <cfRule type="expression" dxfId="308" priority="656">
      <formula>AND(H173&gt;0,I173&gt;0)</formula>
    </cfRule>
  </conditionalFormatting>
  <conditionalFormatting sqref="H176">
    <cfRule type="expression" dxfId="307" priority="655">
      <formula>AND(H176&gt;0,I176&gt;0)</formula>
    </cfRule>
  </conditionalFormatting>
  <conditionalFormatting sqref="H180">
    <cfRule type="expression" dxfId="306" priority="114">
      <formula>AND($H$181="No conditioned crawl",$H$180&gt;0)</formula>
    </cfRule>
    <cfRule type="expression" dxfId="305" priority="653">
      <formula>AND(H180&gt;0,I180&gt;0)</formula>
    </cfRule>
  </conditionalFormatting>
  <conditionalFormatting sqref="I180">
    <cfRule type="expression" dxfId="304" priority="113">
      <formula>AND($H$181="No conditioned crawl",$I$180&gt;0)</formula>
    </cfRule>
    <cfRule type="expression" dxfId="303" priority="652">
      <formula>AND(H180&gt;0,I180&gt;0)</formula>
    </cfRule>
  </conditionalFormatting>
  <conditionalFormatting sqref="H182">
    <cfRule type="expression" dxfId="302" priority="651">
      <formula>AND(H182&gt;0,I182&gt;0)</formula>
    </cfRule>
  </conditionalFormatting>
  <conditionalFormatting sqref="I182">
    <cfRule type="expression" dxfId="301" priority="650">
      <formula>AND(H182&gt;0,I182&gt;0)</formula>
    </cfRule>
  </conditionalFormatting>
  <conditionalFormatting sqref="H184:H186">
    <cfRule type="expression" dxfId="300" priority="649">
      <formula>AND(H184&gt;0,I184&gt;0)</formula>
    </cfRule>
  </conditionalFormatting>
  <conditionalFormatting sqref="I184:I186">
    <cfRule type="expression" dxfId="299" priority="648">
      <formula>AND(H184&gt;0,I184&gt;0)</formula>
    </cfRule>
  </conditionalFormatting>
  <conditionalFormatting sqref="H188:H189">
    <cfRule type="expression" dxfId="298" priority="645">
      <formula>AND(H188&gt;0,I188&gt;0)</formula>
    </cfRule>
  </conditionalFormatting>
  <conditionalFormatting sqref="I188:I189">
    <cfRule type="expression" dxfId="297" priority="644">
      <formula>AND(H188&gt;0,I188&gt;0)</formula>
    </cfRule>
  </conditionalFormatting>
  <conditionalFormatting sqref="J189">
    <cfRule type="expression" dxfId="296" priority="643">
      <formula>AND(J188&lt;&gt;"",J189="")</formula>
    </cfRule>
  </conditionalFormatting>
  <conditionalFormatting sqref="J191">
    <cfRule type="expression" dxfId="295" priority="642">
      <formula>AND(J190&lt;&gt;"",J191="")</formula>
    </cfRule>
  </conditionalFormatting>
  <conditionalFormatting sqref="H190:H192">
    <cfRule type="expression" dxfId="294" priority="641">
      <formula>AND(H190&lt;&gt;"",I190&lt;&gt;"")</formula>
    </cfRule>
  </conditionalFormatting>
  <conditionalFormatting sqref="I190:I192">
    <cfRule type="expression" dxfId="293" priority="640">
      <formula>AND(H190&lt;&gt;"",I190&lt;&gt;"")</formula>
    </cfRule>
  </conditionalFormatting>
  <conditionalFormatting sqref="J193">
    <cfRule type="expression" dxfId="292" priority="636">
      <formula>AND(J192&lt;&gt;"",J193="")</formula>
    </cfRule>
  </conditionalFormatting>
  <conditionalFormatting sqref="H194">
    <cfRule type="expression" dxfId="291" priority="635">
      <formula>AND(H194&gt;0,I194&gt;0)</formula>
    </cfRule>
  </conditionalFormatting>
  <conditionalFormatting sqref="I194">
    <cfRule type="expression" dxfId="290" priority="634">
      <formula>AND(H194&gt;0,I194&gt;0)</formula>
    </cfRule>
  </conditionalFormatting>
  <conditionalFormatting sqref="J200">
    <cfRule type="expression" dxfId="289" priority="633">
      <formula>AND(J199&lt;&gt;"",J200="")</formula>
    </cfRule>
  </conditionalFormatting>
  <conditionalFormatting sqref="J202">
    <cfRule type="expression" dxfId="288" priority="632">
      <formula>AND(J201&lt;&gt;"",J202="")</formula>
    </cfRule>
  </conditionalFormatting>
  <conditionalFormatting sqref="J207">
    <cfRule type="expression" dxfId="287" priority="630">
      <formula>AND(J206&lt;&gt;"",J207="")</formula>
    </cfRule>
  </conditionalFormatting>
  <conditionalFormatting sqref="J210">
    <cfRule type="expression" dxfId="286" priority="629">
      <formula>AND(J209&lt;&gt;"",J210="")</formula>
    </cfRule>
  </conditionalFormatting>
  <conditionalFormatting sqref="H199:H200">
    <cfRule type="expression" dxfId="285" priority="628">
      <formula>AND(H199&gt;0,I199&gt;0)</formula>
    </cfRule>
  </conditionalFormatting>
  <conditionalFormatting sqref="I199:I200">
    <cfRule type="expression" dxfId="284" priority="625">
      <formula>AND(H199&gt;0,I199&gt;0)</formula>
    </cfRule>
  </conditionalFormatting>
  <conditionalFormatting sqref="I201:I203">
    <cfRule type="expression" dxfId="283" priority="624">
      <formula>AND(H201&gt;0,I201&gt;0)</formula>
    </cfRule>
  </conditionalFormatting>
  <conditionalFormatting sqref="I207:I210">
    <cfRule type="expression" dxfId="282" priority="623">
      <formula>AND(H207&gt;0,I207&gt;0)</formula>
    </cfRule>
  </conditionalFormatting>
  <conditionalFormatting sqref="H201:H203">
    <cfRule type="expression" dxfId="281" priority="622">
      <formula>AND(H201&gt;0,I201&gt;0)</formula>
    </cfRule>
  </conditionalFormatting>
  <conditionalFormatting sqref="H207:H210">
    <cfRule type="expression" dxfId="280" priority="621">
      <formula>AND(H207&gt;0,I207&gt;0)</formula>
    </cfRule>
  </conditionalFormatting>
  <conditionalFormatting sqref="J208">
    <cfRule type="expression" dxfId="279" priority="620">
      <formula>AND(J207&lt;&gt;"",J208="")</formula>
    </cfRule>
  </conditionalFormatting>
  <conditionalFormatting sqref="J205:J206">
    <cfRule type="expression" dxfId="278" priority="619">
      <formula>AND(J204&lt;&gt;"",J205="")</formula>
    </cfRule>
  </conditionalFormatting>
  <conditionalFormatting sqref="H205:H206">
    <cfRule type="expression" dxfId="277" priority="618">
      <formula>AND(H205&gt;0,I205&gt;0)</formula>
    </cfRule>
  </conditionalFormatting>
  <conditionalFormatting sqref="I205:I206">
    <cfRule type="expression" dxfId="276" priority="617">
      <formula>AND(H205&gt;0,I205&gt;0)</formula>
    </cfRule>
  </conditionalFormatting>
  <conditionalFormatting sqref="H212:H214">
    <cfRule type="expression" dxfId="275" priority="616">
      <formula>AND(H212&gt;0,I212&gt;0)</formula>
    </cfRule>
  </conditionalFormatting>
  <conditionalFormatting sqref="I212:I214">
    <cfRule type="expression" dxfId="274" priority="615">
      <formula>AND(H212&gt;0,I212&gt;0)</formula>
    </cfRule>
  </conditionalFormatting>
  <conditionalFormatting sqref="H220:H221">
    <cfRule type="expression" dxfId="273" priority="612">
      <formula>AND(H220&gt;0,I220&gt;0)</formula>
    </cfRule>
  </conditionalFormatting>
  <conditionalFormatting sqref="I220:I221">
    <cfRule type="expression" dxfId="272" priority="611">
      <formula>AND(H220&gt;0,I220&gt;0)</formula>
    </cfRule>
  </conditionalFormatting>
  <conditionalFormatting sqref="H222:I223">
    <cfRule type="expression" dxfId="271" priority="610">
      <formula>AND($H$222&lt;&gt;"",$I$222&lt;&gt;"")</formula>
    </cfRule>
  </conditionalFormatting>
  <conditionalFormatting sqref="H225:H227">
    <cfRule type="expression" dxfId="270" priority="608">
      <formula>AND(H225&gt;0,I225&gt;0)</formula>
    </cfRule>
  </conditionalFormatting>
  <conditionalFormatting sqref="I225:I227">
    <cfRule type="expression" dxfId="269" priority="607">
      <formula>AND(H225&gt;0,I225&gt;0)</formula>
    </cfRule>
  </conditionalFormatting>
  <conditionalFormatting sqref="H228">
    <cfRule type="expression" dxfId="268" priority="606">
      <formula>AND(H228&gt;0,I228&gt;0)</formula>
    </cfRule>
  </conditionalFormatting>
  <conditionalFormatting sqref="H230:H231">
    <cfRule type="expression" dxfId="267" priority="605">
      <formula>AND(H230&gt;0,I230&gt;0)</formula>
    </cfRule>
  </conditionalFormatting>
  <conditionalFormatting sqref="I228">
    <cfRule type="expression" dxfId="266" priority="604">
      <formula>AND(H228&gt;0,I228&gt;0)</formula>
    </cfRule>
  </conditionalFormatting>
  <conditionalFormatting sqref="I230:I231">
    <cfRule type="expression" dxfId="265" priority="603">
      <formula>AND(H230&gt;0,I230&gt;0)</formula>
    </cfRule>
  </conditionalFormatting>
  <conditionalFormatting sqref="J204">
    <cfRule type="expression" dxfId="264" priority="601">
      <formula>J204&lt;&gt;"Explain points at final"</formula>
    </cfRule>
  </conditionalFormatting>
  <conditionalFormatting sqref="H233:I234">
    <cfRule type="expression" dxfId="263" priority="598">
      <formula>SUM($H$233:$I$234)&gt;12</formula>
    </cfRule>
  </conditionalFormatting>
  <conditionalFormatting sqref="J236">
    <cfRule type="expression" dxfId="262" priority="597">
      <formula>AND(J235&lt;&gt;"",J236="")</formula>
    </cfRule>
  </conditionalFormatting>
  <conditionalFormatting sqref="H235:I236">
    <cfRule type="expression" dxfId="261" priority="596">
      <formula>SUM($H$235:$I$236)&gt;9</formula>
    </cfRule>
  </conditionalFormatting>
  <conditionalFormatting sqref="H237">
    <cfRule type="expression" dxfId="260" priority="595">
      <formula>AND(H237&gt;0,I237&gt;0)</formula>
    </cfRule>
  </conditionalFormatting>
  <conditionalFormatting sqref="I237">
    <cfRule type="expression" dxfId="259" priority="594">
      <formula>AND(H237&gt;0,I237&gt;0)</formula>
    </cfRule>
  </conditionalFormatting>
  <conditionalFormatting sqref="H240:H242">
    <cfRule type="expression" dxfId="258" priority="591">
      <formula>AND(H240&gt;0,I240&gt;0)</formula>
    </cfRule>
  </conditionalFormatting>
  <conditionalFormatting sqref="I240:I242">
    <cfRule type="expression" dxfId="257" priority="590">
      <formula>AND(H240&gt;0,I240&gt;0)</formula>
    </cfRule>
  </conditionalFormatting>
  <conditionalFormatting sqref="H244:H246">
    <cfRule type="expression" dxfId="256" priority="589">
      <formula>AND(H244&gt;0,I244&gt;0)</formula>
    </cfRule>
  </conditionalFormatting>
  <conditionalFormatting sqref="I244:I246">
    <cfRule type="expression" dxfId="255" priority="588">
      <formula>AND(H244&gt;0,I244&gt;0)</formula>
    </cfRule>
  </conditionalFormatting>
  <conditionalFormatting sqref="H252:H255">
    <cfRule type="expression" dxfId="254" priority="585">
      <formula>AND(H252&gt;0,I252&gt;0)</formula>
    </cfRule>
  </conditionalFormatting>
  <conditionalFormatting sqref="I252:I255">
    <cfRule type="expression" dxfId="253" priority="584">
      <formula>AND(H252&gt;0,I252&gt;0)</formula>
    </cfRule>
  </conditionalFormatting>
  <conditionalFormatting sqref="H257:H260">
    <cfRule type="expression" dxfId="252" priority="583">
      <formula>AND(H257&gt;0,I257&gt;0)</formula>
    </cfRule>
  </conditionalFormatting>
  <conditionalFormatting sqref="I257:I260">
    <cfRule type="expression" dxfId="251" priority="582">
      <formula>AND(H257&gt;0,I257&gt;0)</formula>
    </cfRule>
  </conditionalFormatting>
  <conditionalFormatting sqref="H262:H265">
    <cfRule type="expression" dxfId="250" priority="581">
      <formula>AND(H262&gt;0,I262&gt;0)</formula>
    </cfRule>
  </conditionalFormatting>
  <conditionalFormatting sqref="I262:I265">
    <cfRule type="expression" dxfId="249" priority="580">
      <formula>AND(H262&gt;0,I262&gt;0)</formula>
    </cfRule>
  </conditionalFormatting>
  <conditionalFormatting sqref="J263">
    <cfRule type="expression" dxfId="248" priority="579">
      <formula>AND(J262&lt;&gt;"",J263="")</formula>
    </cfRule>
  </conditionalFormatting>
  <conditionalFormatting sqref="J265">
    <cfRule type="expression" dxfId="247" priority="578">
      <formula>AND(J264&lt;&gt;"",J265="")</formula>
    </cfRule>
  </conditionalFormatting>
  <conditionalFormatting sqref="H267:H269">
    <cfRule type="expression" dxfId="246" priority="577">
      <formula>AND(H267&gt;0,I267&gt;0)</formula>
    </cfRule>
  </conditionalFormatting>
  <conditionalFormatting sqref="I267:I269">
    <cfRule type="expression" dxfId="245" priority="576">
      <formula>AND(H267&gt;0,I267&gt;0)</formula>
    </cfRule>
  </conditionalFormatting>
  <conditionalFormatting sqref="J268:J269">
    <cfRule type="expression" dxfId="244" priority="575">
      <formula>AND(J267&lt;&gt;"",J268="")</formula>
    </cfRule>
  </conditionalFormatting>
  <conditionalFormatting sqref="H271:H273">
    <cfRule type="expression" dxfId="243" priority="574">
      <formula>AND(H271&gt;0,I271&gt;0)</formula>
    </cfRule>
  </conditionalFormatting>
  <conditionalFormatting sqref="I271:I273">
    <cfRule type="expression" dxfId="242" priority="573">
      <formula>AND(H271&gt;0,I271&gt;0)</formula>
    </cfRule>
  </conditionalFormatting>
  <conditionalFormatting sqref="J285">
    <cfRule type="expression" dxfId="241" priority="563">
      <formula>AND(J284&lt;&gt;"",J285="")</formula>
    </cfRule>
  </conditionalFormatting>
  <conditionalFormatting sqref="J283">
    <cfRule type="expression" dxfId="240" priority="561">
      <formula>AND(J282&lt;&gt;"",J283="")</formula>
    </cfRule>
  </conditionalFormatting>
  <conditionalFormatting sqref="J288:J290">
    <cfRule type="expression" dxfId="239" priority="560">
      <formula>AND(J287&lt;&gt;"",J288="")</formula>
    </cfRule>
  </conditionalFormatting>
  <conditionalFormatting sqref="J292">
    <cfRule type="expression" dxfId="238" priority="559">
      <formula>AND(J291&lt;&gt;"",J292="")</formula>
    </cfRule>
  </conditionalFormatting>
  <conditionalFormatting sqref="J298:J301">
    <cfRule type="expression" dxfId="237" priority="547">
      <formula>AND(J297&lt;&gt;"",J298="")</formula>
    </cfRule>
  </conditionalFormatting>
  <conditionalFormatting sqref="H297:H301">
    <cfRule type="expression" dxfId="236" priority="546">
      <formula>SUM(H297,I297)&gt;10</formula>
    </cfRule>
  </conditionalFormatting>
  <conditionalFormatting sqref="I297:I301">
    <cfRule type="expression" dxfId="235" priority="545">
      <formula>SUM(H297,I297)&gt;10</formula>
    </cfRule>
  </conditionalFormatting>
  <conditionalFormatting sqref="J302">
    <cfRule type="expression" dxfId="234" priority="544">
      <formula>AND(J301&lt;&gt;"",J302="")</formula>
    </cfRule>
  </conditionalFormatting>
  <conditionalFormatting sqref="H303:H304 H306 H308:H309 I303:I309">
    <cfRule type="expression" dxfId="233" priority="542">
      <formula>AND(H303&gt;0,SUM($H$303:$I$309)&gt;9)</formula>
    </cfRule>
  </conditionalFormatting>
  <conditionalFormatting sqref="H305 H307">
    <cfRule type="expression" dxfId="232" priority="535">
      <formula>AND(H305&gt;0,SUM($H$303:$I$309)&gt;9)</formula>
    </cfRule>
  </conditionalFormatting>
  <conditionalFormatting sqref="J315">
    <cfRule type="expression" dxfId="231" priority="532">
      <formula>AND(J314&lt;&gt;"",J315="")</formula>
    </cfRule>
  </conditionalFormatting>
  <conditionalFormatting sqref="H311">
    <cfRule type="expression" dxfId="230" priority="524">
      <formula>AND($H$311&gt;0,$I$311&gt;0)</formula>
    </cfRule>
    <cfRule type="expression" dxfId="229" priority="531">
      <formula>AND(H311&gt;0,SUM($H$311:$I$315)&gt;9)</formula>
    </cfRule>
  </conditionalFormatting>
  <conditionalFormatting sqref="H312:I313">
    <cfRule type="expression" dxfId="228" priority="530">
      <formula>AND(H312&gt;0,SUM($H$311:$I$315)&gt;9)</formula>
    </cfRule>
  </conditionalFormatting>
  <conditionalFormatting sqref="I311">
    <cfRule type="expression" dxfId="227" priority="522">
      <formula>AND(H311&gt;0,I311&gt;0)</formula>
    </cfRule>
    <cfRule type="expression" dxfId="226" priority="529">
      <formula>AND(I311&gt;0,SUM($H$311:$I$315)&gt;9)</formula>
    </cfRule>
  </conditionalFormatting>
  <conditionalFormatting sqref="H314:H315">
    <cfRule type="expression" dxfId="225" priority="518">
      <formula>AND(H314&gt;0,I314&gt;0)</formula>
    </cfRule>
    <cfRule type="expression" dxfId="224" priority="527">
      <formula>AND($H$314&gt;0,SUM($H$311:$I$315)&gt;9)</formula>
    </cfRule>
  </conditionalFormatting>
  <conditionalFormatting sqref="I314:I315">
    <cfRule type="expression" dxfId="223" priority="516">
      <formula>AND(H314&gt;0,I314&gt;0)</formula>
    </cfRule>
    <cfRule type="expression" dxfId="222" priority="525">
      <formula>AND($I$314&gt;0,SUM($H$311:$I$315)&gt;9)</formula>
    </cfRule>
  </conditionalFormatting>
  <conditionalFormatting sqref="H312">
    <cfRule type="expression" dxfId="221" priority="523">
      <formula>AND(H312&gt;0,I312&gt;0)</formula>
    </cfRule>
  </conditionalFormatting>
  <conditionalFormatting sqref="I312">
    <cfRule type="expression" dxfId="220" priority="521">
      <formula>AND(H312&gt;0,I312&gt;0)</formula>
    </cfRule>
  </conditionalFormatting>
  <conditionalFormatting sqref="H313">
    <cfRule type="expression" dxfId="219" priority="520">
      <formula>AND(H313&gt;0,I313&gt;0)</formula>
    </cfRule>
  </conditionalFormatting>
  <conditionalFormatting sqref="I313">
    <cfRule type="expression" dxfId="218" priority="519">
      <formula>AND(H313&gt;0,I313&gt;0)</formula>
    </cfRule>
  </conditionalFormatting>
  <conditionalFormatting sqref="J136">
    <cfRule type="expression" dxfId="217" priority="515">
      <formula>AND(J135&lt;&gt;"",J136="")</formula>
    </cfRule>
  </conditionalFormatting>
  <conditionalFormatting sqref="J138">
    <cfRule type="expression" dxfId="216" priority="514">
      <formula>AND(J137&lt;&gt;"",J138="")</formula>
    </cfRule>
  </conditionalFormatting>
  <conditionalFormatting sqref="J140">
    <cfRule type="expression" dxfId="215" priority="513">
      <formula>AND(J139&lt;&gt;"",J140="")</formula>
    </cfRule>
  </conditionalFormatting>
  <conditionalFormatting sqref="J167">
    <cfRule type="expression" dxfId="214" priority="512">
      <formula>AND(J166&lt;&gt;"",J167="")</formula>
    </cfRule>
  </conditionalFormatting>
  <conditionalFormatting sqref="J172">
    <cfRule type="expression" dxfId="213" priority="511">
      <formula>AND(J171&lt;&gt;"",J172="")</formula>
    </cfRule>
  </conditionalFormatting>
  <conditionalFormatting sqref="J178">
    <cfRule type="expression" dxfId="212" priority="510">
      <formula>IF(J177&lt;&gt;"",J178="")</formula>
    </cfRule>
  </conditionalFormatting>
  <conditionalFormatting sqref="H190:H191">
    <cfRule type="expression" dxfId="211" priority="509">
      <formula>$H$190=""</formula>
    </cfRule>
  </conditionalFormatting>
  <conditionalFormatting sqref="J196">
    <cfRule type="expression" dxfId="210" priority="508">
      <formula>AND(J195&lt;&gt;"",J196="")</formula>
    </cfRule>
  </conditionalFormatting>
  <conditionalFormatting sqref="J198">
    <cfRule type="expression" dxfId="209" priority="506">
      <formula>AND(J197&lt;&gt;"",J198="")</formula>
    </cfRule>
  </conditionalFormatting>
  <conditionalFormatting sqref="I215">
    <cfRule type="expression" dxfId="208" priority="505">
      <formula>AND(H215="",I215="")</formula>
    </cfRule>
  </conditionalFormatting>
  <conditionalFormatting sqref="H215">
    <cfRule type="expression" dxfId="207" priority="504">
      <formula>AND(H215="",I215="")</formula>
    </cfRule>
  </conditionalFormatting>
  <conditionalFormatting sqref="H217:H218">
    <cfRule type="expression" dxfId="206" priority="501">
      <formula>AND(H217="",I217="")</formula>
    </cfRule>
  </conditionalFormatting>
  <conditionalFormatting sqref="J218">
    <cfRule type="expression" dxfId="205" priority="499">
      <formula>AND(J217&lt;&gt;"",J218="")</formula>
    </cfRule>
  </conditionalFormatting>
  <conditionalFormatting sqref="H222:H223">
    <cfRule type="expression" dxfId="204" priority="498">
      <formula>AND(H222="",I222="")</formula>
    </cfRule>
  </conditionalFormatting>
  <conditionalFormatting sqref="I222:I223">
    <cfRule type="expression" dxfId="203" priority="497">
      <formula>AND(H222="",I222="")</formula>
    </cfRule>
  </conditionalFormatting>
  <conditionalFormatting sqref="I229">
    <cfRule type="expression" dxfId="202" priority="496">
      <formula>AND(ReportType="Final",$I$229="")</formula>
    </cfRule>
  </conditionalFormatting>
  <conditionalFormatting sqref="H216">
    <cfRule type="expression" dxfId="201" priority="17">
      <formula>AND($H$216&gt;0,SUM($H$155:$I$155)&gt;4)</formula>
    </cfRule>
    <cfRule type="expression" dxfId="200" priority="495">
      <formula>AND(H216&gt;0,I216&gt;0)</formula>
    </cfRule>
  </conditionalFormatting>
  <conditionalFormatting sqref="I216">
    <cfRule type="expression" dxfId="199" priority="18">
      <formula>AND($I$216&gt;0,SUM($H$155:$I$155)&gt;4)</formula>
    </cfRule>
    <cfRule type="expression" dxfId="198" priority="494">
      <formula>AND(H216&gt;0,I216&gt;0)</formula>
    </cfRule>
  </conditionalFormatting>
  <conditionalFormatting sqref="H195:H196">
    <cfRule type="expression" dxfId="197" priority="493">
      <formula>AND(H195="",I195="")</formula>
    </cfRule>
  </conditionalFormatting>
  <conditionalFormatting sqref="I195:I196">
    <cfRule type="expression" dxfId="196" priority="492">
      <formula>AND(H195="",I195="")</formula>
    </cfRule>
  </conditionalFormatting>
  <conditionalFormatting sqref="E133:I133">
    <cfRule type="expression" dxfId="195" priority="487">
      <formula>E133=""</formula>
    </cfRule>
  </conditionalFormatting>
  <conditionalFormatting sqref="J276:J277">
    <cfRule type="expression" dxfId="194" priority="484">
      <formula>AND(J275&lt;&gt;"",J276="")</formula>
    </cfRule>
  </conditionalFormatting>
  <conditionalFormatting sqref="H275:H277">
    <cfRule type="expression" dxfId="193" priority="483">
      <formula>SUM(H275,I275)&gt;9</formula>
    </cfRule>
  </conditionalFormatting>
  <conditionalFormatting sqref="I275:I277">
    <cfRule type="expression" dxfId="192" priority="482">
      <formula>SUM(H275,I275)&gt;9</formula>
    </cfRule>
  </conditionalFormatting>
  <conditionalFormatting sqref="H279:H280">
    <cfRule type="expression" dxfId="191" priority="481">
      <formula>SUM(H279,I279)&gt;10</formula>
    </cfRule>
  </conditionalFormatting>
  <conditionalFormatting sqref="I279:I280">
    <cfRule type="expression" dxfId="190" priority="480">
      <formula>SUM(H279,I279)&gt;10</formula>
    </cfRule>
  </conditionalFormatting>
  <conditionalFormatting sqref="I334">
    <cfRule type="expression" dxfId="189" priority="469">
      <formula>AND(ReportType="Final",H334="",I334="")</formula>
    </cfRule>
  </conditionalFormatting>
  <conditionalFormatting sqref="I335">
    <cfRule type="expression" dxfId="188" priority="467">
      <formula>AND(ReportType="Final",$I$335="",$H$335="")</formula>
    </cfRule>
  </conditionalFormatting>
  <conditionalFormatting sqref="I336">
    <cfRule type="expression" dxfId="187" priority="466">
      <formula>AND(ReportType="Final",$I$336="")</formula>
    </cfRule>
  </conditionalFormatting>
  <conditionalFormatting sqref="I344:I354 I356:I372">
    <cfRule type="expression" dxfId="186" priority="464">
      <formula>AND(ReportType="Final",H344="",I344="")</formula>
    </cfRule>
  </conditionalFormatting>
  <conditionalFormatting sqref="H320 H324">
    <cfRule type="expression" dxfId="185" priority="295" stopIfTrue="1">
      <formula>#REF!="Alternative Bronze"</formula>
    </cfRule>
    <cfRule type="expression" dxfId="184" priority="300">
      <formula>H320=""</formula>
    </cfRule>
  </conditionalFormatting>
  <conditionalFormatting sqref="H331:H333">
    <cfRule type="expression" dxfId="183" priority="298">
      <formula>H331=""</formula>
    </cfRule>
  </conditionalFormatting>
  <conditionalFormatting sqref="I330:I332">
    <cfRule type="expression" dxfId="182" priority="296" stopIfTrue="1">
      <formula>OR(H330="Visual Inspection - Insulation Better than Grade 3",ReportType="Rough")</formula>
    </cfRule>
    <cfRule type="expression" dxfId="181" priority="297">
      <formula>AND(ReportType="Final",I330="")</formula>
    </cfRule>
  </conditionalFormatting>
  <conditionalFormatting sqref="H321 H323 H325">
    <cfRule type="expression" dxfId="180" priority="294" stopIfTrue="1">
      <formula>#REF!="Alternative Bronze"</formula>
    </cfRule>
  </conditionalFormatting>
  <conditionalFormatting sqref="H335">
    <cfRule type="expression" dxfId="179" priority="289">
      <formula>AND($H$335="",$I$335="",ReportType="Final")</formula>
    </cfRule>
  </conditionalFormatting>
  <conditionalFormatting sqref="H356:H358 H366 H370:H372">
    <cfRule type="expression" dxfId="178" priority="288">
      <formula>AND(#REF!&lt;&gt;"Alternative Bronze",ReportType&lt;&gt;"Final",H356="")</formula>
    </cfRule>
  </conditionalFormatting>
  <conditionalFormatting sqref="H474">
    <cfRule type="expression" dxfId="177" priority="270">
      <formula>AND(H474&gt;0,I474&gt;0)</formula>
    </cfRule>
  </conditionalFormatting>
  <conditionalFormatting sqref="I474">
    <cfRule type="expression" dxfId="176" priority="269">
      <formula>AND(H474&gt;0,I474&gt;0)</formula>
    </cfRule>
  </conditionalFormatting>
  <conditionalFormatting sqref="I480">
    <cfRule type="expression" dxfId="175" priority="264">
      <formula>AND(ReportType="Final",H480="",I480="")</formula>
    </cfRule>
  </conditionalFormatting>
  <conditionalFormatting sqref="I498">
    <cfRule type="expression" dxfId="174" priority="236">
      <formula>AND(I498&gt;0,SUM(I488:I496)&gt;0)</formula>
    </cfRule>
    <cfRule type="expression" dxfId="173" priority="238">
      <formula>AND(H498&gt;0,I498&gt;0)</formula>
    </cfRule>
  </conditionalFormatting>
  <conditionalFormatting sqref="I500">
    <cfRule type="expression" dxfId="172" priority="221">
      <formula>AND(I501&gt;0,I505&gt;0)</formula>
    </cfRule>
    <cfRule type="expression" dxfId="171" priority="225">
      <formula>AND(ReportType="Final",I500="")</formula>
    </cfRule>
  </conditionalFormatting>
  <conditionalFormatting sqref="I502">
    <cfRule type="expression" dxfId="170" priority="222">
      <formula>AND(I503&gt;0,I505&gt;0)</formula>
    </cfRule>
    <cfRule type="expression" dxfId="169" priority="224">
      <formula>AND(ReportType="Final",I502="")</formula>
    </cfRule>
  </conditionalFormatting>
  <conditionalFormatting sqref="I505">
    <cfRule type="expression" dxfId="168" priority="223">
      <formula>AND(I505&gt;0,SUM(I501,I503)&gt;0)</formula>
    </cfRule>
  </conditionalFormatting>
  <conditionalFormatting sqref="I488">
    <cfRule type="expression" dxfId="167" priority="216">
      <formula>AND(I489&lt;&gt;"",$I$498&gt;0)</formula>
    </cfRule>
    <cfRule type="expression" dxfId="166" priority="220">
      <formula>AND(ReportType="Final",I488="")</formula>
    </cfRule>
  </conditionalFormatting>
  <conditionalFormatting sqref="I490">
    <cfRule type="expression" dxfId="165" priority="214">
      <formula>AND(I491&lt;&gt;"",$I$498&gt;0)</formula>
    </cfRule>
    <cfRule type="expression" dxfId="164" priority="215">
      <formula>AND(ReportType="Final",I490="")</formula>
    </cfRule>
  </conditionalFormatting>
  <conditionalFormatting sqref="I492">
    <cfRule type="expression" dxfId="163" priority="212">
      <formula>AND(I493&lt;&gt;"",$I$498&gt;0)</formula>
    </cfRule>
    <cfRule type="expression" dxfId="162" priority="213">
      <formula>AND(ReportType="Final",I492="")</formula>
    </cfRule>
  </conditionalFormatting>
  <conditionalFormatting sqref="I494">
    <cfRule type="expression" dxfId="161" priority="210">
      <formula>AND(I495&lt;&gt;"",$I$498&gt;0)</formula>
    </cfRule>
    <cfRule type="expression" dxfId="160" priority="211">
      <formula>AND(ReportType="Final",I494="")</formula>
    </cfRule>
  </conditionalFormatting>
  <conditionalFormatting sqref="I496">
    <cfRule type="expression" dxfId="159" priority="208">
      <formula>AND(I497&lt;&gt;"",$I$498&gt;0)</formula>
    </cfRule>
    <cfRule type="expression" dxfId="158" priority="209">
      <formula>AND(ReportType="Final",I496="")</formula>
    </cfRule>
  </conditionalFormatting>
  <conditionalFormatting sqref="I509 I514">
    <cfRule type="expression" dxfId="157" priority="206">
      <formula>AND(I509&gt;0,SUM($I$509,$I$514,$I$519,$I$524,$I$529)&gt;2)</formula>
    </cfRule>
  </conditionalFormatting>
  <conditionalFormatting sqref="I510">
    <cfRule type="expression" dxfId="156" priority="205">
      <formula>AND(I530&gt;0,SUM($I$510,$I$515,$I$520,$I$525,$I$530)&gt;2)</formula>
    </cfRule>
  </conditionalFormatting>
  <conditionalFormatting sqref="I511 I516">
    <cfRule type="expression" dxfId="155" priority="204">
      <formula>AND(I511&gt;0,SUM($I$511,$I$516,$I$521,$I$526,$I$531)&gt;2)</formula>
    </cfRule>
  </conditionalFormatting>
  <conditionalFormatting sqref="I512 I517">
    <cfRule type="expression" dxfId="154" priority="203">
      <formula>AND(I512&gt;0,SUM($I$512,$I$517,$I$522,$I$527,$I$532)&gt;2)</formula>
    </cfRule>
  </conditionalFormatting>
  <conditionalFormatting sqref="I544">
    <cfRule type="expression" dxfId="153" priority="184">
      <formula>AND(I544&gt;0,AND(I543&lt;&gt;5,I545&lt;&gt;8))</formula>
    </cfRule>
  </conditionalFormatting>
  <conditionalFormatting sqref="I558:I559 I637">
    <cfRule type="expression" dxfId="152" priority="183">
      <formula>AND(I558&gt;0,BldgType&lt;&gt;"Multi-Unit")</formula>
    </cfRule>
  </conditionalFormatting>
  <conditionalFormatting sqref="I579:I582">
    <cfRule type="expression" dxfId="151" priority="180">
      <formula>AND(I579="",OR(AND(#REF!&lt;&gt;"",#REF!&lt;5),AND(#REF!&lt;&gt;"",#REF!&lt;5),AND(J331&lt;&gt;"",$J$331&lt;5)))</formula>
    </cfRule>
  </conditionalFormatting>
  <conditionalFormatting sqref="J586">
    <cfRule type="expression" dxfId="150" priority="179">
      <formula>$J$586=""</formula>
    </cfRule>
  </conditionalFormatting>
  <conditionalFormatting sqref="H590">
    <cfRule type="expression" dxfId="149" priority="165">
      <formula>AND(H590&gt;0,J586="")</formula>
    </cfRule>
    <cfRule type="expression" dxfId="148" priority="168">
      <formula>AND(H590&gt;0,J586=1)</formula>
    </cfRule>
    <cfRule type="expression" dxfId="147" priority="174">
      <formula>AND(H590&gt;0,I590&gt;0)</formula>
    </cfRule>
  </conditionalFormatting>
  <conditionalFormatting sqref="I590">
    <cfRule type="expression" dxfId="146" priority="166">
      <formula>AND(I590&gt;0,J586="")</formula>
    </cfRule>
    <cfRule type="expression" dxfId="145" priority="167">
      <formula>AND(I590&gt;0,J586=1)</formula>
    </cfRule>
    <cfRule type="expression" dxfId="144" priority="173">
      <formula>AND(H590&gt;0,I590&gt;0)</formula>
    </cfRule>
  </conditionalFormatting>
  <conditionalFormatting sqref="H594">
    <cfRule type="expression" dxfId="143" priority="164">
      <formula>AND(H594&gt;0,I594&gt;0)</formula>
    </cfRule>
  </conditionalFormatting>
  <conditionalFormatting sqref="I594">
    <cfRule type="expression" dxfId="142" priority="163">
      <formula>AND(H594&gt;0,I594&gt;0)</formula>
    </cfRule>
  </conditionalFormatting>
  <conditionalFormatting sqref="H598">
    <cfRule type="expression" dxfId="141" priority="161">
      <formula>AND(H598&gt;0,I598&gt;0)</formula>
    </cfRule>
  </conditionalFormatting>
  <conditionalFormatting sqref="I598">
    <cfRule type="expression" dxfId="140" priority="160">
      <formula>AND(H598&gt;0,I598&gt;0)</formula>
    </cfRule>
  </conditionalFormatting>
  <conditionalFormatting sqref="H601">
    <cfRule type="expression" dxfId="139" priority="159">
      <formula>AND(H601&gt;0,I601&gt;0)</formula>
    </cfRule>
  </conditionalFormatting>
  <conditionalFormatting sqref="I601">
    <cfRule type="expression" dxfId="138" priority="158">
      <formula>AND(H601&gt;0,I601&gt;0)</formula>
    </cfRule>
  </conditionalFormatting>
  <conditionalFormatting sqref="I604:I605">
    <cfRule type="expression" dxfId="137" priority="156">
      <formula>AND(I604&gt;0,I6&lt;&gt;"Moist")</formula>
    </cfRule>
  </conditionalFormatting>
  <conditionalFormatting sqref="H601:H602">
    <cfRule type="expression" dxfId="136" priority="148">
      <formula>AND(H601&gt;0,AND(SUM(#REF!,#REF!)&gt;0,SUM(#REF!,#REF!)&gt;0))</formula>
    </cfRule>
  </conditionalFormatting>
  <conditionalFormatting sqref="I611">
    <cfRule type="expression" dxfId="135" priority="141">
      <formula>AND(I611&gt;0,BldgType&lt;&gt;"Single-Family")</formula>
    </cfRule>
  </conditionalFormatting>
  <conditionalFormatting sqref="I612:I614">
    <cfRule type="expression" dxfId="134" priority="105">
      <formula>AND(BldgType="Single-Family",ReportType="Final",$I612="")</formula>
    </cfRule>
    <cfRule type="expression" dxfId="133" priority="139">
      <formula>AND(I612&lt;&gt;"",BldgType="Multi-Unit")</formula>
    </cfRule>
  </conditionalFormatting>
  <conditionalFormatting sqref="I613:I632">
    <cfRule type="expression" dxfId="132" priority="138">
      <formula>AND(I613&lt;&gt;"",BldgType="Multi-Unit")</formula>
    </cfRule>
  </conditionalFormatting>
  <conditionalFormatting sqref="I638:I640">
    <cfRule type="expression" dxfId="131" priority="133">
      <formula>AND(I638="",BldgType="Multi-Unit")</formula>
    </cfRule>
    <cfRule type="expression" dxfId="130" priority="136">
      <formula>AND(I638&lt;&gt;"",BldgType="Single-Family")</formula>
    </cfRule>
  </conditionalFormatting>
  <conditionalFormatting sqref="I641:I645 I650:I656 I659:I666">
    <cfRule type="expression" dxfId="129" priority="135">
      <formula>AND(I641&lt;&gt;"",BldgType="Single-Family")</formula>
    </cfRule>
  </conditionalFormatting>
  <conditionalFormatting sqref="I647:I649 I658">
    <cfRule type="expression" dxfId="128" priority="129">
      <formula>AND(I647&lt;&gt;"",bdgtype&lt;&gt;"Multi-Unit")</formula>
    </cfRule>
  </conditionalFormatting>
  <conditionalFormatting sqref="I54:I55">
    <cfRule type="expression" dxfId="127" priority="97">
      <formula>AND($H$53&lt;&gt;"Full Landscape Plan",$I$54&lt;&gt;3,I54&gt;0)</formula>
    </cfRule>
    <cfRule type="expression" dxfId="126" priority="101">
      <formula>AND(H54&gt;0,I54&gt;0)</formula>
    </cfRule>
  </conditionalFormatting>
  <conditionalFormatting sqref="H54:H55">
    <cfRule type="expression" dxfId="125" priority="95">
      <formula>AND($H$53&lt;&gt;"Full Landscape Plan",$H$54&lt;&gt;3,H54&gt;0)</formula>
    </cfRule>
    <cfRule type="expression" dxfId="124" priority="100">
      <formula>AND(H54&gt;0,I54&gt;0)</formula>
    </cfRule>
  </conditionalFormatting>
  <conditionalFormatting sqref="H56:H57">
    <cfRule type="expression" dxfId="123" priority="94">
      <formula>AND($H$53&lt;&gt;"Full Landscape Plan",$H$56&lt;&gt;2,H56&gt;0)</formula>
    </cfRule>
    <cfRule type="expression" dxfId="122" priority="99">
      <formula>AND(H56&gt;0,I56&gt;0)</formula>
    </cfRule>
  </conditionalFormatting>
  <conditionalFormatting sqref="I56:I57">
    <cfRule type="expression" dxfId="121" priority="93">
      <formula>AND($H$53&lt;&gt;"Full Landscape Plan",$I$56&lt;&gt;2,I56&gt;0)</formula>
    </cfRule>
    <cfRule type="expression" dxfId="120" priority="98">
      <formula>AND(H56&gt;0,I56&gt;0)</formula>
    </cfRule>
  </conditionalFormatting>
  <conditionalFormatting sqref="H53:I53">
    <cfRule type="expression" dxfId="119" priority="96">
      <formula>AND(H53="",SUM(H54:I57,H59:I66)&gt;0)</formula>
    </cfRule>
  </conditionalFormatting>
  <conditionalFormatting sqref="H59:H63">
    <cfRule type="expression" dxfId="118" priority="92">
      <formula>AND(H59&gt;0,I59&gt;0)</formula>
    </cfRule>
  </conditionalFormatting>
  <conditionalFormatting sqref="I59:I63">
    <cfRule type="expression" dxfId="117" priority="91">
      <formula>AND(H59&gt;0,I59&gt;0)</formula>
    </cfRule>
  </conditionalFormatting>
  <conditionalFormatting sqref="H64:H65">
    <cfRule type="expression" dxfId="116" priority="89">
      <formula>AND($H$53&lt;&gt;"Full Landscape Plan",$H$64&lt;&gt;2,H64&gt;0)</formula>
    </cfRule>
    <cfRule type="expression" dxfId="115" priority="90">
      <formula>AND(H64&gt;0,I64&gt;0)</formula>
    </cfRule>
  </conditionalFormatting>
  <conditionalFormatting sqref="I64:I65">
    <cfRule type="expression" dxfId="114" priority="87">
      <formula>AND($H$53&lt;&gt;"Full Landscape Plan",$I$64&lt;2,I64&gt;0)</formula>
    </cfRule>
    <cfRule type="expression" dxfId="113" priority="88">
      <formula>AND(H64&gt;0,I64&gt;0)</formula>
    </cfRule>
  </conditionalFormatting>
  <conditionalFormatting sqref="H66:H67">
    <cfRule type="expression" dxfId="112" priority="85">
      <formula>AND($H$53&lt;&gt;"Full Landscape Plan",$H$66&lt;&gt;2,H66&gt;0)</formula>
    </cfRule>
    <cfRule type="expression" dxfId="111" priority="86">
      <formula>AND(H66&gt;0,I66&gt;0)</formula>
    </cfRule>
  </conditionalFormatting>
  <conditionalFormatting sqref="I66:I67">
    <cfRule type="expression" dxfId="110" priority="83">
      <formula>AND($H$53&lt;&gt;"Full Landscape Plan",$I$66&lt;&gt;2,I66&gt;0)</formula>
    </cfRule>
    <cfRule type="expression" dxfId="109" priority="84">
      <formula>AND(H66&gt;0,I66&gt;0)</formula>
    </cfRule>
  </conditionalFormatting>
  <conditionalFormatting sqref="H68:H70">
    <cfRule type="expression" dxfId="108" priority="82">
      <formula>AND(H68&gt;0,I68&gt;0)</formula>
    </cfRule>
  </conditionalFormatting>
  <conditionalFormatting sqref="I68:I70">
    <cfRule type="expression" dxfId="107" priority="81">
      <formula>AND(H68&gt;0,I68&gt;0)</formula>
    </cfRule>
  </conditionalFormatting>
  <conditionalFormatting sqref="H177:H178">
    <cfRule type="expression" dxfId="106" priority="80">
      <formula>$H$177=""</formula>
    </cfRule>
  </conditionalFormatting>
  <conditionalFormatting sqref="I515">
    <cfRule type="expression" dxfId="105" priority="73">
      <formula>AND(I535&gt;0,SUM($I$510,$I$515,$I$520,$I$525,$I$530)&gt;2)</formula>
    </cfRule>
  </conditionalFormatting>
  <conditionalFormatting sqref="I519">
    <cfRule type="expression" dxfId="104" priority="70">
      <formula>AND(I519&gt;0,SUM($I$509,$I$514,$I$519,$I$524,$I$529)&gt;3)</formula>
    </cfRule>
  </conditionalFormatting>
  <conditionalFormatting sqref="I520">
    <cfRule type="expression" dxfId="103" priority="69">
      <formula>AND(I520&gt;0,SUM($I$510,$I$515,$I$520,$I$525,$I$530)&gt;3)</formula>
    </cfRule>
  </conditionalFormatting>
  <conditionalFormatting sqref="I521">
    <cfRule type="expression" dxfId="102" priority="68">
      <formula>AND(I521&gt;0,SUM($I$511,$I$516,$I$521,$I$526,$I$531)&gt;3)</formula>
    </cfRule>
  </conditionalFormatting>
  <conditionalFormatting sqref="I522">
    <cfRule type="expression" dxfId="101" priority="67">
      <formula>AND(I522&gt;0,SUM($I$512,$I$517,$I$522,$I$527,$I$532)&gt;3)</formula>
    </cfRule>
  </conditionalFormatting>
  <conditionalFormatting sqref="I524 I529">
    <cfRule type="expression" dxfId="100" priority="66">
      <formula>AND(I524&gt;0,SUM($I$509,$I$514,$I$519,$I$524,$I$529)&gt;4)</formula>
    </cfRule>
  </conditionalFormatting>
  <conditionalFormatting sqref="I525">
    <cfRule type="expression" dxfId="99" priority="65">
      <formula>AND(I545&gt;0,SUM($I$510,$I$515,$I$520,$I$525,$I$530)&gt;4)</formula>
    </cfRule>
  </conditionalFormatting>
  <conditionalFormatting sqref="I526 I531">
    <cfRule type="expression" dxfId="98" priority="64">
      <formula>AND(I526&gt;0,SUM($I$511,$I$516,$I$521,$I$526,$I$531)&gt;4)</formula>
    </cfRule>
  </conditionalFormatting>
  <conditionalFormatting sqref="I527 I532">
    <cfRule type="expression" dxfId="97" priority="63">
      <formula>AND(I527&gt;0,SUM($I$512,$I$517,$I$522,$I$527,$I$532)&gt;4)</formula>
    </cfRule>
  </conditionalFormatting>
  <conditionalFormatting sqref="I530">
    <cfRule type="expression" dxfId="96" priority="61">
      <formula>AND(I551&gt;0,SUM($I$510,$I$515,$I$520,$I$525,$I$530)&gt;4)</formula>
    </cfRule>
  </conditionalFormatting>
  <conditionalFormatting sqref="H592">
    <cfRule type="expression" dxfId="95" priority="58">
      <formula>AND($H$592&gt;0,$I$593&gt;0)</formula>
    </cfRule>
  </conditionalFormatting>
  <conditionalFormatting sqref="I593">
    <cfRule type="expression" dxfId="94" priority="57">
      <formula>AND($I$593&gt;0,$H$592&gt;0)</formula>
    </cfRule>
  </conditionalFormatting>
  <conditionalFormatting sqref="I481:I482">
    <cfRule type="expression" dxfId="93" priority="56">
      <formula>$I$481=""</formula>
    </cfRule>
  </conditionalFormatting>
  <conditionalFormatting sqref="K4:L4">
    <cfRule type="expression" dxfId="92" priority="49">
      <formula>AND(BldgType="Multi-unit",UnitCount="")</formula>
    </cfRule>
  </conditionalFormatting>
  <conditionalFormatting sqref="K5:L5">
    <cfRule type="expression" dxfId="91" priority="5">
      <formula xml:space="preserve"> K5="Verifier Enter on Start Here! Tab"</formula>
    </cfRule>
    <cfRule type="expression" dxfId="90" priority="47">
      <formula>$K$5=""</formula>
    </cfRule>
  </conditionalFormatting>
  <conditionalFormatting sqref="I647">
    <cfRule type="expression" dxfId="89" priority="42">
      <formula>AND(ReportType="Final",BldgType="Multi-unit",$I$647="")</formula>
    </cfRule>
  </conditionalFormatting>
  <conditionalFormatting sqref="I648">
    <cfRule type="expression" dxfId="88" priority="41">
      <formula>AND(ReportType="Final",BldgType="Multi-unit",$I$648="")</formula>
    </cfRule>
  </conditionalFormatting>
  <conditionalFormatting sqref="I658">
    <cfRule type="expression" dxfId="87" priority="40">
      <formula>AND(ReportType="Final",BldgType="Multi-unit",$I$658="")</formula>
    </cfRule>
  </conditionalFormatting>
  <conditionalFormatting sqref="H334">
    <cfRule type="expression" dxfId="86" priority="7968">
      <formula>$H$334=""</formula>
    </cfRule>
  </conditionalFormatting>
  <conditionalFormatting sqref="H330">
    <cfRule type="expression" dxfId="85" priority="7978">
      <formula>H330=""</formula>
    </cfRule>
  </conditionalFormatting>
  <conditionalFormatting sqref="J331">
    <cfRule type="expression" dxfId="84" priority="8422">
      <formula>AND(#REF!&gt;0,J331&gt;0,J331&lt;&gt;#REF!)</formula>
    </cfRule>
    <cfRule type="expression" dxfId="83" priority="8423">
      <formula>J331&gt;7.49</formula>
    </cfRule>
    <cfRule type="expression" dxfId="82" priority="8424">
      <formula>AND(J330&lt;&gt;"",J331="")</formula>
    </cfRule>
  </conditionalFormatting>
  <conditionalFormatting sqref="H484:H485">
    <cfRule type="expression" dxfId="81" priority="8429">
      <formula>AND(H484&gt;0,#REF!&gt;0)</formula>
    </cfRule>
    <cfRule type="expression" dxfId="80" priority="8430">
      <formula>AND(H484&gt;0,I484&gt;0)</formula>
    </cfRule>
  </conditionalFormatting>
  <conditionalFormatting sqref="I484:I485">
    <cfRule type="expression" dxfId="79" priority="8431">
      <formula>AND(I484&gt;0,#REF!&gt;0)</formula>
    </cfRule>
    <cfRule type="expression" dxfId="78" priority="8432">
      <formula>AND(H484&gt;0,I484&gt;0)</formula>
    </cfRule>
  </conditionalFormatting>
  <conditionalFormatting sqref="H476:H477">
    <cfRule type="expression" dxfId="77" priority="8444">
      <formula>AND($H$472=5,$H$476&gt;0,(AND(SUM($H$476:$I$477)&gt;0,SUM($H$478:$I$479)&gt;0)))</formula>
    </cfRule>
    <cfRule type="expression" dxfId="76" priority="8445">
      <formula>AND(H476&gt;0,OR(#REF!&gt;0,#REF!&gt;0,#REF!&gt;0))</formula>
    </cfRule>
    <cfRule type="expression" dxfId="75" priority="8446">
      <formula>AND(H476&gt;0,I476&gt;0)</formula>
    </cfRule>
  </conditionalFormatting>
  <conditionalFormatting sqref="I476:I477">
    <cfRule type="expression" dxfId="74" priority="8447">
      <formula>AND($H$472=5,$I$476&gt;0,(AND(SUM($H$476:$I$477)&gt;0,SUM($H$478:$I$479)&gt;0)))</formula>
    </cfRule>
    <cfRule type="expression" dxfId="73" priority="8448">
      <formula>AND(I476&gt;0,OR(#REF!&gt;0,#REF!&gt;0,#REF!&gt;0))</formula>
    </cfRule>
    <cfRule type="expression" dxfId="72" priority="8449">
      <formula>AND(H476&gt;0,I476&gt;0)</formula>
    </cfRule>
  </conditionalFormatting>
  <conditionalFormatting sqref="H478:H479">
    <cfRule type="expression" dxfId="71" priority="8450">
      <formula>AND($H$472=5,$H$478&gt;0,(AND(SUM($H$476:$I$477)&gt;0,SUM($H$478:$I$479)&gt;0)))</formula>
    </cfRule>
    <cfRule type="expression" dxfId="70" priority="8451">
      <formula>AND(H478&gt;0,OR(#REF!="Electric",#REF!="Heat Pump"))</formula>
    </cfRule>
    <cfRule type="expression" dxfId="69" priority="8452">
      <formula>AND(H478&gt;0,I478&gt;0)</formula>
    </cfRule>
  </conditionalFormatting>
  <conditionalFormatting sqref="I478:I479">
    <cfRule type="expression" dxfId="68" priority="8453">
      <formula>AND($H$472=5,$I$478&gt;0,(AND(SUM($H$476:$I$477)&gt;0,SUM($H$478:$I$479)&gt;0)))</formula>
    </cfRule>
    <cfRule type="expression" dxfId="67" priority="8454">
      <formula>AND(I478&gt;0,OR(#REF!="Electric",#REF!="Heat Pump"))</formula>
    </cfRule>
    <cfRule type="expression" dxfId="66" priority="8455">
      <formula>AND(H478&gt;0,I478&gt;0)</formula>
    </cfRule>
  </conditionalFormatting>
  <conditionalFormatting sqref="I601:I602">
    <cfRule type="expression" dxfId="65" priority="8456">
      <formula>AND(H601&gt;0,AND(SUM(#REF!,#REF!)&gt;0,SUM(#REF!,#REF!)&gt;0))</formula>
    </cfRule>
  </conditionalFormatting>
  <conditionalFormatting sqref="G341">
    <cfRule type="expression" dxfId="64" priority="39">
      <formula>$G$341=""</formula>
    </cfRule>
  </conditionalFormatting>
  <conditionalFormatting sqref="G344">
    <cfRule type="expression" dxfId="63" priority="38">
      <formula>G344=""</formula>
    </cfRule>
  </conditionalFormatting>
  <conditionalFormatting sqref="H344">
    <cfRule type="expression" dxfId="62" priority="37">
      <formula>H344=""</formula>
    </cfRule>
  </conditionalFormatting>
  <conditionalFormatting sqref="G345:G349">
    <cfRule type="expression" dxfId="61" priority="36">
      <formula>G345=""</formula>
    </cfRule>
  </conditionalFormatting>
  <conditionalFormatting sqref="H345:H349">
    <cfRule type="expression" dxfId="60" priority="35">
      <formula>H345=""</formula>
    </cfRule>
  </conditionalFormatting>
  <conditionalFormatting sqref="G360">
    <cfRule type="expression" dxfId="59" priority="34">
      <formula>G360=""</formula>
    </cfRule>
  </conditionalFormatting>
  <conditionalFormatting sqref="H360">
    <cfRule type="expression" dxfId="58" priority="33">
      <formula>H360=""</formula>
    </cfRule>
  </conditionalFormatting>
  <conditionalFormatting sqref="G361:G365">
    <cfRule type="expression" dxfId="57" priority="32">
      <formula>G361=""</formula>
    </cfRule>
  </conditionalFormatting>
  <conditionalFormatting sqref="H361:H365">
    <cfRule type="expression" dxfId="56" priority="31">
      <formula>H361=""</formula>
    </cfRule>
  </conditionalFormatting>
  <conditionalFormatting sqref="G357">
    <cfRule type="expression" dxfId="55" priority="30">
      <formula>$G$357=""</formula>
    </cfRule>
  </conditionalFormatting>
  <conditionalFormatting sqref="H327">
    <cfRule type="expression" dxfId="54" priority="29">
      <formula>$H$327=""</formula>
    </cfRule>
  </conditionalFormatting>
  <conditionalFormatting sqref="H328">
    <cfRule type="expression" dxfId="53" priority="28">
      <formula>$H$328=""</formula>
    </cfRule>
  </conditionalFormatting>
  <conditionalFormatting sqref="H337">
    <cfRule type="expression" dxfId="52" priority="27">
      <formula>AND($H$337="",$I$337="")</formula>
    </cfRule>
  </conditionalFormatting>
  <conditionalFormatting sqref="I337">
    <cfRule type="expression" dxfId="51" priority="26">
      <formula>AND($I$337="",$H$337="")</formula>
    </cfRule>
  </conditionalFormatting>
  <conditionalFormatting sqref="H338:I338">
    <cfRule type="expression" dxfId="50" priority="25">
      <formula>$H$338="Not yet met"</formula>
    </cfRule>
  </conditionalFormatting>
  <conditionalFormatting sqref="H587">
    <cfRule type="expression" dxfId="49" priority="23">
      <formula>AND($H$587&gt;0,$I$588&gt;0)</formula>
    </cfRule>
    <cfRule type="expression" dxfId="48" priority="9038">
      <formula>AND(H587&gt;0,J586&lt;&gt;1)</formula>
    </cfRule>
    <cfRule type="expression" dxfId="47" priority="9039">
      <formula>AND(H587&gt;0,I587&gt;0)</formula>
    </cfRule>
  </conditionalFormatting>
  <conditionalFormatting sqref="H586:I586">
    <cfRule type="expression" dxfId="46" priority="22">
      <formula>$H$586=""</formula>
    </cfRule>
  </conditionalFormatting>
  <conditionalFormatting sqref="I546">
    <cfRule type="expression" dxfId="45" priority="21">
      <formula>$I$546=""</formula>
    </cfRule>
  </conditionalFormatting>
  <conditionalFormatting sqref="H559">
    <cfRule type="expression" dxfId="44" priority="20">
      <formula>$H$559=""</formula>
    </cfRule>
  </conditionalFormatting>
  <conditionalFormatting sqref="I504">
    <cfRule type="expression" dxfId="43" priority="19">
      <formula>AND($I$504&gt;0,BldgType="Multi-Unit")</formula>
    </cfRule>
  </conditionalFormatting>
  <conditionalFormatting sqref="I248">
    <cfRule type="expression" dxfId="42" priority="16">
      <formula>AND(ReportType="Final",$H$248="",$I$248="")</formula>
    </cfRule>
  </conditionalFormatting>
  <conditionalFormatting sqref="H248">
    <cfRule type="expression" dxfId="41" priority="15">
      <formula>AND(ReportType="Rough",$H$248="")</formula>
    </cfRule>
  </conditionalFormatting>
  <conditionalFormatting sqref="I537">
    <cfRule type="expression" dxfId="40" priority="14">
      <formula>AND(ReportType="Final",$I$537="")</formula>
    </cfRule>
  </conditionalFormatting>
  <conditionalFormatting sqref="I564">
    <cfRule type="expression" dxfId="39" priority="13">
      <formula>AND(ReportType="Final",$I$564="")</formula>
    </cfRule>
  </conditionalFormatting>
  <conditionalFormatting sqref="I566">
    <cfRule type="expression" dxfId="38" priority="12">
      <formula>AND(ReportType="Final",$I$566="")</formula>
    </cfRule>
  </conditionalFormatting>
  <conditionalFormatting sqref="F3:I3">
    <cfRule type="expression" dxfId="37" priority="11">
      <formula xml:space="preserve"> F3="Verifier Enter on Start Here! Tab"</formula>
    </cfRule>
  </conditionalFormatting>
  <conditionalFormatting sqref="F4:I4">
    <cfRule type="expression" dxfId="36" priority="10">
      <formula xml:space="preserve"> F4="Verifier Enter on Start Here! Tab"</formula>
    </cfRule>
  </conditionalFormatting>
  <conditionalFormatting sqref="F5:I5">
    <cfRule type="expression" dxfId="35" priority="9">
      <formula xml:space="preserve"> F5="Verifier Enter on Start Here! Tab"</formula>
    </cfRule>
  </conditionalFormatting>
  <conditionalFormatting sqref="F6:G6">
    <cfRule type="expression" dxfId="34" priority="8">
      <formula>VCZ ="Verifier Enter on Start Here! Tab"</formula>
    </cfRule>
  </conditionalFormatting>
  <conditionalFormatting sqref="F7:G7">
    <cfRule type="expression" dxfId="33" priority="7">
      <formula xml:space="preserve"> F7="Verifier Enter on Start Here! Tab"</formula>
    </cfRule>
  </conditionalFormatting>
  <conditionalFormatting sqref="K3:L3">
    <cfRule type="expression" dxfId="32" priority="6">
      <formula xml:space="preserve"> BldgType ="Verifier Enter on Start Here! Tab"</formula>
    </cfRule>
  </conditionalFormatting>
  <conditionalFormatting sqref="K6:L6">
    <cfRule type="expression" dxfId="31" priority="4">
      <formula xml:space="preserve"> K6 ="Verifier Enter on Start Here! Tab"</formula>
    </cfRule>
  </conditionalFormatting>
  <conditionalFormatting sqref="K7:L7">
    <cfRule type="expression" dxfId="30" priority="3">
      <formula xml:space="preserve"> K7="Not Entered"</formula>
    </cfRule>
  </conditionalFormatting>
  <conditionalFormatting sqref="I6">
    <cfRule type="expression" dxfId="29" priority="2">
      <formula xml:space="preserve"> I6="Start Here!"</formula>
    </cfRule>
  </conditionalFormatting>
  <conditionalFormatting sqref="J4">
    <cfRule type="expression" dxfId="28" priority="1">
      <formula xml:space="preserve"> BldgType&lt;&gt;"Multi-unit"</formula>
    </cfRule>
  </conditionalFormatting>
  <dataValidations count="96">
    <dataValidation type="list" allowBlank="1" showInputMessage="1" showErrorMessage="1" sqref="I604:I605 I590 H46:I46 H498:I498 H587 I481:I482 H250:I250" xr:uid="{00000000-0002-0000-0800-000000000000}">
      <formula1>"0,7"</formula1>
    </dataValidation>
    <dataValidation type="list" allowBlank="1" showInputMessage="1" showErrorMessage="1" sqref="H275:I275" xr:uid="{00000000-0002-0000-0800-000001000000}">
      <formula1>"0,3,6,9"</formula1>
    </dataValidation>
    <dataValidation type="list" allowBlank="1" showInputMessage="1" showErrorMessage="1" sqref="H177:I177" xr:uid="{00000000-0002-0000-0800-000002000000}">
      <formula1>"Met, No crawl, No below grade crawl"</formula1>
    </dataValidation>
    <dataValidation type="list" allowBlank="1" showInputMessage="1" showErrorMessage="1" sqref="H303:I309 H594:I594 I593 H592 I519:I522 I552 H311:I313 H69:I69 H87:I88 H72 H74 H106:I106 H102:I104 H28:I28 H125:I125 H76:I76 I72:I74 H135:I140 H142:I145 H162:I162 H168:I168 H78:I78 H225:I227 H262:I263 H271:I272 H201:I203" xr:uid="{00000000-0002-0000-0800-000003000000}">
      <formula1>"0,3"</formula1>
    </dataValidation>
    <dataValidation type="list" allowBlank="1" showInputMessage="1" showErrorMessage="1" sqref="H146:I146 H273:I273 I544 H314 I314:I315 H230:I231 I554:I558" xr:uid="{00000000-0002-0000-0800-000004000000}">
      <formula1>"0,1"</formula1>
    </dataValidation>
    <dataValidation type="whole" operator="greaterThan" allowBlank="1" showInputMessage="1" showErrorMessage="1" error="Please enter a positive integer." sqref="J130" xr:uid="{00000000-0002-0000-0800-000005000000}">
      <formula1>0</formula1>
    </dataValidation>
    <dataValidation type="list" allowBlank="1" showInputMessage="1" showErrorMessage="1" sqref="H70:I70 H551:I551 I541 I529:I532 H100:I101 H91:I91 H84:I85 H81:I82 H15:I16 H26:I27 H29:I29 H33:I33 H147:I147 H149:I151 H264:I265 H169:I170 H173:I173 H182:I182 H163 H192:I193 I163:I164 H228:I228 H237:I237 I524:I527 I583 H216:I216" xr:uid="{00000000-0002-0000-0800-000006000000}">
      <formula1>"0,4"</formula1>
    </dataValidation>
    <dataValidation type="list" allowBlank="1" showInputMessage="1" showErrorMessage="1" sqref="H54:I55" xr:uid="{00000000-0002-0000-0800-000007000000}">
      <formula1>"0,3,6"</formula1>
    </dataValidation>
    <dataValidation type="list" allowBlank="1" showInputMessage="1" showErrorMessage="1" sqref="H59:I63" xr:uid="{00000000-0002-0000-0800-000008000000}">
      <formula1>"0,1,2,3,4,5"</formula1>
    </dataValidation>
    <dataValidation type="list" allowBlank="1" showInputMessage="1" showErrorMessage="1" sqref="H484:I485 H64:I64 H66:I66 H598:H599 I598:I599" xr:uid="{00000000-0002-0000-0800-000009000000}">
      <formula1>"0,2,5"</formula1>
    </dataValidation>
    <dataValidation type="list" allowBlank="1" showInputMessage="1" showErrorMessage="1" sqref="H68:I68 H56:I57 H205:I206" xr:uid="{00000000-0002-0000-0800-00000A000000}">
      <formula1>"0,2,4"</formula1>
    </dataValidation>
    <dataValidation type="list" allowBlank="1" showInputMessage="1" showErrorMessage="1" sqref="I8" xr:uid="{00000000-0002-0000-0800-00000B000000}">
      <formula1>"Rough, Final"</formula1>
    </dataValidation>
    <dataValidation type="list" allowBlank="1" showInputMessage="1" showErrorMessage="1" sqref="I540 I538 H176:I176 H52:I52 H25:I25 H45:I45 I249 H249" xr:uid="{00000000-0002-0000-0800-00000C000000}">
      <formula1>"0,6"</formula1>
    </dataValidation>
    <dataValidation type="list" allowBlank="1" showInputMessage="1" showErrorMessage="1" sqref="H124:I124 I504 I573 I567 H180:I180 I634 I545" xr:uid="{00000000-0002-0000-0800-00000D000000}">
      <formula1>"0,8"</formula1>
    </dataValidation>
    <dataValidation type="list" allowBlank="1" showInputMessage="1" showErrorMessage="1" sqref="H17:I17 H89:I90 I543 H474:I474 H109:I110 H105:I105 H93:I99 H116:I119 H30:I30 H32:I32 H38:I38 H41:I43 H51:I51 H23:I24" xr:uid="{00000000-0002-0000-0800-00000E000000}">
      <formula1>"0,5"</formula1>
    </dataValidation>
    <dataValidation type="list" allowBlank="1" showInputMessage="1" showErrorMessage="1" sqref="H35:I35" xr:uid="{00000000-0002-0000-0800-00000F000000}">
      <formula1>"0,3,4,6"</formula1>
    </dataValidation>
    <dataValidation type="list" allowBlank="1" showInputMessage="1" showErrorMessage="1" sqref="H48:I50 H184:I186 H212:I214 H244:I246 H267:I269" xr:uid="{00000000-0002-0000-0800-000010000000}">
      <formula1>"0,2,4,6"</formula1>
    </dataValidation>
    <dataValidation type="list" allowBlank="1" showInputMessage="1" showErrorMessage="1" sqref="H53" xr:uid="{00000000-0002-0000-0800-000011000000}">
      <formula1>ddLandscapeTypes</formula1>
    </dataValidation>
    <dataValidation type="list" allowBlank="1" showInputMessage="1" showErrorMessage="1" sqref="H112:I114" xr:uid="{00000000-0002-0000-0800-000012000000}">
      <formula1>"0,4,5,6"</formula1>
    </dataValidation>
    <dataValidation type="list" allowBlank="1" showInputMessage="1" showErrorMessage="1" sqref="H121:I123" xr:uid="{00000000-0002-0000-0800-000013000000}">
      <formula1>"0,5,8,11"</formula1>
    </dataValidation>
    <dataValidation type="list" allowBlank="1" showInputMessage="1" showErrorMessage="1" sqref="H152:I153" xr:uid="{00000000-0002-0000-0800-000014000000}">
      <formula1>"0,13"</formula1>
    </dataValidation>
    <dataValidation type="list" allowBlank="1" showInputMessage="1" showErrorMessage="1" sqref="H155:I157" xr:uid="{00000000-0002-0000-0800-000015000000}">
      <formula1>"0,4,6,8"</formula1>
    </dataValidation>
    <dataValidation type="whole" allowBlank="1" showInputMessage="1" showErrorMessage="1" sqref="H233:I234 H158:I161" xr:uid="{00000000-0002-0000-0800-000016000000}">
      <formula1>0</formula1>
      <formula2>12</formula2>
    </dataValidation>
    <dataValidation type="list" allowBlank="1" showInputMessage="1" showErrorMessage="1" sqref="H188 I607:I608 H207:I207 I539 H194:I194 I514:I517 I509:I512 H209:I209 H199:H200 H220:I221" xr:uid="{00000000-0002-0000-0800-000017000000}">
      <formula1>"0,2"</formula1>
    </dataValidation>
    <dataValidation type="whole" allowBlank="1" showInputMessage="1" showErrorMessage="1" sqref="H235:I236" xr:uid="{00000000-0002-0000-0800-000018000000}">
      <formula1>0</formula1>
      <formula2>9</formula2>
    </dataValidation>
    <dataValidation type="list" allowBlank="1" showInputMessage="1" showErrorMessage="1" sqref="H240:I242" xr:uid="{00000000-0002-0000-0800-000019000000}">
      <formula1>"0,1,2,3"</formula1>
    </dataValidation>
    <dataValidation type="list" allowBlank="1" showInputMessage="1" showErrorMessage="1" sqref="H252:I255" xr:uid="{00000000-0002-0000-0800-00001A000000}">
      <formula1>"0,3,4,5,6"</formula1>
    </dataValidation>
    <dataValidation type="list" allowBlank="1" showInputMessage="1" showErrorMessage="1" sqref="H257:H260" xr:uid="{00000000-0002-0000-0800-00001B000000}">
      <formula1>"0,3,4,5,6,7,8"</formula1>
    </dataValidation>
    <dataValidation type="list" allowBlank="1" showInputMessage="1" showErrorMessage="1" sqref="I190:I191" xr:uid="{00000000-0002-0000-0800-00001C000000}">
      <formula1>"NA,2"</formula1>
    </dataValidation>
    <dataValidation type="list" allowBlank="1" showInputMessage="1" showErrorMessage="1" sqref="H222:I223" xr:uid="{00000000-0002-0000-0800-00001D000000}">
      <formula1>"NA,1"</formula1>
    </dataValidation>
    <dataValidation type="list" allowBlank="1" showInputMessage="1" showErrorMessage="1" sqref="I257:I260" xr:uid="{00000000-0002-0000-0800-00001E000000}">
      <formula1>"3,4,5,6,7,8"</formula1>
    </dataValidation>
    <dataValidation type="list" allowBlank="1" showInputMessage="1" showErrorMessage="1" sqref="H284:I285" xr:uid="{00000000-0002-0000-0800-00001F000000}">
      <formula1>"0,15"</formula1>
    </dataValidation>
    <dataValidation type="list" allowBlank="1" showInputMessage="1" showErrorMessage="1" sqref="H292:I295" xr:uid="{00000000-0002-0000-0800-000020000000}">
      <formula1>"0,4,5"</formula1>
    </dataValidation>
    <dataValidation type="whole" allowBlank="1" showInputMessage="1" showErrorMessage="1" sqref="H289:I290" xr:uid="{00000000-0002-0000-0800-000021000000}">
      <formula1>0</formula1>
      <formula2>20</formula2>
    </dataValidation>
    <dataValidation type="list" allowBlank="1" showInputMessage="1" showErrorMessage="1" sqref="H167:I167" xr:uid="{00000000-0002-0000-0800-000022000000}">
      <formula1>"Met, No Slabs, NA"</formula1>
    </dataValidation>
    <dataValidation type="list" allowBlank="1" showInputMessage="1" showErrorMessage="1" sqref="H172" xr:uid="{00000000-0002-0000-0800-000023000000}">
      <formula1>"Met, No below grade space, NA"</formula1>
    </dataValidation>
    <dataValidation type="list" allowBlank="1" showInputMessage="1" showErrorMessage="1" sqref="I172" xr:uid="{00000000-0002-0000-0800-000024000000}">
      <formula1>"Met,No below grade space, NA"</formula1>
    </dataValidation>
    <dataValidation type="list" allowBlank="1" showInputMessage="1" showErrorMessage="1" sqref="H195:I196 H370 H368 I356:I372 H356:H358 I344:I354 H350 H352 H366" xr:uid="{00000000-0002-0000-0800-000025000000}">
      <formula1>"Met,NA"</formula1>
    </dataValidation>
    <dataValidation type="list" allowBlank="1" showInputMessage="1" showErrorMessage="1" sqref="H198:I198 I229 I324 I537 I330:I332" xr:uid="{00000000-0002-0000-0800-000026000000}">
      <formula1>"Met"</formula1>
    </dataValidation>
    <dataValidation type="list" allowBlank="1" showInputMessage="1" showErrorMessage="1" sqref="H215" xr:uid="{00000000-0002-0000-0800-000027000000}">
      <formula1>"Met, No tile in wet area, No issue with existing tile"</formula1>
    </dataValidation>
    <dataValidation type="list" allowBlank="1" showInputMessage="1" showErrorMessage="1" sqref="H217:I218" xr:uid="{00000000-0002-0000-0800-000028000000}">
      <formula1>"Met, No history"</formula1>
    </dataValidation>
    <dataValidation type="list" allowBlank="1" showInputMessage="1" showErrorMessage="1" sqref="H279:I280" xr:uid="{00000000-0002-0000-0800-000029000000}">
      <formula1>"0,2,4,6,8,10"</formula1>
    </dataValidation>
    <dataValidation type="list" allowBlank="1" showInputMessage="1" showErrorMessage="1" sqref="H321" xr:uid="{00000000-0002-0000-0800-00002A000000}">
      <formula1>dd701.4.1.2</formula1>
    </dataValidation>
    <dataValidation type="list" allowBlank="1" showInputMessage="1" showErrorMessage="1" sqref="H323" xr:uid="{00000000-0002-0000-0800-00002B000000}">
      <formula1>dd701.4.2.1</formula1>
    </dataValidation>
    <dataValidation type="list" allowBlank="1" showInputMessage="1" showErrorMessage="1" sqref="H325" xr:uid="{00000000-0002-0000-0800-00002C000000}">
      <formula1>dd701.4.2.3</formula1>
    </dataValidation>
    <dataValidation type="decimal" allowBlank="1" showInputMessage="1" showErrorMessage="1" error="Please enter the ACH50 value as a number less than 20." sqref="J331" xr:uid="{00000000-0002-0000-0800-00002D000000}">
      <formula1>0</formula1>
      <formula2>20</formula2>
    </dataValidation>
    <dataValidation type="list" allowBlank="1" showInputMessage="1" showErrorMessage="1" sqref="H335" xr:uid="{00000000-0002-0000-0800-00002E000000}">
      <formula1>"Met,No Recessed lights, No lights in envelop"</formula1>
    </dataValidation>
    <dataValidation type="list" allowBlank="1" showInputMessage="1" showErrorMessage="1" sqref="I335" xr:uid="{00000000-0002-0000-0800-00002F000000}">
      <formula1>"Met,No Recessed Lights,No lights in envelop"</formula1>
    </dataValidation>
    <dataValidation type="list" allowBlank="1" showInputMessage="1" showErrorMessage="1" sqref="I534:I535 H476:I479" xr:uid="{00000000-0002-0000-0800-000030000000}">
      <formula1>"0,3,5"</formula1>
    </dataValidation>
    <dataValidation type="list" allowBlank="1" showInputMessage="1" showErrorMessage="1" sqref="H330:H333" xr:uid="{00000000-0002-0000-0800-000031000000}">
      <formula1>"Visual Inspection - Insulation Better than Grade 3,Testing Option at Final"</formula1>
    </dataValidation>
    <dataValidation type="list" allowBlank="1" showInputMessage="1" showErrorMessage="1" sqref="I505" xr:uid="{00000000-0002-0000-0800-000032000000}">
      <formula1>"0,10"</formula1>
    </dataValidation>
    <dataValidation type="list" allowBlank="1" showInputMessage="1" showErrorMessage="1" sqref="H472:I473" xr:uid="{00000000-0002-0000-0800-000033000000}">
      <formula1>"No Natural Daft,5"</formula1>
    </dataValidation>
    <dataValidation type="list" allowBlank="1" showInputMessage="1" showErrorMessage="1" sqref="H480:H481 I480" xr:uid="{00000000-0002-0000-0800-000034000000}">
      <formula1>"Met,No gas fireplace or heating equipment"</formula1>
    </dataValidation>
    <dataValidation type="list" allowBlank="1" showInputMessage="1" showErrorMessage="1" sqref="H488:H489" xr:uid="{00000000-0002-0000-0800-000035000000}">
      <formula1>"Site built fireplace present,No site built fireplace"</formula1>
    </dataValidation>
    <dataValidation type="list" allowBlank="1" showInputMessage="1" showErrorMessage="1" sqref="H490:H491" xr:uid="{00000000-0002-0000-0800-000036000000}">
      <formula1>"No factory-built wood-buring fireplace,Factory-built wood-burning fireplace present"</formula1>
    </dataValidation>
    <dataValidation type="list" allowBlank="1" showInputMessage="1" showErrorMessage="1" sqref="H492:H493" xr:uid="{00000000-0002-0000-0800-000037000000}">
      <formula1>"No wood stove or insert, Wood stove or insert present"</formula1>
    </dataValidation>
    <dataValidation type="list" allowBlank="1" showInputMessage="1" showErrorMessage="1" sqref="H494:H495" xr:uid="{00000000-0002-0000-0800-000038000000}">
      <formula1>"No pellet stove or furnace, Pellet stove or furnace present"</formula1>
    </dataValidation>
    <dataValidation type="list" allowBlank="1" showInputMessage="1" showErrorMessage="1" sqref="H496:H497" xr:uid="{00000000-0002-0000-0800-000039000000}">
      <formula1>"No masonry heater, Masonry heater present"</formula1>
    </dataValidation>
    <dataValidation type="list" allowBlank="1" showInputMessage="1" showErrorMessage="1" sqref="I500 I502" xr:uid="{00000000-0002-0000-0800-00003A000000}">
      <formula1>"Met,No attached garage"</formula1>
    </dataValidation>
    <dataValidation type="list" allowBlank="1" showInputMessage="1" showErrorMessage="1" sqref="I488" xr:uid="{00000000-0002-0000-0800-00003B000000}">
      <formula1>dd901.2.1_1</formula1>
    </dataValidation>
    <dataValidation type="list" allowBlank="1" showInputMessage="1" showErrorMessage="1" sqref="I490" xr:uid="{00000000-0002-0000-0800-00003C000000}">
      <formula1>dd901.2.1_2</formula1>
    </dataValidation>
    <dataValidation type="list" allowBlank="1" showInputMessage="1" showErrorMessage="1" sqref="I492" xr:uid="{00000000-0002-0000-0800-00003D000000}">
      <formula1>dd901.2.1_3</formula1>
    </dataValidation>
    <dataValidation type="list" allowBlank="1" showInputMessage="1" showErrorMessage="1" sqref="I494" xr:uid="{00000000-0002-0000-0800-00003E000000}">
      <formula1>dd901.2.1_4</formula1>
    </dataValidation>
    <dataValidation type="list" allowBlank="1" showInputMessage="1" showErrorMessage="1" sqref="I496" xr:uid="{00000000-0002-0000-0800-00003F000000}">
      <formula1>dd901.2.1_5</formula1>
    </dataValidation>
    <dataValidation type="list" allowBlank="1" showInputMessage="1" showErrorMessage="1" sqref="H506" xr:uid="{00000000-0002-0000-0800-000040000000}">
      <formula1>dd901.4_1</formula1>
    </dataValidation>
    <dataValidation type="list" allowBlank="1" showInputMessage="1" showErrorMessage="1" sqref="I548:I550" xr:uid="{00000000-0002-0000-0800-000041000000}">
      <formula1>"0,5,8"</formula1>
    </dataValidation>
    <dataValidation type="list" allowBlank="1" showInputMessage="1" showErrorMessage="1" sqref="I564" xr:uid="{00000000-0002-0000-0800-000042000000}">
      <formula1>"Met,Met plus window"</formula1>
    </dataValidation>
    <dataValidation type="list" allowBlank="1" showInputMessage="1" showErrorMessage="1" sqref="I566" xr:uid="{00000000-0002-0000-0800-000043000000}">
      <formula1>"Met,No clothes dryer"</formula1>
    </dataValidation>
    <dataValidation type="list" allowBlank="1" showInputMessage="1" showErrorMessage="1" sqref="I569:I572" xr:uid="{00000000-0002-0000-0800-000044000000}">
      <formula1>"0,5,7,9,11"</formula1>
    </dataValidation>
    <dataValidation type="list" allowBlank="1" showInputMessage="1" showErrorMessage="1" sqref="I579:I582" xr:uid="{00000000-0002-0000-0800-000045000000}">
      <formula1>"0,3,6,7,8"</formula1>
    </dataValidation>
    <dataValidation type="list" allowBlank="1" showInputMessage="1" showErrorMessage="1" sqref="J586" xr:uid="{00000000-0002-0000-0800-000046000000}">
      <formula1>"1,2,3"</formula1>
    </dataValidation>
    <dataValidation type="list" allowBlank="1" showInputMessage="1" showErrorMessage="1" sqref="H590" xr:uid="{00000000-0002-0000-0800-000047000000}">
      <formula1>"o,7"</formula1>
    </dataValidation>
    <dataValidation type="list" allowBlank="1" showInputMessage="1" showErrorMessage="1" sqref="H601:I602" xr:uid="{00000000-0002-0000-0800-000048000000}">
      <formula1>"0,1,3"</formula1>
    </dataValidation>
    <dataValidation type="list" allowBlank="1" showInputMessage="1" showErrorMessage="1" sqref="I612:I632 I638:I645 I661:I666 I647:I656 I658:I659 I660" xr:uid="{00000000-0002-0000-0800-000049000000}">
      <formula1>"Included"</formula1>
    </dataValidation>
    <dataValidation type="whole" operator="greaterThan" allowBlank="1" showInputMessage="1" showErrorMessage="1" sqref="J122" xr:uid="{00000000-0002-0000-0800-00004A000000}">
      <formula1>0</formula1>
    </dataValidation>
    <dataValidation type="whole" allowBlank="1" showInputMessage="1" showErrorMessage="1" error="Enter the Conditioned Square Footage as a whole number." sqref="G357 G341" xr:uid="{00000000-0002-0000-0800-00004B000000}">
      <formula1>0</formula1>
      <formula2>500000</formula2>
    </dataValidation>
    <dataValidation type="whole" allowBlank="1" showInputMessage="1" showErrorMessage="1" sqref="G344:H349 G360:H365" xr:uid="{00000000-0002-0000-0800-00004C000000}">
      <formula1>0</formula1>
      <formula2>500000</formula2>
    </dataValidation>
    <dataValidation type="list" allowBlank="1" showInputMessage="1" showErrorMessage="1" sqref="H320" xr:uid="{00000000-0002-0000-0800-00004D000000}">
      <formula1>dd701.4.1.1</formula1>
    </dataValidation>
    <dataValidation type="list" allowBlank="1" showInputMessage="1" showErrorMessage="1" sqref="H324" xr:uid="{00000000-0002-0000-0800-00004E000000}">
      <formula1>dd701.4.2.2</formula1>
    </dataValidation>
    <dataValidation type="list" allowBlank="1" showInputMessage="1" showErrorMessage="1" sqref="H327" xr:uid="{00000000-0002-0000-0800-00004F000000}">
      <formula1>dd701.4.3.1</formula1>
    </dataValidation>
    <dataValidation type="list" allowBlank="1" showInputMessage="1" showErrorMessage="1" sqref="H328" xr:uid="{00000000-0002-0000-0800-000050000000}">
      <formula1>"Met, No envelope exposed or created"</formula1>
    </dataValidation>
    <dataValidation type="list" allowBlank="1" showInputMessage="1" showErrorMessage="1" sqref="H334" xr:uid="{00000000-0002-0000-0800-000051000000}">
      <formula1>dd701.4.3.3</formula1>
    </dataValidation>
    <dataValidation type="list" allowBlank="1" showInputMessage="1" showErrorMessage="1" sqref="I336" xr:uid="{00000000-0002-0000-0800-000052000000}">
      <formula1>dd701.4.4</formula1>
    </dataValidation>
    <dataValidation type="list" allowBlank="1" showInputMessage="1" showErrorMessage="1" sqref="H337:I337" xr:uid="{00000000-0002-0000-0800-000053000000}">
      <formula1>dd701.4.5</formula1>
    </dataValidation>
    <dataValidation type="list" allowBlank="1" showInputMessage="1" showErrorMessage="1" sqref="H181:I181" xr:uid="{00000000-0002-0000-0800-000054000000}">
      <formula1>dd602.1.4.2_2</formula1>
    </dataValidation>
    <dataValidation type="list" allowBlank="1" showInputMessage="1" showErrorMessage="1" sqref="H190:H191" xr:uid="{00000000-0002-0000-0800-000055000000}">
      <formula1>"2, NA"</formula1>
    </dataValidation>
    <dataValidation type="list" allowBlank="1" showInputMessage="1" showErrorMessage="1" sqref="H595" xr:uid="{00000000-0002-0000-0800-000056000000}">
      <formula1>dd902.6</formula1>
    </dataValidation>
    <dataValidation type="list" allowBlank="1" showInputMessage="1" showErrorMessage="1" sqref="H586:I586" xr:uid="{00000000-0002-0000-0800-000057000000}">
      <formula1>dd902.3</formula1>
    </dataValidation>
    <dataValidation type="list" allowBlank="1" showInputMessage="1" showErrorMessage="1" sqref="I546" xr:uid="{00000000-0002-0000-0800-000058000000}">
      <formula1>"Met, Not Occupied During Remodel, No new interior paint"</formula1>
    </dataValidation>
    <dataValidation type="list" allowBlank="1" showInputMessage="1" showErrorMessage="1" sqref="H559" xr:uid="{00000000-0002-0000-0800-000059000000}">
      <formula1>"Met, Newer than 1978, Tested &amp; no lead present"</formula1>
    </dataValidation>
    <dataValidation type="list" allowBlank="1" showInputMessage="1" showErrorMessage="1" sqref="I584" xr:uid="{00000000-0002-0000-0800-00005A000000}">
      <formula1>"3"</formula1>
    </dataValidation>
    <dataValidation type="list" allowBlank="1" showInputMessage="1" showErrorMessage="1" sqref="I215" xr:uid="{00000000-0002-0000-0800-00005B000000}">
      <formula1>"Met, No tile in wet area,No issue with existing tile"</formula1>
    </dataValidation>
    <dataValidation type="list" allowBlank="1" showInputMessage="1" showErrorMessage="1" sqref="I248" xr:uid="{00000000-0002-0000-0800-00005C000000}">
      <formula1>"Met,No hazardous waste on job"</formula1>
    </dataValidation>
    <dataValidation type="list" allowBlank="1" showInputMessage="1" showErrorMessage="1" sqref="H248" xr:uid="{00000000-0002-0000-0800-00005D000000}">
      <formula1>"Met, No hazardous waste on job"</formula1>
    </dataValidation>
    <dataValidation type="list" allowBlank="1" showInputMessage="1" showErrorMessage="1" sqref="I334" xr:uid="{00000000-0002-0000-0800-00005E000000}">
      <formula1>"Met, No new fenestration"</formula1>
    </dataValidation>
    <dataValidation operator="greaterThan" allowBlank="1" showInputMessage="1" showErrorMessage="1" sqref="K4:L4" xr:uid="{00000000-0002-0000-0800-000061000000}"/>
  </dataValidations>
  <pageMargins left="0.25" right="0.25" top="0.35" bottom="0.33" header="0.3" footer="0.3"/>
  <pageSetup scale="61" fitToHeight="31" orientation="landscape"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2974</vt:i4>
      </vt:variant>
    </vt:vector>
  </HeadingPairs>
  <TitlesOfParts>
    <vt:vector size="2991" baseType="lpstr">
      <vt:lpstr>Start Here!</vt:lpstr>
      <vt:lpstr>11.5</vt:lpstr>
      <vt:lpstr>11.6</vt:lpstr>
      <vt:lpstr>11.7</vt:lpstr>
      <vt:lpstr>11.8</vt:lpstr>
      <vt:lpstr>11.9</vt:lpstr>
      <vt:lpstr>11.10</vt:lpstr>
      <vt:lpstr>Designer's Report</vt:lpstr>
      <vt:lpstr>Verification Rpt</vt:lpstr>
      <vt:lpstr>Formulas</vt:lpstr>
      <vt:lpstr>Rough Signature</vt:lpstr>
      <vt:lpstr>Final Signature</vt:lpstr>
      <vt:lpstr>Ch. 7, 8, 9  Appendices</vt:lpstr>
      <vt:lpstr>Figures</vt:lpstr>
      <vt:lpstr>Appendix A, B, D</vt:lpstr>
      <vt:lpstr>Errata</vt:lpstr>
      <vt:lpstr>Sheet1</vt:lpstr>
      <vt:lpstr>additionalPoints</vt:lpstr>
      <vt:lpstr>af1001.1</vt:lpstr>
      <vt:lpstr>af1001.1_1</vt:lpstr>
      <vt:lpstr>af1001.1_10</vt:lpstr>
      <vt:lpstr>af1001.1_11</vt:lpstr>
      <vt:lpstr>af1001.1_12</vt:lpstr>
      <vt:lpstr>af1001.1_13</vt:lpstr>
      <vt:lpstr>af1001.1_14</vt:lpstr>
      <vt:lpstr>af1001.1_15</vt:lpstr>
      <vt:lpstr>af1001.1_16</vt:lpstr>
      <vt:lpstr>af1001.1_17</vt:lpstr>
      <vt:lpstr>af1001.1_18</vt:lpstr>
      <vt:lpstr>af1001.1_19</vt:lpstr>
      <vt:lpstr>af1001.1_2</vt:lpstr>
      <vt:lpstr>af1001.1_20</vt:lpstr>
      <vt:lpstr>af1001.1_21</vt:lpstr>
      <vt:lpstr>af1001.1_3</vt:lpstr>
      <vt:lpstr>af1001.1_4</vt:lpstr>
      <vt:lpstr>af1001.1_5</vt:lpstr>
      <vt:lpstr>af1001.1_6</vt:lpstr>
      <vt:lpstr>af1001.1_7</vt:lpstr>
      <vt:lpstr>af1001.1_8</vt:lpstr>
      <vt:lpstr>af1001.1_9</vt:lpstr>
      <vt:lpstr>af1002.1</vt:lpstr>
      <vt:lpstr>af1003.1</vt:lpstr>
      <vt:lpstr>af1003.1_1</vt:lpstr>
      <vt:lpstr>af1003.1_2</vt:lpstr>
      <vt:lpstr>af1003.1_3</vt:lpstr>
      <vt:lpstr>af1003.1_4</vt:lpstr>
      <vt:lpstr>af1003.1_5</vt:lpstr>
      <vt:lpstr>af1003.1_6</vt:lpstr>
      <vt:lpstr>af1003.1_7</vt:lpstr>
      <vt:lpstr>af1003.1_8</vt:lpstr>
      <vt:lpstr>af1003.2</vt:lpstr>
      <vt:lpstr>af1003.2_1</vt:lpstr>
      <vt:lpstr>af1003.2_10</vt:lpstr>
      <vt:lpstr>af1003.2_2</vt:lpstr>
      <vt:lpstr>af1003.2_3</vt:lpstr>
      <vt:lpstr>af1003.2_4</vt:lpstr>
      <vt:lpstr>af1003.2_5</vt:lpstr>
      <vt:lpstr>af1003.2_6</vt:lpstr>
      <vt:lpstr>af1003.2_7</vt:lpstr>
      <vt:lpstr>af1003.2_8</vt:lpstr>
      <vt:lpstr>af1003.2_9</vt:lpstr>
      <vt:lpstr>af1003.3</vt:lpstr>
      <vt:lpstr>af1003.3_1</vt:lpstr>
      <vt:lpstr>af1003.3_2</vt:lpstr>
      <vt:lpstr>af1003.3_3</vt:lpstr>
      <vt:lpstr>af1003.3_4</vt:lpstr>
      <vt:lpstr>af1003.3_5</vt:lpstr>
      <vt:lpstr>af1003.3_6</vt:lpstr>
      <vt:lpstr>af1003.3_7</vt:lpstr>
      <vt:lpstr>af1003.3_8</vt:lpstr>
      <vt:lpstr>af1003.3_9</vt:lpstr>
      <vt:lpstr>af501.2_1</vt:lpstr>
      <vt:lpstr>af501.2_3</vt:lpstr>
      <vt:lpstr>af501.2_4</vt:lpstr>
      <vt:lpstr>af502.1</vt:lpstr>
      <vt:lpstr>af503.1_1</vt:lpstr>
      <vt:lpstr>af503.1_2</vt:lpstr>
      <vt:lpstr>af503.1_3</vt:lpstr>
      <vt:lpstr>af503.1_4</vt:lpstr>
      <vt:lpstr>af503.1_5</vt:lpstr>
      <vt:lpstr>af503.1_6</vt:lpstr>
      <vt:lpstr>af503.1_7</vt:lpstr>
      <vt:lpstr>af503.2_1</vt:lpstr>
      <vt:lpstr>af503.2_2</vt:lpstr>
      <vt:lpstr>af503.2_3</vt:lpstr>
      <vt:lpstr>af503.2_4</vt:lpstr>
      <vt:lpstr>af503.2_5</vt:lpstr>
      <vt:lpstr>af503.3_1</vt:lpstr>
      <vt:lpstr>af503.3_2</vt:lpstr>
      <vt:lpstr>af503.3_3</vt:lpstr>
      <vt:lpstr>af503.4_1</vt:lpstr>
      <vt:lpstr>af503.4_2</vt:lpstr>
      <vt:lpstr>af503.4_3</vt:lpstr>
      <vt:lpstr>af503.4_4</vt:lpstr>
      <vt:lpstr>af503.4_5</vt:lpstr>
      <vt:lpstr>af503.5_1</vt:lpstr>
      <vt:lpstr>af503.5_2</vt:lpstr>
      <vt:lpstr>af503.5_3</vt:lpstr>
      <vt:lpstr>af503.5_4</vt:lpstr>
      <vt:lpstr>af503.5_5</vt:lpstr>
      <vt:lpstr>af503.5_6</vt:lpstr>
      <vt:lpstr>af503.5_7</vt:lpstr>
      <vt:lpstr>af503.5_8</vt:lpstr>
      <vt:lpstr>af503.6_1</vt:lpstr>
      <vt:lpstr>af503.6_2</vt:lpstr>
      <vt:lpstr>af503.6_3</vt:lpstr>
      <vt:lpstr>af503.6_4</vt:lpstr>
      <vt:lpstr>af503.7_1</vt:lpstr>
      <vt:lpstr>af503.7_2</vt:lpstr>
      <vt:lpstr>af504.1</vt:lpstr>
      <vt:lpstr>af504.2_1</vt:lpstr>
      <vt:lpstr>af504.2_2</vt:lpstr>
      <vt:lpstr>af504.2_3</vt:lpstr>
      <vt:lpstr>af504.3_1</vt:lpstr>
      <vt:lpstr>af504.3_2</vt:lpstr>
      <vt:lpstr>af504.3_3</vt:lpstr>
      <vt:lpstr>af504.3_4</vt:lpstr>
      <vt:lpstr>af504.3_5</vt:lpstr>
      <vt:lpstr>af504.3_6</vt:lpstr>
      <vt:lpstr>af504.3_7</vt:lpstr>
      <vt:lpstr>af504.3_8</vt:lpstr>
      <vt:lpstr>af504.3_9</vt:lpstr>
      <vt:lpstr>af505.1_1</vt:lpstr>
      <vt:lpstr>af505.1_2</vt:lpstr>
      <vt:lpstr>af505.1_3</vt:lpstr>
      <vt:lpstr>af505.2_1</vt:lpstr>
      <vt:lpstr>af505.2_2</vt:lpstr>
      <vt:lpstr>af505.3</vt:lpstr>
      <vt:lpstr>af505.4</vt:lpstr>
      <vt:lpstr>af505.5</vt:lpstr>
      <vt:lpstr>af601.1</vt:lpstr>
      <vt:lpstr>af601.2_1</vt:lpstr>
      <vt:lpstr>af601.2_2</vt:lpstr>
      <vt:lpstr>af601.2_3</vt:lpstr>
      <vt:lpstr>af601.3_1</vt:lpstr>
      <vt:lpstr>af601.3_2</vt:lpstr>
      <vt:lpstr>af601.3_3</vt:lpstr>
      <vt:lpstr>af601.3_4</vt:lpstr>
      <vt:lpstr>af601.3_5</vt:lpstr>
      <vt:lpstr>af601.4</vt:lpstr>
      <vt:lpstr>af601.5_1</vt:lpstr>
      <vt:lpstr>af601.5_2</vt:lpstr>
      <vt:lpstr>af601.5_3</vt:lpstr>
      <vt:lpstr>af601.5_4</vt:lpstr>
      <vt:lpstr>af601.5_5</vt:lpstr>
      <vt:lpstr>af601.6</vt:lpstr>
      <vt:lpstr>af601.7</vt:lpstr>
      <vt:lpstr>af601.8</vt:lpstr>
      <vt:lpstr>af601.9</vt:lpstr>
      <vt:lpstr>af602.1.1.1</vt:lpstr>
      <vt:lpstr>af602.1.1.2</vt:lpstr>
      <vt:lpstr>af602.1.10</vt:lpstr>
      <vt:lpstr>af602.1.11</vt:lpstr>
      <vt:lpstr>af602.1.12</vt:lpstr>
      <vt:lpstr>af602.1.13</vt:lpstr>
      <vt:lpstr>af602.1.14_1</vt:lpstr>
      <vt:lpstr>af602.1.14_2</vt:lpstr>
      <vt:lpstr>af602.1.14_3</vt:lpstr>
      <vt:lpstr>af602.1.2</vt:lpstr>
      <vt:lpstr>af602.1.3.1</vt:lpstr>
      <vt:lpstr>af602.1.3.2</vt:lpstr>
      <vt:lpstr>af602.1.4.1_1</vt:lpstr>
      <vt:lpstr>af602.1.4.1_2</vt:lpstr>
      <vt:lpstr>af602.1.4.2_1</vt:lpstr>
      <vt:lpstr>af602.1.4.2_2</vt:lpstr>
      <vt:lpstr>af602.1.5</vt:lpstr>
      <vt:lpstr>af602.1.6</vt:lpstr>
      <vt:lpstr>af602.1.7.1_1</vt:lpstr>
      <vt:lpstr>af602.1.7.1_2</vt:lpstr>
      <vt:lpstr>af602.1.7.1_3</vt:lpstr>
      <vt:lpstr>af602.1.7.2</vt:lpstr>
      <vt:lpstr>af602.1.8</vt:lpstr>
      <vt:lpstr>af602.1.9_1</vt:lpstr>
      <vt:lpstr>af602.1.9_2</vt:lpstr>
      <vt:lpstr>af602.1.9_3</vt:lpstr>
      <vt:lpstr>af602.1.9_4</vt:lpstr>
      <vt:lpstr>af602.1.9_5</vt:lpstr>
      <vt:lpstr>af602.1.9_6</vt:lpstr>
      <vt:lpstr>af602.1.9_7</vt:lpstr>
      <vt:lpstr>af602.2</vt:lpstr>
      <vt:lpstr>af602.3</vt:lpstr>
      <vt:lpstr>af602.4.1</vt:lpstr>
      <vt:lpstr>af602.4.2</vt:lpstr>
      <vt:lpstr>af602.4.3</vt:lpstr>
      <vt:lpstr>af603.1</vt:lpstr>
      <vt:lpstr>af603.2</vt:lpstr>
      <vt:lpstr>af603.3</vt:lpstr>
      <vt:lpstr>af604.1.1</vt:lpstr>
      <vt:lpstr>af604.1.2</vt:lpstr>
      <vt:lpstr>af605.1</vt:lpstr>
      <vt:lpstr>af605.2</vt:lpstr>
      <vt:lpstr>af605.3</vt:lpstr>
      <vt:lpstr>af605.4</vt:lpstr>
      <vt:lpstr>af606.1</vt:lpstr>
      <vt:lpstr>af606.2_1</vt:lpstr>
      <vt:lpstr>af606.2_2</vt:lpstr>
      <vt:lpstr>af606.3</vt:lpstr>
      <vt:lpstr>af607.1_1</vt:lpstr>
      <vt:lpstr>af607.1_2</vt:lpstr>
      <vt:lpstr>af607.2</vt:lpstr>
      <vt:lpstr>af608.1</vt:lpstr>
      <vt:lpstr>af609.1</vt:lpstr>
      <vt:lpstr>af610.1</vt:lpstr>
      <vt:lpstr>af610.1.1</vt:lpstr>
      <vt:lpstr>af610.1.2</vt:lpstr>
      <vt:lpstr>af610.1.2.1</vt:lpstr>
      <vt:lpstr>af610.1.2.1With4ImpactMeasures</vt:lpstr>
      <vt:lpstr>af610.1.2.1With5ImpactMeasures</vt:lpstr>
      <vt:lpstr>af610.1.2.2.walls</vt:lpstr>
      <vt:lpstr>af610.1.2.2floors</vt:lpstr>
      <vt:lpstr>af610.1.2.2intwalls</vt:lpstr>
      <vt:lpstr>af610.1.2.2roof</vt:lpstr>
      <vt:lpstr>af610.1.2.2walls</vt:lpstr>
      <vt:lpstr>af6101.2.2</vt:lpstr>
      <vt:lpstr>af611.1</vt:lpstr>
      <vt:lpstr>af611.2</vt:lpstr>
      <vt:lpstr>af611.2_1</vt:lpstr>
      <vt:lpstr>af611.2_2</vt:lpstr>
      <vt:lpstr>af611.2_3</vt:lpstr>
      <vt:lpstr>af611.2_4</vt:lpstr>
      <vt:lpstr>af611.2_5</vt:lpstr>
      <vt:lpstr>af611.2_6</vt:lpstr>
      <vt:lpstr>af611.2_7</vt:lpstr>
      <vt:lpstr>af611.3</vt:lpstr>
      <vt:lpstr>af611.3_1</vt:lpstr>
      <vt:lpstr>af611.3_2</vt:lpstr>
      <vt:lpstr>af611.3_3</vt:lpstr>
      <vt:lpstr>af611.3_4</vt:lpstr>
      <vt:lpstr>af701.4.1.1</vt:lpstr>
      <vt:lpstr>af701.4.1.2</vt:lpstr>
      <vt:lpstr>af701.4.2.1</vt:lpstr>
      <vt:lpstr>af701.4.2.2</vt:lpstr>
      <vt:lpstr>af701.4.2.3</vt:lpstr>
      <vt:lpstr>af701.4.3.1</vt:lpstr>
      <vt:lpstr>af701.4.3.2</vt:lpstr>
      <vt:lpstr>af701.4.3.2_1</vt:lpstr>
      <vt:lpstr>af701.4.3.2_2</vt:lpstr>
      <vt:lpstr>af701.4.3.2_3</vt:lpstr>
      <vt:lpstr>af701.4.3.2_4</vt:lpstr>
      <vt:lpstr>af701.4.4</vt:lpstr>
      <vt:lpstr>af701.4.5</vt:lpstr>
      <vt:lpstr>af901.1.1</vt:lpstr>
      <vt:lpstr>af901.1.2</vt:lpstr>
      <vt:lpstr>af901.1.3_1</vt:lpstr>
      <vt:lpstr>af901.1.3_2</vt:lpstr>
      <vt:lpstr>af901.1.4</vt:lpstr>
      <vt:lpstr>af901.1.5</vt:lpstr>
      <vt:lpstr>af901.1.6</vt:lpstr>
      <vt:lpstr>af901.10</vt:lpstr>
      <vt:lpstr>af901.11</vt:lpstr>
      <vt:lpstr>af901.12</vt:lpstr>
      <vt:lpstr>af901.13</vt:lpstr>
      <vt:lpstr>af901.14_1</vt:lpstr>
      <vt:lpstr>af901.14_2</vt:lpstr>
      <vt:lpstr>af901.2.1_1Step1</vt:lpstr>
      <vt:lpstr>af901.2.1_1Step2</vt:lpstr>
      <vt:lpstr>af901.2.1_2Step1</vt:lpstr>
      <vt:lpstr>af901.2.1_2Step2</vt:lpstr>
      <vt:lpstr>af901.2.1_3Step1</vt:lpstr>
      <vt:lpstr>af901.2.1_3Step2</vt:lpstr>
      <vt:lpstr>af901.2.1_4Step1</vt:lpstr>
      <vt:lpstr>af901.2.1_4Step2</vt:lpstr>
      <vt:lpstr>af901.2.1_5Step1</vt:lpstr>
      <vt:lpstr>af901.2.1_5Step2</vt:lpstr>
      <vt:lpstr>af901.2.2</vt:lpstr>
      <vt:lpstr>af901.3_1aStep1</vt:lpstr>
      <vt:lpstr>af901.3_1aStep2</vt:lpstr>
      <vt:lpstr>af901.3_1bStep1</vt:lpstr>
      <vt:lpstr>af901.3_1bStep2</vt:lpstr>
      <vt:lpstr>af901.3_1c</vt:lpstr>
      <vt:lpstr>af901.3_2</vt:lpstr>
      <vt:lpstr>af901.4_2CompositeTrim</vt:lpstr>
      <vt:lpstr>af901.4_2Countertops</vt:lpstr>
      <vt:lpstr>af901.4_2CustomWoodwork</vt:lpstr>
      <vt:lpstr>af901.4_2Shelving</vt:lpstr>
      <vt:lpstr>af901.4_2thru6</vt:lpstr>
      <vt:lpstr>af901.4_3CompositeTrim</vt:lpstr>
      <vt:lpstr>af901.4_3Countertops</vt:lpstr>
      <vt:lpstr>af901.4_3CustomWoodwork</vt:lpstr>
      <vt:lpstr>af901.4_3Shelving</vt:lpstr>
      <vt:lpstr>af901.4_4CompositeTrim</vt:lpstr>
      <vt:lpstr>af901.4_4Countertops</vt:lpstr>
      <vt:lpstr>af901.4_4CustomWoodwork</vt:lpstr>
      <vt:lpstr>af901.4_4Shelving</vt:lpstr>
      <vt:lpstr>af901.4_5CompositeTrim</vt:lpstr>
      <vt:lpstr>af901.4_5Countertops</vt:lpstr>
      <vt:lpstr>af901.4_5CustomWoodwork</vt:lpstr>
      <vt:lpstr>af901.4_5Shelving</vt:lpstr>
      <vt:lpstr>af901.5</vt:lpstr>
      <vt:lpstr>af901.5_1and2</vt:lpstr>
      <vt:lpstr>af901.6_1</vt:lpstr>
      <vt:lpstr>af901.6_2a</vt:lpstr>
      <vt:lpstr>af901.6_2b</vt:lpstr>
      <vt:lpstr>af901.7</vt:lpstr>
      <vt:lpstr>af901.8</vt:lpstr>
      <vt:lpstr>af901.9.1</vt:lpstr>
      <vt:lpstr>af901.9.2</vt:lpstr>
      <vt:lpstr>af901.9.3</vt:lpstr>
      <vt:lpstr>af901.9.4</vt:lpstr>
      <vt:lpstr>af902.1.1_1Step1</vt:lpstr>
      <vt:lpstr>af902.1.1_1Step2</vt:lpstr>
      <vt:lpstr>af902.1.1_2</vt:lpstr>
      <vt:lpstr>af902.1.1_3</vt:lpstr>
      <vt:lpstr>af902.1.2</vt:lpstr>
      <vt:lpstr>af902.1.3</vt:lpstr>
      <vt:lpstr>af902.1.4</vt:lpstr>
      <vt:lpstr>af902.1.4_1</vt:lpstr>
      <vt:lpstr>af902.1.4_2</vt:lpstr>
      <vt:lpstr>af902.2.1</vt:lpstr>
      <vt:lpstr>af902.2.1_1thru4</vt:lpstr>
      <vt:lpstr>af902.2.2</vt:lpstr>
      <vt:lpstr>af902.2.3</vt:lpstr>
      <vt:lpstr>af902.3_1</vt:lpstr>
      <vt:lpstr>af902.3_1a</vt:lpstr>
      <vt:lpstr>af902.3_1b</vt:lpstr>
      <vt:lpstr>af902.3_2a</vt:lpstr>
      <vt:lpstr>af902.4_2</vt:lpstr>
      <vt:lpstr>af902.5</vt:lpstr>
      <vt:lpstr>af903.1.1</vt:lpstr>
      <vt:lpstr>af903.1.2</vt:lpstr>
      <vt:lpstr>af903.2</vt:lpstr>
      <vt:lpstr>af903.3</vt:lpstr>
      <vt:lpstr>af904.1</vt:lpstr>
      <vt:lpstr>af904.2</vt:lpstr>
      <vt:lpstr>AfterApp</vt:lpstr>
      <vt:lpstr>AfterCool</vt:lpstr>
      <vt:lpstr>AfterDishFlow</vt:lpstr>
      <vt:lpstr>AfterDishGPU</vt:lpstr>
      <vt:lpstr>AfterDishGPW</vt:lpstr>
      <vt:lpstr>AfterDishUses</vt:lpstr>
      <vt:lpstr>AfterFT2</vt:lpstr>
      <vt:lpstr>AfterHeat</vt:lpstr>
      <vt:lpstr>AfterLight</vt:lpstr>
      <vt:lpstr>AfterMisc</vt:lpstr>
      <vt:lpstr>AfterPerFT2</vt:lpstr>
      <vt:lpstr>AfterShower1Flow</vt:lpstr>
      <vt:lpstr>AfterShower1GPU</vt:lpstr>
      <vt:lpstr>AfterShower1GPW</vt:lpstr>
      <vt:lpstr>AfterShower1Uses</vt:lpstr>
      <vt:lpstr>AfterSink11Flow</vt:lpstr>
      <vt:lpstr>AfterSink11GPU</vt:lpstr>
      <vt:lpstr>AfterSink11GPW</vt:lpstr>
      <vt:lpstr>AfterSink11Uses</vt:lpstr>
      <vt:lpstr>AfterSink12Flow</vt:lpstr>
      <vt:lpstr>AfterSink12GPU</vt:lpstr>
      <vt:lpstr>AfterSink12GPW</vt:lpstr>
      <vt:lpstr>AfterSink12Uses</vt:lpstr>
      <vt:lpstr>AfterSinkFlow</vt:lpstr>
      <vt:lpstr>AfterSinkGPU</vt:lpstr>
      <vt:lpstr>AfterSinkGPW</vt:lpstr>
      <vt:lpstr>AfterSinkUses</vt:lpstr>
      <vt:lpstr>AfterTotal</vt:lpstr>
      <vt:lpstr>AfterWC1GPF</vt:lpstr>
      <vt:lpstr>AfterWC1GPU</vt:lpstr>
      <vt:lpstr>AfterWC1GPW</vt:lpstr>
      <vt:lpstr>AfterWC1Uses</vt:lpstr>
      <vt:lpstr>AfterWH</vt:lpstr>
      <vt:lpstr>app703_1_2</vt:lpstr>
      <vt:lpstr>app703.6.4</vt:lpstr>
      <vt:lpstr>app704_3_1_1</vt:lpstr>
      <vt:lpstr>app801.1</vt:lpstr>
      <vt:lpstr>app901.10_3</vt:lpstr>
      <vt:lpstr>app901.9.1</vt:lpstr>
      <vt:lpstr>appendixA</vt:lpstr>
      <vt:lpstr>appendixB</vt:lpstr>
      <vt:lpstr>appendixD</vt:lpstr>
      <vt:lpstr>applCount</vt:lpstr>
      <vt:lpstr>ar501.2_1</vt:lpstr>
      <vt:lpstr>ar501.2_3</vt:lpstr>
      <vt:lpstr>ar501.2_4</vt:lpstr>
      <vt:lpstr>ar502.1</vt:lpstr>
      <vt:lpstr>ar503.1_1</vt:lpstr>
      <vt:lpstr>ar503.1_2</vt:lpstr>
      <vt:lpstr>ar503.1_3</vt:lpstr>
      <vt:lpstr>ar503.1_4</vt:lpstr>
      <vt:lpstr>ar503.1_5</vt:lpstr>
      <vt:lpstr>ar503.1_6</vt:lpstr>
      <vt:lpstr>ar503.1_7</vt:lpstr>
      <vt:lpstr>ar503.2_1</vt:lpstr>
      <vt:lpstr>ar503.2_2</vt:lpstr>
      <vt:lpstr>ar503.2_3</vt:lpstr>
      <vt:lpstr>ar503.2_3a</vt:lpstr>
      <vt:lpstr>ar503.2_4</vt:lpstr>
      <vt:lpstr>ar503.2_5</vt:lpstr>
      <vt:lpstr>ar503.3_1</vt:lpstr>
      <vt:lpstr>ar503.3_2</vt:lpstr>
      <vt:lpstr>ar503.3_3</vt:lpstr>
      <vt:lpstr>ar503.4</vt:lpstr>
      <vt:lpstr>ar503.4_1</vt:lpstr>
      <vt:lpstr>ar503.4_2</vt:lpstr>
      <vt:lpstr>ar503.4_3</vt:lpstr>
      <vt:lpstr>ar503.4_4</vt:lpstr>
      <vt:lpstr>ar503.4_5</vt:lpstr>
      <vt:lpstr>ar503.5</vt:lpstr>
      <vt:lpstr>ar503.5_1</vt:lpstr>
      <vt:lpstr>ar503.5_2</vt:lpstr>
      <vt:lpstr>ar503.5_3</vt:lpstr>
      <vt:lpstr>ar503.5_4</vt:lpstr>
      <vt:lpstr>ar503.5_5</vt:lpstr>
      <vt:lpstr>ar503.5_6</vt:lpstr>
      <vt:lpstr>ar503.5_7</vt:lpstr>
      <vt:lpstr>ar503.5_8</vt:lpstr>
      <vt:lpstr>ar503.6_1</vt:lpstr>
      <vt:lpstr>ar503.6_2</vt:lpstr>
      <vt:lpstr>ar503.6_3</vt:lpstr>
      <vt:lpstr>ar503.6_4</vt:lpstr>
      <vt:lpstr>ar503.7_1</vt:lpstr>
      <vt:lpstr>ar503.7_2</vt:lpstr>
      <vt:lpstr>ar504.1</vt:lpstr>
      <vt:lpstr>ar504.2_1</vt:lpstr>
      <vt:lpstr>ar504.2_2</vt:lpstr>
      <vt:lpstr>ar504.2_3</vt:lpstr>
      <vt:lpstr>ar504.3_1</vt:lpstr>
      <vt:lpstr>ar504.3_2</vt:lpstr>
      <vt:lpstr>ar504.3_3</vt:lpstr>
      <vt:lpstr>ar504.3_4</vt:lpstr>
      <vt:lpstr>ar504.3_5</vt:lpstr>
      <vt:lpstr>ar504.3_6</vt:lpstr>
      <vt:lpstr>ar504.3_7</vt:lpstr>
      <vt:lpstr>ar504.3_8</vt:lpstr>
      <vt:lpstr>ar504.3_9</vt:lpstr>
      <vt:lpstr>ar505.1_1</vt:lpstr>
      <vt:lpstr>ar505.1_2</vt:lpstr>
      <vt:lpstr>ar505.1_3</vt:lpstr>
      <vt:lpstr>ar505.2_1</vt:lpstr>
      <vt:lpstr>ar505.2_2</vt:lpstr>
      <vt:lpstr>ar505.3</vt:lpstr>
      <vt:lpstr>ar505.4</vt:lpstr>
      <vt:lpstr>ar505.5</vt:lpstr>
      <vt:lpstr>ar601.1</vt:lpstr>
      <vt:lpstr>ar601.2_1</vt:lpstr>
      <vt:lpstr>ar601.2_2</vt:lpstr>
      <vt:lpstr>ar601.2_3</vt:lpstr>
      <vt:lpstr>ar601.3_1</vt:lpstr>
      <vt:lpstr>ar601.3_2</vt:lpstr>
      <vt:lpstr>ar601.3_3</vt:lpstr>
      <vt:lpstr>ar601.3_4</vt:lpstr>
      <vt:lpstr>ar601.3_5</vt:lpstr>
      <vt:lpstr>ar601.4</vt:lpstr>
      <vt:lpstr>ar601.5_1</vt:lpstr>
      <vt:lpstr>ar601.5_2</vt:lpstr>
      <vt:lpstr>ar601.5_3</vt:lpstr>
      <vt:lpstr>ar601.5_4</vt:lpstr>
      <vt:lpstr>ar601.5_5</vt:lpstr>
      <vt:lpstr>ar601.6</vt:lpstr>
      <vt:lpstr>ar601.7</vt:lpstr>
      <vt:lpstr>ar601.8</vt:lpstr>
      <vt:lpstr>ar601.9</vt:lpstr>
      <vt:lpstr>ar602.1.1.1</vt:lpstr>
      <vt:lpstr>ar602.1.1.2</vt:lpstr>
      <vt:lpstr>ar602.1.10</vt:lpstr>
      <vt:lpstr>ar602.1.11</vt:lpstr>
      <vt:lpstr>ar602.1.12</vt:lpstr>
      <vt:lpstr>ar602.1.13</vt:lpstr>
      <vt:lpstr>ar602.1.14_1</vt:lpstr>
      <vt:lpstr>ar602.1.14_2</vt:lpstr>
      <vt:lpstr>ar602.1.14_3</vt:lpstr>
      <vt:lpstr>ar602.1.2</vt:lpstr>
      <vt:lpstr>ar602.1.3.1</vt:lpstr>
      <vt:lpstr>ar602.1.3.2</vt:lpstr>
      <vt:lpstr>ar602.1.4.1_1</vt:lpstr>
      <vt:lpstr>ar602.1.4.1_2</vt:lpstr>
      <vt:lpstr>ar602.1.4.2_1</vt:lpstr>
      <vt:lpstr>ar602.1.4.2_2</vt:lpstr>
      <vt:lpstr>ar602.1.5</vt:lpstr>
      <vt:lpstr>ar602.1.6</vt:lpstr>
      <vt:lpstr>ar602.1.7.1_1</vt:lpstr>
      <vt:lpstr>ar602.1.7.1_2</vt:lpstr>
      <vt:lpstr>ar602.1.7.1_3</vt:lpstr>
      <vt:lpstr>ar602.1.7.2</vt:lpstr>
      <vt:lpstr>ar602.1.8</vt:lpstr>
      <vt:lpstr>ar602.1.9_1</vt:lpstr>
      <vt:lpstr>ar602.1.9_2</vt:lpstr>
      <vt:lpstr>ar602.1.9_3</vt:lpstr>
      <vt:lpstr>ar602.1.9_4</vt:lpstr>
      <vt:lpstr>ar602.1.9_5</vt:lpstr>
      <vt:lpstr>ar602.1.9_6</vt:lpstr>
      <vt:lpstr>ar602.1.9_7</vt:lpstr>
      <vt:lpstr>ar602.2</vt:lpstr>
      <vt:lpstr>ar602.3</vt:lpstr>
      <vt:lpstr>ar602.4.1</vt:lpstr>
      <vt:lpstr>ar602.4.2</vt:lpstr>
      <vt:lpstr>ar602.4.3</vt:lpstr>
      <vt:lpstr>ar603.1</vt:lpstr>
      <vt:lpstr>ar603.2</vt:lpstr>
      <vt:lpstr>ar603.3</vt:lpstr>
      <vt:lpstr>ar604.1.1</vt:lpstr>
      <vt:lpstr>ar604.1.2</vt:lpstr>
      <vt:lpstr>ar605.1</vt:lpstr>
      <vt:lpstr>ar605.2</vt:lpstr>
      <vt:lpstr>ar605.3</vt:lpstr>
      <vt:lpstr>ar605.4</vt:lpstr>
      <vt:lpstr>ar606.1</vt:lpstr>
      <vt:lpstr>ar606.2_1</vt:lpstr>
      <vt:lpstr>ar606.2_2</vt:lpstr>
      <vt:lpstr>ar606.3</vt:lpstr>
      <vt:lpstr>ar607.1_1</vt:lpstr>
      <vt:lpstr>ar607.1_2</vt:lpstr>
      <vt:lpstr>ar607.2</vt:lpstr>
      <vt:lpstr>ar608.1</vt:lpstr>
      <vt:lpstr>ar609.1</vt:lpstr>
      <vt:lpstr>ar610.1</vt:lpstr>
      <vt:lpstr>ar610.1.1</vt:lpstr>
      <vt:lpstr>ar610.1.2</vt:lpstr>
      <vt:lpstr>ar610.1.2.1</vt:lpstr>
      <vt:lpstr>ar610.1.2.1With4ImpactMeasures</vt:lpstr>
      <vt:lpstr>ar610.1.2.1With5ImpactMeasures</vt:lpstr>
      <vt:lpstr>ar610.1.2.2</vt:lpstr>
      <vt:lpstr>ar610.1.2.2floors</vt:lpstr>
      <vt:lpstr>ar610.1.2.2intwalls</vt:lpstr>
      <vt:lpstr>ar610.1.2.2roof</vt:lpstr>
      <vt:lpstr>ar610.1.2.2walls</vt:lpstr>
      <vt:lpstr>ar6101.2.2</vt:lpstr>
      <vt:lpstr>ar611.1</vt:lpstr>
      <vt:lpstr>ar611.2</vt:lpstr>
      <vt:lpstr>ar611.2_1</vt:lpstr>
      <vt:lpstr>ar611.2_2</vt:lpstr>
      <vt:lpstr>ar611.2_3</vt:lpstr>
      <vt:lpstr>ar611.2_4</vt:lpstr>
      <vt:lpstr>ar611.2_5</vt:lpstr>
      <vt:lpstr>ar611.2_6</vt:lpstr>
      <vt:lpstr>ar611.2_7</vt:lpstr>
      <vt:lpstr>ar611.3</vt:lpstr>
      <vt:lpstr>ar611.3_1</vt:lpstr>
      <vt:lpstr>ar611.3_2</vt:lpstr>
      <vt:lpstr>ar611.3_3</vt:lpstr>
      <vt:lpstr>ar611.3_4</vt:lpstr>
      <vt:lpstr>ar701.4.1.1</vt:lpstr>
      <vt:lpstr>ar701.4.1.2</vt:lpstr>
      <vt:lpstr>ar701.4.2.1</vt:lpstr>
      <vt:lpstr>ar701.4.2.2</vt:lpstr>
      <vt:lpstr>ar701.4.2.3</vt:lpstr>
      <vt:lpstr>ar701.4.3.1</vt:lpstr>
      <vt:lpstr>ar701.4.3.2</vt:lpstr>
      <vt:lpstr>ar701.4.3.2_1and2</vt:lpstr>
      <vt:lpstr>ar701.4.3.2_3</vt:lpstr>
      <vt:lpstr>ar701.4.3.2_4</vt:lpstr>
      <vt:lpstr>ar701.4.3.2Grade3</vt:lpstr>
      <vt:lpstr>ar701.4.4</vt:lpstr>
      <vt:lpstr>ar701.4.5</vt:lpstr>
      <vt:lpstr>ar901.1.1</vt:lpstr>
      <vt:lpstr>ar901.1.2</vt:lpstr>
      <vt:lpstr>ar901.1.3_1</vt:lpstr>
      <vt:lpstr>ar901.1.3_2</vt:lpstr>
      <vt:lpstr>ar901.1.4</vt:lpstr>
      <vt:lpstr>ar901.1.5</vt:lpstr>
      <vt:lpstr>ar901.1.6</vt:lpstr>
      <vt:lpstr>ar901.11</vt:lpstr>
      <vt:lpstr>ar901.15</vt:lpstr>
      <vt:lpstr>ar901.2.1_1</vt:lpstr>
      <vt:lpstr>ar901.2.1_2</vt:lpstr>
      <vt:lpstr>ar901.2.1_3</vt:lpstr>
      <vt:lpstr>ar901.2.1_4</vt:lpstr>
      <vt:lpstr>ar901.2.1_5</vt:lpstr>
      <vt:lpstr>ar901.2.2</vt:lpstr>
      <vt:lpstr>ar901.4_1</vt:lpstr>
      <vt:lpstr>ar901.4_2thru6</vt:lpstr>
      <vt:lpstr>ar901.4_6CompositeTrim</vt:lpstr>
      <vt:lpstr>ar901.4_6Countertops</vt:lpstr>
      <vt:lpstr>ar901.4_6CustomWoodwork</vt:lpstr>
      <vt:lpstr>ar901.4_6Shelving</vt:lpstr>
      <vt:lpstr>ar901.5</vt:lpstr>
      <vt:lpstr>ar902.2.1</vt:lpstr>
      <vt:lpstr>ar902.3_1</vt:lpstr>
      <vt:lpstr>ar902.3_1a</vt:lpstr>
      <vt:lpstr>ar902.3_1b</vt:lpstr>
      <vt:lpstr>ar902.3_2a</vt:lpstr>
      <vt:lpstr>ar902.4_1</vt:lpstr>
      <vt:lpstr>ar902.5</vt:lpstr>
      <vt:lpstr>ar902.6</vt:lpstr>
      <vt:lpstr>ar903.1.1</vt:lpstr>
      <vt:lpstr>ar903.1.2</vt:lpstr>
      <vt:lpstr>ar903.2</vt:lpstr>
      <vt:lpstr>BeforeApp</vt:lpstr>
      <vt:lpstr>BeforeCoolCost</vt:lpstr>
      <vt:lpstr>BeforeDishFlow</vt:lpstr>
      <vt:lpstr>BeforeDishGPU</vt:lpstr>
      <vt:lpstr>BeforeDishGPW</vt:lpstr>
      <vt:lpstr>BeforeDishUses</vt:lpstr>
      <vt:lpstr>BeforeFT2</vt:lpstr>
      <vt:lpstr>BeforeHeat</vt:lpstr>
      <vt:lpstr>BeforeLight</vt:lpstr>
      <vt:lpstr>BeforeMisc</vt:lpstr>
      <vt:lpstr>BeforePerFT2</vt:lpstr>
      <vt:lpstr>BeforeShower1Flow</vt:lpstr>
      <vt:lpstr>BeforeShower1GPU</vt:lpstr>
      <vt:lpstr>BeforeShower1GPW</vt:lpstr>
      <vt:lpstr>BeforeShower1Uses</vt:lpstr>
      <vt:lpstr>BeforeSink11GPW</vt:lpstr>
      <vt:lpstr>BeforeSInk11GU</vt:lpstr>
      <vt:lpstr>BeforeSink11Uses</vt:lpstr>
      <vt:lpstr>BeforeSInk12GPU</vt:lpstr>
      <vt:lpstr>BeforeSink12GPW</vt:lpstr>
      <vt:lpstr>BeforeSink12Uses</vt:lpstr>
      <vt:lpstr>BeforeSinkFlow</vt:lpstr>
      <vt:lpstr>BeforeSinkGPU</vt:lpstr>
      <vt:lpstr>BeforeSinkGPW</vt:lpstr>
      <vt:lpstr>BeforeSinkuses</vt:lpstr>
      <vt:lpstr>BeforeSinnk11Flow</vt:lpstr>
      <vt:lpstr>BeforeSinnk12Flow</vt:lpstr>
      <vt:lpstr>BeforeTotal</vt:lpstr>
      <vt:lpstr>BeforeWC1GPF</vt:lpstr>
      <vt:lpstr>BeforeWC1GPU</vt:lpstr>
      <vt:lpstr>BeforeWC1GPW</vt:lpstr>
      <vt:lpstr>BeforeWC1Uses</vt:lpstr>
      <vt:lpstr>BeforeWH</vt:lpstr>
      <vt:lpstr>BldgType</vt:lpstr>
      <vt:lpstr>bronzeMinimum</vt:lpstr>
      <vt:lpstr>buildercomments</vt:lpstr>
      <vt:lpstr>ch10BronzeMin</vt:lpstr>
      <vt:lpstr>ch10EmeraldMin</vt:lpstr>
      <vt:lpstr>ch10GoldMin</vt:lpstr>
      <vt:lpstr>ch10Level</vt:lpstr>
      <vt:lpstr>ch10SilverMin</vt:lpstr>
      <vt:lpstr>ch10TotalScore</vt:lpstr>
      <vt:lpstr>ch5BronzeMin</vt:lpstr>
      <vt:lpstr>ch5EmeraldMin</vt:lpstr>
      <vt:lpstr>ch5GoldMin</vt:lpstr>
      <vt:lpstr>ch5Level</vt:lpstr>
      <vt:lpstr>ch5SilverMin</vt:lpstr>
      <vt:lpstr>ch5Total</vt:lpstr>
      <vt:lpstr>ch5TotalScore</vt:lpstr>
      <vt:lpstr>ch6BronzeMin</vt:lpstr>
      <vt:lpstr>ch6EmeraldMin</vt:lpstr>
      <vt:lpstr>ch6GoldMin</vt:lpstr>
      <vt:lpstr>ch6Level</vt:lpstr>
      <vt:lpstr>ch6Mandatory</vt:lpstr>
      <vt:lpstr>ch6MandatoryCount</vt:lpstr>
      <vt:lpstr>ch6SilverMin</vt:lpstr>
      <vt:lpstr>ch6Total</vt:lpstr>
      <vt:lpstr>ch6TotalScore</vt:lpstr>
      <vt:lpstr>ch7ACH50</vt:lpstr>
      <vt:lpstr>ch7BronzeMin</vt:lpstr>
      <vt:lpstr>ch7EmeraldMin</vt:lpstr>
      <vt:lpstr>ch7GoldMin</vt:lpstr>
      <vt:lpstr>ch7Level</vt:lpstr>
      <vt:lpstr>ch7Mandatory</vt:lpstr>
      <vt:lpstr>ch7SilverMin</vt:lpstr>
      <vt:lpstr>ch7TotalScore</vt:lpstr>
      <vt:lpstr>ch801.1</vt:lpstr>
      <vt:lpstr>ch8BronzeMin</vt:lpstr>
      <vt:lpstr>ch8EmeraldMin</vt:lpstr>
      <vt:lpstr>ch8GoldMin</vt:lpstr>
      <vt:lpstr>ch8Level</vt:lpstr>
      <vt:lpstr>ch8SilverMin</vt:lpstr>
      <vt:lpstr>ch8TotalScore</vt:lpstr>
      <vt:lpstr>ch9BronzeMin</vt:lpstr>
      <vt:lpstr>ch9EmeraldMin</vt:lpstr>
      <vt:lpstr>ch9GoldMin</vt:lpstr>
      <vt:lpstr>ch9Level</vt:lpstr>
      <vt:lpstr>ch9MandatoryCount</vt:lpstr>
      <vt:lpstr>ch9SilverMin</vt:lpstr>
      <vt:lpstr>ch9TotalScore</vt:lpstr>
      <vt:lpstr>choice1001.1_1</vt:lpstr>
      <vt:lpstr>choice1001.1_10</vt:lpstr>
      <vt:lpstr>choice1001.1_11</vt:lpstr>
      <vt:lpstr>choice1001.1_12</vt:lpstr>
      <vt:lpstr>choice1001.1_13</vt:lpstr>
      <vt:lpstr>choice1001.1_14</vt:lpstr>
      <vt:lpstr>choice1001.1_15</vt:lpstr>
      <vt:lpstr>choice1001.1_16</vt:lpstr>
      <vt:lpstr>choice1001.1_17</vt:lpstr>
      <vt:lpstr>choice1001.1_18</vt:lpstr>
      <vt:lpstr>choice1001.1_19</vt:lpstr>
      <vt:lpstr>choice1001.1_2</vt:lpstr>
      <vt:lpstr>choice1001.1_20</vt:lpstr>
      <vt:lpstr>choice1001.1_21</vt:lpstr>
      <vt:lpstr>choice1001.1_3</vt:lpstr>
      <vt:lpstr>choice1001.1_4</vt:lpstr>
      <vt:lpstr>choice1001.1_5</vt:lpstr>
      <vt:lpstr>choice1001.1_6</vt:lpstr>
      <vt:lpstr>choice1001.1_7</vt:lpstr>
      <vt:lpstr>choice1001.1_8</vt:lpstr>
      <vt:lpstr>choice1001.1_9</vt:lpstr>
      <vt:lpstr>choice1003.1_1</vt:lpstr>
      <vt:lpstr>choice1003.1_2</vt:lpstr>
      <vt:lpstr>choice1003.1_3</vt:lpstr>
      <vt:lpstr>choice1003.1_4</vt:lpstr>
      <vt:lpstr>choice1003.1_5</vt:lpstr>
      <vt:lpstr>choice1003.1_6</vt:lpstr>
      <vt:lpstr>choice1003.1_7</vt:lpstr>
      <vt:lpstr>choice1003.1_8</vt:lpstr>
      <vt:lpstr>choice1003.2_1</vt:lpstr>
      <vt:lpstr>choice1003.2_10</vt:lpstr>
      <vt:lpstr>choice1003.2_2</vt:lpstr>
      <vt:lpstr>choice1003.2_3</vt:lpstr>
      <vt:lpstr>choice1003.2_4</vt:lpstr>
      <vt:lpstr>choice1003.2_5</vt:lpstr>
      <vt:lpstr>choice1003.2_6</vt:lpstr>
      <vt:lpstr>choice1003.2_7</vt:lpstr>
      <vt:lpstr>choice1003.2_8</vt:lpstr>
      <vt:lpstr>choice1003.2_9</vt:lpstr>
      <vt:lpstr>choice1003.3_1</vt:lpstr>
      <vt:lpstr>choice1003.3_2</vt:lpstr>
      <vt:lpstr>choice1003.3_3</vt:lpstr>
      <vt:lpstr>choice1003.3_4</vt:lpstr>
      <vt:lpstr>choice1003.3_5</vt:lpstr>
      <vt:lpstr>choice1003.3_6</vt:lpstr>
      <vt:lpstr>choice1003.3_7</vt:lpstr>
      <vt:lpstr>choice1003.3_8</vt:lpstr>
      <vt:lpstr>choice1003.3_9</vt:lpstr>
      <vt:lpstr>choice503.2_3</vt:lpstr>
      <vt:lpstr>choice503.4_3</vt:lpstr>
      <vt:lpstr>choice503.5_3</vt:lpstr>
      <vt:lpstr>choice503.5_type</vt:lpstr>
      <vt:lpstr>choice505.1_3</vt:lpstr>
      <vt:lpstr>choice505.3</vt:lpstr>
      <vt:lpstr>choice601.6</vt:lpstr>
      <vt:lpstr>choice601.7_1</vt:lpstr>
      <vt:lpstr>choice601.7_2</vt:lpstr>
      <vt:lpstr>choice601.7_3</vt:lpstr>
      <vt:lpstr>choice602.1.10</vt:lpstr>
      <vt:lpstr>choice602.1.14_3</vt:lpstr>
      <vt:lpstr>choice602.1.2</vt:lpstr>
      <vt:lpstr>choice602.1.6</vt:lpstr>
      <vt:lpstr>choice602.1.7.1_2</vt:lpstr>
      <vt:lpstr>choice602.1.9_5</vt:lpstr>
      <vt:lpstr>choice602.2</vt:lpstr>
      <vt:lpstr>choice603.1</vt:lpstr>
      <vt:lpstr>choice603.2</vt:lpstr>
      <vt:lpstr>choice604.1.1</vt:lpstr>
      <vt:lpstr>choice604.1.2</vt:lpstr>
      <vt:lpstr>choice605.4</vt:lpstr>
      <vt:lpstr>choice606.3</vt:lpstr>
      <vt:lpstr>choice608.1</vt:lpstr>
      <vt:lpstr>choice609.1</vt:lpstr>
      <vt:lpstr>choice610.1.2_2</vt:lpstr>
      <vt:lpstr>choice611.1</vt:lpstr>
      <vt:lpstr>choice701.4.3.2</vt:lpstr>
      <vt:lpstr>choice901.1.1</vt:lpstr>
      <vt:lpstr>choice901.1.3_1</vt:lpstr>
      <vt:lpstr>choice901.1.3_2</vt:lpstr>
      <vt:lpstr>choice901.1.6</vt:lpstr>
      <vt:lpstr>choice901.10</vt:lpstr>
      <vt:lpstr>choice901.13</vt:lpstr>
      <vt:lpstr>choice901.2.1_1</vt:lpstr>
      <vt:lpstr>choice901.2.1_2</vt:lpstr>
      <vt:lpstr>choice901.2.1_3</vt:lpstr>
      <vt:lpstr>choice901.2.1_4</vt:lpstr>
      <vt:lpstr>choice901.2.1_5</vt:lpstr>
      <vt:lpstr>choice901.3_1_a</vt:lpstr>
      <vt:lpstr>choice901.3_1_b</vt:lpstr>
      <vt:lpstr>choice901.5</vt:lpstr>
      <vt:lpstr>choice902.1.1_1</vt:lpstr>
      <vt:lpstr>choice902.1.2</vt:lpstr>
      <vt:lpstr>choice902.1.4_1</vt:lpstr>
      <vt:lpstr>choice902.1.4_2</vt:lpstr>
      <vt:lpstr>choice902.2.1</vt:lpstr>
      <vt:lpstr>choice902.4</vt:lpstr>
      <vt:lpstr>choice903.1</vt:lpstr>
      <vt:lpstr>choice903.2</vt:lpstr>
      <vt:lpstr>choice903.3</vt:lpstr>
      <vt:lpstr>claim1001.1</vt:lpstr>
      <vt:lpstr>claim1001.1_man</vt:lpstr>
      <vt:lpstr>claim1002.1</vt:lpstr>
      <vt:lpstr>claim1003.1</vt:lpstr>
      <vt:lpstr>claim1003.1_man</vt:lpstr>
      <vt:lpstr>claim1003.2</vt:lpstr>
      <vt:lpstr>claim1003.2_man</vt:lpstr>
      <vt:lpstr>claim1003.3</vt:lpstr>
      <vt:lpstr>claim1003.3_man</vt:lpstr>
      <vt:lpstr>claim501.2_1</vt:lpstr>
      <vt:lpstr>claim501.2_2</vt:lpstr>
      <vt:lpstr>claim501.2_3</vt:lpstr>
      <vt:lpstr>claim502.1</vt:lpstr>
      <vt:lpstr>claim503.1_1</vt:lpstr>
      <vt:lpstr>claim503.1_2</vt:lpstr>
      <vt:lpstr>claim503.1_3</vt:lpstr>
      <vt:lpstr>claim503.1_4</vt:lpstr>
      <vt:lpstr>claim503.1_5</vt:lpstr>
      <vt:lpstr>claim503.1_6</vt:lpstr>
      <vt:lpstr>claim503.1_7</vt:lpstr>
      <vt:lpstr>claim503.2_1</vt:lpstr>
      <vt:lpstr>claim503.2_2</vt:lpstr>
      <vt:lpstr>claim503.2_3</vt:lpstr>
      <vt:lpstr>claim503.2_4</vt:lpstr>
      <vt:lpstr>claim503.2_5</vt:lpstr>
      <vt:lpstr>claim503.3_1</vt:lpstr>
      <vt:lpstr>claim503.3_2</vt:lpstr>
      <vt:lpstr>claim503.3_3</vt:lpstr>
      <vt:lpstr>claim503.4_1</vt:lpstr>
      <vt:lpstr>claim503.4_2</vt:lpstr>
      <vt:lpstr>claim503.4_3</vt:lpstr>
      <vt:lpstr>claim503.4_4</vt:lpstr>
      <vt:lpstr>claim503.4_5</vt:lpstr>
      <vt:lpstr>claim503.5_1</vt:lpstr>
      <vt:lpstr>claim503.5_2</vt:lpstr>
      <vt:lpstr>claim503.5_3</vt:lpstr>
      <vt:lpstr>claim503.5_4</vt:lpstr>
      <vt:lpstr>claim503.5_5</vt:lpstr>
      <vt:lpstr>claim503.5_6</vt:lpstr>
      <vt:lpstr>claim503.5_7</vt:lpstr>
      <vt:lpstr>claim503.5_8</vt:lpstr>
      <vt:lpstr>claim503.6_1</vt:lpstr>
      <vt:lpstr>claim503.6_2</vt:lpstr>
      <vt:lpstr>claim503.6_3</vt:lpstr>
      <vt:lpstr>claim503.6_4</vt:lpstr>
      <vt:lpstr>claim503.7_1</vt:lpstr>
      <vt:lpstr>claim503.7_2</vt:lpstr>
      <vt:lpstr>claim504.1</vt:lpstr>
      <vt:lpstr>claim504.2_1</vt:lpstr>
      <vt:lpstr>claim504.2_2</vt:lpstr>
      <vt:lpstr>claim504.2_3</vt:lpstr>
      <vt:lpstr>claim504.3_1</vt:lpstr>
      <vt:lpstr>claim504.3_2</vt:lpstr>
      <vt:lpstr>claim504.3_3</vt:lpstr>
      <vt:lpstr>claim504.3_4</vt:lpstr>
      <vt:lpstr>claim504.3_5</vt:lpstr>
      <vt:lpstr>claim504.3_6</vt:lpstr>
      <vt:lpstr>claim504.3_7</vt:lpstr>
      <vt:lpstr>claim504.3_8</vt:lpstr>
      <vt:lpstr>claim504.3_9</vt:lpstr>
      <vt:lpstr>claim505.1_1</vt:lpstr>
      <vt:lpstr>claim505.1_2</vt:lpstr>
      <vt:lpstr>claim505.1_3</vt:lpstr>
      <vt:lpstr>claim505.2_1</vt:lpstr>
      <vt:lpstr>claim505.2_2</vt:lpstr>
      <vt:lpstr>claim505.3</vt:lpstr>
      <vt:lpstr>claim505.4</vt:lpstr>
      <vt:lpstr>claim505.5</vt:lpstr>
      <vt:lpstr>claim601.1</vt:lpstr>
      <vt:lpstr>claim601.2_1</vt:lpstr>
      <vt:lpstr>claim601.2_2</vt:lpstr>
      <vt:lpstr>claim601.2_3</vt:lpstr>
      <vt:lpstr>claim601.3_1</vt:lpstr>
      <vt:lpstr>claim601.3_2</vt:lpstr>
      <vt:lpstr>claim601.3_3</vt:lpstr>
      <vt:lpstr>claim601.3_4</vt:lpstr>
      <vt:lpstr>claim601.3_5</vt:lpstr>
      <vt:lpstr>claim601.4</vt:lpstr>
      <vt:lpstr>claim601.5_1</vt:lpstr>
      <vt:lpstr>claim601.5_2</vt:lpstr>
      <vt:lpstr>claim601.5_3</vt:lpstr>
      <vt:lpstr>claim601.5_4</vt:lpstr>
      <vt:lpstr>claim601.5_5</vt:lpstr>
      <vt:lpstr>claim601.6</vt:lpstr>
      <vt:lpstr>claim601.7</vt:lpstr>
      <vt:lpstr>claim601.8</vt:lpstr>
      <vt:lpstr>claim601.9</vt:lpstr>
      <vt:lpstr>claim602.1.1.1</vt:lpstr>
      <vt:lpstr>claim602.1.1.2</vt:lpstr>
      <vt:lpstr>claim602.1.10</vt:lpstr>
      <vt:lpstr>claim602.1.11</vt:lpstr>
      <vt:lpstr>claim602.1.12</vt:lpstr>
      <vt:lpstr>claim602.1.13</vt:lpstr>
      <vt:lpstr>claim602.1.14_1</vt:lpstr>
      <vt:lpstr>claim602.1.14_2</vt:lpstr>
      <vt:lpstr>claim602.1.14_3</vt:lpstr>
      <vt:lpstr>claim602.1.2</vt:lpstr>
      <vt:lpstr>claim602.1.3.1</vt:lpstr>
      <vt:lpstr>claim602.1.3.2</vt:lpstr>
      <vt:lpstr>claim602.1.4.1</vt:lpstr>
      <vt:lpstr>claim602.1.4.1_2</vt:lpstr>
      <vt:lpstr>claim602.1.4.2_1</vt:lpstr>
      <vt:lpstr>claim602.1.4.2_2</vt:lpstr>
      <vt:lpstr>claim602.1.5</vt:lpstr>
      <vt:lpstr>claim602.1.6</vt:lpstr>
      <vt:lpstr>claim602.1.7.1_1</vt:lpstr>
      <vt:lpstr>claim602.1.7.1_2</vt:lpstr>
      <vt:lpstr>claim602.1.7.1_3</vt:lpstr>
      <vt:lpstr>claim602.1.7.2</vt:lpstr>
      <vt:lpstr>claim602.1.8</vt:lpstr>
      <vt:lpstr>claim602.1.9_1</vt:lpstr>
      <vt:lpstr>claim602.1.9_2</vt:lpstr>
      <vt:lpstr>claim602.1.9_3</vt:lpstr>
      <vt:lpstr>claim602.1.9_4</vt:lpstr>
      <vt:lpstr>claim602.1.9_5</vt:lpstr>
      <vt:lpstr>claim602.1.9_6</vt:lpstr>
      <vt:lpstr>claim602.1.9_7</vt:lpstr>
      <vt:lpstr>claim602.2</vt:lpstr>
      <vt:lpstr>claim602.3</vt:lpstr>
      <vt:lpstr>claim602.4.1</vt:lpstr>
      <vt:lpstr>claim602.4.2</vt:lpstr>
      <vt:lpstr>claim602.4.3</vt:lpstr>
      <vt:lpstr>claim603.1</vt:lpstr>
      <vt:lpstr>claim603.2</vt:lpstr>
      <vt:lpstr>claim603.3</vt:lpstr>
      <vt:lpstr>claim604.1.1</vt:lpstr>
      <vt:lpstr>claim604.1.2</vt:lpstr>
      <vt:lpstr>claim605.1</vt:lpstr>
      <vt:lpstr>claim605.2</vt:lpstr>
      <vt:lpstr>claim605.3</vt:lpstr>
      <vt:lpstr>claim606.1</vt:lpstr>
      <vt:lpstr>claim606.1_1</vt:lpstr>
      <vt:lpstr>claim606.1_2</vt:lpstr>
      <vt:lpstr>claim606.1_3</vt:lpstr>
      <vt:lpstr>claim606.2_1</vt:lpstr>
      <vt:lpstr>claim606.2_2</vt:lpstr>
      <vt:lpstr>claim606.3</vt:lpstr>
      <vt:lpstr>claim607.1_1</vt:lpstr>
      <vt:lpstr>claim607.1_2</vt:lpstr>
      <vt:lpstr>claim607.2</vt:lpstr>
      <vt:lpstr>claim608.1</vt:lpstr>
      <vt:lpstr>claim609.1</vt:lpstr>
      <vt:lpstr>claim610.1</vt:lpstr>
      <vt:lpstr>claim610.1.1</vt:lpstr>
      <vt:lpstr>claim610.1.2</vt:lpstr>
      <vt:lpstr>claim610.1.2_1</vt:lpstr>
      <vt:lpstr>claim611.1</vt:lpstr>
      <vt:lpstr>claim611.2</vt:lpstr>
      <vt:lpstr>claim611.2_1</vt:lpstr>
      <vt:lpstr>claim611.2_2</vt:lpstr>
      <vt:lpstr>claim611.2_3</vt:lpstr>
      <vt:lpstr>claim611.2_4</vt:lpstr>
      <vt:lpstr>claim611.2_5</vt:lpstr>
      <vt:lpstr>claim611.2_6</vt:lpstr>
      <vt:lpstr>claim611.2_7</vt:lpstr>
      <vt:lpstr>claim611.3_1</vt:lpstr>
      <vt:lpstr>claim611.3_2</vt:lpstr>
      <vt:lpstr>claim611.3_3</vt:lpstr>
      <vt:lpstr>claim611.3_4</vt:lpstr>
      <vt:lpstr>claim701.4.1.1</vt:lpstr>
      <vt:lpstr>claim701.4.1.2</vt:lpstr>
      <vt:lpstr>claim701.4.2.1</vt:lpstr>
      <vt:lpstr>claim701.4.2.2</vt:lpstr>
      <vt:lpstr>claim701.4.2.3</vt:lpstr>
      <vt:lpstr>claim701.4.3.1</vt:lpstr>
      <vt:lpstr>claim701.4.3.2</vt:lpstr>
      <vt:lpstr>claim701.4.3.3</vt:lpstr>
      <vt:lpstr>claim701.4.3.4</vt:lpstr>
      <vt:lpstr>claim701.4.4</vt:lpstr>
      <vt:lpstr>claim701.4.5</vt:lpstr>
      <vt:lpstr>claim901.1.1</vt:lpstr>
      <vt:lpstr>claim901.1.2</vt:lpstr>
      <vt:lpstr>claim901.1.3_1</vt:lpstr>
      <vt:lpstr>claim901.1.3_2</vt:lpstr>
      <vt:lpstr>claim901.1.4</vt:lpstr>
      <vt:lpstr>claim901.1.5</vt:lpstr>
      <vt:lpstr>claim901.1.6</vt:lpstr>
      <vt:lpstr>claim901.10</vt:lpstr>
      <vt:lpstr>claim901.11</vt:lpstr>
      <vt:lpstr>claim901.12</vt:lpstr>
      <vt:lpstr>claim901.13</vt:lpstr>
      <vt:lpstr>claim901.14</vt:lpstr>
      <vt:lpstr>claim901.14_1</vt:lpstr>
      <vt:lpstr>claim901.14_2</vt:lpstr>
      <vt:lpstr>claim901.15</vt:lpstr>
      <vt:lpstr>claim901.2.1_1</vt:lpstr>
      <vt:lpstr>claim901.2.1_2</vt:lpstr>
      <vt:lpstr>claim901.2.1_3</vt:lpstr>
      <vt:lpstr>claim901.2.1_4</vt:lpstr>
      <vt:lpstr>claim901.2.1_5</vt:lpstr>
      <vt:lpstr>claim901.2.2</vt:lpstr>
      <vt:lpstr>claim901.3_1_a</vt:lpstr>
      <vt:lpstr>claim901.3_1_b</vt:lpstr>
      <vt:lpstr>claim901.3_1_c</vt:lpstr>
      <vt:lpstr>claim901.3_2</vt:lpstr>
      <vt:lpstr>claim901.4_1</vt:lpstr>
      <vt:lpstr>claim901.4_2a</vt:lpstr>
      <vt:lpstr>claim901.4_2b</vt:lpstr>
      <vt:lpstr>claim901.4_2c</vt:lpstr>
      <vt:lpstr>claim901.4_2d</vt:lpstr>
      <vt:lpstr>claim901.4_2thru6</vt:lpstr>
      <vt:lpstr>claim901.4_3a</vt:lpstr>
      <vt:lpstr>claim901.4_3b</vt:lpstr>
      <vt:lpstr>claim901.4_3c</vt:lpstr>
      <vt:lpstr>claim901.4_3d</vt:lpstr>
      <vt:lpstr>claim901.4_4a</vt:lpstr>
      <vt:lpstr>claim901.4_4b</vt:lpstr>
      <vt:lpstr>claim901.4_4c</vt:lpstr>
      <vt:lpstr>claim901.4_4d</vt:lpstr>
      <vt:lpstr>claim901.4_5a</vt:lpstr>
      <vt:lpstr>claim901.4_5b</vt:lpstr>
      <vt:lpstr>claim901.4_5c</vt:lpstr>
      <vt:lpstr>claim901.4_5d</vt:lpstr>
      <vt:lpstr>claim901.4_6a</vt:lpstr>
      <vt:lpstr>claim901.4_6b</vt:lpstr>
      <vt:lpstr>claim901.4_6c</vt:lpstr>
      <vt:lpstr>claim901.4_6d</vt:lpstr>
      <vt:lpstr>claim901.5</vt:lpstr>
      <vt:lpstr>claim901.6_1</vt:lpstr>
      <vt:lpstr>claim901.6_2_a</vt:lpstr>
      <vt:lpstr>claim901.6_2_b</vt:lpstr>
      <vt:lpstr>claim901.7</vt:lpstr>
      <vt:lpstr>claim901.8</vt:lpstr>
      <vt:lpstr>claim901.9.1</vt:lpstr>
      <vt:lpstr>claim901.9.2</vt:lpstr>
      <vt:lpstr>claim901.9.3</vt:lpstr>
      <vt:lpstr>claim901.9.4</vt:lpstr>
      <vt:lpstr>claim902.1.1_1</vt:lpstr>
      <vt:lpstr>claim902.1.1_2</vt:lpstr>
      <vt:lpstr>claim902.1.1_3</vt:lpstr>
      <vt:lpstr>claim902.1.2</vt:lpstr>
      <vt:lpstr>claim902.1.3</vt:lpstr>
      <vt:lpstr>claim902.1.4</vt:lpstr>
      <vt:lpstr>claim902.2.1</vt:lpstr>
      <vt:lpstr>claim902.2.2</vt:lpstr>
      <vt:lpstr>claim902.2.3</vt:lpstr>
      <vt:lpstr>claim902.3</vt:lpstr>
      <vt:lpstr>claim902.3_1</vt:lpstr>
      <vt:lpstr>claim902.3_2</vt:lpstr>
      <vt:lpstr>claim902.4</vt:lpstr>
      <vt:lpstr>claim902.5</vt:lpstr>
      <vt:lpstr>claim902.6</vt:lpstr>
      <vt:lpstr>claim903.1</vt:lpstr>
      <vt:lpstr>claim903.2</vt:lpstr>
      <vt:lpstr>claim903.3</vt:lpstr>
      <vt:lpstr>claim904.1</vt:lpstr>
      <vt:lpstr>claim904.2</vt:lpstr>
      <vt:lpstr>copyright</vt:lpstr>
      <vt:lpstr>CZword</vt:lpstr>
      <vt:lpstr>dd1001.1_1</vt:lpstr>
      <vt:lpstr>dd1001.1_2</vt:lpstr>
      <vt:lpstr>dd1001.1_3</vt:lpstr>
      <vt:lpstr>dd503.2_3</vt:lpstr>
      <vt:lpstr>dd503.4_3</vt:lpstr>
      <vt:lpstr>dd503.5_3</vt:lpstr>
      <vt:lpstr>dd503.5_3_opt1</vt:lpstr>
      <vt:lpstr>dd503.5_3_opt2</vt:lpstr>
      <vt:lpstr>dd503.5_3_opt3</vt:lpstr>
      <vt:lpstr>dd503.5_3_opt4</vt:lpstr>
      <vt:lpstr>dd505.1_3</vt:lpstr>
      <vt:lpstr>dd505.3</vt:lpstr>
      <vt:lpstr>dd601.1</vt:lpstr>
      <vt:lpstr>dd601.6</vt:lpstr>
      <vt:lpstr>dd602.1.1.1</vt:lpstr>
      <vt:lpstr>dd602.1.10</vt:lpstr>
      <vt:lpstr>dd602.1.11</vt:lpstr>
      <vt:lpstr>dd602.1.14</vt:lpstr>
      <vt:lpstr>dd602.1.15_3</vt:lpstr>
      <vt:lpstr>dd602.1.2</vt:lpstr>
      <vt:lpstr>dd602.1.3.1</vt:lpstr>
      <vt:lpstr>dd602.1.4.1_2</vt:lpstr>
      <vt:lpstr>dd602.1.4.2_2</vt:lpstr>
      <vt:lpstr>dd602.1.6</vt:lpstr>
      <vt:lpstr>dd602.1.7.1_2</vt:lpstr>
      <vt:lpstr>dd602.1.8</vt:lpstr>
      <vt:lpstr>dd602.1.9_1</vt:lpstr>
      <vt:lpstr>dd602.1.9_5</vt:lpstr>
      <vt:lpstr>dd602.2</vt:lpstr>
      <vt:lpstr>dd602.4.1</vt:lpstr>
      <vt:lpstr>dd603.1</vt:lpstr>
      <vt:lpstr>dd603.2</vt:lpstr>
      <vt:lpstr>dd604.1.1</vt:lpstr>
      <vt:lpstr>dd604.1.2</vt:lpstr>
      <vt:lpstr>dd605.3</vt:lpstr>
      <vt:lpstr>dd606.1_3</vt:lpstr>
      <vt:lpstr>dd606.3</vt:lpstr>
      <vt:lpstr>dd608.1</vt:lpstr>
      <vt:lpstr>dd609.1</vt:lpstr>
      <vt:lpstr>dd610.1.2_2</vt:lpstr>
      <vt:lpstr>dd611.1</vt:lpstr>
      <vt:lpstr>dd701.1</vt:lpstr>
      <vt:lpstr>dd701.3</vt:lpstr>
      <vt:lpstr>dd701.4.1.1</vt:lpstr>
      <vt:lpstr>dd701.4.1.2</vt:lpstr>
      <vt:lpstr>dd701.4.2.1</vt:lpstr>
      <vt:lpstr>dd701.4.2.2</vt:lpstr>
      <vt:lpstr>dd701.4.2.3</vt:lpstr>
      <vt:lpstr>dd701.4.3.1</vt:lpstr>
      <vt:lpstr>dd701.4.3.2</vt:lpstr>
      <vt:lpstr>dd701.4.3.3</vt:lpstr>
      <vt:lpstr>dd701.4.3.4</vt:lpstr>
      <vt:lpstr>dd701.4.4</vt:lpstr>
      <vt:lpstr>dd701.4.5</vt:lpstr>
      <vt:lpstr>dd702.2.1</vt:lpstr>
      <vt:lpstr>dd702.2.2</vt:lpstr>
      <vt:lpstr>dd703.1.1</vt:lpstr>
      <vt:lpstr>dd703.1.2</vt:lpstr>
      <vt:lpstr>dd703.1.3</vt:lpstr>
      <vt:lpstr>dd703.1.5</vt:lpstr>
      <vt:lpstr>dd703.1.6.1</vt:lpstr>
      <vt:lpstr>dd703.1.6.2</vt:lpstr>
      <vt:lpstr>dd703.2.2</vt:lpstr>
      <vt:lpstr>dd703.2.3</vt:lpstr>
      <vt:lpstr>dd703.2.4</vt:lpstr>
      <vt:lpstr>dd703.2.6</vt:lpstr>
      <vt:lpstr>dd703.3.4</vt:lpstr>
      <vt:lpstr>dd703.4.1</vt:lpstr>
      <vt:lpstr>dd703.4.5</vt:lpstr>
      <vt:lpstr>dd703.5.1</vt:lpstr>
      <vt:lpstr>dd704.2.1</vt:lpstr>
      <vt:lpstr>dd705.2_2</vt:lpstr>
      <vt:lpstr>dd705.3</vt:lpstr>
      <vt:lpstr>dd801.1.1</vt:lpstr>
      <vt:lpstr>dd801.1.1_opt1</vt:lpstr>
      <vt:lpstr>dd801.1.1_opt2</vt:lpstr>
      <vt:lpstr>dd801.1.1_opt3</vt:lpstr>
      <vt:lpstr>dd801.1.1_opt4</vt:lpstr>
      <vt:lpstr>dd801.1.1_opt5</vt:lpstr>
      <vt:lpstr>dd801.2_2</vt:lpstr>
      <vt:lpstr>dd801.3_1</vt:lpstr>
      <vt:lpstr>dd801.3_2</vt:lpstr>
      <vt:lpstr>dd801.3_3</vt:lpstr>
      <vt:lpstr>dd801.4.1_1</vt:lpstr>
      <vt:lpstr>dd801.4.2</vt:lpstr>
      <vt:lpstr>dd801.5_1</vt:lpstr>
      <vt:lpstr>dd801.5_2</vt:lpstr>
      <vt:lpstr>dd801.5_3a</vt:lpstr>
      <vt:lpstr>dd801.7.1</vt:lpstr>
      <vt:lpstr>dd801.7.2</vt:lpstr>
      <vt:lpstr>dd802.1</vt:lpstr>
      <vt:lpstr>dd802.2</vt:lpstr>
      <vt:lpstr>dd901.1.1</vt:lpstr>
      <vt:lpstr>dd901.1.3_1</vt:lpstr>
      <vt:lpstr>dd901.1.3_2</vt:lpstr>
      <vt:lpstr>dd901.1.4</vt:lpstr>
      <vt:lpstr>dd901.1.6</vt:lpstr>
      <vt:lpstr>dd901.10</vt:lpstr>
      <vt:lpstr>dd901.13</vt:lpstr>
      <vt:lpstr>dd901.2.1_1</vt:lpstr>
      <vt:lpstr>dd901.2.1_2</vt:lpstr>
      <vt:lpstr>dd901.2.1_3</vt:lpstr>
      <vt:lpstr>dd901.2.1_4</vt:lpstr>
      <vt:lpstr>dd901.2.1_5</vt:lpstr>
      <vt:lpstr>dd901.3_1_a</vt:lpstr>
      <vt:lpstr>dd901.3_1_b</vt:lpstr>
      <vt:lpstr>dd901.4_1</vt:lpstr>
      <vt:lpstr>dd901.4_2</vt:lpstr>
      <vt:lpstr>dd901.4_3</vt:lpstr>
      <vt:lpstr>dd901.4_4</vt:lpstr>
      <vt:lpstr>dd901.4_5</vt:lpstr>
      <vt:lpstr>dd901.4_6</vt:lpstr>
      <vt:lpstr>dd901.5</vt:lpstr>
      <vt:lpstr>dd901.6_1</vt:lpstr>
      <vt:lpstr>dd902.1.1_1</vt:lpstr>
      <vt:lpstr>dd902.1.1_2</vt:lpstr>
      <vt:lpstr>dd902.1.2</vt:lpstr>
      <vt:lpstr>dd902.1.4_1</vt:lpstr>
      <vt:lpstr>dd902.1.4_2</vt:lpstr>
      <vt:lpstr>dd902.2.1</vt:lpstr>
      <vt:lpstr>dd902.3</vt:lpstr>
      <vt:lpstr>dd902.3_1</vt:lpstr>
      <vt:lpstr>dd902.4</vt:lpstr>
      <vt:lpstr>dd902.6</vt:lpstr>
      <vt:lpstr>dd903.1</vt:lpstr>
      <vt:lpstr>dd903.2</vt:lpstr>
      <vt:lpstr>dd903.3</vt:lpstr>
      <vt:lpstr>ddAttachedGarage</vt:lpstr>
      <vt:lpstr>ddAtticType</vt:lpstr>
      <vt:lpstr>ddClimateZone</vt:lpstr>
      <vt:lpstr>ddCompostingToilet</vt:lpstr>
      <vt:lpstr>ddFoundationTypes</vt:lpstr>
      <vt:lpstr>ddHeatingFuel</vt:lpstr>
      <vt:lpstr>ddHVACSystems</vt:lpstr>
      <vt:lpstr>ddLandscapeTypes</vt:lpstr>
      <vt:lpstr>ddMassWalls</vt:lpstr>
      <vt:lpstr>ddMetNotMet</vt:lpstr>
      <vt:lpstr>ddPassiveSolar</vt:lpstr>
      <vt:lpstr>ddRecessedLighting</vt:lpstr>
      <vt:lpstr>ddRenewableEnergy</vt:lpstr>
      <vt:lpstr>ddSFBurningAppliance</vt:lpstr>
      <vt:lpstr>ddSingleorMulti</vt:lpstr>
      <vt:lpstr>ddTanklessWH</vt:lpstr>
      <vt:lpstr>ddTEInsulation</vt:lpstr>
      <vt:lpstr>dr1001.1</vt:lpstr>
      <vt:lpstr>dr1001.1_1</vt:lpstr>
      <vt:lpstr>dr1001.1_10</vt:lpstr>
      <vt:lpstr>dr1001.1_11</vt:lpstr>
      <vt:lpstr>dr1001.1_12</vt:lpstr>
      <vt:lpstr>dr1001.1_13</vt:lpstr>
      <vt:lpstr>dr1001.1_14</vt:lpstr>
      <vt:lpstr>dr1001.1_15</vt:lpstr>
      <vt:lpstr>dr1001.1_16</vt:lpstr>
      <vt:lpstr>dr1001.1_17</vt:lpstr>
      <vt:lpstr>dr1001.1_18</vt:lpstr>
      <vt:lpstr>dr1001.1_19</vt:lpstr>
      <vt:lpstr>dr1001.1_2</vt:lpstr>
      <vt:lpstr>dr1001.1_20</vt:lpstr>
      <vt:lpstr>dr1001.1_21</vt:lpstr>
      <vt:lpstr>dr1001.1_3</vt:lpstr>
      <vt:lpstr>dr1001.1_4</vt:lpstr>
      <vt:lpstr>dr1001.1_5</vt:lpstr>
      <vt:lpstr>dr1001.1_6</vt:lpstr>
      <vt:lpstr>dr1001.1_7</vt:lpstr>
      <vt:lpstr>dr1001.1_8</vt:lpstr>
      <vt:lpstr>dr1001.1_9</vt:lpstr>
      <vt:lpstr>dr1002.1</vt:lpstr>
      <vt:lpstr>dr1003.1</vt:lpstr>
      <vt:lpstr>dr1003.1_1</vt:lpstr>
      <vt:lpstr>dr1003.1_2</vt:lpstr>
      <vt:lpstr>dr1003.1_3</vt:lpstr>
      <vt:lpstr>dr1003.1_4</vt:lpstr>
      <vt:lpstr>dr1003.1_5</vt:lpstr>
      <vt:lpstr>dr1003.1_6</vt:lpstr>
      <vt:lpstr>dr1003.1_7</vt:lpstr>
      <vt:lpstr>dr1003.1_8</vt:lpstr>
      <vt:lpstr>dr1003.2</vt:lpstr>
      <vt:lpstr>dr1003.2_1</vt:lpstr>
      <vt:lpstr>dr1003.2_10</vt:lpstr>
      <vt:lpstr>dr1003.2_2</vt:lpstr>
      <vt:lpstr>dr1003.2_3</vt:lpstr>
      <vt:lpstr>dr1003.2_4</vt:lpstr>
      <vt:lpstr>dr1003.2_5</vt:lpstr>
      <vt:lpstr>dr1003.2_6</vt:lpstr>
      <vt:lpstr>dr1003.2_7</vt:lpstr>
      <vt:lpstr>dr1003.2_8</vt:lpstr>
      <vt:lpstr>dr1003.2_9</vt:lpstr>
      <vt:lpstr>dr1003.3</vt:lpstr>
      <vt:lpstr>dr1003.3_1</vt:lpstr>
      <vt:lpstr>dr1003.3_2</vt:lpstr>
      <vt:lpstr>dr1003.3_3</vt:lpstr>
      <vt:lpstr>dr1003.3_4</vt:lpstr>
      <vt:lpstr>dr1003.3_5</vt:lpstr>
      <vt:lpstr>dr1003.3_6</vt:lpstr>
      <vt:lpstr>dr1003.3_7</vt:lpstr>
      <vt:lpstr>dr1003.3_8</vt:lpstr>
      <vt:lpstr>dr1003.3_9</vt:lpstr>
      <vt:lpstr>dr501.2_1</vt:lpstr>
      <vt:lpstr>dr501.2_2</vt:lpstr>
      <vt:lpstr>dr501.2_3</vt:lpstr>
      <vt:lpstr>dr501.2_4</vt:lpstr>
      <vt:lpstr>dr502.1</vt:lpstr>
      <vt:lpstr>dr503.1_1</vt:lpstr>
      <vt:lpstr>dr503.1_2</vt:lpstr>
      <vt:lpstr>dr503.1_3</vt:lpstr>
      <vt:lpstr>dr503.1_4</vt:lpstr>
      <vt:lpstr>dr503.1_5</vt:lpstr>
      <vt:lpstr>dr503.1_6</vt:lpstr>
      <vt:lpstr>dr503.1_7</vt:lpstr>
      <vt:lpstr>dr503.2_1</vt:lpstr>
      <vt:lpstr>dr503.2_2</vt:lpstr>
      <vt:lpstr>dr503.2_3a</vt:lpstr>
      <vt:lpstr>dr503.2_3b</vt:lpstr>
      <vt:lpstr>dr503.2_3c</vt:lpstr>
      <vt:lpstr>dr503.2_4</vt:lpstr>
      <vt:lpstr>dr503.2_5</vt:lpstr>
      <vt:lpstr>dr503.3_1</vt:lpstr>
      <vt:lpstr>dr503.3_2</vt:lpstr>
      <vt:lpstr>dr503.3_3</vt:lpstr>
      <vt:lpstr>dr503.4_1</vt:lpstr>
      <vt:lpstr>dr503.4_2</vt:lpstr>
      <vt:lpstr>dr503.4_3a</vt:lpstr>
      <vt:lpstr>dr503.4_3b</vt:lpstr>
      <vt:lpstr>dr503.4_3c</vt:lpstr>
      <vt:lpstr>dr503.4_4</vt:lpstr>
      <vt:lpstr>dr503.4_5</vt:lpstr>
      <vt:lpstr>dr503.5_1</vt:lpstr>
      <vt:lpstr>dr503.5_2</vt:lpstr>
      <vt:lpstr>dr503.5_3a</vt:lpstr>
      <vt:lpstr>dr503.5_3b</vt:lpstr>
      <vt:lpstr>dr503.5_3c</vt:lpstr>
      <vt:lpstr>dr503.5_3d</vt:lpstr>
      <vt:lpstr>dr503.5_4</vt:lpstr>
      <vt:lpstr>dr503.5_5</vt:lpstr>
      <vt:lpstr>dr503.5_6</vt:lpstr>
      <vt:lpstr>dr503.5_7</vt:lpstr>
      <vt:lpstr>dr503.5_8</vt:lpstr>
      <vt:lpstr>dr503.5_type</vt:lpstr>
      <vt:lpstr>dr503.6_1</vt:lpstr>
      <vt:lpstr>dr503.6_2</vt:lpstr>
      <vt:lpstr>dr503.6_3</vt:lpstr>
      <vt:lpstr>dr503.6_4</vt:lpstr>
      <vt:lpstr>dr503.7_1</vt:lpstr>
      <vt:lpstr>dr503.7_2</vt:lpstr>
      <vt:lpstr>dr504.1</vt:lpstr>
      <vt:lpstr>dr504.2_1</vt:lpstr>
      <vt:lpstr>dr504.2_2</vt:lpstr>
      <vt:lpstr>dr504.2_3</vt:lpstr>
      <vt:lpstr>dr504.3_1</vt:lpstr>
      <vt:lpstr>dr504.3_2</vt:lpstr>
      <vt:lpstr>dr504.3_3</vt:lpstr>
      <vt:lpstr>dr504.3_4</vt:lpstr>
      <vt:lpstr>dr504.3_5</vt:lpstr>
      <vt:lpstr>dr504.3_6</vt:lpstr>
      <vt:lpstr>dr504.3_7</vt:lpstr>
      <vt:lpstr>dr504.3_8</vt:lpstr>
      <vt:lpstr>dr504.3_9</vt:lpstr>
      <vt:lpstr>dr505.1_1</vt:lpstr>
      <vt:lpstr>dr505.1_2</vt:lpstr>
      <vt:lpstr>dr505.1_3a</vt:lpstr>
      <vt:lpstr>dr505.1_3b</vt:lpstr>
      <vt:lpstr>dr505.1_3c</vt:lpstr>
      <vt:lpstr>dr505.2_1</vt:lpstr>
      <vt:lpstr>dr505.2_2</vt:lpstr>
      <vt:lpstr>dr505.3_1</vt:lpstr>
      <vt:lpstr>dr505.3_2</vt:lpstr>
      <vt:lpstr>dr505.3_3</vt:lpstr>
      <vt:lpstr>dr505.4</vt:lpstr>
      <vt:lpstr>dr505.5</vt:lpstr>
      <vt:lpstr>dr601.1_1</vt:lpstr>
      <vt:lpstr>dr601.1_2</vt:lpstr>
      <vt:lpstr>dr601.1_3</vt:lpstr>
      <vt:lpstr>dr601.1_4</vt:lpstr>
      <vt:lpstr>dr601.2_1</vt:lpstr>
      <vt:lpstr>dr601.2_2</vt:lpstr>
      <vt:lpstr>dr601.2_3</vt:lpstr>
      <vt:lpstr>dr601.3_1</vt:lpstr>
      <vt:lpstr>dr601.3_2</vt:lpstr>
      <vt:lpstr>dr601.3_3</vt:lpstr>
      <vt:lpstr>dr601.3_4</vt:lpstr>
      <vt:lpstr>dr601.3_5</vt:lpstr>
      <vt:lpstr>dr601.4</vt:lpstr>
      <vt:lpstr>dr601.5_1</vt:lpstr>
      <vt:lpstr>dr601.5_2</vt:lpstr>
      <vt:lpstr>dr601.5_3</vt:lpstr>
      <vt:lpstr>dr601.5_4</vt:lpstr>
      <vt:lpstr>dr601.5_5</vt:lpstr>
      <vt:lpstr>dr601.6_1</vt:lpstr>
      <vt:lpstr>dr601.6_2</vt:lpstr>
      <vt:lpstr>dr601.6_3</vt:lpstr>
      <vt:lpstr>dr601.7</vt:lpstr>
      <vt:lpstr>dr601.7_1</vt:lpstr>
      <vt:lpstr>dr601.7_2</vt:lpstr>
      <vt:lpstr>dr601.7_3</vt:lpstr>
      <vt:lpstr>dr601.8</vt:lpstr>
      <vt:lpstr>dr601.9</vt:lpstr>
      <vt:lpstr>dr602.1.1.1</vt:lpstr>
      <vt:lpstr>dr602.1.1.2</vt:lpstr>
      <vt:lpstr>dr602.1.10_1</vt:lpstr>
      <vt:lpstr>dr602.1.10_2</vt:lpstr>
      <vt:lpstr>dr602.1.10_3</vt:lpstr>
      <vt:lpstr>dr602.1.11</vt:lpstr>
      <vt:lpstr>dr602.1.12</vt:lpstr>
      <vt:lpstr>dr602.1.13</vt:lpstr>
      <vt:lpstr>dr602.1.14_1</vt:lpstr>
      <vt:lpstr>dr602.1.14_2</vt:lpstr>
      <vt:lpstr>dr602.1.14_3</vt:lpstr>
      <vt:lpstr>dr602.1.14_3_points</vt:lpstr>
      <vt:lpstr>dr602.1.2</vt:lpstr>
      <vt:lpstr>dr602.1.3.1</vt:lpstr>
      <vt:lpstr>dr602.1.3.2</vt:lpstr>
      <vt:lpstr>dr602.1.4.1_1</vt:lpstr>
      <vt:lpstr>dr602.1.4.1_2</vt:lpstr>
      <vt:lpstr>dr602.1.4.2_1</vt:lpstr>
      <vt:lpstr>dr602.1.4.2_2</vt:lpstr>
      <vt:lpstr>dr602.1.5</vt:lpstr>
      <vt:lpstr>dr602.1.6_1</vt:lpstr>
      <vt:lpstr>dr602.1.6_2</vt:lpstr>
      <vt:lpstr>dr602.1.6_3</vt:lpstr>
      <vt:lpstr>dr602.1.7.1_1</vt:lpstr>
      <vt:lpstr>dr602.1.7.1_2</vt:lpstr>
      <vt:lpstr>dr602.1.7.1_2_points</vt:lpstr>
      <vt:lpstr>dr602.1.7.1_3</vt:lpstr>
      <vt:lpstr>dr602.1.7.2</vt:lpstr>
      <vt:lpstr>dr602.1.8</vt:lpstr>
      <vt:lpstr>dr602.1.9_1</vt:lpstr>
      <vt:lpstr>dr602.1.9_2</vt:lpstr>
      <vt:lpstr>dr602.1.9_3</vt:lpstr>
      <vt:lpstr>dr602.1.9_4</vt:lpstr>
      <vt:lpstr>dr602.1.9_5a</vt:lpstr>
      <vt:lpstr>dr602.1.9_5b</vt:lpstr>
      <vt:lpstr>dr602.1.9_6</vt:lpstr>
      <vt:lpstr>dr602.1.9_7</vt:lpstr>
      <vt:lpstr>dr602.2_1</vt:lpstr>
      <vt:lpstr>dr602.2_2</vt:lpstr>
      <vt:lpstr>dr602.2_3</vt:lpstr>
      <vt:lpstr>dr602.3</vt:lpstr>
      <vt:lpstr>dr602.4.1</vt:lpstr>
      <vt:lpstr>dr602.4.2</vt:lpstr>
      <vt:lpstr>dr602.4.3</vt:lpstr>
      <vt:lpstr>dr603.1</vt:lpstr>
      <vt:lpstr>dr603.1_points</vt:lpstr>
      <vt:lpstr>dr603.2</vt:lpstr>
      <vt:lpstr>dr603.2_points</vt:lpstr>
      <vt:lpstr>dr603.3</vt:lpstr>
      <vt:lpstr>dr604.1.1_1</vt:lpstr>
      <vt:lpstr>dr604.1.1_2</vt:lpstr>
      <vt:lpstr>dr604.1.1_3</vt:lpstr>
      <vt:lpstr>dr604.1.2_1</vt:lpstr>
      <vt:lpstr>dr604.1.2_2</vt:lpstr>
      <vt:lpstr>dr604.1.2_3</vt:lpstr>
      <vt:lpstr>dr605.1</vt:lpstr>
      <vt:lpstr>dr605.2</vt:lpstr>
      <vt:lpstr>dr605.3_1</vt:lpstr>
      <vt:lpstr>dr605.3_2</vt:lpstr>
      <vt:lpstr>dr605.3_3</vt:lpstr>
      <vt:lpstr>dr605.3_4</vt:lpstr>
      <vt:lpstr>dr606.1</vt:lpstr>
      <vt:lpstr>dr606.1_1</vt:lpstr>
      <vt:lpstr>dr606.1_2</vt:lpstr>
      <vt:lpstr>dr606.1_3</vt:lpstr>
      <vt:lpstr>dr606.2_1</vt:lpstr>
      <vt:lpstr>dr606.2_2</vt:lpstr>
      <vt:lpstr>dr606.3_1</vt:lpstr>
      <vt:lpstr>dr606.3_2</vt:lpstr>
      <vt:lpstr>dr606.3_3</vt:lpstr>
      <vt:lpstr>dr607.1_1</vt:lpstr>
      <vt:lpstr>dr607.1_2</vt:lpstr>
      <vt:lpstr>dr607.2</vt:lpstr>
      <vt:lpstr>dr608.1</vt:lpstr>
      <vt:lpstr>dr608.1_1</vt:lpstr>
      <vt:lpstr>dr608.1_2</vt:lpstr>
      <vt:lpstr>dr608.1_3</vt:lpstr>
      <vt:lpstr>dr609.1_1</vt:lpstr>
      <vt:lpstr>dr609.1_2</vt:lpstr>
      <vt:lpstr>dr609.1_3</vt:lpstr>
      <vt:lpstr>dr609.1_4</vt:lpstr>
      <vt:lpstr>dr609.1_5</vt:lpstr>
      <vt:lpstr>dr610.1</vt:lpstr>
      <vt:lpstr>dr610.1.1</vt:lpstr>
      <vt:lpstr>dr610.1.2</vt:lpstr>
      <vt:lpstr>dr610.1.2_1</vt:lpstr>
      <vt:lpstr>dr610.1.2_1_a</vt:lpstr>
      <vt:lpstr>dr610.1.2_1_b</vt:lpstr>
      <vt:lpstr>dr610.1.2_2</vt:lpstr>
      <vt:lpstr>dr610.1.2_2_a</vt:lpstr>
      <vt:lpstr>dr610.1.2_2_b</vt:lpstr>
      <vt:lpstr>dr610.1.2_2_c</vt:lpstr>
      <vt:lpstr>dr610.1.2_2_d</vt:lpstr>
      <vt:lpstr>dr611.1_1</vt:lpstr>
      <vt:lpstr>dr611.1_10</vt:lpstr>
      <vt:lpstr>dr611.1_2</vt:lpstr>
      <vt:lpstr>dr611.1_3</vt:lpstr>
      <vt:lpstr>dr611.1_4</vt:lpstr>
      <vt:lpstr>dr611.1_5</vt:lpstr>
      <vt:lpstr>dr611.1_6</vt:lpstr>
      <vt:lpstr>dr611.1_7</vt:lpstr>
      <vt:lpstr>dr611.1_8</vt:lpstr>
      <vt:lpstr>dr611.1_9</vt:lpstr>
      <vt:lpstr>dr611.2</vt:lpstr>
      <vt:lpstr>dr611.2_1</vt:lpstr>
      <vt:lpstr>dr611.2_2</vt:lpstr>
      <vt:lpstr>dr611.2_3</vt:lpstr>
      <vt:lpstr>dr611.2_4</vt:lpstr>
      <vt:lpstr>dr611.2_5</vt:lpstr>
      <vt:lpstr>dr611.2_6</vt:lpstr>
      <vt:lpstr>dr611.2_7</vt:lpstr>
      <vt:lpstr>dr611.3</vt:lpstr>
      <vt:lpstr>dr611.3_1</vt:lpstr>
      <vt:lpstr>dr611.3_2</vt:lpstr>
      <vt:lpstr>dr611.3_3</vt:lpstr>
      <vt:lpstr>dr611.3_4</vt:lpstr>
      <vt:lpstr>dr701.4.1.1</vt:lpstr>
      <vt:lpstr>dr701.4.1.2</vt:lpstr>
      <vt:lpstr>dr701.4.2.2</vt:lpstr>
      <vt:lpstr>dr701.4.2.3</vt:lpstr>
      <vt:lpstr>dr701.4.3.1</vt:lpstr>
      <vt:lpstr>dr701.4.3.2_1</vt:lpstr>
      <vt:lpstr>dr701.4.3.2_1_ach</vt:lpstr>
      <vt:lpstr>dr701.4.3.2_2</vt:lpstr>
      <vt:lpstr>dr701.4.3.3</vt:lpstr>
      <vt:lpstr>dr701.4.3.4</vt:lpstr>
      <vt:lpstr>dr701.4.4</vt:lpstr>
      <vt:lpstr>dr701.4.5</vt:lpstr>
      <vt:lpstr>dr705.5_area</vt:lpstr>
      <vt:lpstr>dr802.4</vt:lpstr>
      <vt:lpstr>dr901.1.2</vt:lpstr>
      <vt:lpstr>dr901.1.3_1_a</vt:lpstr>
      <vt:lpstr>dr901.1.3_1_b</vt:lpstr>
      <vt:lpstr>dr901.1.3_2_a</vt:lpstr>
      <vt:lpstr>dr901.1.4</vt:lpstr>
      <vt:lpstr>dr901.1.5</vt:lpstr>
      <vt:lpstr>dr901.1.6_1</vt:lpstr>
      <vt:lpstr>dr901.1.6_2</vt:lpstr>
      <vt:lpstr>dr901.10_1</vt:lpstr>
      <vt:lpstr>dr901.10_2</vt:lpstr>
      <vt:lpstr>dr901.10_3</vt:lpstr>
      <vt:lpstr>dr901.11</vt:lpstr>
      <vt:lpstr>dr901.12</vt:lpstr>
      <vt:lpstr>dr901.13_1</vt:lpstr>
      <vt:lpstr>dr901.13_2</vt:lpstr>
      <vt:lpstr>dr901.14</vt:lpstr>
      <vt:lpstr>dr901.2.2</vt:lpstr>
      <vt:lpstr>dr901.3_1_c</vt:lpstr>
      <vt:lpstr>dr901.3_2</vt:lpstr>
      <vt:lpstr>dr901.4_1</vt:lpstr>
      <vt:lpstr>dr901.4_2a</vt:lpstr>
      <vt:lpstr>dr901.4_2b</vt:lpstr>
      <vt:lpstr>dr901.4_2c</vt:lpstr>
      <vt:lpstr>dr901.4_2d</vt:lpstr>
      <vt:lpstr>dr901.4_2thru6</vt:lpstr>
      <vt:lpstr>dr901.4_3a</vt:lpstr>
      <vt:lpstr>dr901.4_3b</vt:lpstr>
      <vt:lpstr>dr901.4_3c</vt:lpstr>
      <vt:lpstr>dr901.4_3d</vt:lpstr>
      <vt:lpstr>dr901.4_4a</vt:lpstr>
      <vt:lpstr>dr901.4_4b</vt:lpstr>
      <vt:lpstr>dr901.4_4c</vt:lpstr>
      <vt:lpstr>dr901.4_4d</vt:lpstr>
      <vt:lpstr>dr901.4_5a</vt:lpstr>
      <vt:lpstr>dr901.4_5b</vt:lpstr>
      <vt:lpstr>dr901.4_5c</vt:lpstr>
      <vt:lpstr>dr901.4_5d</vt:lpstr>
      <vt:lpstr>dr901.4_6a</vt:lpstr>
      <vt:lpstr>dr901.4_6b</vt:lpstr>
      <vt:lpstr>dr901.4_6c</vt:lpstr>
      <vt:lpstr>dr901.4_6d</vt:lpstr>
      <vt:lpstr>dr901.6_1</vt:lpstr>
      <vt:lpstr>dr901.6_2_a</vt:lpstr>
      <vt:lpstr>dr901.6_2_b</vt:lpstr>
      <vt:lpstr>dr901.7</vt:lpstr>
      <vt:lpstr>dr901.8</vt:lpstr>
      <vt:lpstr>dr901.9.1</vt:lpstr>
      <vt:lpstr>dr901.9.2</vt:lpstr>
      <vt:lpstr>dr901.9.3</vt:lpstr>
      <vt:lpstr>dr902.1.1_2</vt:lpstr>
      <vt:lpstr>dr902.1.1_3</vt:lpstr>
      <vt:lpstr>dr902.1.2_1</vt:lpstr>
      <vt:lpstr>dr902.1.2_2</vt:lpstr>
      <vt:lpstr>dr902.1.2_3</vt:lpstr>
      <vt:lpstr>dr902.1.2_4</vt:lpstr>
      <vt:lpstr>dr902.1.3</vt:lpstr>
      <vt:lpstr>dr902.1.4_1</vt:lpstr>
      <vt:lpstr>dr902.1.4_2</vt:lpstr>
      <vt:lpstr>dr902.2.1</vt:lpstr>
      <vt:lpstr>dr902.2.1_1</vt:lpstr>
      <vt:lpstr>dr902.2.1_2</vt:lpstr>
      <vt:lpstr>dr902.2.1_3</vt:lpstr>
      <vt:lpstr>dr902.2.1_4</vt:lpstr>
      <vt:lpstr>dr902.2.2</vt:lpstr>
      <vt:lpstr>dr902.2.3</vt:lpstr>
      <vt:lpstr>dr902.3_1</vt:lpstr>
      <vt:lpstr>dr902.3_1_a</vt:lpstr>
      <vt:lpstr>dr902.3_1_b</vt:lpstr>
      <vt:lpstr>dr902.3_2_a</vt:lpstr>
      <vt:lpstr>dr902.4_1</vt:lpstr>
      <vt:lpstr>dr902.4_2</vt:lpstr>
      <vt:lpstr>dr902.5</vt:lpstr>
      <vt:lpstr>dr902.6</vt:lpstr>
      <vt:lpstr>dr903.1.1</vt:lpstr>
      <vt:lpstr>dr903.1.2</vt:lpstr>
      <vt:lpstr>dr903.2_1</vt:lpstr>
      <vt:lpstr>dr903.2_2</vt:lpstr>
      <vt:lpstr>dr903.3_1</vt:lpstr>
      <vt:lpstr>dr903.3_2</vt:lpstr>
      <vt:lpstr>dr904.1</vt:lpstr>
      <vt:lpstr>dr904.2</vt:lpstr>
      <vt:lpstr>drchoice901.1.1</vt:lpstr>
      <vt:lpstr>drchoice901.2.1_1</vt:lpstr>
      <vt:lpstr>drchoice901.2.1_2</vt:lpstr>
      <vt:lpstr>drchoice901.2.1_3</vt:lpstr>
      <vt:lpstr>drchoice901.2.1_4</vt:lpstr>
      <vt:lpstr>drchoice901.2.1_5</vt:lpstr>
      <vt:lpstr>drchoice901.3_1_a</vt:lpstr>
      <vt:lpstr>drchoice901.3_1_b</vt:lpstr>
      <vt:lpstr>drchoice901.5</vt:lpstr>
      <vt:lpstr>drchoice902.1.1_1</vt:lpstr>
      <vt:lpstr>drclaim901.1.1</vt:lpstr>
      <vt:lpstr>drclaim901.2.1_1</vt:lpstr>
      <vt:lpstr>drclaim901.2.1_2</vt:lpstr>
      <vt:lpstr>drclaim901.2.1_3</vt:lpstr>
      <vt:lpstr>drclaim901.2.1_4</vt:lpstr>
      <vt:lpstr>drclaim901.2.1_5</vt:lpstr>
      <vt:lpstr>drclaim901.3_1_a</vt:lpstr>
      <vt:lpstr>drclaim901.3_1_b</vt:lpstr>
      <vt:lpstr>drclaim901.5_1</vt:lpstr>
      <vt:lpstr>drclaim901.5_2</vt:lpstr>
      <vt:lpstr>drclaim902.1.1_1</vt:lpstr>
      <vt:lpstr>drclaim902.1.4</vt:lpstr>
      <vt:lpstr>Eight</vt:lpstr>
      <vt:lpstr>Electric</vt:lpstr>
      <vt:lpstr>emeraldMinimum</vt:lpstr>
      <vt:lpstr>EnergyLevel</vt:lpstr>
      <vt:lpstr>energypath</vt:lpstr>
      <vt:lpstr>enter610.1.2_1_4meas</vt:lpstr>
      <vt:lpstr>enter610.1.2_1_5meas</vt:lpstr>
      <vt:lpstr>enter610.1.2_2_floors</vt:lpstr>
      <vt:lpstr>enter610.1.2_2_interior</vt:lpstr>
      <vt:lpstr>enter610.1.2_2_roof</vt:lpstr>
      <vt:lpstr>enter610.1.2_2_walls</vt:lpstr>
      <vt:lpstr>ErrataWorkSheet</vt:lpstr>
      <vt:lpstr>figure6_1</vt:lpstr>
      <vt:lpstr>figure6_2</vt:lpstr>
      <vt:lpstr>figure6_3</vt:lpstr>
      <vt:lpstr>figure9_1</vt:lpstr>
      <vt:lpstr>finalLevelReached</vt:lpstr>
      <vt:lpstr>Five</vt:lpstr>
      <vt:lpstr>foundation1</vt:lpstr>
      <vt:lpstr>foundation2</vt:lpstr>
      <vt:lpstr>foundation3</vt:lpstr>
      <vt:lpstr>foundation4</vt:lpstr>
      <vt:lpstr>foundation5</vt:lpstr>
      <vt:lpstr>foundation6</vt:lpstr>
      <vt:lpstr>foundation7</vt:lpstr>
      <vt:lpstr>foundation8</vt:lpstr>
      <vt:lpstr>foundation9</vt:lpstr>
      <vt:lpstr>Four</vt:lpstr>
      <vt:lpstr>Furnace</vt:lpstr>
      <vt:lpstr>gap1001.1</vt:lpstr>
      <vt:lpstr>gap1002.1</vt:lpstr>
      <vt:lpstr>gap1003.1</vt:lpstr>
      <vt:lpstr>gap1003.2</vt:lpstr>
      <vt:lpstr>gap1003.3</vt:lpstr>
      <vt:lpstr>gap501.2_3</vt:lpstr>
      <vt:lpstr>gap501.2_4</vt:lpstr>
      <vt:lpstr>gap502.1</vt:lpstr>
      <vt:lpstr>gap503.1_1</vt:lpstr>
      <vt:lpstr>gap503.1_2</vt:lpstr>
      <vt:lpstr>gap503.1_3</vt:lpstr>
      <vt:lpstr>gap503.1_4</vt:lpstr>
      <vt:lpstr>gap503.1_5</vt:lpstr>
      <vt:lpstr>gap503.1_6</vt:lpstr>
      <vt:lpstr>gap503.1_7</vt:lpstr>
      <vt:lpstr>gap503.2_1</vt:lpstr>
      <vt:lpstr>gap503.2_2</vt:lpstr>
      <vt:lpstr>gap503.2_3</vt:lpstr>
      <vt:lpstr>gap503.2_4</vt:lpstr>
      <vt:lpstr>gap503.2_5</vt:lpstr>
      <vt:lpstr>gap503.3_1</vt:lpstr>
      <vt:lpstr>gap503.3_2</vt:lpstr>
      <vt:lpstr>gap503.3_3</vt:lpstr>
      <vt:lpstr>gap503.4_1</vt:lpstr>
      <vt:lpstr>gap503.4_3</vt:lpstr>
      <vt:lpstr>gap503.4_4</vt:lpstr>
      <vt:lpstr>gap503.4_5</vt:lpstr>
      <vt:lpstr>gap503.5_1</vt:lpstr>
      <vt:lpstr>gap503.5_2</vt:lpstr>
      <vt:lpstr>gap503.5_3</vt:lpstr>
      <vt:lpstr>gap503.5_4</vt:lpstr>
      <vt:lpstr>gap503.5_5</vt:lpstr>
      <vt:lpstr>gap503.5_6</vt:lpstr>
      <vt:lpstr>gap503.5_7</vt:lpstr>
      <vt:lpstr>gap503.5_8</vt:lpstr>
      <vt:lpstr>gap503.6_1</vt:lpstr>
      <vt:lpstr>gap503.6_2</vt:lpstr>
      <vt:lpstr>gap503.6_3</vt:lpstr>
      <vt:lpstr>gap503.6_4</vt:lpstr>
      <vt:lpstr>gap503.7_1</vt:lpstr>
      <vt:lpstr>gap503.7_2</vt:lpstr>
      <vt:lpstr>gap504.1</vt:lpstr>
      <vt:lpstr>gap504.2_1</vt:lpstr>
      <vt:lpstr>gap504.2_2</vt:lpstr>
      <vt:lpstr>gap504.2_3</vt:lpstr>
      <vt:lpstr>gap504.3_1</vt:lpstr>
      <vt:lpstr>gap504.3_2</vt:lpstr>
      <vt:lpstr>gap504.3_3</vt:lpstr>
      <vt:lpstr>gap504.3_4</vt:lpstr>
      <vt:lpstr>gap504.3_5</vt:lpstr>
      <vt:lpstr>gap504.3_6</vt:lpstr>
      <vt:lpstr>gap504.3_7</vt:lpstr>
      <vt:lpstr>gap504.3_8</vt:lpstr>
      <vt:lpstr>gap504.3_9</vt:lpstr>
      <vt:lpstr>gap505.1_1</vt:lpstr>
      <vt:lpstr>gap505.1_2</vt:lpstr>
      <vt:lpstr>gap505.1_3</vt:lpstr>
      <vt:lpstr>gap505.2_1</vt:lpstr>
      <vt:lpstr>gap505.2_2</vt:lpstr>
      <vt:lpstr>gap505.3</vt:lpstr>
      <vt:lpstr>gap505.4</vt:lpstr>
      <vt:lpstr>gap505.5</vt:lpstr>
      <vt:lpstr>gap601.1</vt:lpstr>
      <vt:lpstr>gap601.2_1</vt:lpstr>
      <vt:lpstr>gap601.2_2</vt:lpstr>
      <vt:lpstr>gap601.2_3</vt:lpstr>
      <vt:lpstr>gap601.3_1</vt:lpstr>
      <vt:lpstr>gap601.3_2</vt:lpstr>
      <vt:lpstr>gap601.3_3</vt:lpstr>
      <vt:lpstr>gap601.3_4</vt:lpstr>
      <vt:lpstr>gap601.3_5</vt:lpstr>
      <vt:lpstr>gap601.4</vt:lpstr>
      <vt:lpstr>gap601.5_1thru3</vt:lpstr>
      <vt:lpstr>gap601.5_4</vt:lpstr>
      <vt:lpstr>gap601.5_5</vt:lpstr>
      <vt:lpstr>gap601.6</vt:lpstr>
      <vt:lpstr>gap601.7</vt:lpstr>
      <vt:lpstr>gap601.8</vt:lpstr>
      <vt:lpstr>gap601.9</vt:lpstr>
      <vt:lpstr>gap602.1.1.1</vt:lpstr>
      <vt:lpstr>gap602.1.1.2</vt:lpstr>
      <vt:lpstr>gap602.1.10</vt:lpstr>
      <vt:lpstr>gap602.1.11</vt:lpstr>
      <vt:lpstr>gap602.1.12</vt:lpstr>
      <vt:lpstr>gap602.1.14</vt:lpstr>
      <vt:lpstr>gap602.1.15_1</vt:lpstr>
      <vt:lpstr>gap602.1.15_2</vt:lpstr>
      <vt:lpstr>gap602.1.15_3</vt:lpstr>
      <vt:lpstr>gap602.1.2</vt:lpstr>
      <vt:lpstr>gap602.1.3.1</vt:lpstr>
      <vt:lpstr>gap602.1.3.2</vt:lpstr>
      <vt:lpstr>gap602.1.4.1_1</vt:lpstr>
      <vt:lpstr>gap602.1.4.1_2</vt:lpstr>
      <vt:lpstr>gap602.1.4.2</vt:lpstr>
      <vt:lpstr>gap602.1.5</vt:lpstr>
      <vt:lpstr>gap602.1.6</vt:lpstr>
      <vt:lpstr>gap602.1.7.1_2</vt:lpstr>
      <vt:lpstr>gap602.1.7.1_3</vt:lpstr>
      <vt:lpstr>gap602.1.7.2</vt:lpstr>
      <vt:lpstr>gap602.1.8</vt:lpstr>
      <vt:lpstr>gap602.1.9_1</vt:lpstr>
      <vt:lpstr>gap602.1.9_2</vt:lpstr>
      <vt:lpstr>gap602.1.9_3</vt:lpstr>
      <vt:lpstr>gap602.1.9_4</vt:lpstr>
      <vt:lpstr>gap602.1.9_5</vt:lpstr>
      <vt:lpstr>gap602.1.9_6</vt:lpstr>
      <vt:lpstr>gap602.1.9_7</vt:lpstr>
      <vt:lpstr>gap602.2</vt:lpstr>
      <vt:lpstr>gap602.3</vt:lpstr>
      <vt:lpstr>gap602.4.1</vt:lpstr>
      <vt:lpstr>gap602.4.2</vt:lpstr>
      <vt:lpstr>gap602.4.3</vt:lpstr>
      <vt:lpstr>gap603.1</vt:lpstr>
      <vt:lpstr>gap603.2</vt:lpstr>
      <vt:lpstr>gap603.3</vt:lpstr>
      <vt:lpstr>gap604.1.1</vt:lpstr>
      <vt:lpstr>gap604.1.2</vt:lpstr>
      <vt:lpstr>gap605.1</vt:lpstr>
      <vt:lpstr>gap605.2</vt:lpstr>
      <vt:lpstr>gap605.3</vt:lpstr>
      <vt:lpstr>gap606.1</vt:lpstr>
      <vt:lpstr>gap606.2_1</vt:lpstr>
      <vt:lpstr>gap606.2_2</vt:lpstr>
      <vt:lpstr>gap606.3</vt:lpstr>
      <vt:lpstr>gap607.1_1</vt:lpstr>
      <vt:lpstr>gap607.1_2</vt:lpstr>
      <vt:lpstr>gap607.2</vt:lpstr>
      <vt:lpstr>gap608.1</vt:lpstr>
      <vt:lpstr>gap609.1</vt:lpstr>
      <vt:lpstr>gap610.1.1</vt:lpstr>
      <vt:lpstr>gap610.1.2_1</vt:lpstr>
      <vt:lpstr>gap610.1.2_2</vt:lpstr>
      <vt:lpstr>gap611.1</vt:lpstr>
      <vt:lpstr>gap611.2_1</vt:lpstr>
      <vt:lpstr>gap611.2_2</vt:lpstr>
      <vt:lpstr>gap611.2_3</vt:lpstr>
      <vt:lpstr>gap611.2_4</vt:lpstr>
      <vt:lpstr>gap611.2_5</vt:lpstr>
      <vt:lpstr>gap611.2_6</vt:lpstr>
      <vt:lpstr>gap611.2_7</vt:lpstr>
      <vt:lpstr>gap611.3_1</vt:lpstr>
      <vt:lpstr>gap611.3_2</vt:lpstr>
      <vt:lpstr>gap611.3_3</vt:lpstr>
      <vt:lpstr>gap611.3_4</vt:lpstr>
      <vt:lpstr>gap701.4.1.1</vt:lpstr>
      <vt:lpstr>gap701.4.1.2</vt:lpstr>
      <vt:lpstr>gap701.4.2.1</vt:lpstr>
      <vt:lpstr>gap701.4.2.2</vt:lpstr>
      <vt:lpstr>gap701.4.2.3</vt:lpstr>
      <vt:lpstr>gap701.4.3.1</vt:lpstr>
      <vt:lpstr>gap701.4.3.2_1</vt:lpstr>
      <vt:lpstr>gap701.4.3.2_2</vt:lpstr>
      <vt:lpstr>gap701.4.3.3</vt:lpstr>
      <vt:lpstr>gap701.4.3.4</vt:lpstr>
      <vt:lpstr>gap701.4.4</vt:lpstr>
      <vt:lpstr>gap701.4.5</vt:lpstr>
      <vt:lpstr>gap901.1.1</vt:lpstr>
      <vt:lpstr>gap901.1.2</vt:lpstr>
      <vt:lpstr>gap901.1.3_1</vt:lpstr>
      <vt:lpstr>gap901.1.3_2</vt:lpstr>
      <vt:lpstr>gap901.1.4</vt:lpstr>
      <vt:lpstr>gap901.1.5</vt:lpstr>
      <vt:lpstr>gap901.1.6</vt:lpstr>
      <vt:lpstr>gap901.10</vt:lpstr>
      <vt:lpstr>gap901.11</vt:lpstr>
      <vt:lpstr>gap901.12</vt:lpstr>
      <vt:lpstr>gap901.13</vt:lpstr>
      <vt:lpstr>gap901.14</vt:lpstr>
      <vt:lpstr>gap901.2.1_1</vt:lpstr>
      <vt:lpstr>gap901.2.1_2</vt:lpstr>
      <vt:lpstr>gap901.2.1_3</vt:lpstr>
      <vt:lpstr>gap901.2.1_4</vt:lpstr>
      <vt:lpstr>gap901.2.1_5</vt:lpstr>
      <vt:lpstr>gap901.2.2</vt:lpstr>
      <vt:lpstr>gap901.3_1_a</vt:lpstr>
      <vt:lpstr>gap901.3_1_b</vt:lpstr>
      <vt:lpstr>gap901.3_1_c</vt:lpstr>
      <vt:lpstr>gap901.3_2</vt:lpstr>
      <vt:lpstr>gap901.4_1</vt:lpstr>
      <vt:lpstr>gap901.4_2thru6</vt:lpstr>
      <vt:lpstr>gap901.5</vt:lpstr>
      <vt:lpstr>gap901.6_1</vt:lpstr>
      <vt:lpstr>gap901.6_2</vt:lpstr>
      <vt:lpstr>gap901.7</vt:lpstr>
      <vt:lpstr>gap901.8</vt:lpstr>
      <vt:lpstr>gap901.9</vt:lpstr>
      <vt:lpstr>gap902.1.1_1</vt:lpstr>
      <vt:lpstr>gap902.1.1_2</vt:lpstr>
      <vt:lpstr>gap902.1.1_3</vt:lpstr>
      <vt:lpstr>gap902.1.2</vt:lpstr>
      <vt:lpstr>gap902.1.3</vt:lpstr>
      <vt:lpstr>gap902.2.1</vt:lpstr>
      <vt:lpstr>gap902.2.2</vt:lpstr>
      <vt:lpstr>gap902.2.3</vt:lpstr>
      <vt:lpstr>gap902.3_2</vt:lpstr>
      <vt:lpstr>gap902.4</vt:lpstr>
      <vt:lpstr>gap902.5</vt:lpstr>
      <vt:lpstr>gap902.6</vt:lpstr>
      <vt:lpstr>gap903.1.1</vt:lpstr>
      <vt:lpstr>gap903.1.2</vt:lpstr>
      <vt:lpstr>gap903.2_1</vt:lpstr>
      <vt:lpstr>gap903.2_2</vt:lpstr>
      <vt:lpstr>gap903.3</vt:lpstr>
      <vt:lpstr>gap904.1</vt:lpstr>
      <vt:lpstr>gap904.2</vt:lpstr>
      <vt:lpstr>GasBoiler</vt:lpstr>
      <vt:lpstr>GasHeaters</vt:lpstr>
      <vt:lpstr>GasTableA</vt:lpstr>
      <vt:lpstr>GasTableB</vt:lpstr>
      <vt:lpstr>goldMinimum</vt:lpstr>
      <vt:lpstr>H21BeforeSinnk11Flow</vt:lpstr>
      <vt:lpstr>HeatPump</vt:lpstr>
      <vt:lpstr>HEToilets</vt:lpstr>
      <vt:lpstr>HVAC</vt:lpstr>
      <vt:lpstr>levelStatement</vt:lpstr>
      <vt:lpstr>link602.1.12</vt:lpstr>
      <vt:lpstr>link602.1.5</vt:lpstr>
      <vt:lpstr>link602.1.6</vt:lpstr>
      <vt:lpstr>link901.10</vt:lpstr>
      <vt:lpstr>link901.11</vt:lpstr>
      <vt:lpstr>link901.3</vt:lpstr>
      <vt:lpstr>link901.5</vt:lpstr>
      <vt:lpstr>link901.6</vt:lpstr>
      <vt:lpstr>link901.7</vt:lpstr>
      <vt:lpstr>link901.8</vt:lpstr>
      <vt:lpstr>link901.9.1</vt:lpstr>
      <vt:lpstr>link901.9.3</vt:lpstr>
      <vt:lpstr>link902.2.1</vt:lpstr>
      <vt:lpstr>link902.3</vt:lpstr>
      <vt:lpstr>link903.3</vt:lpstr>
      <vt:lpstr>mandatoryStatus</vt:lpstr>
      <vt:lpstr>note1001.1_1</vt:lpstr>
      <vt:lpstr>note1001.1_10</vt:lpstr>
      <vt:lpstr>note1001.1_11</vt:lpstr>
      <vt:lpstr>note1001.1_12</vt:lpstr>
      <vt:lpstr>note1001.1_13</vt:lpstr>
      <vt:lpstr>note1001.1_14</vt:lpstr>
      <vt:lpstr>note1001.1_15</vt:lpstr>
      <vt:lpstr>note1001.1_16</vt:lpstr>
      <vt:lpstr>note1001.1_17</vt:lpstr>
      <vt:lpstr>note1001.1_18</vt:lpstr>
      <vt:lpstr>note1001.1_19</vt:lpstr>
      <vt:lpstr>note1001.1_2</vt:lpstr>
      <vt:lpstr>note1001.1_20</vt:lpstr>
      <vt:lpstr>note1001.1_21</vt:lpstr>
      <vt:lpstr>note1001.1_3</vt:lpstr>
      <vt:lpstr>note1001.1_4</vt:lpstr>
      <vt:lpstr>note1001.1_5</vt:lpstr>
      <vt:lpstr>note1001.1_6</vt:lpstr>
      <vt:lpstr>note1001.1_7</vt:lpstr>
      <vt:lpstr>note1001.1_8</vt:lpstr>
      <vt:lpstr>note1001.1_9</vt:lpstr>
      <vt:lpstr>note1002.1</vt:lpstr>
      <vt:lpstr>note1003.1_1</vt:lpstr>
      <vt:lpstr>note1003.1_2</vt:lpstr>
      <vt:lpstr>note1003.1_3</vt:lpstr>
      <vt:lpstr>note1003.1_4</vt:lpstr>
      <vt:lpstr>note1003.1_5</vt:lpstr>
      <vt:lpstr>note1003.1_6</vt:lpstr>
      <vt:lpstr>note1003.1_7</vt:lpstr>
      <vt:lpstr>note1003.1_8</vt:lpstr>
      <vt:lpstr>note1003.2_1</vt:lpstr>
      <vt:lpstr>note1003.2_10</vt:lpstr>
      <vt:lpstr>note1003.2_2</vt:lpstr>
      <vt:lpstr>note1003.2_3</vt:lpstr>
      <vt:lpstr>note1003.2_4</vt:lpstr>
      <vt:lpstr>note1003.2_5</vt:lpstr>
      <vt:lpstr>note1003.2_6</vt:lpstr>
      <vt:lpstr>note1003.2_7</vt:lpstr>
      <vt:lpstr>note1003.2_8</vt:lpstr>
      <vt:lpstr>note1003.2_9</vt:lpstr>
      <vt:lpstr>note1003.3_1</vt:lpstr>
      <vt:lpstr>note1003.3_2</vt:lpstr>
      <vt:lpstr>note1003.3_3</vt:lpstr>
      <vt:lpstr>note1003.3_4</vt:lpstr>
      <vt:lpstr>note1003.3_5</vt:lpstr>
      <vt:lpstr>note1003.3_6</vt:lpstr>
      <vt:lpstr>note1003.3_7</vt:lpstr>
      <vt:lpstr>note1003.3_8</vt:lpstr>
      <vt:lpstr>note1003.3_9</vt:lpstr>
      <vt:lpstr>note501.2_1</vt:lpstr>
      <vt:lpstr>note501.2_2</vt:lpstr>
      <vt:lpstr>note501.2_3</vt:lpstr>
      <vt:lpstr>note501.2_4</vt:lpstr>
      <vt:lpstr>note502.1</vt:lpstr>
      <vt:lpstr>note503.1_1</vt:lpstr>
      <vt:lpstr>note503.1_2</vt:lpstr>
      <vt:lpstr>note503.1_3</vt:lpstr>
      <vt:lpstr>note503.1_4</vt:lpstr>
      <vt:lpstr>note503.1_5</vt:lpstr>
      <vt:lpstr>note503.1_6</vt:lpstr>
      <vt:lpstr>note503.1_7</vt:lpstr>
      <vt:lpstr>note503.2_1</vt:lpstr>
      <vt:lpstr>note503.2_2</vt:lpstr>
      <vt:lpstr>note503.2_3</vt:lpstr>
      <vt:lpstr>note503.2_4</vt:lpstr>
      <vt:lpstr>note503.2_5</vt:lpstr>
      <vt:lpstr>note503.3_1</vt:lpstr>
      <vt:lpstr>note503.3_2</vt:lpstr>
      <vt:lpstr>note503.3_3</vt:lpstr>
      <vt:lpstr>note503.4_1</vt:lpstr>
      <vt:lpstr>note503.4_2</vt:lpstr>
      <vt:lpstr>note503.4_3</vt:lpstr>
      <vt:lpstr>note503.4_4</vt:lpstr>
      <vt:lpstr>note503.4_5</vt:lpstr>
      <vt:lpstr>note503.5_1</vt:lpstr>
      <vt:lpstr>note503.5_2</vt:lpstr>
      <vt:lpstr>note503.5_3</vt:lpstr>
      <vt:lpstr>note503.5_4</vt:lpstr>
      <vt:lpstr>note503.5_5</vt:lpstr>
      <vt:lpstr>note503.5_6</vt:lpstr>
      <vt:lpstr>note503.5_7</vt:lpstr>
      <vt:lpstr>note503.5_8</vt:lpstr>
      <vt:lpstr>note503.6_1</vt:lpstr>
      <vt:lpstr>note503.6_2</vt:lpstr>
      <vt:lpstr>note503.6_3</vt:lpstr>
      <vt:lpstr>note503.6_4</vt:lpstr>
      <vt:lpstr>note503.7_1</vt:lpstr>
      <vt:lpstr>note503.7_2</vt:lpstr>
      <vt:lpstr>note504.1</vt:lpstr>
      <vt:lpstr>note504.2_1</vt:lpstr>
      <vt:lpstr>note504.2_2</vt:lpstr>
      <vt:lpstr>note504.2_3</vt:lpstr>
      <vt:lpstr>note504.3_1</vt:lpstr>
      <vt:lpstr>note504.3_2</vt:lpstr>
      <vt:lpstr>note504.3_3</vt:lpstr>
      <vt:lpstr>note504.3_4</vt:lpstr>
      <vt:lpstr>note504.3_5</vt:lpstr>
      <vt:lpstr>note504.3_6</vt:lpstr>
      <vt:lpstr>note504.3_7</vt:lpstr>
      <vt:lpstr>note504.3_8</vt:lpstr>
      <vt:lpstr>note504.3_9</vt:lpstr>
      <vt:lpstr>note505.1_1</vt:lpstr>
      <vt:lpstr>note505.1_2</vt:lpstr>
      <vt:lpstr>note505.1_3</vt:lpstr>
      <vt:lpstr>note505.2_1</vt:lpstr>
      <vt:lpstr>note505.2_2</vt:lpstr>
      <vt:lpstr>note505.3</vt:lpstr>
      <vt:lpstr>note505.4</vt:lpstr>
      <vt:lpstr>note505.5</vt:lpstr>
      <vt:lpstr>note601.1</vt:lpstr>
      <vt:lpstr>note601.2_1</vt:lpstr>
      <vt:lpstr>note601.2_2</vt:lpstr>
      <vt:lpstr>note601.2_3</vt:lpstr>
      <vt:lpstr>note601.3_1</vt:lpstr>
      <vt:lpstr>note601.3_2</vt:lpstr>
      <vt:lpstr>note601.3_3</vt:lpstr>
      <vt:lpstr>note601.3_4</vt:lpstr>
      <vt:lpstr>note601.3_5</vt:lpstr>
      <vt:lpstr>note601.4</vt:lpstr>
      <vt:lpstr>note601.5_1</vt:lpstr>
      <vt:lpstr>note601.5_2</vt:lpstr>
      <vt:lpstr>note601.5_3</vt:lpstr>
      <vt:lpstr>note601.5_4</vt:lpstr>
      <vt:lpstr>note601.5_5</vt:lpstr>
      <vt:lpstr>note601.6</vt:lpstr>
      <vt:lpstr>note601.7</vt:lpstr>
      <vt:lpstr>note601.8</vt:lpstr>
      <vt:lpstr>note601.9</vt:lpstr>
      <vt:lpstr>note602.1.1.1</vt:lpstr>
      <vt:lpstr>note602.1.1.2</vt:lpstr>
      <vt:lpstr>note602.1.10</vt:lpstr>
      <vt:lpstr>note602.1.11</vt:lpstr>
      <vt:lpstr>note602.1.12</vt:lpstr>
      <vt:lpstr>note602.1.13</vt:lpstr>
      <vt:lpstr>note602.1.14_1</vt:lpstr>
      <vt:lpstr>note602.1.14_2</vt:lpstr>
      <vt:lpstr>note602.1.14_3</vt:lpstr>
      <vt:lpstr>note602.1.2</vt:lpstr>
      <vt:lpstr>note602.1.3.1</vt:lpstr>
      <vt:lpstr>note602.1.3.2</vt:lpstr>
      <vt:lpstr>note602.1.4.1_1</vt:lpstr>
      <vt:lpstr>note602.1.4.1_2</vt:lpstr>
      <vt:lpstr>note602.1.4.2_1</vt:lpstr>
      <vt:lpstr>note602.1.4.2_2</vt:lpstr>
      <vt:lpstr>note602.1.5</vt:lpstr>
      <vt:lpstr>note602.1.6</vt:lpstr>
      <vt:lpstr>note602.1.7.1_1</vt:lpstr>
      <vt:lpstr>note602.1.7.1_2</vt:lpstr>
      <vt:lpstr>note602.1.7.1_3</vt:lpstr>
      <vt:lpstr>note602.1.7.2</vt:lpstr>
      <vt:lpstr>note602.1.8</vt:lpstr>
      <vt:lpstr>note602.1.9_1</vt:lpstr>
      <vt:lpstr>note602.1.9_2</vt:lpstr>
      <vt:lpstr>note602.1.9_3</vt:lpstr>
      <vt:lpstr>note602.1.9_4</vt:lpstr>
      <vt:lpstr>note602.1.9_5</vt:lpstr>
      <vt:lpstr>note602.1.9_6</vt:lpstr>
      <vt:lpstr>note602.1.9_7</vt:lpstr>
      <vt:lpstr>note602.2</vt:lpstr>
      <vt:lpstr>note602.3</vt:lpstr>
      <vt:lpstr>note602.4.1</vt:lpstr>
      <vt:lpstr>note602.4.2</vt:lpstr>
      <vt:lpstr>note602.4.3</vt:lpstr>
      <vt:lpstr>note603.1</vt:lpstr>
      <vt:lpstr>note603.2</vt:lpstr>
      <vt:lpstr>note603.3</vt:lpstr>
      <vt:lpstr>note604.1.1</vt:lpstr>
      <vt:lpstr>note604.1.2</vt:lpstr>
      <vt:lpstr>note605.1</vt:lpstr>
      <vt:lpstr>note605.2</vt:lpstr>
      <vt:lpstr>note605.3</vt:lpstr>
      <vt:lpstr>note605.4</vt:lpstr>
      <vt:lpstr>note606.1</vt:lpstr>
      <vt:lpstr>note606.2</vt:lpstr>
      <vt:lpstr>note606.3</vt:lpstr>
      <vt:lpstr>note607.1_1</vt:lpstr>
      <vt:lpstr>note607.1_2</vt:lpstr>
      <vt:lpstr>note607.2</vt:lpstr>
      <vt:lpstr>note608.1</vt:lpstr>
      <vt:lpstr>note609.1</vt:lpstr>
      <vt:lpstr>note610.1</vt:lpstr>
      <vt:lpstr>note610.1.1</vt:lpstr>
      <vt:lpstr>note610.1.2_1</vt:lpstr>
      <vt:lpstr>note610.1.2_2</vt:lpstr>
      <vt:lpstr>note611.1</vt:lpstr>
      <vt:lpstr>note611.2_1</vt:lpstr>
      <vt:lpstr>note611.2_2</vt:lpstr>
      <vt:lpstr>note611.2_3</vt:lpstr>
      <vt:lpstr>note611.2_4</vt:lpstr>
      <vt:lpstr>note611.2_5</vt:lpstr>
      <vt:lpstr>note611.2_6</vt:lpstr>
      <vt:lpstr>note611.2_7</vt:lpstr>
      <vt:lpstr>note611.3_1</vt:lpstr>
      <vt:lpstr>note611.3_2</vt:lpstr>
      <vt:lpstr>note611.3_3</vt:lpstr>
      <vt:lpstr>note611.3_4</vt:lpstr>
      <vt:lpstr>note701.4.1.1</vt:lpstr>
      <vt:lpstr>note701.4.1.2</vt:lpstr>
      <vt:lpstr>note701.4.2.1</vt:lpstr>
      <vt:lpstr>note701.4.2.2</vt:lpstr>
      <vt:lpstr>note701.4.2.3</vt:lpstr>
      <vt:lpstr>note701.4.3.1</vt:lpstr>
      <vt:lpstr>note701.4.3.2_1</vt:lpstr>
      <vt:lpstr>note701.4.3.2_2</vt:lpstr>
      <vt:lpstr>note701.4.3.3</vt:lpstr>
      <vt:lpstr>note701.4.3.4</vt:lpstr>
      <vt:lpstr>note701.4.4</vt:lpstr>
      <vt:lpstr>note701.4.5</vt:lpstr>
      <vt:lpstr>note901.1.1</vt:lpstr>
      <vt:lpstr>note901.1.2</vt:lpstr>
      <vt:lpstr>note901.1.3_1</vt:lpstr>
      <vt:lpstr>note901.1.3_2</vt:lpstr>
      <vt:lpstr>note901.1.4</vt:lpstr>
      <vt:lpstr>note901.1.5</vt:lpstr>
      <vt:lpstr>note901.1.6</vt:lpstr>
      <vt:lpstr>note901.10</vt:lpstr>
      <vt:lpstr>note901.10_2</vt:lpstr>
      <vt:lpstr>note901.11</vt:lpstr>
      <vt:lpstr>note901.11_1</vt:lpstr>
      <vt:lpstr>note901.12</vt:lpstr>
      <vt:lpstr>note901.13</vt:lpstr>
      <vt:lpstr>note901.14</vt:lpstr>
      <vt:lpstr>note901.15</vt:lpstr>
      <vt:lpstr>note901.2.1_1</vt:lpstr>
      <vt:lpstr>note901.2.1_2</vt:lpstr>
      <vt:lpstr>note901.2.1_3</vt:lpstr>
      <vt:lpstr>note901.2.1_4</vt:lpstr>
      <vt:lpstr>note901.2.1_5</vt:lpstr>
      <vt:lpstr>note901.2.2</vt:lpstr>
      <vt:lpstr>note901.3_1_a</vt:lpstr>
      <vt:lpstr>note901.3_1_b</vt:lpstr>
      <vt:lpstr>note901.3_1_c</vt:lpstr>
      <vt:lpstr>note901.3_2</vt:lpstr>
      <vt:lpstr>note901.4_1</vt:lpstr>
      <vt:lpstr>note901.4_2</vt:lpstr>
      <vt:lpstr>note901.4_3</vt:lpstr>
      <vt:lpstr>note901.4_4</vt:lpstr>
      <vt:lpstr>note901.4_5</vt:lpstr>
      <vt:lpstr>note901.4_6</vt:lpstr>
      <vt:lpstr>note901.5</vt:lpstr>
      <vt:lpstr>note901.6_1</vt:lpstr>
      <vt:lpstr>note901.6_2</vt:lpstr>
      <vt:lpstr>note901.7</vt:lpstr>
      <vt:lpstr>note901.8</vt:lpstr>
      <vt:lpstr>note901.9.1</vt:lpstr>
      <vt:lpstr>note901.9.2</vt:lpstr>
      <vt:lpstr>note901.9.3</vt:lpstr>
      <vt:lpstr>note901.9.4</vt:lpstr>
      <vt:lpstr>note902.1.1_1</vt:lpstr>
      <vt:lpstr>note902.1.1_2</vt:lpstr>
      <vt:lpstr>note902.1.1_3</vt:lpstr>
      <vt:lpstr>note902.1.2</vt:lpstr>
      <vt:lpstr>note902.1.3</vt:lpstr>
      <vt:lpstr>note902.1.4</vt:lpstr>
      <vt:lpstr>note902.2.1</vt:lpstr>
      <vt:lpstr>note902.2.2</vt:lpstr>
      <vt:lpstr>note902.2.3</vt:lpstr>
      <vt:lpstr>note902.3_1</vt:lpstr>
      <vt:lpstr>note902.3_2</vt:lpstr>
      <vt:lpstr>note902.4_1</vt:lpstr>
      <vt:lpstr>note902.4_2</vt:lpstr>
      <vt:lpstr>note902.5</vt:lpstr>
      <vt:lpstr>note902.6</vt:lpstr>
      <vt:lpstr>note903.1.1</vt:lpstr>
      <vt:lpstr>note903.1.2</vt:lpstr>
      <vt:lpstr>note903.2_1</vt:lpstr>
      <vt:lpstr>note903.2_2</vt:lpstr>
      <vt:lpstr>note903.3_1</vt:lpstr>
      <vt:lpstr>note903.3_2</vt:lpstr>
      <vt:lpstr>note904.1</vt:lpstr>
      <vt:lpstr>note904.2</vt:lpstr>
      <vt:lpstr>nt1001.1_1</vt:lpstr>
      <vt:lpstr>nt1001.1_10</vt:lpstr>
      <vt:lpstr>nt1001.1_11</vt:lpstr>
      <vt:lpstr>nt1001.1_12</vt:lpstr>
      <vt:lpstr>nt1001.1_13</vt:lpstr>
      <vt:lpstr>nt1001.1_14</vt:lpstr>
      <vt:lpstr>nt1001.1_15</vt:lpstr>
      <vt:lpstr>nt1001.1_16</vt:lpstr>
      <vt:lpstr>nt1001.1_17</vt:lpstr>
      <vt:lpstr>nt1001.1_18</vt:lpstr>
      <vt:lpstr>nt1001.1_19</vt:lpstr>
      <vt:lpstr>nt1001.1_2</vt:lpstr>
      <vt:lpstr>nt1001.1_20</vt:lpstr>
      <vt:lpstr>nt1001.1_21</vt:lpstr>
      <vt:lpstr>nt1001.1_3</vt:lpstr>
      <vt:lpstr>nt1001.1_4</vt:lpstr>
      <vt:lpstr>nt1001.1_5</vt:lpstr>
      <vt:lpstr>nt1001.1_6</vt:lpstr>
      <vt:lpstr>nt1001.1_7</vt:lpstr>
      <vt:lpstr>nt1001.1_8</vt:lpstr>
      <vt:lpstr>nt1001.1_9</vt:lpstr>
      <vt:lpstr>nt1002.1</vt:lpstr>
      <vt:lpstr>nt1003.1_1</vt:lpstr>
      <vt:lpstr>nt1003.1_2</vt:lpstr>
      <vt:lpstr>nt1003.1_3</vt:lpstr>
      <vt:lpstr>nt1003.1_4</vt:lpstr>
      <vt:lpstr>nt1003.1_5</vt:lpstr>
      <vt:lpstr>nt1003.1_6</vt:lpstr>
      <vt:lpstr>nt1003.1_7</vt:lpstr>
      <vt:lpstr>nt1003.1_8</vt:lpstr>
      <vt:lpstr>nt1003.2_1</vt:lpstr>
      <vt:lpstr>nt1003.2_10</vt:lpstr>
      <vt:lpstr>nt1003.2_2</vt:lpstr>
      <vt:lpstr>nt1003.2_3</vt:lpstr>
      <vt:lpstr>nt1003.2_4</vt:lpstr>
      <vt:lpstr>nt1003.2_5</vt:lpstr>
      <vt:lpstr>nt1003.2_6</vt:lpstr>
      <vt:lpstr>nt1003.2_7</vt:lpstr>
      <vt:lpstr>nt1003.2_8</vt:lpstr>
      <vt:lpstr>nt1003.2_9</vt:lpstr>
      <vt:lpstr>nt1003.3_1</vt:lpstr>
      <vt:lpstr>nt1003.3_2</vt:lpstr>
      <vt:lpstr>nt1003.3_3</vt:lpstr>
      <vt:lpstr>nt1003.3_4</vt:lpstr>
      <vt:lpstr>nt1003.3_5</vt:lpstr>
      <vt:lpstr>nt1003.3_6</vt:lpstr>
      <vt:lpstr>nt1003.3_7</vt:lpstr>
      <vt:lpstr>nt1003.3_8</vt:lpstr>
      <vt:lpstr>nt1003.3_9</vt:lpstr>
      <vt:lpstr>nt501.2_1</vt:lpstr>
      <vt:lpstr>nt501.2_2</vt:lpstr>
      <vt:lpstr>nt501.2_3</vt:lpstr>
      <vt:lpstr>nt501.2_4</vt:lpstr>
      <vt:lpstr>nt502.1</vt:lpstr>
      <vt:lpstr>nt503.1_1</vt:lpstr>
      <vt:lpstr>nt503.1_2</vt:lpstr>
      <vt:lpstr>nt503.1_3</vt:lpstr>
      <vt:lpstr>nt503.1_4</vt:lpstr>
      <vt:lpstr>nt503.1_5</vt:lpstr>
      <vt:lpstr>nt503.1_6</vt:lpstr>
      <vt:lpstr>nt503.1_7</vt:lpstr>
      <vt:lpstr>nt503.2_1</vt:lpstr>
      <vt:lpstr>nt503.2_2</vt:lpstr>
      <vt:lpstr>nt503.2_3</vt:lpstr>
      <vt:lpstr>nt503.2_4</vt:lpstr>
      <vt:lpstr>nt503.2_5</vt:lpstr>
      <vt:lpstr>nt503.3_1</vt:lpstr>
      <vt:lpstr>nt503.3_2</vt:lpstr>
      <vt:lpstr>nt503.3_3</vt:lpstr>
      <vt:lpstr>nt503.4_1</vt:lpstr>
      <vt:lpstr>nt503.4_2</vt:lpstr>
      <vt:lpstr>nt503.4_3</vt:lpstr>
      <vt:lpstr>nt503.4_4</vt:lpstr>
      <vt:lpstr>nt503.4_5</vt:lpstr>
      <vt:lpstr>nt503.5_1</vt:lpstr>
      <vt:lpstr>nt503.5_2</vt:lpstr>
      <vt:lpstr>nt503.5_3</vt:lpstr>
      <vt:lpstr>nt503.5_4</vt:lpstr>
      <vt:lpstr>nt503.5_5</vt:lpstr>
      <vt:lpstr>nt503.5_6</vt:lpstr>
      <vt:lpstr>nt503.5_7</vt:lpstr>
      <vt:lpstr>nt503.5_8</vt:lpstr>
      <vt:lpstr>nt503.6_1</vt:lpstr>
      <vt:lpstr>nt503.6_2</vt:lpstr>
      <vt:lpstr>nt503.6_3</vt:lpstr>
      <vt:lpstr>nt503.6_4</vt:lpstr>
      <vt:lpstr>nt503.7_1</vt:lpstr>
      <vt:lpstr>nt503.7_2</vt:lpstr>
      <vt:lpstr>nt504.1</vt:lpstr>
      <vt:lpstr>nt504.2_1</vt:lpstr>
      <vt:lpstr>nt504.2_2</vt:lpstr>
      <vt:lpstr>nt504.2_3</vt:lpstr>
      <vt:lpstr>nt504.3_1</vt:lpstr>
      <vt:lpstr>nt504.3_2</vt:lpstr>
      <vt:lpstr>nt504.3_3</vt:lpstr>
      <vt:lpstr>nt504.3_4</vt:lpstr>
      <vt:lpstr>nt504.3_5</vt:lpstr>
      <vt:lpstr>nt504.3_6</vt:lpstr>
      <vt:lpstr>nt504.3_7</vt:lpstr>
      <vt:lpstr>nt504.3_8</vt:lpstr>
      <vt:lpstr>nt504.3_9</vt:lpstr>
      <vt:lpstr>nt505.1_1</vt:lpstr>
      <vt:lpstr>nt505.1_2</vt:lpstr>
      <vt:lpstr>nt505.1_3</vt:lpstr>
      <vt:lpstr>nt505.2_1</vt:lpstr>
      <vt:lpstr>nt505.2_2</vt:lpstr>
      <vt:lpstr>nt505.3</vt:lpstr>
      <vt:lpstr>nt505.4</vt:lpstr>
      <vt:lpstr>nt505.5</vt:lpstr>
      <vt:lpstr>nt601.1</vt:lpstr>
      <vt:lpstr>nt601.2_2</vt:lpstr>
      <vt:lpstr>nt601.2_3</vt:lpstr>
      <vt:lpstr>nt601.3_1</vt:lpstr>
      <vt:lpstr>nt601.3_2</vt:lpstr>
      <vt:lpstr>nt601.3_3</vt:lpstr>
      <vt:lpstr>nt601.3_4</vt:lpstr>
      <vt:lpstr>nt601.3_5</vt:lpstr>
      <vt:lpstr>nt601.4</vt:lpstr>
      <vt:lpstr>nt601.5_1</vt:lpstr>
      <vt:lpstr>nt601.5_2</vt:lpstr>
      <vt:lpstr>nt601.5_3</vt:lpstr>
      <vt:lpstr>nt601.5_4</vt:lpstr>
      <vt:lpstr>nt601.5_5</vt:lpstr>
      <vt:lpstr>nt601.6</vt:lpstr>
      <vt:lpstr>nt601.7</vt:lpstr>
      <vt:lpstr>nt601.8</vt:lpstr>
      <vt:lpstr>nt601.9</vt:lpstr>
      <vt:lpstr>nt602.1.1.1</vt:lpstr>
      <vt:lpstr>nt602.1.1.2</vt:lpstr>
      <vt:lpstr>nt602.1.10</vt:lpstr>
      <vt:lpstr>nt602.1.11</vt:lpstr>
      <vt:lpstr>nt602.1.12</vt:lpstr>
      <vt:lpstr>nt602.1.13</vt:lpstr>
      <vt:lpstr>nt602.1.14_1</vt:lpstr>
      <vt:lpstr>nt602.1.14_2</vt:lpstr>
      <vt:lpstr>nt602.1.14_3</vt:lpstr>
      <vt:lpstr>nt602.1.2</vt:lpstr>
      <vt:lpstr>nt602.1.3.1</vt:lpstr>
      <vt:lpstr>nt602.1.3.2</vt:lpstr>
      <vt:lpstr>nt602.1.4.1_1</vt:lpstr>
      <vt:lpstr>nt602.1.4.1_2</vt:lpstr>
      <vt:lpstr>nt602.1.4.2_1</vt:lpstr>
      <vt:lpstr>nt602.1.4.2_2</vt:lpstr>
      <vt:lpstr>nt602.1.5</vt:lpstr>
      <vt:lpstr>nt602.1.6</vt:lpstr>
      <vt:lpstr>nt602.1.7.1_1</vt:lpstr>
      <vt:lpstr>nt602.1.7.1_2</vt:lpstr>
      <vt:lpstr>nt602.1.7.1_3</vt:lpstr>
      <vt:lpstr>nt602.1.7.2</vt:lpstr>
      <vt:lpstr>nt602.1.8</vt:lpstr>
      <vt:lpstr>nt602.1.9_1</vt:lpstr>
      <vt:lpstr>nt602.1.9_2</vt:lpstr>
      <vt:lpstr>nt602.1.9_3</vt:lpstr>
      <vt:lpstr>nt602.1.9_4</vt:lpstr>
      <vt:lpstr>nt602.1.9_5</vt:lpstr>
      <vt:lpstr>nt602.1.9_6</vt:lpstr>
      <vt:lpstr>nt602.1.9_7</vt:lpstr>
      <vt:lpstr>nt602.2</vt:lpstr>
      <vt:lpstr>nt602.3</vt:lpstr>
      <vt:lpstr>nt602.4.1</vt:lpstr>
      <vt:lpstr>nt602.4.2</vt:lpstr>
      <vt:lpstr>nt602.4.3</vt:lpstr>
      <vt:lpstr>nt603.1</vt:lpstr>
      <vt:lpstr>nt603.2</vt:lpstr>
      <vt:lpstr>nt603.3</vt:lpstr>
      <vt:lpstr>nt604.1.1</vt:lpstr>
      <vt:lpstr>nt604.1.2</vt:lpstr>
      <vt:lpstr>nt605.1</vt:lpstr>
      <vt:lpstr>nt605.3</vt:lpstr>
      <vt:lpstr>nt606.1</vt:lpstr>
      <vt:lpstr>nt606.2</vt:lpstr>
      <vt:lpstr>nt606.3</vt:lpstr>
      <vt:lpstr>nt607.2</vt:lpstr>
      <vt:lpstr>nt609.1</vt:lpstr>
      <vt:lpstr>nt610.1</vt:lpstr>
      <vt:lpstr>nt610.1.1</vt:lpstr>
      <vt:lpstr>nt610.1.2_1</vt:lpstr>
      <vt:lpstr>nt610.1.2_2</vt:lpstr>
      <vt:lpstr>nt611.1</vt:lpstr>
      <vt:lpstr>nt611.2_1</vt:lpstr>
      <vt:lpstr>nt611.2_2</vt:lpstr>
      <vt:lpstr>nt611.2_3</vt:lpstr>
      <vt:lpstr>nt611.2_4</vt:lpstr>
      <vt:lpstr>nt611.2_5</vt:lpstr>
      <vt:lpstr>nt611.2_6</vt:lpstr>
      <vt:lpstr>nt611.2_7</vt:lpstr>
      <vt:lpstr>nt611.3_1</vt:lpstr>
      <vt:lpstr>nt611.3_2</vt:lpstr>
      <vt:lpstr>nt611.3_3</vt:lpstr>
      <vt:lpstr>nt611.3_4</vt:lpstr>
      <vt:lpstr>nt701.4.1.1</vt:lpstr>
      <vt:lpstr>nt701.4.1.2</vt:lpstr>
      <vt:lpstr>nt701.4.2.1</vt:lpstr>
      <vt:lpstr>nt701.4.2.2</vt:lpstr>
      <vt:lpstr>nt701.4.2.3</vt:lpstr>
      <vt:lpstr>nt701.4.3.1</vt:lpstr>
      <vt:lpstr>nt701.4.3.2_1</vt:lpstr>
      <vt:lpstr>nt701.4.3.2_2</vt:lpstr>
      <vt:lpstr>nt701.4.3.3</vt:lpstr>
      <vt:lpstr>nt701.4.3.4</vt:lpstr>
      <vt:lpstr>nt701.4.4</vt:lpstr>
      <vt:lpstr>nt701.4.5</vt:lpstr>
      <vt:lpstr>nt802.4</vt:lpstr>
      <vt:lpstr>nt901.1.1</vt:lpstr>
      <vt:lpstr>nt901.1.2</vt:lpstr>
      <vt:lpstr>nt901.1.3_1</vt:lpstr>
      <vt:lpstr>nt901.1.3_2</vt:lpstr>
      <vt:lpstr>nt901.1.4</vt:lpstr>
      <vt:lpstr>nt901.1.5</vt:lpstr>
      <vt:lpstr>nt901.1.6</vt:lpstr>
      <vt:lpstr>nt901.10</vt:lpstr>
      <vt:lpstr>nt901.11</vt:lpstr>
      <vt:lpstr>nt901.12</vt:lpstr>
      <vt:lpstr>nt901.13</vt:lpstr>
      <vt:lpstr>nt901.14</vt:lpstr>
      <vt:lpstr>nt901.2.1_1</vt:lpstr>
      <vt:lpstr>nt901.2.1_2</vt:lpstr>
      <vt:lpstr>nt901.2.1_3</vt:lpstr>
      <vt:lpstr>nt901.2.1_4</vt:lpstr>
      <vt:lpstr>nt901.2.1_5</vt:lpstr>
      <vt:lpstr>nt901.2.2</vt:lpstr>
      <vt:lpstr>nt901.3_1_a</vt:lpstr>
      <vt:lpstr>nt901.3_1_b</vt:lpstr>
      <vt:lpstr>nt901.3_1_c</vt:lpstr>
      <vt:lpstr>nt901.3_2</vt:lpstr>
      <vt:lpstr>nt901.4_1</vt:lpstr>
      <vt:lpstr>nt901.4_2</vt:lpstr>
      <vt:lpstr>nt901.4_3</vt:lpstr>
      <vt:lpstr>nt901.4_4</vt:lpstr>
      <vt:lpstr>nt901.4_5</vt:lpstr>
      <vt:lpstr>nt901.4_6</vt:lpstr>
      <vt:lpstr>nt901.5</vt:lpstr>
      <vt:lpstr>nt901.6_1</vt:lpstr>
      <vt:lpstr>nt901.6_2</vt:lpstr>
      <vt:lpstr>nt901.7</vt:lpstr>
      <vt:lpstr>nt901.8</vt:lpstr>
      <vt:lpstr>nt901.9.1</vt:lpstr>
      <vt:lpstr>nt901.9.2</vt:lpstr>
      <vt:lpstr>nt901.9.3</vt:lpstr>
      <vt:lpstr>nt902.1.1_1</vt:lpstr>
      <vt:lpstr>nt902.1.1_2</vt:lpstr>
      <vt:lpstr>nt902.1.1_3</vt:lpstr>
      <vt:lpstr>nt902.1.2</vt:lpstr>
      <vt:lpstr>nt902.1.3</vt:lpstr>
      <vt:lpstr>nt902.1.4</vt:lpstr>
      <vt:lpstr>nt902.2.1</vt:lpstr>
      <vt:lpstr>nt902.2.2</vt:lpstr>
      <vt:lpstr>nt902.2.3</vt:lpstr>
      <vt:lpstr>nt902.3_1</vt:lpstr>
      <vt:lpstr>nt902.3_2</vt:lpstr>
      <vt:lpstr>nt902.4_1</vt:lpstr>
      <vt:lpstr>nt902.4_2</vt:lpstr>
      <vt:lpstr>nt902.5</vt:lpstr>
      <vt:lpstr>nt902.6</vt:lpstr>
      <vt:lpstr>nt903.1.1</vt:lpstr>
      <vt:lpstr>nt903.1.2</vt:lpstr>
      <vt:lpstr>nt903.2_1</vt:lpstr>
      <vt:lpstr>nt903.2_2</vt:lpstr>
      <vt:lpstr>nt903.3_1</vt:lpstr>
      <vt:lpstr>nt903.3_2</vt:lpstr>
      <vt:lpstr>nt904.1</vt:lpstr>
      <vt:lpstr>nt904.2</vt:lpstr>
      <vt:lpstr>Oil</vt:lpstr>
      <vt:lpstr>OilBoiler</vt:lpstr>
      <vt:lpstr>OilFurnace</vt:lpstr>
      <vt:lpstr>One</vt:lpstr>
      <vt:lpstr>points503.5_1</vt:lpstr>
      <vt:lpstr>points503.5_2</vt:lpstr>
      <vt:lpstr>points503.5_3a</vt:lpstr>
      <vt:lpstr>points503.5_3b</vt:lpstr>
      <vt:lpstr>points503.5_3c</vt:lpstr>
      <vt:lpstr>points503.5_3d</vt:lpstr>
      <vt:lpstr>points503.5_4</vt:lpstr>
      <vt:lpstr>points503.5_5</vt:lpstr>
      <vt:lpstr>points503.5_6</vt:lpstr>
      <vt:lpstr>Figures!Print_Area</vt:lpstr>
      <vt:lpstr>'Verification Rpt'!Print_Area</vt:lpstr>
      <vt:lpstr>Figures!Print_Titles</vt:lpstr>
      <vt:lpstr>projectLevel</vt:lpstr>
      <vt:lpstr>projectMandatoryCount</vt:lpstr>
      <vt:lpstr>projectscope</vt:lpstr>
      <vt:lpstr>projectTotal</vt:lpstr>
      <vt:lpstr>projectValue</vt:lpstr>
      <vt:lpstr>pts703.1.3_1</vt:lpstr>
      <vt:lpstr>pts703.1.3_2</vt:lpstr>
      <vt:lpstr>pts703.2.8</vt:lpstr>
      <vt:lpstr>pts703.3.1</vt:lpstr>
      <vt:lpstr>pts703.3.2</vt:lpstr>
      <vt:lpstr>pts703.3.3</vt:lpstr>
      <vt:lpstr>pts703.3.4</vt:lpstr>
      <vt:lpstr>pts703.4.1</vt:lpstr>
      <vt:lpstr>pts703.4.2</vt:lpstr>
      <vt:lpstr>pts703.4.5</vt:lpstr>
      <vt:lpstr>pts703.5.1</vt:lpstr>
      <vt:lpstr>pts703.5.3</vt:lpstr>
      <vt:lpstr>ReductionEnergy</vt:lpstr>
      <vt:lpstr>reportage</vt:lpstr>
      <vt:lpstr>ReportStatus</vt:lpstr>
      <vt:lpstr>ReportType</vt:lpstr>
      <vt:lpstr>score503.2_3</vt:lpstr>
      <vt:lpstr>score503.4_3</vt:lpstr>
      <vt:lpstr>score503.5_3</vt:lpstr>
      <vt:lpstr>score505.1_3</vt:lpstr>
      <vt:lpstr>score505.3</vt:lpstr>
      <vt:lpstr>score601.1</vt:lpstr>
      <vt:lpstr>score601.6</vt:lpstr>
      <vt:lpstr>score602.1.10</vt:lpstr>
      <vt:lpstr>score602.1.15_3</vt:lpstr>
      <vt:lpstr>score602.1.2</vt:lpstr>
      <vt:lpstr>score602.1.6</vt:lpstr>
      <vt:lpstr>score602.1.7.1_2</vt:lpstr>
      <vt:lpstr>score602.1.9_5</vt:lpstr>
      <vt:lpstr>score602.2</vt:lpstr>
      <vt:lpstr>score603.1</vt:lpstr>
      <vt:lpstr>score603.2</vt:lpstr>
      <vt:lpstr>score604.1.1</vt:lpstr>
      <vt:lpstr>score604.1.2</vt:lpstr>
      <vt:lpstr>score605.4</vt:lpstr>
      <vt:lpstr>score606.3</vt:lpstr>
      <vt:lpstr>score608.1</vt:lpstr>
      <vt:lpstr>score609.1</vt:lpstr>
      <vt:lpstr>score610.1</vt:lpstr>
      <vt:lpstr>score610.1.1</vt:lpstr>
      <vt:lpstr>score610.1.2</vt:lpstr>
      <vt:lpstr>score610.1.2_1</vt:lpstr>
      <vt:lpstr>score610.1.2_2</vt:lpstr>
      <vt:lpstr>score611.1</vt:lpstr>
      <vt:lpstr>score611.2</vt:lpstr>
      <vt:lpstr>score701.4.3.2</vt:lpstr>
      <vt:lpstr>score702.2.2</vt:lpstr>
      <vt:lpstr>score703.1.1Zone1</vt:lpstr>
      <vt:lpstr>score703.1.1Zone2</vt:lpstr>
      <vt:lpstr>score703.1.1Zone3</vt:lpstr>
      <vt:lpstr>score703.1.1Zone4</vt:lpstr>
      <vt:lpstr>score703.1.1Zone5</vt:lpstr>
      <vt:lpstr>score703.1.1Zone6</vt:lpstr>
      <vt:lpstr>score703.1.1Zone7</vt:lpstr>
      <vt:lpstr>score703.1.1Zone8</vt:lpstr>
      <vt:lpstr>score703.1.2</vt:lpstr>
      <vt:lpstr>score703.1.3Zone1_4</vt:lpstr>
      <vt:lpstr>score703.1.3Zone5</vt:lpstr>
      <vt:lpstr>score703.1.3Zone6</vt:lpstr>
      <vt:lpstr>score703.1.5Zone1</vt:lpstr>
      <vt:lpstr>score703.1.5Zone2</vt:lpstr>
      <vt:lpstr>score703.1.5Zone3</vt:lpstr>
      <vt:lpstr>score703.1.5Zone4</vt:lpstr>
      <vt:lpstr>score703.1.5Zone5</vt:lpstr>
      <vt:lpstr>score703.1.5Zone6</vt:lpstr>
      <vt:lpstr>score703.1.5Zone7</vt:lpstr>
      <vt:lpstr>score703.1.5Zone8</vt:lpstr>
      <vt:lpstr>score703.1.6.2</vt:lpstr>
      <vt:lpstr>score703.2.2_1Zone1</vt:lpstr>
      <vt:lpstr>score703.2.2_1Zone2</vt:lpstr>
      <vt:lpstr>score703.2.2_1Zone3</vt:lpstr>
      <vt:lpstr>score703.2.2_1Zone4</vt:lpstr>
      <vt:lpstr>score703.2.2_1Zone5</vt:lpstr>
      <vt:lpstr>score703.2.2_1Zone6</vt:lpstr>
      <vt:lpstr>score703.2.2_1Zone7</vt:lpstr>
      <vt:lpstr>score703.2.2_1Zone8</vt:lpstr>
      <vt:lpstr>score703.2.2_2Zone1</vt:lpstr>
      <vt:lpstr>score703.2.2_2Zone2</vt:lpstr>
      <vt:lpstr>score703.2.2_2Zone3</vt:lpstr>
      <vt:lpstr>score703.2.2_2Zone4</vt:lpstr>
      <vt:lpstr>score703.2.2_2Zone5</vt:lpstr>
      <vt:lpstr>score703.2.2_2Zone6</vt:lpstr>
      <vt:lpstr>score703.2.2_2Zone7</vt:lpstr>
      <vt:lpstr>score703.2.2_2Zone8</vt:lpstr>
      <vt:lpstr>score703.2.2_3Zone1</vt:lpstr>
      <vt:lpstr>score703.2.2_3Zone2</vt:lpstr>
      <vt:lpstr>score703.2.2_3Zone3</vt:lpstr>
      <vt:lpstr>score703.2.2_3Zone4</vt:lpstr>
      <vt:lpstr>score703.2.2_3Zone5</vt:lpstr>
      <vt:lpstr>score703.2.2_3Zone6</vt:lpstr>
      <vt:lpstr>score703.2.2_3Zone7</vt:lpstr>
      <vt:lpstr>score703.2.2_3Zone8</vt:lpstr>
      <vt:lpstr>score703.2.2_4Zone1</vt:lpstr>
      <vt:lpstr>score703.2.2_4Zone2</vt:lpstr>
      <vt:lpstr>score703.2.2_4Zone3</vt:lpstr>
      <vt:lpstr>score703.2.2_4Zone4</vt:lpstr>
      <vt:lpstr>score703.2.2_4Zone5</vt:lpstr>
      <vt:lpstr>score703.2.2_4Zone6</vt:lpstr>
      <vt:lpstr>score703.2.2_4Zone7</vt:lpstr>
      <vt:lpstr>score703.2.2_4Zone8</vt:lpstr>
      <vt:lpstr>score703.2.2Zone1</vt:lpstr>
      <vt:lpstr>score703.2.2Zone2</vt:lpstr>
      <vt:lpstr>score703.2.2Zone3</vt:lpstr>
      <vt:lpstr>score703.2.2Zone4</vt:lpstr>
      <vt:lpstr>score703.2.2Zone5</vt:lpstr>
      <vt:lpstr>score703.2.2Zone6</vt:lpstr>
      <vt:lpstr>score703.2.2Zone7</vt:lpstr>
      <vt:lpstr>score703.2.2Zone8</vt:lpstr>
      <vt:lpstr>score703.2.3Zone1</vt:lpstr>
      <vt:lpstr>score703.2.3Zone2</vt:lpstr>
      <vt:lpstr>score703.2.3Zone3</vt:lpstr>
      <vt:lpstr>score703.2.3Zone4</vt:lpstr>
      <vt:lpstr>score703.2.3Zone5</vt:lpstr>
      <vt:lpstr>score703.2.3Zone6</vt:lpstr>
      <vt:lpstr>score703.2.3Zone7</vt:lpstr>
      <vt:lpstr>score703.2.3Zone8</vt:lpstr>
      <vt:lpstr>score703.2.4Zone1</vt:lpstr>
      <vt:lpstr>score703.2.4Zone2</vt:lpstr>
      <vt:lpstr>score703.2.4Zone3</vt:lpstr>
      <vt:lpstr>score703.2.4Zone4</vt:lpstr>
      <vt:lpstr>score703.2.4Zone5</vt:lpstr>
      <vt:lpstr>score703.2.4Zone6</vt:lpstr>
      <vt:lpstr>score703.2.4Zone7</vt:lpstr>
      <vt:lpstr>score703.2.4Zone8</vt:lpstr>
      <vt:lpstr>score703.2.6Zone1</vt:lpstr>
      <vt:lpstr>score703.2.6Zone2</vt:lpstr>
      <vt:lpstr>score703.2.6Zone3</vt:lpstr>
      <vt:lpstr>score703.2.6Zone4</vt:lpstr>
      <vt:lpstr>score703.2.6Zone5</vt:lpstr>
      <vt:lpstr>score703.2.6Zone6</vt:lpstr>
      <vt:lpstr>score703.2.6Zone7</vt:lpstr>
      <vt:lpstr>score703.2.6Zone8</vt:lpstr>
      <vt:lpstr>score703.3.4Zone1</vt:lpstr>
      <vt:lpstr>score703.3.4Zone2</vt:lpstr>
      <vt:lpstr>score703.3.4Zone3</vt:lpstr>
      <vt:lpstr>score703.3.4Zone4</vt:lpstr>
      <vt:lpstr>score703.3.4Zone5</vt:lpstr>
      <vt:lpstr>score703.3.4Zone6</vt:lpstr>
      <vt:lpstr>score703.3.4Zone7</vt:lpstr>
      <vt:lpstr>score703.3.4Zone8</vt:lpstr>
      <vt:lpstr>score703.4.1_1aZone1</vt:lpstr>
      <vt:lpstr>score703.4.1_1aZone2</vt:lpstr>
      <vt:lpstr>score703.4.1_1aZone3</vt:lpstr>
      <vt:lpstr>score703.4.1_1aZone4</vt:lpstr>
      <vt:lpstr>score703.4.1_1aZone5</vt:lpstr>
      <vt:lpstr>score703.4.1_1aZone6</vt:lpstr>
      <vt:lpstr>score703.4.1_1aZone7</vt:lpstr>
      <vt:lpstr>score703.4.1_1aZone8</vt:lpstr>
      <vt:lpstr>score703.4.1_1bZone1</vt:lpstr>
      <vt:lpstr>score703.4.1_1bZone2</vt:lpstr>
      <vt:lpstr>score703.4.1_1bZone3</vt:lpstr>
      <vt:lpstr>score703.4.1_1bZone4</vt:lpstr>
      <vt:lpstr>score703.4.1_1bZone5</vt:lpstr>
      <vt:lpstr>score703.4.1_1bZone6</vt:lpstr>
      <vt:lpstr>score703.4.1_1bZone7</vt:lpstr>
      <vt:lpstr>score703.4.1_1bZone8</vt:lpstr>
      <vt:lpstr>score703.4.1_2Zone1</vt:lpstr>
      <vt:lpstr>score703.4.1_2Zone2</vt:lpstr>
      <vt:lpstr>score703.4.1_2Zone3</vt:lpstr>
      <vt:lpstr>score703.4.1_2Zone4</vt:lpstr>
      <vt:lpstr>score703.4.1_2Zone5</vt:lpstr>
      <vt:lpstr>score703.4.1_2Zone6</vt:lpstr>
      <vt:lpstr>score703.4.1_2Zone7</vt:lpstr>
      <vt:lpstr>score703.4.1_2Zone8</vt:lpstr>
      <vt:lpstr>score703.4.1_3Zone1</vt:lpstr>
      <vt:lpstr>score703.4.1_3Zone2</vt:lpstr>
      <vt:lpstr>score703.4.1_3Zone3</vt:lpstr>
      <vt:lpstr>score703.4.1_3Zone4</vt:lpstr>
      <vt:lpstr>score703.4.1_3Zone5</vt:lpstr>
      <vt:lpstr>score703.4.1_3Zone6</vt:lpstr>
      <vt:lpstr>score703.4.1_3Zone7</vt:lpstr>
      <vt:lpstr>score703.4.1_3Zone8</vt:lpstr>
      <vt:lpstr>score703.4.1_4Zone1</vt:lpstr>
      <vt:lpstr>score703.4.1_4Zone2</vt:lpstr>
      <vt:lpstr>score703.4.1_4Zone3</vt:lpstr>
      <vt:lpstr>score703.4.1_4Zone4</vt:lpstr>
      <vt:lpstr>score703.4.1_4Zone5</vt:lpstr>
      <vt:lpstr>score703.4.1_4Zone6</vt:lpstr>
      <vt:lpstr>score703.4.1_4Zone7</vt:lpstr>
      <vt:lpstr>score703.4.1_4Zone8</vt:lpstr>
      <vt:lpstr>score703.4.1Zone1</vt:lpstr>
      <vt:lpstr>score703.4.1Zone2</vt:lpstr>
      <vt:lpstr>score703.4.1Zone3</vt:lpstr>
      <vt:lpstr>score703.4.1Zone4</vt:lpstr>
      <vt:lpstr>score703.4.1Zone5</vt:lpstr>
      <vt:lpstr>score703.4.1Zone6</vt:lpstr>
      <vt:lpstr>score703.4.1Zone7</vt:lpstr>
      <vt:lpstr>score703.4.1Zone8</vt:lpstr>
      <vt:lpstr>score703.4.5Zone1</vt:lpstr>
      <vt:lpstr>score703.4.5Zone2</vt:lpstr>
      <vt:lpstr>score703.4.5Zone3</vt:lpstr>
      <vt:lpstr>score703.4.5Zone4</vt:lpstr>
      <vt:lpstr>score703.4.5Zone5</vt:lpstr>
      <vt:lpstr>score703.4.5Zone6</vt:lpstr>
      <vt:lpstr>score703.4.5Zone7</vt:lpstr>
      <vt:lpstr>score703.4.5Zone8</vt:lpstr>
      <vt:lpstr>score703.5.1Zone1</vt:lpstr>
      <vt:lpstr>score703.5.1Zone2</vt:lpstr>
      <vt:lpstr>score703.5.1Zone3</vt:lpstr>
      <vt:lpstr>score703.5.1Zone4</vt:lpstr>
      <vt:lpstr>score703.5.1Zone5</vt:lpstr>
      <vt:lpstr>score703.5.1Zone6</vt:lpstr>
      <vt:lpstr>score703.5.1Zone7</vt:lpstr>
      <vt:lpstr>score703.5.1Zone8</vt:lpstr>
      <vt:lpstr>score703.5.2</vt:lpstr>
      <vt:lpstr>score704.2.1</vt:lpstr>
      <vt:lpstr>score704.5.2.1_1</vt:lpstr>
      <vt:lpstr>score705.2_2</vt:lpstr>
      <vt:lpstr>score801.1.1</vt:lpstr>
      <vt:lpstr>score801.2_2</vt:lpstr>
      <vt:lpstr>score801.3_1</vt:lpstr>
      <vt:lpstr>score801.3_2</vt:lpstr>
      <vt:lpstr>score801.3_3</vt:lpstr>
      <vt:lpstr>score801.4.1_1</vt:lpstr>
      <vt:lpstr>score801.4.2</vt:lpstr>
      <vt:lpstr>score801.5_2</vt:lpstr>
      <vt:lpstr>score801.5_3a</vt:lpstr>
      <vt:lpstr>score801.7.1</vt:lpstr>
      <vt:lpstr>score801.7.2</vt:lpstr>
      <vt:lpstr>score802.1</vt:lpstr>
      <vt:lpstr>score802.2</vt:lpstr>
      <vt:lpstr>score901.1.1</vt:lpstr>
      <vt:lpstr>score901.1.3_1</vt:lpstr>
      <vt:lpstr>score901.1.3_2</vt:lpstr>
      <vt:lpstr>score901.1.6</vt:lpstr>
      <vt:lpstr>score901.10</vt:lpstr>
      <vt:lpstr>score901.13</vt:lpstr>
      <vt:lpstr>score901.2.1_1</vt:lpstr>
      <vt:lpstr>score901.2.1_2</vt:lpstr>
      <vt:lpstr>score901.2.1_3</vt:lpstr>
      <vt:lpstr>score901.2.1_4</vt:lpstr>
      <vt:lpstr>score901.2.1_5</vt:lpstr>
      <vt:lpstr>score901.3_1_a</vt:lpstr>
      <vt:lpstr>score901.3_1_b</vt:lpstr>
      <vt:lpstr>score901.4</vt:lpstr>
      <vt:lpstr>score901.4_1</vt:lpstr>
      <vt:lpstr>score901.4_2</vt:lpstr>
      <vt:lpstr>score901.4_3</vt:lpstr>
      <vt:lpstr>score901.4_4</vt:lpstr>
      <vt:lpstr>score901.4_5</vt:lpstr>
      <vt:lpstr>score901.4_6</vt:lpstr>
      <vt:lpstr>score901.5</vt:lpstr>
      <vt:lpstr>score902.1.1_1</vt:lpstr>
      <vt:lpstr>score902.1.2</vt:lpstr>
      <vt:lpstr>score902.1.4</vt:lpstr>
      <vt:lpstr>score902.1.4_1</vt:lpstr>
      <vt:lpstr>score902.1.4_2</vt:lpstr>
      <vt:lpstr>score902.2.1</vt:lpstr>
      <vt:lpstr>score902.3_1</vt:lpstr>
      <vt:lpstr>score902.4</vt:lpstr>
      <vt:lpstr>score903.1</vt:lpstr>
      <vt:lpstr>score903.2</vt:lpstr>
      <vt:lpstr>score903.3</vt:lpstr>
      <vt:lpstr>section702req</vt:lpstr>
      <vt:lpstr>section703req</vt:lpstr>
      <vt:lpstr>section704req</vt:lpstr>
      <vt:lpstr>section901.9.1</vt:lpstr>
      <vt:lpstr>Seven</vt:lpstr>
      <vt:lpstr>silverMinimum</vt:lpstr>
      <vt:lpstr>Six</vt:lpstr>
      <vt:lpstr>startAttachedGarage</vt:lpstr>
      <vt:lpstr>startAtticType</vt:lpstr>
      <vt:lpstr>startBuilderName</vt:lpstr>
      <vt:lpstr>startBuilderPhone</vt:lpstr>
      <vt:lpstr>startBuildingCode</vt:lpstr>
      <vt:lpstr>startClimateType</vt:lpstr>
      <vt:lpstr>startClimateZone</vt:lpstr>
      <vt:lpstr>startCompostingToilet</vt:lpstr>
      <vt:lpstr>startCounty</vt:lpstr>
      <vt:lpstr>startDuctless</vt:lpstr>
      <vt:lpstr>startEnergyCode</vt:lpstr>
      <vt:lpstr>startFoundation</vt:lpstr>
      <vt:lpstr>startHeatingFuel</vt:lpstr>
      <vt:lpstr>startHERSIndex</vt:lpstr>
      <vt:lpstr>startHomeAddress</vt:lpstr>
      <vt:lpstr>startHomeCity</vt:lpstr>
      <vt:lpstr>startHomeState</vt:lpstr>
      <vt:lpstr>startHomeZip</vt:lpstr>
      <vt:lpstr>startHVAC1</vt:lpstr>
      <vt:lpstr>startHVAC2</vt:lpstr>
      <vt:lpstr>startHVAC3</vt:lpstr>
      <vt:lpstr>startLot</vt:lpstr>
      <vt:lpstr>startMassWalls</vt:lpstr>
      <vt:lpstr>startMultiUnits</vt:lpstr>
      <vt:lpstr>startPassiveSolar</vt:lpstr>
      <vt:lpstr>startProjectDesc</vt:lpstr>
      <vt:lpstr>startRadiant_Hydronic</vt:lpstr>
      <vt:lpstr>startRecessedLights</vt:lpstr>
      <vt:lpstr>startRenewableEnergy</vt:lpstr>
      <vt:lpstr>startRevisionDate</vt:lpstr>
      <vt:lpstr>startSFBurningApp</vt:lpstr>
      <vt:lpstr>startSingleorMulti</vt:lpstr>
      <vt:lpstr>startSquareFootage</vt:lpstr>
      <vt:lpstr>startTanklessWH</vt:lpstr>
      <vt:lpstr>startTEInsulation</vt:lpstr>
      <vt:lpstr>startTotalFloorArea</vt:lpstr>
      <vt:lpstr>subLevelReached</vt:lpstr>
      <vt:lpstr>Three</vt:lpstr>
      <vt:lpstr>Two</vt:lpstr>
      <vt:lpstr>UnitCount</vt:lpstr>
      <vt:lpstr>Vach50pts</vt:lpstr>
      <vt:lpstr>Vadditionalpoints</vt:lpstr>
      <vt:lpstr>Vbronzemin</vt:lpstr>
      <vt:lpstr>vch10totalscore</vt:lpstr>
      <vt:lpstr>vch5totalscore</vt:lpstr>
      <vt:lpstr>vch6totalscore</vt:lpstr>
      <vt:lpstr>vch7totalscore</vt:lpstr>
      <vt:lpstr>vch8totalscore</vt:lpstr>
      <vt:lpstr>vch9totalscore</vt:lpstr>
      <vt:lpstr>VCZ</vt:lpstr>
      <vt:lpstr>VCZACH50</vt:lpstr>
      <vt:lpstr>VCZACH501</vt:lpstr>
      <vt:lpstr>VCZACH502</vt:lpstr>
      <vt:lpstr>VCZACH503</vt:lpstr>
      <vt:lpstr>VCZACH504</vt:lpstr>
      <vt:lpstr>VCZACH505</vt:lpstr>
      <vt:lpstr>VCZACH506</vt:lpstr>
      <vt:lpstr>VCZACH507</vt:lpstr>
      <vt:lpstr>VCZACH508</vt:lpstr>
      <vt:lpstr>VCZEight</vt:lpstr>
      <vt:lpstr>VCZFive</vt:lpstr>
      <vt:lpstr>VCZFour</vt:lpstr>
      <vt:lpstr>VCZmass</vt:lpstr>
      <vt:lpstr>VCZmassEight</vt:lpstr>
      <vt:lpstr>VCZmassFive</vt:lpstr>
      <vt:lpstr>VCZmassFour</vt:lpstr>
      <vt:lpstr>VCZmassOne</vt:lpstr>
      <vt:lpstr>VCZmassSeven</vt:lpstr>
      <vt:lpstr>VCZmassSix</vt:lpstr>
      <vt:lpstr>VCZmassThree</vt:lpstr>
      <vt:lpstr>VCZmassTwo</vt:lpstr>
      <vt:lpstr>VCZOne</vt:lpstr>
      <vt:lpstr>VCZradiant</vt:lpstr>
      <vt:lpstr>VCZradiantEight</vt:lpstr>
      <vt:lpstr>VCZradiantFive</vt:lpstr>
      <vt:lpstr>VCZradiantFour</vt:lpstr>
      <vt:lpstr>VCZradiantOne</vt:lpstr>
      <vt:lpstr>VCZradiantSeven</vt:lpstr>
      <vt:lpstr>VCZradiantSix</vt:lpstr>
      <vt:lpstr>VCZradiantThree</vt:lpstr>
      <vt:lpstr>VCZradiantTwo</vt:lpstr>
      <vt:lpstr>VCZSeven</vt:lpstr>
      <vt:lpstr>VCZSix</vt:lpstr>
      <vt:lpstr>VCZThree</vt:lpstr>
      <vt:lpstr>VCZTwo</vt:lpstr>
      <vt:lpstr>VCZword</vt:lpstr>
      <vt:lpstr>vemeraldmin</vt:lpstr>
      <vt:lpstr>VentNeeded</vt:lpstr>
      <vt:lpstr>verifiedlevel</vt:lpstr>
      <vt:lpstr>VerifiedPts</vt:lpstr>
      <vt:lpstr>VerifierComments</vt:lpstr>
      <vt:lpstr>vgoldmin</vt:lpstr>
      <vt:lpstr>vlevel</vt:lpstr>
      <vt:lpstr>vn1001.1</vt:lpstr>
      <vt:lpstr>vn1001.1_1</vt:lpstr>
      <vt:lpstr>vn1001.1_10</vt:lpstr>
      <vt:lpstr>vn1001.1_11</vt:lpstr>
      <vt:lpstr>vn1001.1_12</vt:lpstr>
      <vt:lpstr>vn1001.1_13</vt:lpstr>
      <vt:lpstr>vn1001.1_14</vt:lpstr>
      <vt:lpstr>vn1001.1_15</vt:lpstr>
      <vt:lpstr>vn1001.1_16</vt:lpstr>
      <vt:lpstr>vn1001.1_17</vt:lpstr>
      <vt:lpstr>vn1001.1_18</vt:lpstr>
      <vt:lpstr>vn1001.1_19</vt:lpstr>
      <vt:lpstr>vn1001.1_2</vt:lpstr>
      <vt:lpstr>vn1001.1_20</vt:lpstr>
      <vt:lpstr>vn1001.1_21</vt:lpstr>
      <vt:lpstr>vn1001.1_3</vt:lpstr>
      <vt:lpstr>vn1001.1_4</vt:lpstr>
      <vt:lpstr>vn1001.1_5</vt:lpstr>
      <vt:lpstr>vn1001.1_6</vt:lpstr>
      <vt:lpstr>vn1001.1_7</vt:lpstr>
      <vt:lpstr>vn1001.1_8</vt:lpstr>
      <vt:lpstr>vn1001.1_9</vt:lpstr>
      <vt:lpstr>vn1002.1</vt:lpstr>
      <vt:lpstr>vn1003.1</vt:lpstr>
      <vt:lpstr>vn1003.1_1</vt:lpstr>
      <vt:lpstr>vn1003.1_2</vt:lpstr>
      <vt:lpstr>vn1003.1_3</vt:lpstr>
      <vt:lpstr>vn1003.1_4</vt:lpstr>
      <vt:lpstr>vn1003.1_5</vt:lpstr>
      <vt:lpstr>vn1003.1_6</vt:lpstr>
      <vt:lpstr>vn1003.1_7</vt:lpstr>
      <vt:lpstr>vn1003.1_8</vt:lpstr>
      <vt:lpstr>vn1003.2</vt:lpstr>
      <vt:lpstr>vn1003.2_1</vt:lpstr>
      <vt:lpstr>vn1003.2_10</vt:lpstr>
      <vt:lpstr>vn1003.2_2</vt:lpstr>
      <vt:lpstr>vn1003.2_3</vt:lpstr>
      <vt:lpstr>vn1003.2_4</vt:lpstr>
      <vt:lpstr>vn1003.2_5</vt:lpstr>
      <vt:lpstr>vn1003.2_6</vt:lpstr>
      <vt:lpstr>vn1003.2_7</vt:lpstr>
      <vt:lpstr>vn1003.2_8</vt:lpstr>
      <vt:lpstr>vn1003.2_9</vt:lpstr>
      <vt:lpstr>vn1003.3</vt:lpstr>
      <vt:lpstr>vn1003.3_1</vt:lpstr>
      <vt:lpstr>vn1003.3_2</vt:lpstr>
      <vt:lpstr>vn1003.3_3</vt:lpstr>
      <vt:lpstr>vn1003.3_4</vt:lpstr>
      <vt:lpstr>vn1003.3_5</vt:lpstr>
      <vt:lpstr>vn1003.3_6</vt:lpstr>
      <vt:lpstr>vn1003.3_7</vt:lpstr>
      <vt:lpstr>vn1003.3_8</vt:lpstr>
      <vt:lpstr>vn1003.3_9</vt:lpstr>
      <vt:lpstr>vn501.2_1</vt:lpstr>
      <vt:lpstr>vn501.2_3</vt:lpstr>
      <vt:lpstr>vn501.2_4</vt:lpstr>
      <vt:lpstr>vn502.1</vt:lpstr>
      <vt:lpstr>vn503.1</vt:lpstr>
      <vt:lpstr>vn503.1_1</vt:lpstr>
      <vt:lpstr>vn503.1_2</vt:lpstr>
      <vt:lpstr>vn503.1_3</vt:lpstr>
      <vt:lpstr>vn503.1_4</vt:lpstr>
      <vt:lpstr>vn503.1_5</vt:lpstr>
      <vt:lpstr>vn503.1_6</vt:lpstr>
      <vt:lpstr>vn503.1_7</vt:lpstr>
      <vt:lpstr>vn503.2_1</vt:lpstr>
      <vt:lpstr>vn503.2_2</vt:lpstr>
      <vt:lpstr>vn503.2_3</vt:lpstr>
      <vt:lpstr>vn503.2_4</vt:lpstr>
      <vt:lpstr>vn503.2_5</vt:lpstr>
      <vt:lpstr>vn503.3_1</vt:lpstr>
      <vt:lpstr>vn503.3_2</vt:lpstr>
      <vt:lpstr>vn503.3_3</vt:lpstr>
      <vt:lpstr>vn503.4_1</vt:lpstr>
      <vt:lpstr>vn503.4_2</vt:lpstr>
      <vt:lpstr>vn503.4_3</vt:lpstr>
      <vt:lpstr>vn503.4_4</vt:lpstr>
      <vt:lpstr>vn503.4_5</vt:lpstr>
      <vt:lpstr>vn503.5</vt:lpstr>
      <vt:lpstr>vn503.5_1</vt:lpstr>
      <vt:lpstr>vn503.5_2</vt:lpstr>
      <vt:lpstr>vn503.5_3</vt:lpstr>
      <vt:lpstr>vn503.5_4</vt:lpstr>
      <vt:lpstr>vn503.5_5</vt:lpstr>
      <vt:lpstr>vn503.5_6</vt:lpstr>
      <vt:lpstr>vn503.5_7</vt:lpstr>
      <vt:lpstr>vn503.5_8</vt:lpstr>
      <vt:lpstr>vn503.6_1</vt:lpstr>
      <vt:lpstr>vn503.6_2</vt:lpstr>
      <vt:lpstr>vn503.6_3</vt:lpstr>
      <vt:lpstr>vn503.6_4</vt:lpstr>
      <vt:lpstr>vn503.7_1</vt:lpstr>
      <vt:lpstr>vn503.7_2</vt:lpstr>
      <vt:lpstr>vn504.1</vt:lpstr>
      <vt:lpstr>vn504.2_1</vt:lpstr>
      <vt:lpstr>vn504.2_2</vt:lpstr>
      <vt:lpstr>vn504.2_3</vt:lpstr>
      <vt:lpstr>vn504.3_1</vt:lpstr>
      <vt:lpstr>vn504.3_2</vt:lpstr>
      <vt:lpstr>vn504.3_3</vt:lpstr>
      <vt:lpstr>vn504.3_4</vt:lpstr>
      <vt:lpstr>vn504.3_5</vt:lpstr>
      <vt:lpstr>vn504.3_6</vt:lpstr>
      <vt:lpstr>vn504.3_7</vt:lpstr>
      <vt:lpstr>vn504.3_8</vt:lpstr>
      <vt:lpstr>vn504.3_9</vt:lpstr>
      <vt:lpstr>vn505.1_1</vt:lpstr>
      <vt:lpstr>vn505.1_2</vt:lpstr>
      <vt:lpstr>vn505.1_3</vt:lpstr>
      <vt:lpstr>vn505.2_1</vt:lpstr>
      <vt:lpstr>vn505.2_2</vt:lpstr>
      <vt:lpstr>vn505.3</vt:lpstr>
      <vt:lpstr>vn505.4</vt:lpstr>
      <vt:lpstr>vn505.5</vt:lpstr>
      <vt:lpstr>vn601.1</vt:lpstr>
      <vt:lpstr>vn601.2_1</vt:lpstr>
      <vt:lpstr>vn601.2_2</vt:lpstr>
      <vt:lpstr>vn601.2_3</vt:lpstr>
      <vt:lpstr>vn601.3_1</vt:lpstr>
      <vt:lpstr>vn601.3_2</vt:lpstr>
      <vt:lpstr>vn601.3_3</vt:lpstr>
      <vt:lpstr>vn601.3_4</vt:lpstr>
      <vt:lpstr>vn601.3_5</vt:lpstr>
      <vt:lpstr>vn601.4</vt:lpstr>
      <vt:lpstr>vn601.5_1</vt:lpstr>
      <vt:lpstr>vn601.5_2</vt:lpstr>
      <vt:lpstr>vn601.5_3</vt:lpstr>
      <vt:lpstr>vn601.5_4</vt:lpstr>
      <vt:lpstr>vn601.5_5</vt:lpstr>
      <vt:lpstr>vn601.6</vt:lpstr>
      <vt:lpstr>vn601.7</vt:lpstr>
      <vt:lpstr>vn601.8</vt:lpstr>
      <vt:lpstr>vn601.9</vt:lpstr>
      <vt:lpstr>vn602.1.1.1</vt:lpstr>
      <vt:lpstr>vn602.1.1.2</vt:lpstr>
      <vt:lpstr>vn602.1.10</vt:lpstr>
      <vt:lpstr>vn602.1.11</vt:lpstr>
      <vt:lpstr>vn602.1.12</vt:lpstr>
      <vt:lpstr>vn602.1.13</vt:lpstr>
      <vt:lpstr>vn602.1.14_1</vt:lpstr>
      <vt:lpstr>vn602.1.14_2</vt:lpstr>
      <vt:lpstr>vn602.1.14_3</vt:lpstr>
      <vt:lpstr>vn602.1.2</vt:lpstr>
      <vt:lpstr>vn602.1.3.1</vt:lpstr>
      <vt:lpstr>vn602.1.3.2</vt:lpstr>
      <vt:lpstr>vn602.1.4.1_1</vt:lpstr>
      <vt:lpstr>vn602.1.4.1_2</vt:lpstr>
      <vt:lpstr>vn602.1.4.2_1</vt:lpstr>
      <vt:lpstr>vn602.1.4.2_2</vt:lpstr>
      <vt:lpstr>vn602.1.5</vt:lpstr>
      <vt:lpstr>vn602.1.6</vt:lpstr>
      <vt:lpstr>vn602.1.7.1_1</vt:lpstr>
      <vt:lpstr>vn602.1.7.1_2</vt:lpstr>
      <vt:lpstr>vn602.1.7.1_3</vt:lpstr>
      <vt:lpstr>vn602.1.7.2</vt:lpstr>
      <vt:lpstr>vn602.1.8</vt:lpstr>
      <vt:lpstr>vn602.1.9_1</vt:lpstr>
      <vt:lpstr>vn602.1.9_2</vt:lpstr>
      <vt:lpstr>vn602.1.9_3</vt:lpstr>
      <vt:lpstr>vn602.1.9_4</vt:lpstr>
      <vt:lpstr>vn602.1.9_5</vt:lpstr>
      <vt:lpstr>vn602.1.9_6</vt:lpstr>
      <vt:lpstr>vn602.1.9_7</vt:lpstr>
      <vt:lpstr>vn602.2</vt:lpstr>
      <vt:lpstr>vn602.3</vt:lpstr>
      <vt:lpstr>vn602.4.1</vt:lpstr>
      <vt:lpstr>vn602.4.2</vt:lpstr>
      <vt:lpstr>vn602.4.3</vt:lpstr>
      <vt:lpstr>vn603.1</vt:lpstr>
      <vt:lpstr>vn603.2</vt:lpstr>
      <vt:lpstr>vn603.3</vt:lpstr>
      <vt:lpstr>vn604.1.1</vt:lpstr>
      <vt:lpstr>vn604.1.2</vt:lpstr>
      <vt:lpstr>vn605.1</vt:lpstr>
      <vt:lpstr>vn605.2</vt:lpstr>
      <vt:lpstr>vn605.3</vt:lpstr>
      <vt:lpstr>vn606.1</vt:lpstr>
      <vt:lpstr>vn606.2_1</vt:lpstr>
      <vt:lpstr>vn606.2_2</vt:lpstr>
      <vt:lpstr>vn606.3</vt:lpstr>
      <vt:lpstr>vn607.1_1</vt:lpstr>
      <vt:lpstr>vn607.1_2</vt:lpstr>
      <vt:lpstr>vn607.2</vt:lpstr>
      <vt:lpstr>vn608.1</vt:lpstr>
      <vt:lpstr>vn609.1</vt:lpstr>
      <vt:lpstr>vn610.1</vt:lpstr>
      <vt:lpstr>vn610.1.1</vt:lpstr>
      <vt:lpstr>vn610.1.2</vt:lpstr>
      <vt:lpstr>vn610.1.2.1</vt:lpstr>
      <vt:lpstr>vn6101.2.2</vt:lpstr>
      <vt:lpstr>vn611.1</vt:lpstr>
      <vt:lpstr>vn611.2</vt:lpstr>
      <vt:lpstr>vn611.2_1</vt:lpstr>
      <vt:lpstr>vn611.2_2</vt:lpstr>
      <vt:lpstr>vn611.2_3</vt:lpstr>
      <vt:lpstr>vn611.2_4</vt:lpstr>
      <vt:lpstr>vn611.2_5</vt:lpstr>
      <vt:lpstr>vn611.2_6</vt:lpstr>
      <vt:lpstr>vn611.2_7</vt:lpstr>
      <vt:lpstr>vn611.3</vt:lpstr>
      <vt:lpstr>vn611.3_1</vt:lpstr>
      <vt:lpstr>vn611.3_2</vt:lpstr>
      <vt:lpstr>vn611.3_3</vt:lpstr>
      <vt:lpstr>vn611.3_4</vt:lpstr>
      <vt:lpstr>vn701.4.1.1</vt:lpstr>
      <vt:lpstr>vn701.4.1.2</vt:lpstr>
      <vt:lpstr>vn701.4.2.1</vt:lpstr>
      <vt:lpstr>vn701.4.2.2</vt:lpstr>
      <vt:lpstr>vn701.4.2.3</vt:lpstr>
      <vt:lpstr>vn701.4.3.1</vt:lpstr>
      <vt:lpstr>vn701.4.3.2</vt:lpstr>
      <vt:lpstr>vn701.4.3.2_1</vt:lpstr>
      <vt:lpstr>vn701.4.3.2_1ACH50</vt:lpstr>
      <vt:lpstr>vn701.4.3.2_2</vt:lpstr>
      <vt:lpstr>vn701.4.3.2_3</vt:lpstr>
      <vt:lpstr>vn701.4.3.2_4</vt:lpstr>
      <vt:lpstr>vn701.4.3.2Grade3</vt:lpstr>
      <vt:lpstr>vn701.4.4</vt:lpstr>
      <vt:lpstr>vn701.4.5</vt:lpstr>
      <vt:lpstr>vn901.1.1</vt:lpstr>
      <vt:lpstr>vn901.1.2</vt:lpstr>
      <vt:lpstr>vn901.1.3_1</vt:lpstr>
      <vt:lpstr>vn901.1.3_2</vt:lpstr>
      <vt:lpstr>vn901.1.4</vt:lpstr>
      <vt:lpstr>vn901.1.5</vt:lpstr>
      <vt:lpstr>vn901.1.6</vt:lpstr>
      <vt:lpstr>vn901.10</vt:lpstr>
      <vt:lpstr>vn901.11</vt:lpstr>
      <vt:lpstr>vn901.12</vt:lpstr>
      <vt:lpstr>vn901.13_1</vt:lpstr>
      <vt:lpstr>vn901.13_2</vt:lpstr>
      <vt:lpstr>vn901.14_1</vt:lpstr>
      <vt:lpstr>vn901.14_2</vt:lpstr>
      <vt:lpstr>vn901.15</vt:lpstr>
      <vt:lpstr>vn901.2.1_1</vt:lpstr>
      <vt:lpstr>vn901.2.1_2</vt:lpstr>
      <vt:lpstr>vn901.2.1_3</vt:lpstr>
      <vt:lpstr>vn901.2.1_4</vt:lpstr>
      <vt:lpstr>vn901.2.1_5</vt:lpstr>
      <vt:lpstr>vn901.2.2</vt:lpstr>
      <vt:lpstr>vn901.3_1a</vt:lpstr>
      <vt:lpstr>vn901.3_1b</vt:lpstr>
      <vt:lpstr>vn901.3_1c</vt:lpstr>
      <vt:lpstr>vn901.3_2</vt:lpstr>
      <vt:lpstr>vn901.4_1</vt:lpstr>
      <vt:lpstr>vn901.4_2</vt:lpstr>
      <vt:lpstr>vn901.4_2thru6</vt:lpstr>
      <vt:lpstr>vn901.4_3</vt:lpstr>
      <vt:lpstr>vn901.4_4</vt:lpstr>
      <vt:lpstr>vn901.4_5</vt:lpstr>
      <vt:lpstr>vn901.4_6</vt:lpstr>
      <vt:lpstr>vn901.5</vt:lpstr>
      <vt:lpstr>vn901.5_1and2</vt:lpstr>
      <vt:lpstr>vn901.6_1</vt:lpstr>
      <vt:lpstr>vn901.6_2a</vt:lpstr>
      <vt:lpstr>vn901.6_2b</vt:lpstr>
      <vt:lpstr>vn901.7</vt:lpstr>
      <vt:lpstr>vn901.8</vt:lpstr>
      <vt:lpstr>vn901.9.1</vt:lpstr>
      <vt:lpstr>vn901.9.2</vt:lpstr>
      <vt:lpstr>vn901.9.3</vt:lpstr>
      <vt:lpstr>vn901.9.4</vt:lpstr>
      <vt:lpstr>vn902.1.1_1</vt:lpstr>
      <vt:lpstr>vn902.1.1_2</vt:lpstr>
      <vt:lpstr>vn902.1.1_3</vt:lpstr>
      <vt:lpstr>vn902.1.2</vt:lpstr>
      <vt:lpstr>vn902.1.3</vt:lpstr>
      <vt:lpstr>vn902.1.4</vt:lpstr>
      <vt:lpstr>vn902.1.4_1</vt:lpstr>
      <vt:lpstr>vn902.1.4_2</vt:lpstr>
      <vt:lpstr>vn902.2.1</vt:lpstr>
      <vt:lpstr>vn902.2.1_1thru4</vt:lpstr>
      <vt:lpstr>vn902.2.2</vt:lpstr>
      <vt:lpstr>vn902.2.3</vt:lpstr>
      <vt:lpstr>vn902.3_1</vt:lpstr>
      <vt:lpstr>vn902.3_1a</vt:lpstr>
      <vt:lpstr>vn902.3_1b</vt:lpstr>
      <vt:lpstr>vn902.3_2a</vt:lpstr>
      <vt:lpstr>vn902.4_1</vt:lpstr>
      <vt:lpstr>vn902.4_2</vt:lpstr>
      <vt:lpstr>vn902.5</vt:lpstr>
      <vt:lpstr>vn902.6</vt:lpstr>
      <vt:lpstr>vn903.1.1</vt:lpstr>
      <vt:lpstr>vn903.1.2</vt:lpstr>
      <vt:lpstr>vn903.2</vt:lpstr>
      <vt:lpstr>vn903.3</vt:lpstr>
      <vt:lpstr>vn904.1</vt:lpstr>
      <vt:lpstr>vn904.2</vt:lpstr>
      <vt:lpstr>vnSqFT</vt:lpstr>
      <vt:lpstr>vsilvermin</vt:lpstr>
      <vt:lpstr>VSqFt</vt:lpstr>
      <vt:lpstr>Vstatus</vt:lpstr>
      <vt:lpstr>vtotalscore</vt:lpstr>
      <vt:lpstr>VZCmassFour</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 Hill</dc:creator>
  <cp:lastModifiedBy>Artem Hruzd</cp:lastModifiedBy>
  <cp:lastPrinted>2013-05-31T11:56:38Z</cp:lastPrinted>
  <dcterms:created xsi:type="dcterms:W3CDTF">2012-07-28T16:23:35Z</dcterms:created>
  <dcterms:modified xsi:type="dcterms:W3CDTF">2021-09-09T12:43:20Z</dcterms:modified>
</cp:coreProperties>
</file>