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hang77\Documents\GitHub\Random-Data-Visualization\data\"/>
    </mc:Choice>
  </mc:AlternateContent>
  <xr:revisionPtr revIDLastSave="0" documentId="13_ncr:1_{BC073972-4ED4-4B3F-BB77-29680752CC98}" xr6:coauthVersionLast="43" xr6:coauthVersionMax="43" xr10:uidLastSave="{00000000-0000-0000-0000-000000000000}"/>
  <bookViews>
    <workbookView xWindow="-120" yWindow="-120" windowWidth="25440" windowHeight="15390" tabRatio="500" activeTab="3" xr2:uid="{00000000-000D-0000-FFFF-FFFF00000000}"/>
  </bookViews>
  <sheets>
    <sheet name="2015" sheetId="1" r:id="rId1"/>
    <sheet name="2016" sheetId="2" r:id="rId2"/>
    <sheet name="2017" sheetId="3" r:id="rId3"/>
    <sheet name="2018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24" i="4" l="1"/>
  <c r="R120" i="4"/>
  <c r="R116" i="4"/>
  <c r="R112" i="4"/>
  <c r="R104" i="4"/>
  <c r="R96" i="4"/>
  <c r="R92" i="4"/>
  <c r="R89" i="4"/>
  <c r="R86" i="4"/>
  <c r="R83" i="4"/>
  <c r="R77" i="4"/>
  <c r="R71" i="4"/>
  <c r="R68" i="4"/>
  <c r="R64" i="4"/>
  <c r="R60" i="4"/>
  <c r="R56" i="4"/>
  <c r="R52" i="4"/>
  <c r="R48" i="4"/>
  <c r="R44" i="4"/>
  <c r="R40" i="4"/>
  <c r="R36" i="4"/>
  <c r="R32" i="4"/>
  <c r="R28" i="4"/>
  <c r="R24" i="4"/>
  <c r="R20" i="4"/>
  <c r="R16" i="4"/>
  <c r="R12" i="4"/>
  <c r="R8" i="4"/>
  <c r="R4" i="4"/>
  <c r="P124" i="4"/>
  <c r="P120" i="4"/>
  <c r="P116" i="4"/>
  <c r="P112" i="4"/>
  <c r="P104" i="4"/>
  <c r="P96" i="4"/>
  <c r="P92" i="4"/>
  <c r="P89" i="4"/>
  <c r="P86" i="4"/>
  <c r="P83" i="4"/>
  <c r="P77" i="4"/>
  <c r="P71" i="4"/>
  <c r="P68" i="4"/>
  <c r="P64" i="4"/>
  <c r="P60" i="4"/>
  <c r="P56" i="4"/>
  <c r="P52" i="4"/>
  <c r="P48" i="4"/>
  <c r="P44" i="4"/>
  <c r="P40" i="4"/>
  <c r="P36" i="4"/>
  <c r="P32" i="4"/>
  <c r="P28" i="4"/>
  <c r="P24" i="4"/>
  <c r="P20" i="4"/>
  <c r="P16" i="4"/>
  <c r="P12" i="4"/>
  <c r="P8" i="4"/>
  <c r="P4" i="4"/>
  <c r="R114" i="3"/>
  <c r="R110" i="3"/>
  <c r="R106" i="3"/>
  <c r="R98" i="3"/>
  <c r="R90" i="3"/>
  <c r="R86" i="3"/>
  <c r="R84" i="3"/>
  <c r="R81" i="3"/>
  <c r="R78" i="3"/>
  <c r="R75" i="3"/>
  <c r="R72" i="3"/>
  <c r="R69" i="3"/>
  <c r="R66" i="3"/>
  <c r="R63" i="3"/>
  <c r="R55" i="3"/>
  <c r="R51" i="3"/>
  <c r="R43" i="3"/>
  <c r="R34" i="3"/>
  <c r="R31" i="3"/>
  <c r="R27" i="3"/>
  <c r="R24" i="3"/>
  <c r="R21" i="3"/>
  <c r="R15" i="3"/>
  <c r="R9" i="3"/>
  <c r="R6" i="3"/>
  <c r="R4" i="3"/>
  <c r="P114" i="3"/>
  <c r="P110" i="3"/>
  <c r="P106" i="3"/>
  <c r="P98" i="3"/>
  <c r="P90" i="3"/>
  <c r="P86" i="3"/>
  <c r="P84" i="3"/>
  <c r="P81" i="3"/>
  <c r="P78" i="3"/>
  <c r="P75" i="3"/>
  <c r="P72" i="3"/>
  <c r="P69" i="3"/>
  <c r="P66" i="3"/>
  <c r="P63" i="3"/>
  <c r="P55" i="3"/>
  <c r="P51" i="3"/>
  <c r="P43" i="3"/>
  <c r="P34" i="3"/>
  <c r="P27" i="3"/>
  <c r="P31" i="3"/>
  <c r="P24" i="3"/>
  <c r="P21" i="3"/>
  <c r="P15" i="3"/>
  <c r="P9" i="3"/>
  <c r="P6" i="3"/>
  <c r="P4" i="3"/>
  <c r="R104" i="2"/>
  <c r="R96" i="2"/>
  <c r="R92" i="2"/>
  <c r="R84" i="2"/>
  <c r="R76" i="2"/>
  <c r="R72" i="2"/>
  <c r="R66" i="2"/>
  <c r="R63" i="2"/>
  <c r="R60" i="2"/>
  <c r="R54" i="2"/>
  <c r="R51" i="2"/>
  <c r="R45" i="2"/>
  <c r="R42" i="2"/>
  <c r="R37" i="2"/>
  <c r="R31" i="2"/>
  <c r="R28" i="2"/>
  <c r="R19" i="2"/>
  <c r="R16" i="2"/>
  <c r="R13" i="2"/>
  <c r="R7" i="2"/>
  <c r="R4" i="2"/>
  <c r="P104" i="2"/>
  <c r="P96" i="2"/>
  <c r="P92" i="2"/>
  <c r="P84" i="2"/>
  <c r="P76" i="2"/>
  <c r="P72" i="2"/>
  <c r="P66" i="2"/>
  <c r="P63" i="2"/>
  <c r="P60" i="2"/>
  <c r="P54" i="2"/>
  <c r="P51" i="2"/>
  <c r="P45" i="2"/>
  <c r="P42" i="2"/>
  <c r="P37" i="2"/>
  <c r="P31" i="2"/>
  <c r="P28" i="2"/>
  <c r="N20" i="2"/>
  <c r="N21" i="2"/>
  <c r="N22" i="2"/>
  <c r="N23" i="2"/>
  <c r="N24" i="2"/>
  <c r="P16" i="2"/>
  <c r="P13" i="2"/>
  <c r="P7" i="2"/>
  <c r="P4" i="2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T123" i="4" s="1"/>
  <c r="L122" i="4"/>
  <c r="T122" i="4" s="1"/>
  <c r="N121" i="4"/>
  <c r="O121" i="4" s="1"/>
  <c r="L121" i="4"/>
  <c r="K120" i="4" s="1"/>
  <c r="M120" i="4"/>
  <c r="T120" i="4" s="1"/>
  <c r="L120" i="4"/>
  <c r="L119" i="4"/>
  <c r="T118" i="4"/>
  <c r="O118" i="4"/>
  <c r="N118" i="4"/>
  <c r="L118" i="4"/>
  <c r="L117" i="4"/>
  <c r="T117" i="4" s="1"/>
  <c r="M116" i="4"/>
  <c r="L116" i="4"/>
  <c r="L115" i="4"/>
  <c r="T115" i="4" s="1"/>
  <c r="O114" i="4"/>
  <c r="N114" i="4"/>
  <c r="L114" i="4"/>
  <c r="T114" i="4" s="1"/>
  <c r="N113" i="4"/>
  <c r="O113" i="4" s="1"/>
  <c r="L113" i="4"/>
  <c r="T113" i="4" s="1"/>
  <c r="M112" i="4"/>
  <c r="T112" i="4" s="1"/>
  <c r="L112" i="4"/>
  <c r="K112" i="4"/>
  <c r="L111" i="4"/>
  <c r="T110" i="4"/>
  <c r="O110" i="4"/>
  <c r="N110" i="4"/>
  <c r="L110" i="4"/>
  <c r="L109" i="4"/>
  <c r="T109" i="4" s="1"/>
  <c r="L108" i="4"/>
  <c r="T107" i="4"/>
  <c r="O107" i="4"/>
  <c r="N107" i="4"/>
  <c r="L107" i="4"/>
  <c r="L106" i="4"/>
  <c r="T106" i="4" s="1"/>
  <c r="L105" i="4"/>
  <c r="T104" i="4"/>
  <c r="O104" i="4"/>
  <c r="N104" i="4"/>
  <c r="M104" i="4"/>
  <c r="L104" i="4"/>
  <c r="O103" i="4"/>
  <c r="N103" i="4"/>
  <c r="L103" i="4"/>
  <c r="T103" i="4" s="1"/>
  <c r="N102" i="4"/>
  <c r="O102" i="4" s="1"/>
  <c r="L102" i="4"/>
  <c r="T102" i="4" s="1"/>
  <c r="L101" i="4"/>
  <c r="T101" i="4" s="1"/>
  <c r="O100" i="4"/>
  <c r="N100" i="4"/>
  <c r="L100" i="4"/>
  <c r="T100" i="4" s="1"/>
  <c r="N99" i="4"/>
  <c r="O99" i="4" s="1"/>
  <c r="L99" i="4"/>
  <c r="T99" i="4" s="1"/>
  <c r="L98" i="4"/>
  <c r="T98" i="4" s="1"/>
  <c r="O97" i="4"/>
  <c r="N97" i="4"/>
  <c r="L97" i="4"/>
  <c r="T97" i="4" s="1"/>
  <c r="O96" i="4"/>
  <c r="N96" i="4"/>
  <c r="L96" i="4"/>
  <c r="K96" i="4" s="1"/>
  <c r="M95" i="4"/>
  <c r="T95" i="4" s="1"/>
  <c r="L95" i="4"/>
  <c r="N95" i="4" s="1"/>
  <c r="O95" i="4" s="1"/>
  <c r="M94" i="4"/>
  <c r="L94" i="4"/>
  <c r="M93" i="4"/>
  <c r="N93" i="4" s="1"/>
  <c r="O93" i="4" s="1"/>
  <c r="L93" i="4"/>
  <c r="T93" i="4" s="1"/>
  <c r="M92" i="4"/>
  <c r="L92" i="4"/>
  <c r="K92" i="4" s="1"/>
  <c r="L91" i="4"/>
  <c r="T91" i="4" s="1"/>
  <c r="L90" i="4"/>
  <c r="T89" i="4"/>
  <c r="O89" i="4"/>
  <c r="N89" i="4"/>
  <c r="M89" i="4"/>
  <c r="L89" i="4"/>
  <c r="O88" i="4"/>
  <c r="N88" i="4"/>
  <c r="L88" i="4"/>
  <c r="T88" i="4" s="1"/>
  <c r="N87" i="4"/>
  <c r="O87" i="4" s="1"/>
  <c r="L87" i="4"/>
  <c r="T87" i="4" s="1"/>
  <c r="M86" i="4"/>
  <c r="T86" i="4" s="1"/>
  <c r="L86" i="4"/>
  <c r="K86" i="4"/>
  <c r="L85" i="4"/>
  <c r="T84" i="4"/>
  <c r="O84" i="4"/>
  <c r="N84" i="4"/>
  <c r="L84" i="4"/>
  <c r="M83" i="4"/>
  <c r="T83" i="4" s="1"/>
  <c r="L83" i="4"/>
  <c r="K83" i="4" s="1"/>
  <c r="O82" i="4"/>
  <c r="N82" i="4"/>
  <c r="L82" i="4"/>
  <c r="T82" i="4" s="1"/>
  <c r="L81" i="4"/>
  <c r="T81" i="4" s="1"/>
  <c r="L80" i="4"/>
  <c r="T80" i="4" s="1"/>
  <c r="N79" i="4"/>
  <c r="O79" i="4" s="1"/>
  <c r="L79" i="4"/>
  <c r="T79" i="4" s="1"/>
  <c r="L78" i="4"/>
  <c r="T78" i="4" s="1"/>
  <c r="M77" i="4"/>
  <c r="T77" i="4" s="1"/>
  <c r="L77" i="4"/>
  <c r="K77" i="4"/>
  <c r="T76" i="4"/>
  <c r="O76" i="4"/>
  <c r="N76" i="4"/>
  <c r="L76" i="4"/>
  <c r="L75" i="4"/>
  <c r="T75" i="4" s="1"/>
  <c r="L74" i="4"/>
  <c r="T73" i="4"/>
  <c r="O73" i="4"/>
  <c r="N73" i="4"/>
  <c r="L73" i="4"/>
  <c r="L72" i="4"/>
  <c r="T72" i="4" s="1"/>
  <c r="M71" i="4"/>
  <c r="L71" i="4"/>
  <c r="K71" i="4" s="1"/>
  <c r="L70" i="4"/>
  <c r="T70" i="4" s="1"/>
  <c r="L69" i="4"/>
  <c r="T69" i="4" s="1"/>
  <c r="O68" i="4"/>
  <c r="N68" i="4"/>
  <c r="L68" i="4"/>
  <c r="K68" i="4"/>
  <c r="T67" i="4"/>
  <c r="N67" i="4"/>
  <c r="O67" i="4" s="1"/>
  <c r="L67" i="4"/>
  <c r="T66" i="4"/>
  <c r="O66" i="4"/>
  <c r="N66" i="4"/>
  <c r="L66" i="4"/>
  <c r="T65" i="4"/>
  <c r="N65" i="4"/>
  <c r="O65" i="4" s="1"/>
  <c r="L65" i="4"/>
  <c r="M64" i="4"/>
  <c r="L64" i="4"/>
  <c r="K64" i="4"/>
  <c r="T63" i="4"/>
  <c r="N63" i="4"/>
  <c r="O63" i="4" s="1"/>
  <c r="L63" i="4"/>
  <c r="T62" i="4"/>
  <c r="N62" i="4"/>
  <c r="O62" i="4" s="1"/>
  <c r="L62" i="4"/>
  <c r="N61" i="4"/>
  <c r="O61" i="4" s="1"/>
  <c r="L61" i="4"/>
  <c r="T61" i="4" s="1"/>
  <c r="M60" i="4"/>
  <c r="L60" i="4"/>
  <c r="N60" i="4" s="1"/>
  <c r="O60" i="4" s="1"/>
  <c r="T58" i="4"/>
  <c r="N58" i="4"/>
  <c r="O58" i="4" s="1"/>
  <c r="L58" i="4"/>
  <c r="T57" i="4"/>
  <c r="O57" i="4"/>
  <c r="N57" i="4"/>
  <c r="L57" i="4"/>
  <c r="N56" i="4"/>
  <c r="O56" i="4" s="1"/>
  <c r="M56" i="4"/>
  <c r="L56" i="4"/>
  <c r="T56" i="4" s="1"/>
  <c r="L55" i="4"/>
  <c r="T55" i="4" s="1"/>
  <c r="T54" i="4"/>
  <c r="N54" i="4"/>
  <c r="O54" i="4" s="1"/>
  <c r="L54" i="4"/>
  <c r="T53" i="4"/>
  <c r="N53" i="4"/>
  <c r="O53" i="4" s="1"/>
  <c r="L53" i="4"/>
  <c r="L52" i="4"/>
  <c r="L51" i="4"/>
  <c r="T51" i="4" s="1"/>
  <c r="L50" i="4"/>
  <c r="T50" i="4" s="1"/>
  <c r="N49" i="4"/>
  <c r="O49" i="4" s="1"/>
  <c r="L49" i="4"/>
  <c r="T49" i="4" s="1"/>
  <c r="M48" i="4"/>
  <c r="T48" i="4" s="1"/>
  <c r="L48" i="4"/>
  <c r="L47" i="4"/>
  <c r="T46" i="4"/>
  <c r="L46" i="4"/>
  <c r="N46" i="4" s="1"/>
  <c r="O46" i="4" s="1"/>
  <c r="L45" i="4"/>
  <c r="T45" i="4" s="1"/>
  <c r="L44" i="4"/>
  <c r="T43" i="4"/>
  <c r="N43" i="4"/>
  <c r="O43" i="4" s="1"/>
  <c r="L43" i="4"/>
  <c r="T42" i="4"/>
  <c r="N42" i="4"/>
  <c r="O42" i="4" s="1"/>
  <c r="L42" i="4"/>
  <c r="M41" i="4"/>
  <c r="T41" i="4" s="1"/>
  <c r="L41" i="4"/>
  <c r="L40" i="4"/>
  <c r="T40" i="4" s="1"/>
  <c r="T39" i="4"/>
  <c r="N39" i="4"/>
  <c r="O39" i="4" s="1"/>
  <c r="L39" i="4"/>
  <c r="T38" i="4"/>
  <c r="O38" i="4"/>
  <c r="N38" i="4"/>
  <c r="L38" i="4"/>
  <c r="T37" i="4"/>
  <c r="N37" i="4"/>
  <c r="O37" i="4" s="1"/>
  <c r="L37" i="4"/>
  <c r="O36" i="4"/>
  <c r="N36" i="4"/>
  <c r="M36" i="4"/>
  <c r="L36" i="4"/>
  <c r="K36" i="4"/>
  <c r="T35" i="4"/>
  <c r="N35" i="4"/>
  <c r="O35" i="4" s="1"/>
  <c r="M35" i="4"/>
  <c r="L35" i="4"/>
  <c r="N34" i="4"/>
  <c r="O34" i="4" s="1"/>
  <c r="M34" i="4"/>
  <c r="T34" i="4" s="1"/>
  <c r="L34" i="4"/>
  <c r="N33" i="4"/>
  <c r="O33" i="4" s="1"/>
  <c r="M33" i="4"/>
  <c r="L33" i="4"/>
  <c r="T33" i="4" s="1"/>
  <c r="M32" i="4"/>
  <c r="L32" i="4"/>
  <c r="K32" i="4" s="1"/>
  <c r="M31" i="4"/>
  <c r="T31" i="4" s="1"/>
  <c r="L31" i="4"/>
  <c r="M30" i="4"/>
  <c r="L30" i="4"/>
  <c r="T29" i="4"/>
  <c r="M29" i="4"/>
  <c r="N29" i="4" s="1"/>
  <c r="O29" i="4" s="1"/>
  <c r="L29" i="4"/>
  <c r="T28" i="4"/>
  <c r="N28" i="4"/>
  <c r="O28" i="4" s="1"/>
  <c r="M28" i="4"/>
  <c r="L28" i="4"/>
  <c r="T27" i="4"/>
  <c r="O27" i="4"/>
  <c r="N27" i="4"/>
  <c r="M27" i="4"/>
  <c r="L27" i="4"/>
  <c r="M26" i="4"/>
  <c r="T26" i="4" s="1"/>
  <c r="L26" i="4"/>
  <c r="N25" i="4"/>
  <c r="O25" i="4" s="1"/>
  <c r="M25" i="4"/>
  <c r="T25" i="4" s="1"/>
  <c r="L25" i="4"/>
  <c r="M24" i="4"/>
  <c r="T24" i="4" s="1"/>
  <c r="L24" i="4"/>
  <c r="K24" i="4"/>
  <c r="M23" i="4"/>
  <c r="L23" i="4"/>
  <c r="M22" i="4"/>
  <c r="L22" i="4"/>
  <c r="N22" i="4" s="1"/>
  <c r="O22" i="4" s="1"/>
  <c r="M21" i="4"/>
  <c r="T21" i="4" s="1"/>
  <c r="L21" i="4"/>
  <c r="T20" i="4"/>
  <c r="O20" i="4"/>
  <c r="N20" i="4"/>
  <c r="M20" i="4"/>
  <c r="L20" i="4"/>
  <c r="T19" i="4"/>
  <c r="N19" i="4"/>
  <c r="O19" i="4" s="1"/>
  <c r="M19" i="4"/>
  <c r="L19" i="4"/>
  <c r="N18" i="4"/>
  <c r="O18" i="4" s="1"/>
  <c r="M18" i="4"/>
  <c r="T18" i="4" s="1"/>
  <c r="L18" i="4"/>
  <c r="N17" i="4"/>
  <c r="O17" i="4" s="1"/>
  <c r="M17" i="4"/>
  <c r="L17" i="4"/>
  <c r="T17" i="4" s="1"/>
  <c r="M16" i="4"/>
  <c r="L16" i="4"/>
  <c r="K16" i="4" s="1"/>
  <c r="L15" i="4"/>
  <c r="T15" i="4" s="1"/>
  <c r="L14" i="4"/>
  <c r="T14" i="4" s="1"/>
  <c r="O13" i="4"/>
  <c r="N13" i="4"/>
  <c r="L13" i="4"/>
  <c r="T13" i="4" s="1"/>
  <c r="L12" i="4"/>
  <c r="T12" i="4" s="1"/>
  <c r="M11" i="4"/>
  <c r="L11" i="4"/>
  <c r="T10" i="4"/>
  <c r="M10" i="4"/>
  <c r="N10" i="4" s="1"/>
  <c r="O10" i="4" s="1"/>
  <c r="L10" i="4"/>
  <c r="T9" i="4"/>
  <c r="N9" i="4"/>
  <c r="O9" i="4" s="1"/>
  <c r="M9" i="4"/>
  <c r="L9" i="4"/>
  <c r="N8" i="4"/>
  <c r="O8" i="4" s="1"/>
  <c r="M8" i="4"/>
  <c r="T8" i="4" s="1"/>
  <c r="L8" i="4"/>
  <c r="M7" i="4"/>
  <c r="T7" i="4" s="1"/>
  <c r="L7" i="4"/>
  <c r="N6" i="4"/>
  <c r="O6" i="4" s="1"/>
  <c r="M6" i="4"/>
  <c r="T6" i="4" s="1"/>
  <c r="L6" i="4"/>
  <c r="M5" i="4"/>
  <c r="T5" i="4" s="1"/>
  <c r="L5" i="4"/>
  <c r="M4" i="4"/>
  <c r="L4" i="4"/>
  <c r="N4" i="4" s="1"/>
  <c r="O4" i="4" s="1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N113" i="3"/>
  <c r="O113" i="3" s="1"/>
  <c r="L113" i="3"/>
  <c r="T113" i="3" s="1"/>
  <c r="T112" i="3"/>
  <c r="N112" i="3"/>
  <c r="O112" i="3" s="1"/>
  <c r="L112" i="3"/>
  <c r="T111" i="3"/>
  <c r="O111" i="3"/>
  <c r="N111" i="3"/>
  <c r="L111" i="3"/>
  <c r="M110" i="3"/>
  <c r="T110" i="3" s="1"/>
  <c r="L110" i="3"/>
  <c r="K110" i="3" s="1"/>
  <c r="L109" i="3"/>
  <c r="T108" i="3"/>
  <c r="N108" i="3"/>
  <c r="O108" i="3" s="1"/>
  <c r="L108" i="3"/>
  <c r="T107" i="3"/>
  <c r="O107" i="3"/>
  <c r="N107" i="3"/>
  <c r="L107" i="3"/>
  <c r="M106" i="3"/>
  <c r="L106" i="3"/>
  <c r="K106" i="3" s="1"/>
  <c r="L105" i="3"/>
  <c r="T105" i="3" s="1"/>
  <c r="T104" i="3"/>
  <c r="N104" i="3"/>
  <c r="O104" i="3" s="1"/>
  <c r="L104" i="3"/>
  <c r="T103" i="3"/>
  <c r="O103" i="3"/>
  <c r="N103" i="3"/>
  <c r="L103" i="3"/>
  <c r="L102" i="3"/>
  <c r="T102" i="3" s="1"/>
  <c r="T101" i="3"/>
  <c r="N101" i="3"/>
  <c r="O101" i="3" s="1"/>
  <c r="L101" i="3"/>
  <c r="T100" i="3"/>
  <c r="O100" i="3"/>
  <c r="N100" i="3"/>
  <c r="L100" i="3"/>
  <c r="N99" i="3"/>
  <c r="O99" i="3" s="1"/>
  <c r="L99" i="3"/>
  <c r="T99" i="3" s="1"/>
  <c r="M98" i="3"/>
  <c r="L98" i="3"/>
  <c r="N98" i="3" s="1"/>
  <c r="O98" i="3" s="1"/>
  <c r="T97" i="3"/>
  <c r="N97" i="3"/>
  <c r="O97" i="3" s="1"/>
  <c r="L97" i="3"/>
  <c r="T96" i="3"/>
  <c r="O96" i="3"/>
  <c r="N96" i="3"/>
  <c r="L96" i="3"/>
  <c r="L95" i="3"/>
  <c r="T94" i="3"/>
  <c r="N94" i="3"/>
  <c r="O94" i="3" s="1"/>
  <c r="L94" i="3"/>
  <c r="T93" i="3"/>
  <c r="O93" i="3"/>
  <c r="N93" i="3"/>
  <c r="L93" i="3"/>
  <c r="L92" i="3"/>
  <c r="T91" i="3"/>
  <c r="N91" i="3"/>
  <c r="O91" i="3" s="1"/>
  <c r="L91" i="3"/>
  <c r="T90" i="3"/>
  <c r="O90" i="3"/>
  <c r="N90" i="3"/>
  <c r="M90" i="3"/>
  <c r="L90" i="3"/>
  <c r="K90" i="3" s="1"/>
  <c r="T89" i="3"/>
  <c r="O89" i="3"/>
  <c r="N89" i="3"/>
  <c r="L89" i="3"/>
  <c r="N88" i="3"/>
  <c r="O88" i="3" s="1"/>
  <c r="L88" i="3"/>
  <c r="T88" i="3" s="1"/>
  <c r="T87" i="3"/>
  <c r="N87" i="3"/>
  <c r="O87" i="3" s="1"/>
  <c r="L87" i="3"/>
  <c r="T86" i="3"/>
  <c r="O86" i="3"/>
  <c r="N86" i="3"/>
  <c r="M86" i="3"/>
  <c r="L86" i="3"/>
  <c r="K86" i="3" s="1"/>
  <c r="T85" i="3"/>
  <c r="O85" i="3"/>
  <c r="N85" i="3"/>
  <c r="L85" i="3"/>
  <c r="M84" i="3"/>
  <c r="L84" i="3"/>
  <c r="K84" i="3"/>
  <c r="M83" i="3"/>
  <c r="L83" i="3"/>
  <c r="N83" i="3" s="1"/>
  <c r="O83" i="3" s="1"/>
  <c r="T82" i="3"/>
  <c r="M82" i="3"/>
  <c r="N82" i="3" s="1"/>
  <c r="O82" i="3" s="1"/>
  <c r="L82" i="3"/>
  <c r="T81" i="3"/>
  <c r="O81" i="3"/>
  <c r="N81" i="3"/>
  <c r="M81" i="3"/>
  <c r="L81" i="3"/>
  <c r="K81" i="3" s="1"/>
  <c r="T80" i="3"/>
  <c r="O80" i="3"/>
  <c r="N80" i="3"/>
  <c r="L80" i="3"/>
  <c r="M78" i="3"/>
  <c r="T78" i="3" s="1"/>
  <c r="L78" i="3"/>
  <c r="K78" i="3" s="1"/>
  <c r="N77" i="3"/>
  <c r="O77" i="3" s="1"/>
  <c r="L77" i="3"/>
  <c r="T76" i="3"/>
  <c r="N76" i="3"/>
  <c r="O76" i="3" s="1"/>
  <c r="L76" i="3"/>
  <c r="T75" i="3"/>
  <c r="O75" i="3"/>
  <c r="N75" i="3"/>
  <c r="L75" i="3"/>
  <c r="N74" i="3"/>
  <c r="O74" i="3" s="1"/>
  <c r="L74" i="3"/>
  <c r="T74" i="3" s="1"/>
  <c r="L73" i="3"/>
  <c r="K72" i="3" s="1"/>
  <c r="T72" i="3"/>
  <c r="M72" i="3"/>
  <c r="N72" i="3" s="1"/>
  <c r="O72" i="3" s="1"/>
  <c r="L72" i="3"/>
  <c r="T71" i="3"/>
  <c r="L71" i="3"/>
  <c r="N71" i="3" s="1"/>
  <c r="O71" i="3" s="1"/>
  <c r="O70" i="3"/>
  <c r="N70" i="3"/>
  <c r="L70" i="3"/>
  <c r="T70" i="3" s="1"/>
  <c r="L69" i="3"/>
  <c r="M68" i="3"/>
  <c r="L68" i="3"/>
  <c r="T67" i="3"/>
  <c r="M67" i="3"/>
  <c r="N67" i="3" s="1"/>
  <c r="O67" i="3" s="1"/>
  <c r="L67" i="3"/>
  <c r="T66" i="3"/>
  <c r="O66" i="3"/>
  <c r="N66" i="3"/>
  <c r="M66" i="3"/>
  <c r="L66" i="3"/>
  <c r="K66" i="3" s="1"/>
  <c r="T65" i="3"/>
  <c r="O65" i="3"/>
  <c r="N65" i="3"/>
  <c r="L65" i="3"/>
  <c r="N64" i="3"/>
  <c r="O64" i="3" s="1"/>
  <c r="L64" i="3"/>
  <c r="N63" i="3"/>
  <c r="O63" i="3" s="1"/>
  <c r="M63" i="3"/>
  <c r="L63" i="3"/>
  <c r="T62" i="3"/>
  <c r="O62" i="3"/>
  <c r="N62" i="3"/>
  <c r="L62" i="3"/>
  <c r="N61" i="3"/>
  <c r="O61" i="3" s="1"/>
  <c r="L61" i="3"/>
  <c r="T61" i="3" s="1"/>
  <c r="T60" i="3"/>
  <c r="N60" i="3"/>
  <c r="O60" i="3" s="1"/>
  <c r="L60" i="3"/>
  <c r="T59" i="3"/>
  <c r="O59" i="3"/>
  <c r="N59" i="3"/>
  <c r="L59" i="3"/>
  <c r="L58" i="3"/>
  <c r="T58" i="3" s="1"/>
  <c r="T57" i="3"/>
  <c r="N57" i="3"/>
  <c r="O57" i="3" s="1"/>
  <c r="L57" i="3"/>
  <c r="T56" i="3"/>
  <c r="O56" i="3"/>
  <c r="N56" i="3"/>
  <c r="L56" i="3"/>
  <c r="M55" i="3"/>
  <c r="T55" i="3" s="1"/>
  <c r="L55" i="3"/>
  <c r="L54" i="3"/>
  <c r="T54" i="3" s="1"/>
  <c r="T53" i="3"/>
  <c r="N53" i="3"/>
  <c r="O53" i="3" s="1"/>
  <c r="L53" i="3"/>
  <c r="T52" i="3"/>
  <c r="O52" i="3"/>
  <c r="N52" i="3"/>
  <c r="L52" i="3"/>
  <c r="M51" i="3"/>
  <c r="T51" i="3" s="1"/>
  <c r="L51" i="3"/>
  <c r="L50" i="3"/>
  <c r="T50" i="3" s="1"/>
  <c r="T49" i="3"/>
  <c r="N49" i="3"/>
  <c r="O49" i="3" s="1"/>
  <c r="L49" i="3"/>
  <c r="T48" i="3"/>
  <c r="O48" i="3"/>
  <c r="N48" i="3"/>
  <c r="L48" i="3"/>
  <c r="L47" i="3"/>
  <c r="T47" i="3" s="1"/>
  <c r="T46" i="3"/>
  <c r="N46" i="3"/>
  <c r="O46" i="3" s="1"/>
  <c r="L46" i="3"/>
  <c r="T45" i="3"/>
  <c r="O45" i="3"/>
  <c r="N45" i="3"/>
  <c r="L45" i="3"/>
  <c r="N44" i="3"/>
  <c r="O44" i="3" s="1"/>
  <c r="L44" i="3"/>
  <c r="T44" i="3" s="1"/>
  <c r="M43" i="3"/>
  <c r="L43" i="3"/>
  <c r="T42" i="3"/>
  <c r="N42" i="3"/>
  <c r="O42" i="3" s="1"/>
  <c r="L42" i="3"/>
  <c r="T41" i="3"/>
  <c r="O41" i="3"/>
  <c r="N41" i="3"/>
  <c r="L41" i="3"/>
  <c r="N40" i="3"/>
  <c r="O40" i="3" s="1"/>
  <c r="L40" i="3"/>
  <c r="T40" i="3" s="1"/>
  <c r="T39" i="3"/>
  <c r="N39" i="3"/>
  <c r="O39" i="3" s="1"/>
  <c r="L39" i="3"/>
  <c r="T38" i="3"/>
  <c r="O38" i="3"/>
  <c r="N38" i="3"/>
  <c r="L38" i="3"/>
  <c r="N37" i="3"/>
  <c r="O37" i="3" s="1"/>
  <c r="L37" i="3"/>
  <c r="T37" i="3" s="1"/>
  <c r="T36" i="3"/>
  <c r="N36" i="3"/>
  <c r="O36" i="3" s="1"/>
  <c r="L36" i="3"/>
  <c r="T35" i="3"/>
  <c r="O35" i="3"/>
  <c r="N35" i="3"/>
  <c r="L35" i="3"/>
  <c r="M34" i="3"/>
  <c r="T34" i="3" s="1"/>
  <c r="L34" i="3"/>
  <c r="K34" i="3" s="1"/>
  <c r="N33" i="3"/>
  <c r="O33" i="3" s="1"/>
  <c r="L33" i="3"/>
  <c r="T33" i="3" s="1"/>
  <c r="T32" i="3"/>
  <c r="N32" i="3"/>
  <c r="O32" i="3" s="1"/>
  <c r="L32" i="3"/>
  <c r="K31" i="3"/>
  <c r="T28" i="3"/>
  <c r="O28" i="3"/>
  <c r="L28" i="3"/>
  <c r="N28" i="3" s="1"/>
  <c r="M27" i="3"/>
  <c r="L27" i="3"/>
  <c r="N27" i="3" s="1"/>
  <c r="O27" i="3" s="1"/>
  <c r="L26" i="3"/>
  <c r="T25" i="3"/>
  <c r="L25" i="3"/>
  <c r="N25" i="3" s="1"/>
  <c r="O25" i="3" s="1"/>
  <c r="N24" i="3"/>
  <c r="O24" i="3" s="1"/>
  <c r="M24" i="3"/>
  <c r="T24" i="3" s="1"/>
  <c r="L24" i="3"/>
  <c r="O23" i="3"/>
  <c r="N23" i="3"/>
  <c r="L23" i="3"/>
  <c r="T23" i="3" s="1"/>
  <c r="L22" i="3"/>
  <c r="T21" i="3"/>
  <c r="M21" i="3"/>
  <c r="N21" i="3" s="1"/>
  <c r="O21" i="3" s="1"/>
  <c r="L21" i="3"/>
  <c r="K21" i="3"/>
  <c r="T20" i="3"/>
  <c r="L20" i="3"/>
  <c r="N20" i="3" s="1"/>
  <c r="O20" i="3" s="1"/>
  <c r="N19" i="3"/>
  <c r="O19" i="3" s="1"/>
  <c r="L19" i="3"/>
  <c r="T19" i="3" s="1"/>
  <c r="L18" i="3"/>
  <c r="T17" i="3"/>
  <c r="L17" i="3"/>
  <c r="N17" i="3" s="1"/>
  <c r="O17" i="3" s="1"/>
  <c r="L16" i="3"/>
  <c r="T16" i="3" s="1"/>
  <c r="M15" i="3"/>
  <c r="L15" i="3"/>
  <c r="K15" i="3" s="1"/>
  <c r="M14" i="3"/>
  <c r="L14" i="3"/>
  <c r="F4" i="3" s="1"/>
  <c r="T13" i="3"/>
  <c r="M13" i="3"/>
  <c r="L13" i="3"/>
  <c r="T12" i="3"/>
  <c r="M12" i="3"/>
  <c r="N12" i="3" s="1"/>
  <c r="O12" i="3" s="1"/>
  <c r="L12" i="3"/>
  <c r="T11" i="3"/>
  <c r="O11" i="3"/>
  <c r="N11" i="3"/>
  <c r="M11" i="3"/>
  <c r="L11" i="3"/>
  <c r="N10" i="3"/>
  <c r="O10" i="3" s="1"/>
  <c r="M10" i="3"/>
  <c r="T10" i="3" s="1"/>
  <c r="L10" i="3"/>
  <c r="M9" i="3"/>
  <c r="T9" i="3" s="1"/>
  <c r="L9" i="3"/>
  <c r="M8" i="3"/>
  <c r="T8" i="3" s="1"/>
  <c r="L8" i="3"/>
  <c r="M7" i="3"/>
  <c r="L7" i="3"/>
  <c r="T6" i="3"/>
  <c r="M6" i="3"/>
  <c r="S4" i="3" s="1"/>
  <c r="L6" i="3"/>
  <c r="K6" i="3"/>
  <c r="T5" i="3"/>
  <c r="N5" i="3"/>
  <c r="O5" i="3" s="1"/>
  <c r="L5" i="3"/>
  <c r="N4" i="3"/>
  <c r="O4" i="3" s="1"/>
  <c r="L4" i="3"/>
  <c r="J4" i="3" s="1"/>
  <c r="K4" i="3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T102" i="2"/>
  <c r="L102" i="2"/>
  <c r="N102" i="2" s="1"/>
  <c r="O102" i="2" s="1"/>
  <c r="N101" i="2"/>
  <c r="O101" i="2" s="1"/>
  <c r="L101" i="2"/>
  <c r="T101" i="2" s="1"/>
  <c r="L100" i="2"/>
  <c r="T99" i="2"/>
  <c r="L99" i="2"/>
  <c r="N99" i="2" s="1"/>
  <c r="O99" i="2" s="1"/>
  <c r="L98" i="2"/>
  <c r="T98" i="2" s="1"/>
  <c r="L97" i="2"/>
  <c r="T96" i="2"/>
  <c r="L96" i="2"/>
  <c r="N96" i="2" s="1"/>
  <c r="O96" i="2" s="1"/>
  <c r="T95" i="2"/>
  <c r="N95" i="2"/>
  <c r="O95" i="2" s="1"/>
  <c r="L95" i="2"/>
  <c r="N94" i="2"/>
  <c r="O94" i="2" s="1"/>
  <c r="L94" i="2"/>
  <c r="T93" i="2"/>
  <c r="L93" i="2"/>
  <c r="N93" i="2" s="1"/>
  <c r="O93" i="2" s="1"/>
  <c r="T92" i="2"/>
  <c r="O92" i="2"/>
  <c r="N92" i="2"/>
  <c r="L92" i="2"/>
  <c r="M91" i="2"/>
  <c r="T91" i="2" s="1"/>
  <c r="L91" i="2"/>
  <c r="M90" i="2"/>
  <c r="L90" i="2"/>
  <c r="N90" i="2" s="1"/>
  <c r="O90" i="2" s="1"/>
  <c r="M89" i="2"/>
  <c r="L89" i="2"/>
  <c r="M88" i="2"/>
  <c r="L88" i="2"/>
  <c r="T88" i="2" s="1"/>
  <c r="T87" i="2"/>
  <c r="M87" i="2"/>
  <c r="N87" i="2" s="1"/>
  <c r="O87" i="2" s="1"/>
  <c r="L87" i="2"/>
  <c r="T86" i="2"/>
  <c r="N86" i="2"/>
  <c r="O86" i="2" s="1"/>
  <c r="M86" i="2"/>
  <c r="L86" i="2"/>
  <c r="M85" i="2"/>
  <c r="T85" i="2" s="1"/>
  <c r="L85" i="2"/>
  <c r="M84" i="2"/>
  <c r="L84" i="2"/>
  <c r="N83" i="2"/>
  <c r="O83" i="2" s="1"/>
  <c r="L83" i="2"/>
  <c r="T83" i="2" s="1"/>
  <c r="T82" i="2"/>
  <c r="N82" i="2"/>
  <c r="O82" i="2" s="1"/>
  <c r="L82" i="2"/>
  <c r="T81" i="2"/>
  <c r="N81" i="2"/>
  <c r="O81" i="2" s="1"/>
  <c r="L81" i="2"/>
  <c r="L80" i="2"/>
  <c r="T80" i="2" s="1"/>
  <c r="T79" i="2"/>
  <c r="N79" i="2"/>
  <c r="O79" i="2" s="1"/>
  <c r="L79" i="2"/>
  <c r="T78" i="2"/>
  <c r="O78" i="2"/>
  <c r="N78" i="2"/>
  <c r="L78" i="2"/>
  <c r="L77" i="2"/>
  <c r="T77" i="2" s="1"/>
  <c r="T76" i="2"/>
  <c r="N76" i="2"/>
  <c r="O76" i="2" s="1"/>
  <c r="L76" i="2"/>
  <c r="T75" i="2"/>
  <c r="O75" i="2"/>
  <c r="N75" i="2"/>
  <c r="L75" i="2"/>
  <c r="N74" i="2"/>
  <c r="O74" i="2" s="1"/>
  <c r="L74" i="2"/>
  <c r="T74" i="2" s="1"/>
  <c r="L73" i="2"/>
  <c r="L72" i="2"/>
  <c r="N72" i="2" s="1"/>
  <c r="O72" i="2" s="1"/>
  <c r="T71" i="2"/>
  <c r="N71" i="2"/>
  <c r="O71" i="2" s="1"/>
  <c r="M71" i="2"/>
  <c r="L71" i="2"/>
  <c r="M70" i="2"/>
  <c r="L70" i="2"/>
  <c r="M69" i="2"/>
  <c r="L69" i="2"/>
  <c r="T69" i="2" s="1"/>
  <c r="T68" i="2"/>
  <c r="M68" i="2"/>
  <c r="L68" i="2"/>
  <c r="N68" i="2" s="1"/>
  <c r="O68" i="2" s="1"/>
  <c r="M67" i="2"/>
  <c r="L67" i="2"/>
  <c r="T67" i="2" s="1"/>
  <c r="N66" i="2"/>
  <c r="O66" i="2" s="1"/>
  <c r="M66" i="2"/>
  <c r="T66" i="2" s="1"/>
  <c r="L66" i="2"/>
  <c r="K66" i="2" s="1"/>
  <c r="L65" i="2"/>
  <c r="T65" i="2" s="1"/>
  <c r="L64" i="2"/>
  <c r="T63" i="2"/>
  <c r="O63" i="2"/>
  <c r="N63" i="2"/>
  <c r="M63" i="2"/>
  <c r="L63" i="2"/>
  <c r="L62" i="2"/>
  <c r="N62" i="2" s="1"/>
  <c r="O62" i="2" s="1"/>
  <c r="L61" i="2"/>
  <c r="T61" i="2" s="1"/>
  <c r="M60" i="2"/>
  <c r="L60" i="2"/>
  <c r="K60" i="2" s="1"/>
  <c r="L59" i="2"/>
  <c r="T58" i="2"/>
  <c r="O58" i="2"/>
  <c r="N58" i="2"/>
  <c r="L58" i="2"/>
  <c r="L57" i="2"/>
  <c r="T57" i="2" s="1"/>
  <c r="L56" i="2"/>
  <c r="T55" i="2"/>
  <c r="O55" i="2"/>
  <c r="N55" i="2"/>
  <c r="L55" i="2"/>
  <c r="M54" i="2"/>
  <c r="L54" i="2"/>
  <c r="L53" i="2"/>
  <c r="T53" i="2" s="1"/>
  <c r="L52" i="2"/>
  <c r="N51" i="2"/>
  <c r="O51" i="2" s="1"/>
  <c r="L51" i="2"/>
  <c r="K51" i="2"/>
  <c r="N50" i="2"/>
  <c r="O50" i="2" s="1"/>
  <c r="L50" i="2"/>
  <c r="T50" i="2" s="1"/>
  <c r="T49" i="2"/>
  <c r="N49" i="2"/>
  <c r="O49" i="2" s="1"/>
  <c r="L49" i="2"/>
  <c r="T48" i="2"/>
  <c r="N48" i="2"/>
  <c r="O48" i="2" s="1"/>
  <c r="L48" i="2"/>
  <c r="N47" i="2"/>
  <c r="O47" i="2" s="1"/>
  <c r="L47" i="2"/>
  <c r="T46" i="2"/>
  <c r="N46" i="2"/>
  <c r="O46" i="2" s="1"/>
  <c r="L46" i="2"/>
  <c r="T45" i="2"/>
  <c r="N45" i="2"/>
  <c r="O45" i="2" s="1"/>
  <c r="M45" i="2"/>
  <c r="L45" i="2"/>
  <c r="T44" i="2"/>
  <c r="N44" i="2"/>
  <c r="O44" i="2" s="1"/>
  <c r="L44" i="2"/>
  <c r="T43" i="2"/>
  <c r="N43" i="2"/>
  <c r="O43" i="2" s="1"/>
  <c r="L43" i="2"/>
  <c r="M42" i="2"/>
  <c r="N42" i="2" s="1"/>
  <c r="O42" i="2" s="1"/>
  <c r="L42" i="2"/>
  <c r="K42" i="2" s="1"/>
  <c r="T41" i="2"/>
  <c r="N41" i="2"/>
  <c r="O41" i="2" s="1"/>
  <c r="L41" i="2"/>
  <c r="T40" i="2"/>
  <c r="N40" i="2"/>
  <c r="O40" i="2" s="1"/>
  <c r="L40" i="2"/>
  <c r="L39" i="2"/>
  <c r="T39" i="2" s="1"/>
  <c r="T38" i="2"/>
  <c r="N38" i="2"/>
  <c r="O38" i="2" s="1"/>
  <c r="L38" i="2"/>
  <c r="M37" i="2"/>
  <c r="T37" i="2" s="1"/>
  <c r="L37" i="2"/>
  <c r="T36" i="2"/>
  <c r="N36" i="2"/>
  <c r="O36" i="2" s="1"/>
  <c r="L36" i="2"/>
  <c r="N35" i="2"/>
  <c r="O35" i="2" s="1"/>
  <c r="L35" i="2"/>
  <c r="T35" i="2" s="1"/>
  <c r="L34" i="2"/>
  <c r="N34" i="2" s="1"/>
  <c r="O34" i="2" s="1"/>
  <c r="T33" i="2"/>
  <c r="N33" i="2"/>
  <c r="O33" i="2" s="1"/>
  <c r="L33" i="2"/>
  <c r="T32" i="2"/>
  <c r="N32" i="2"/>
  <c r="O32" i="2" s="1"/>
  <c r="L32" i="2"/>
  <c r="M31" i="2"/>
  <c r="L31" i="2"/>
  <c r="T31" i="2" s="1"/>
  <c r="K31" i="2"/>
  <c r="T30" i="2"/>
  <c r="O30" i="2"/>
  <c r="N30" i="2"/>
  <c r="L30" i="2"/>
  <c r="N29" i="2"/>
  <c r="O29" i="2" s="1"/>
  <c r="L29" i="2"/>
  <c r="J28" i="2" s="1"/>
  <c r="K28" i="2"/>
  <c r="L24" i="2"/>
  <c r="O23" i="2"/>
  <c r="L23" i="2"/>
  <c r="T23" i="2" s="1"/>
  <c r="L22" i="2"/>
  <c r="T22" i="2" s="1"/>
  <c r="T21" i="2"/>
  <c r="L21" i="2"/>
  <c r="T20" i="2"/>
  <c r="L20" i="2"/>
  <c r="T19" i="2"/>
  <c r="L19" i="2"/>
  <c r="K19" i="2" s="1"/>
  <c r="L18" i="2"/>
  <c r="T18" i="2" s="1"/>
  <c r="N17" i="2"/>
  <c r="O17" i="2" s="1"/>
  <c r="L17" i="2"/>
  <c r="T17" i="2" s="1"/>
  <c r="L16" i="2"/>
  <c r="K16" i="2" s="1"/>
  <c r="L15" i="2"/>
  <c r="T15" i="2" s="1"/>
  <c r="N14" i="2"/>
  <c r="O14" i="2" s="1"/>
  <c r="L14" i="2"/>
  <c r="K13" i="2" s="1"/>
  <c r="T13" i="2"/>
  <c r="N13" i="2"/>
  <c r="O13" i="2" s="1"/>
  <c r="M13" i="2"/>
  <c r="L13" i="2"/>
  <c r="T12" i="2"/>
  <c r="O12" i="2"/>
  <c r="N12" i="2"/>
  <c r="L12" i="2"/>
  <c r="T11" i="2"/>
  <c r="N11" i="2"/>
  <c r="O11" i="2" s="1"/>
  <c r="L11" i="2"/>
  <c r="T10" i="2"/>
  <c r="N10" i="2"/>
  <c r="O10" i="2" s="1"/>
  <c r="L10" i="2"/>
  <c r="T9" i="2"/>
  <c r="N9" i="2"/>
  <c r="O9" i="2" s="1"/>
  <c r="L9" i="2"/>
  <c r="L8" i="2"/>
  <c r="T8" i="2" s="1"/>
  <c r="N7" i="2"/>
  <c r="O7" i="2" s="1"/>
  <c r="M7" i="2"/>
  <c r="T7" i="2" s="1"/>
  <c r="L7" i="2"/>
  <c r="K7" i="2" s="1"/>
  <c r="T6" i="2"/>
  <c r="L6" i="2"/>
  <c r="N6" i="2" s="1"/>
  <c r="O6" i="2" s="1"/>
  <c r="L5" i="2"/>
  <c r="F4" i="2" s="1"/>
  <c r="M4" i="2"/>
  <c r="T4" i="2" s="1"/>
  <c r="L4" i="2"/>
  <c r="K4" i="2"/>
  <c r="J4" i="2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E5" i="1"/>
  <c r="O21" i="2" l="1"/>
  <c r="O24" i="2"/>
  <c r="O20" i="2"/>
  <c r="O22" i="2"/>
  <c r="T54" i="2"/>
  <c r="N65" i="2"/>
  <c r="O65" i="2" s="1"/>
  <c r="T103" i="2"/>
  <c r="N103" i="2"/>
  <c r="O103" i="2" s="1"/>
  <c r="N58" i="3"/>
  <c r="O58" i="3" s="1"/>
  <c r="N78" i="3"/>
  <c r="O78" i="3" s="1"/>
  <c r="N105" i="3"/>
  <c r="O105" i="3" s="1"/>
  <c r="N41" i="4"/>
  <c r="O41" i="4" s="1"/>
  <c r="T47" i="4"/>
  <c r="N47" i="4"/>
  <c r="O47" i="4" s="1"/>
  <c r="T71" i="4"/>
  <c r="N71" i="4"/>
  <c r="O71" i="4" s="1"/>
  <c r="N5" i="2"/>
  <c r="O5" i="2" s="1"/>
  <c r="N19" i="2"/>
  <c r="N37" i="2"/>
  <c r="O37" i="2" s="1"/>
  <c r="T47" i="2"/>
  <c r="K45" i="2"/>
  <c r="J51" i="2"/>
  <c r="N54" i="2"/>
  <c r="O54" i="2" s="1"/>
  <c r="K72" i="2"/>
  <c r="T90" i="2"/>
  <c r="T94" i="2"/>
  <c r="K92" i="2"/>
  <c r="T14" i="3"/>
  <c r="N14" i="3"/>
  <c r="O14" i="3" s="1"/>
  <c r="K51" i="3"/>
  <c r="K55" i="3"/>
  <c r="N110" i="3"/>
  <c r="O110" i="3" s="1"/>
  <c r="T30" i="4"/>
  <c r="N30" i="4"/>
  <c r="O30" i="4" s="1"/>
  <c r="N92" i="4"/>
  <c r="O92" i="4" s="1"/>
  <c r="N34" i="3"/>
  <c r="O34" i="3" s="1"/>
  <c r="K43" i="3"/>
  <c r="J63" i="3"/>
  <c r="N4" i="2"/>
  <c r="O4" i="2" s="1"/>
  <c r="T5" i="2"/>
  <c r="N8" i="2"/>
  <c r="O8" i="2" s="1"/>
  <c r="K63" i="2"/>
  <c r="K76" i="2"/>
  <c r="K84" i="2"/>
  <c r="T4" i="3"/>
  <c r="T15" i="3"/>
  <c r="N15" i="3"/>
  <c r="O15" i="3" s="1"/>
  <c r="N43" i="3"/>
  <c r="O43" i="3" s="1"/>
  <c r="T43" i="3"/>
  <c r="N47" i="3"/>
  <c r="O47" i="3" s="1"/>
  <c r="N51" i="3"/>
  <c r="O51" i="3" s="1"/>
  <c r="N55" i="3"/>
  <c r="O55" i="3" s="1"/>
  <c r="T63" i="3"/>
  <c r="J84" i="3"/>
  <c r="N102" i="3"/>
  <c r="O102" i="3" s="1"/>
  <c r="T64" i="4"/>
  <c r="N64" i="4"/>
  <c r="O64" i="4" s="1"/>
  <c r="T108" i="4"/>
  <c r="N108" i="4"/>
  <c r="O108" i="4" s="1"/>
  <c r="T119" i="4"/>
  <c r="N119" i="4"/>
  <c r="O119" i="4" s="1"/>
  <c r="T62" i="2"/>
  <c r="T7" i="3"/>
  <c r="N7" i="3"/>
  <c r="O7" i="3" s="1"/>
  <c r="T59" i="2"/>
  <c r="N59" i="2"/>
  <c r="O59" i="2" s="1"/>
  <c r="T84" i="2"/>
  <c r="T23" i="4"/>
  <c r="N23" i="4"/>
  <c r="O23" i="4" s="1"/>
  <c r="T16" i="2"/>
  <c r="T34" i="2"/>
  <c r="J72" i="2"/>
  <c r="K98" i="3"/>
  <c r="N69" i="2"/>
  <c r="O69" i="2" s="1"/>
  <c r="N80" i="2"/>
  <c r="O80" i="2" s="1"/>
  <c r="N84" i="2"/>
  <c r="O84" i="2" s="1"/>
  <c r="N91" i="2"/>
  <c r="O91" i="2" s="1"/>
  <c r="T100" i="2"/>
  <c r="N100" i="2"/>
  <c r="O100" i="2" s="1"/>
  <c r="N8" i="3"/>
  <c r="O8" i="3" s="1"/>
  <c r="N16" i="3"/>
  <c r="O16" i="3" s="1"/>
  <c r="N55" i="4"/>
  <c r="O55" i="4" s="1"/>
  <c r="T94" i="4"/>
  <c r="N94" i="4"/>
  <c r="O94" i="4" s="1"/>
  <c r="N50" i="3"/>
  <c r="O50" i="3" s="1"/>
  <c r="N31" i="2"/>
  <c r="O31" i="2" s="1"/>
  <c r="T106" i="3"/>
  <c r="N106" i="3"/>
  <c r="O106" i="3" s="1"/>
  <c r="T14" i="2"/>
  <c r="T29" i="2"/>
  <c r="U28" i="2" s="1"/>
  <c r="T52" i="2"/>
  <c r="N52" i="2"/>
  <c r="O52" i="2" s="1"/>
  <c r="T73" i="2"/>
  <c r="N73" i="2"/>
  <c r="O73" i="2" s="1"/>
  <c r="K9" i="3"/>
  <c r="T26" i="3"/>
  <c r="N26" i="3"/>
  <c r="O26" i="3" s="1"/>
  <c r="T64" i="3"/>
  <c r="K63" i="3"/>
  <c r="T84" i="3"/>
  <c r="T95" i="3"/>
  <c r="N95" i="3"/>
  <c r="O95" i="3" s="1"/>
  <c r="T16" i="4"/>
  <c r="N16" i="4"/>
  <c r="O16" i="4" s="1"/>
  <c r="K20" i="4"/>
  <c r="K28" i="4"/>
  <c r="T32" i="4"/>
  <c r="N32" i="4"/>
  <c r="O32" i="4" s="1"/>
  <c r="T74" i="4"/>
  <c r="N74" i="4"/>
  <c r="O74" i="4" s="1"/>
  <c r="T85" i="4"/>
  <c r="N85" i="4"/>
  <c r="O85" i="4" s="1"/>
  <c r="J36" i="4"/>
  <c r="N98" i="2"/>
  <c r="O98" i="2" s="1"/>
  <c r="N54" i="3"/>
  <c r="O54" i="3" s="1"/>
  <c r="S4" i="2"/>
  <c r="N15" i="2"/>
  <c r="O15" i="2" s="1"/>
  <c r="N18" i="2"/>
  <c r="O18" i="2" s="1"/>
  <c r="N39" i="2"/>
  <c r="O39" i="2" s="1"/>
  <c r="N53" i="2"/>
  <c r="O53" i="2" s="1"/>
  <c r="T60" i="2"/>
  <c r="N60" i="2"/>
  <c r="O60" i="2" s="1"/>
  <c r="N67" i="2"/>
  <c r="O67" i="2" s="1"/>
  <c r="T70" i="2"/>
  <c r="N70" i="2"/>
  <c r="O70" i="2" s="1"/>
  <c r="N77" i="2"/>
  <c r="O77" i="2" s="1"/>
  <c r="N85" i="2"/>
  <c r="O85" i="2" s="1"/>
  <c r="N88" i="2"/>
  <c r="O88" i="2" s="1"/>
  <c r="N9" i="3"/>
  <c r="O9" i="3" s="1"/>
  <c r="T22" i="3"/>
  <c r="N22" i="3"/>
  <c r="O22" i="3" s="1"/>
  <c r="K27" i="3"/>
  <c r="T68" i="3"/>
  <c r="N68" i="3"/>
  <c r="O68" i="3" s="1"/>
  <c r="U63" i="3" s="1"/>
  <c r="T77" i="3"/>
  <c r="K75" i="3"/>
  <c r="T36" i="4"/>
  <c r="T44" i="4"/>
  <c r="N44" i="4"/>
  <c r="O44" i="4" s="1"/>
  <c r="T52" i="4"/>
  <c r="K52" i="4"/>
  <c r="K116" i="4"/>
  <c r="T69" i="3"/>
  <c r="N69" i="3"/>
  <c r="O69" i="3" s="1"/>
  <c r="N16" i="2"/>
  <c r="O16" i="2" s="1"/>
  <c r="T56" i="2"/>
  <c r="N56" i="2"/>
  <c r="O56" i="2" s="1"/>
  <c r="J27" i="3"/>
  <c r="T24" i="2"/>
  <c r="T42" i="2"/>
  <c r="T64" i="2"/>
  <c r="N64" i="2"/>
  <c r="O64" i="2" s="1"/>
  <c r="T18" i="3"/>
  <c r="N18" i="3"/>
  <c r="O18" i="3" s="1"/>
  <c r="T73" i="3"/>
  <c r="N73" i="3"/>
  <c r="O73" i="3" s="1"/>
  <c r="K8" i="4"/>
  <c r="T11" i="4"/>
  <c r="N11" i="4"/>
  <c r="O11" i="4" s="1"/>
  <c r="N52" i="4"/>
  <c r="O52" i="4" s="1"/>
  <c r="K89" i="4"/>
  <c r="T90" i="4"/>
  <c r="N90" i="4"/>
  <c r="O90" i="4" s="1"/>
  <c r="K104" i="4"/>
  <c r="T105" i="4"/>
  <c r="N105" i="4"/>
  <c r="O105" i="4" s="1"/>
  <c r="T111" i="4"/>
  <c r="N111" i="4"/>
  <c r="O111" i="4" s="1"/>
  <c r="T116" i="4"/>
  <c r="N116" i="4"/>
  <c r="O116" i="4" s="1"/>
  <c r="T89" i="2"/>
  <c r="N89" i="2"/>
  <c r="O89" i="2" s="1"/>
  <c r="K44" i="4"/>
  <c r="K37" i="2"/>
  <c r="K54" i="2"/>
  <c r="N57" i="2"/>
  <c r="O57" i="2" s="1"/>
  <c r="N61" i="2"/>
  <c r="O61" i="2" s="1"/>
  <c r="T97" i="2"/>
  <c r="N97" i="2"/>
  <c r="O97" i="2" s="1"/>
  <c r="K96" i="2"/>
  <c r="N13" i="3"/>
  <c r="O13" i="3" s="1"/>
  <c r="K69" i="3"/>
  <c r="T92" i="3"/>
  <c r="N92" i="3"/>
  <c r="O92" i="3" s="1"/>
  <c r="T109" i="3"/>
  <c r="N109" i="3"/>
  <c r="O109" i="3" s="1"/>
  <c r="T83" i="3"/>
  <c r="T98" i="3"/>
  <c r="T22" i="4"/>
  <c r="T60" i="4"/>
  <c r="S4" i="4"/>
  <c r="T96" i="4"/>
  <c r="T121" i="4"/>
  <c r="N6" i="3"/>
  <c r="O6" i="3" s="1"/>
  <c r="Q4" i="3" s="1"/>
  <c r="K24" i="3"/>
  <c r="N84" i="3"/>
  <c r="O84" i="3" s="1"/>
  <c r="U84" i="3" s="1"/>
  <c r="F4" i="4"/>
  <c r="N14" i="4"/>
  <c r="O14" i="4" s="1"/>
  <c r="N21" i="4"/>
  <c r="O21" i="4" s="1"/>
  <c r="N50" i="4"/>
  <c r="O50" i="4" s="1"/>
  <c r="K56" i="4"/>
  <c r="N69" i="4"/>
  <c r="O69" i="4" s="1"/>
  <c r="N77" i="4"/>
  <c r="O77" i="4" s="1"/>
  <c r="N80" i="4"/>
  <c r="O80" i="4" s="1"/>
  <c r="N122" i="4"/>
  <c r="O122" i="4" s="1"/>
  <c r="J4" i="4"/>
  <c r="K48" i="4"/>
  <c r="K4" i="4"/>
  <c r="N7" i="4"/>
  <c r="O7" i="4" s="1"/>
  <c r="K12" i="4"/>
  <c r="N26" i="4"/>
  <c r="O26" i="4" s="1"/>
  <c r="K40" i="4"/>
  <c r="N45" i="4"/>
  <c r="O45" i="4" s="1"/>
  <c r="K60" i="4"/>
  <c r="J68" i="4"/>
  <c r="N72" i="4"/>
  <c r="O72" i="4" s="1"/>
  <c r="N75" i="4"/>
  <c r="O75" i="4" s="1"/>
  <c r="N83" i="4"/>
  <c r="O83" i="4" s="1"/>
  <c r="N91" i="4"/>
  <c r="O91" i="4" s="1"/>
  <c r="N106" i="4"/>
  <c r="O106" i="4" s="1"/>
  <c r="N109" i="4"/>
  <c r="O109" i="4" s="1"/>
  <c r="N117" i="4"/>
  <c r="O117" i="4" s="1"/>
  <c r="N5" i="4"/>
  <c r="O5" i="4" s="1"/>
  <c r="N12" i="4"/>
  <c r="O12" i="4" s="1"/>
  <c r="N15" i="4"/>
  <c r="O15" i="4" s="1"/>
  <c r="N24" i="4"/>
  <c r="O24" i="4" s="1"/>
  <c r="N31" i="4"/>
  <c r="O31" i="4" s="1"/>
  <c r="N40" i="4"/>
  <c r="O40" i="4" s="1"/>
  <c r="U36" i="4" s="1"/>
  <c r="N48" i="4"/>
  <c r="O48" i="4" s="1"/>
  <c r="N51" i="4"/>
  <c r="O51" i="4" s="1"/>
  <c r="N70" i="4"/>
  <c r="O70" i="4" s="1"/>
  <c r="N78" i="4"/>
  <c r="O78" i="4" s="1"/>
  <c r="N81" i="4"/>
  <c r="O81" i="4" s="1"/>
  <c r="N86" i="4"/>
  <c r="O86" i="4" s="1"/>
  <c r="N98" i="4"/>
  <c r="O98" i="4" s="1"/>
  <c r="N101" i="4"/>
  <c r="O101" i="4" s="1"/>
  <c r="N112" i="4"/>
  <c r="O112" i="4" s="1"/>
  <c r="N115" i="4"/>
  <c r="O115" i="4" s="1"/>
  <c r="N120" i="4"/>
  <c r="O120" i="4" s="1"/>
  <c r="N123" i="4"/>
  <c r="O123" i="4" s="1"/>
  <c r="J92" i="4"/>
  <c r="T92" i="4" s="1"/>
  <c r="O19" i="2" l="1"/>
  <c r="Q4" i="2" s="1"/>
  <c r="P19" i="2"/>
  <c r="T27" i="3"/>
  <c r="U27" i="3" s="1"/>
  <c r="U4" i="4"/>
  <c r="U92" i="4"/>
  <c r="T51" i="2"/>
  <c r="U51" i="2" s="1"/>
  <c r="U4" i="3"/>
  <c r="V4" i="3"/>
  <c r="U4" i="2"/>
  <c r="T68" i="4"/>
  <c r="U68" i="4" s="1"/>
  <c r="T72" i="2"/>
  <c r="U72" i="2" s="1"/>
  <c r="Q4" i="4"/>
  <c r="T4" i="4"/>
  <c r="V4" i="4" s="1"/>
  <c r="V4" i="2" l="1"/>
</calcChain>
</file>

<file path=xl/sharedStrings.xml><?xml version="1.0" encoding="utf-8"?>
<sst xmlns="http://schemas.openxmlformats.org/spreadsheetml/2006/main" count="1071" uniqueCount="68">
  <si>
    <t>Site</t>
  </si>
  <si>
    <t>Rep/block</t>
  </si>
  <si>
    <t>Treatment</t>
  </si>
  <si>
    <t>Yield</t>
  </si>
  <si>
    <t>Mg/ha-conversion formula if needed</t>
  </si>
  <si>
    <t>bu/acre</t>
  </si>
  <si>
    <t>4 treatments only except Monmouth and Urbana had 0-N treatments</t>
  </si>
  <si>
    <t>DeKalb</t>
  </si>
  <si>
    <t>100F+50P+50SD</t>
  </si>
  <si>
    <t>200F+NS</t>
  </si>
  <si>
    <t>200SnoNS</t>
  </si>
  <si>
    <t>50P+150SD</t>
  </si>
  <si>
    <t>NoN</t>
  </si>
  <si>
    <t>Monmouth</t>
  </si>
  <si>
    <t>Perry</t>
  </si>
  <si>
    <t>Urbana</t>
  </si>
  <si>
    <t>Average</t>
  </si>
  <si>
    <t>Actual</t>
  </si>
  <si>
    <t>Simulation</t>
  </si>
  <si>
    <t>Difference Percentage</t>
  </si>
  <si>
    <t>Diff SQ</t>
  </si>
  <si>
    <t>nRMSE</t>
  </si>
  <si>
    <t>nRMSE ALL</t>
  </si>
  <si>
    <t>CRM</t>
  </si>
  <si>
    <t>CRM ALL</t>
  </si>
  <si>
    <t>mid</t>
  </si>
  <si>
    <t>D-index</t>
  </si>
  <si>
    <t>D-index ALL</t>
  </si>
  <si>
    <t>kg/ha</t>
  </si>
  <si>
    <t>Fa200+NS</t>
  </si>
  <si>
    <t>Fa100+P50+SD50</t>
  </si>
  <si>
    <t>Fa200noNS</t>
  </si>
  <si>
    <t>Fall NH3 without N-Serve added  in 2016</t>
  </si>
  <si>
    <t>Sp200noNS</t>
  </si>
  <si>
    <t>Spr200+NS</t>
  </si>
  <si>
    <t>Spring NH3 with N-Serve added  in 2016</t>
  </si>
  <si>
    <t>P50+SD150</t>
  </si>
  <si>
    <t>.</t>
  </si>
  <si>
    <t>No spring NH3 with N-Serve at DeKalb due to an application error</t>
  </si>
  <si>
    <t>Neoga</t>
  </si>
  <si>
    <t>P100</t>
  </si>
  <si>
    <t>100 lb N as UAN injected at planting</t>
  </si>
  <si>
    <t>P150</t>
  </si>
  <si>
    <t>150 lb N as UAN injected at planting</t>
  </si>
  <si>
    <t>50P+100V6</t>
  </si>
  <si>
    <t>50 lb N as UAN injected at planting + 100 lb N as UAN dribbled between rows at stage V5-V6</t>
  </si>
  <si>
    <t>50P+100V9</t>
  </si>
  <si>
    <t>50 lb N as UAN injected at planting + 100 lb N as UAN dribbled between rows at stage V10</t>
  </si>
  <si>
    <t>100F+NS</t>
  </si>
  <si>
    <t>Treatment info:</t>
  </si>
  <si>
    <t>200FnoNS</t>
  </si>
  <si>
    <t>200S+NS</t>
  </si>
  <si>
    <t>200FNoNS</t>
  </si>
  <si>
    <t>Added in 2017, but only 2 reps at DeKalb and Urbana, and none at Perry</t>
  </si>
  <si>
    <t>200SNoNS</t>
  </si>
  <si>
    <t>Had an extra plot in each rep, so 8 no-N reps</t>
  </si>
  <si>
    <t>noN</t>
  </si>
  <si>
    <t>No N</t>
  </si>
  <si>
    <t>100P</t>
  </si>
  <si>
    <t>150P</t>
  </si>
  <si>
    <t>200P</t>
  </si>
  <si>
    <t>200 lb N as UAN injected at planting</t>
  </si>
  <si>
    <t>50P+100dmrV5</t>
  </si>
  <si>
    <t>50P+100dmrV9</t>
  </si>
  <si>
    <t>This seems to be exceptionally low</t>
  </si>
  <si>
    <t>Looking into the N-Simulation and PlantGrow for details</t>
  </si>
  <si>
    <t>Same treatments as in 2017</t>
  </si>
  <si>
    <t>Overall: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</si>
</sst>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D9D9D9"/>
        <bgColor rgb="FFDBDBDB"/>
      </patternFill>
    </fill>
    <fill>
      <patternFill patternType="solid">
        <fgColor rgb="FFBFBFBF"/>
        <bgColor rgb="FFC9C9C9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D9D9D9"/>
      </patternFill>
    </fill>
    <fill>
      <patternFill patternType="solid">
        <fgColor rgb="FF404040"/>
        <bgColor rgb="FF333300"/>
      </patternFill>
    </fill>
    <fill>
      <patternFill patternType="solid">
        <fgColor rgb="FFB4C7E7"/>
        <bgColor rgb="FF9DC3E6"/>
      </patternFill>
    </fill>
    <fill>
      <patternFill patternType="solid">
        <fgColor rgb="FFF8CBAD"/>
        <bgColor rgb="FFFFE699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9DC3E6"/>
        <bgColor rgb="FFB4C7E7"/>
      </patternFill>
    </fill>
    <fill>
      <patternFill patternType="solid">
        <fgColor rgb="FFBF9000"/>
        <bgColor rgb="FF808000"/>
      </patternFill>
    </fill>
    <fill>
      <patternFill patternType="solid">
        <fgColor rgb="FFFFD966"/>
        <bgColor rgb="FFFFE699"/>
      </patternFill>
    </fill>
    <fill>
      <patternFill patternType="solid">
        <fgColor rgb="FFC9C9C9"/>
        <bgColor rgb="FFBFBFBF"/>
      </patternFill>
    </fill>
    <fill>
      <patternFill patternType="solid">
        <fgColor rgb="FFFFE699"/>
        <bgColor rgb="FFFFD966"/>
      </patternFill>
    </fill>
    <fill>
      <patternFill patternType="solid">
        <fgColor rgb="FFDBDBDB"/>
        <bgColor rgb="FFD9D9D9"/>
      </patternFill>
    </fill>
    <fill>
      <patternFill patternType="solid">
        <fgColor rgb="FFBDD7EE"/>
        <bgColor rgb="FFB4C7E7"/>
      </patternFill>
    </fill>
    <fill>
      <patternFill patternType="solid">
        <fgColor rgb="FF92D050"/>
        <bgColor rgb="FFA9D18E"/>
      </patternFill>
    </fill>
    <fill>
      <patternFill patternType="solid">
        <fgColor rgb="FFFFC000"/>
        <bgColor rgb="FFFFD96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1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0" borderId="0" xfId="0" applyAlignment="1"/>
    <xf numFmtId="0" fontId="0" fillId="3" borderId="0" xfId="0" applyFill="1" applyAlignment="1"/>
    <xf numFmtId="0" fontId="0" fillId="3" borderId="0" xfId="0" applyFont="1" applyFill="1" applyBorder="1"/>
    <xf numFmtId="0" fontId="1" fillId="6" borderId="0" xfId="0" applyFont="1" applyFill="1" applyAlignment="1"/>
    <xf numFmtId="0" fontId="0" fillId="10" borderId="0" xfId="0" applyFont="1" applyFill="1"/>
    <xf numFmtId="0" fontId="0" fillId="10" borderId="0" xfId="0" applyFill="1" applyAlignment="1"/>
    <xf numFmtId="1" fontId="0" fillId="10" borderId="0" xfId="0" applyNumberFormat="1" applyFill="1"/>
    <xf numFmtId="0" fontId="0" fillId="10" borderId="0" xfId="0" applyFill="1" applyBorder="1"/>
    <xf numFmtId="0" fontId="0" fillId="11" borderId="0" xfId="0" applyFont="1" applyFill="1"/>
    <xf numFmtId="0" fontId="0" fillId="11" borderId="0" xfId="0" applyFill="1" applyAlignment="1"/>
    <xf numFmtId="1" fontId="0" fillId="11" borderId="0" xfId="0" applyNumberFormat="1" applyFill="1"/>
    <xf numFmtId="0" fontId="0" fillId="11" borderId="0" xfId="0" applyFill="1" applyBorder="1"/>
    <xf numFmtId="0" fontId="0" fillId="4" borderId="0" xfId="0" applyFill="1" applyAlignment="1"/>
    <xf numFmtId="1" fontId="0" fillId="4" borderId="0" xfId="0" applyNumberFormat="1" applyFill="1"/>
    <xf numFmtId="0" fontId="0" fillId="4" borderId="0" xfId="0" applyFill="1" applyBorder="1"/>
    <xf numFmtId="0" fontId="0" fillId="12" borderId="0" xfId="0" applyFont="1" applyFill="1"/>
    <xf numFmtId="0" fontId="0" fillId="12" borderId="0" xfId="0" applyFill="1" applyAlignment="1"/>
    <xf numFmtId="0" fontId="0" fillId="12" borderId="0" xfId="0" applyFill="1" applyBorder="1"/>
    <xf numFmtId="0" fontId="0" fillId="3" borderId="0" xfId="0" applyFill="1" applyBorder="1" applyAlignment="1"/>
    <xf numFmtId="0" fontId="0" fillId="3" borderId="0" xfId="0" applyFill="1" applyAlignment="1"/>
    <xf numFmtId="0" fontId="1" fillId="6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/>
    <xf numFmtId="0" fontId="0" fillId="10" borderId="0" xfId="0" applyFill="1" applyBorder="1" applyAlignment="1"/>
    <xf numFmtId="0" fontId="0" fillId="10" borderId="0" xfId="0" applyFill="1" applyAlignment="1"/>
    <xf numFmtId="0" fontId="0" fillId="11" borderId="0" xfId="0" applyFill="1" applyBorder="1" applyAlignment="1"/>
    <xf numFmtId="0" fontId="0" fillId="11" borderId="0" xfId="0" applyFill="1" applyAlignment="1"/>
    <xf numFmtId="0" fontId="0" fillId="13" borderId="0" xfId="0" applyFont="1" applyFill="1"/>
    <xf numFmtId="0" fontId="0" fillId="13" borderId="0" xfId="0" applyFill="1" applyBorder="1" applyAlignment="1"/>
    <xf numFmtId="0" fontId="0" fillId="13" borderId="0" xfId="0" applyFill="1" applyAlignment="1"/>
    <xf numFmtId="0" fontId="0" fillId="14" borderId="0" xfId="0" applyFont="1" applyFill="1"/>
    <xf numFmtId="0" fontId="0" fillId="14" borderId="0" xfId="0" applyFill="1" applyBorder="1" applyAlignment="1"/>
    <xf numFmtId="0" fontId="0" fillId="14" borderId="0" xfId="0" applyFill="1" applyAlignment="1"/>
    <xf numFmtId="0" fontId="0" fillId="14" borderId="0" xfId="0" applyFill="1" applyBorder="1"/>
    <xf numFmtId="0" fontId="0" fillId="5" borderId="0" xfId="0" applyFill="1" applyAlignment="1"/>
    <xf numFmtId="0" fontId="0" fillId="7" borderId="0" xfId="0" applyFill="1" applyAlignment="1"/>
    <xf numFmtId="0" fontId="0" fillId="15" borderId="0" xfId="0" applyFont="1" applyFill="1"/>
    <xf numFmtId="0" fontId="0" fillId="15" borderId="0" xfId="0" applyFill="1" applyAlignment="1"/>
    <xf numFmtId="0" fontId="0" fillId="16" borderId="0" xfId="0" applyFont="1" applyFill="1"/>
    <xf numFmtId="0" fontId="0" fillId="16" borderId="0" xfId="0" applyFill="1" applyAlignment="1"/>
    <xf numFmtId="0" fontId="0" fillId="8" borderId="0" xfId="0" applyFill="1" applyAlignment="1"/>
    <xf numFmtId="0" fontId="0" fillId="17" borderId="0" xfId="0" applyFont="1" applyFill="1"/>
    <xf numFmtId="0" fontId="0" fillId="17" borderId="0" xfId="0" applyFill="1" applyAlignment="1"/>
    <xf numFmtId="0" fontId="0" fillId="18" borderId="0" xfId="0" applyFont="1" applyFill="1"/>
    <xf numFmtId="0" fontId="0" fillId="18" borderId="0" xfId="0" applyFill="1" applyAlignment="1"/>
    <xf numFmtId="0" fontId="0" fillId="2" borderId="0" xfId="0" applyFill="1" applyAlignment="1"/>
    <xf numFmtId="0" fontId="0" fillId="2" borderId="0" xfId="0" applyFont="1" applyFill="1" applyBorder="1"/>
    <xf numFmtId="0" fontId="0" fillId="9" borderId="0" xfId="0" applyFill="1" applyAlignment="1"/>
    <xf numFmtId="0" fontId="0" fillId="19" borderId="0" xfId="0" applyFont="1" applyFill="1"/>
    <xf numFmtId="0" fontId="0" fillId="4" borderId="0" xfId="0" applyFont="1" applyFill="1"/>
    <xf numFmtId="0" fontId="2" fillId="20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C9C9C9"/>
      <rgbColor rgb="FF993366"/>
      <rgbColor rgb="FFFFD966"/>
      <rgbColor rgb="FFDBDBDB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5E0B4"/>
      <rgbColor rgb="FFFFE699"/>
      <rgbColor rgb="FF9DC3E6"/>
      <rgbColor rgb="FFF4B183"/>
      <rgbColor rgb="FFB4C7E7"/>
      <rgbColor rgb="FFF8CBAD"/>
      <rgbColor rgb="FF3366FF"/>
      <rgbColor rgb="FF33CCCC"/>
      <rgbColor rgb="FF92D050"/>
      <rgbColor rgb="FFFFC000"/>
      <rgbColor rgb="FFBF90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208440</xdr:colOff>
      <xdr:row>17</xdr:row>
      <xdr:rowOff>67320</xdr:rowOff>
    </xdr:from>
    <xdr:to>
      <xdr:col>43</xdr:col>
      <xdr:colOff>568950</xdr:colOff>
      <xdr:row>50</xdr:row>
      <xdr:rowOff>150120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4176880" y="3046680"/>
          <a:ext cx="10320480" cy="58662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"/>
  <sheetViews>
    <sheetView zoomScaleNormal="100" workbookViewId="0">
      <selection activeCell="I9" sqref="I9"/>
    </sheetView>
  </sheetViews>
  <sheetFormatPr defaultRowHeight="15" x14ac:dyDescent="0.25"/>
  <cols>
    <col min="1" max="1" width="12.28515625" customWidth="1"/>
    <col min="2" max="2" width="8.5703125" customWidth="1"/>
    <col min="3" max="3" width="14.42578125" customWidth="1"/>
    <col min="4" max="4" width="11.7109375" customWidth="1"/>
    <col min="5" max="5" width="11" customWidth="1"/>
    <col min="6" max="1025" width="8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D2" t="s">
        <v>5</v>
      </c>
    </row>
    <row r="3" spans="1:9" x14ac:dyDescent="0.25">
      <c r="A3" t="s">
        <v>6</v>
      </c>
    </row>
    <row r="5" spans="1:9" x14ac:dyDescent="0.25">
      <c r="A5" t="s">
        <v>7</v>
      </c>
      <c r="B5">
        <v>1</v>
      </c>
      <c r="C5" t="s">
        <v>8</v>
      </c>
      <c r="D5">
        <v>189.614117647059</v>
      </c>
      <c r="E5">
        <f>D5*56*2.471/2204.5</f>
        <v>11.902038168985909</v>
      </c>
      <c r="G5" t="s">
        <v>8</v>
      </c>
      <c r="I5">
        <f t="shared" ref="I5:I36" si="0">D5*62.77</f>
        <v>11902.078164705894</v>
      </c>
    </row>
    <row r="6" spans="1:9" x14ac:dyDescent="0.25">
      <c r="A6" t="s">
        <v>7</v>
      </c>
      <c r="B6">
        <v>2</v>
      </c>
      <c r="C6" t="s">
        <v>8</v>
      </c>
      <c r="D6">
        <v>188.275646328096</v>
      </c>
      <c r="G6" t="s">
        <v>9</v>
      </c>
      <c r="I6">
        <f t="shared" si="0"/>
        <v>11818.062320014587</v>
      </c>
    </row>
    <row r="7" spans="1:9" x14ac:dyDescent="0.25">
      <c r="A7" t="s">
        <v>7</v>
      </c>
      <c r="B7">
        <v>3</v>
      </c>
      <c r="C7" t="s">
        <v>8</v>
      </c>
      <c r="D7">
        <v>175.53947899159701</v>
      </c>
      <c r="G7" t="s">
        <v>10</v>
      </c>
      <c r="I7">
        <f t="shared" si="0"/>
        <v>11018.613096302544</v>
      </c>
    </row>
    <row r="8" spans="1:9" x14ac:dyDescent="0.25">
      <c r="A8" t="s">
        <v>7</v>
      </c>
      <c r="B8">
        <v>4</v>
      </c>
      <c r="C8" t="s">
        <v>8</v>
      </c>
      <c r="D8">
        <v>199.99085129704099</v>
      </c>
      <c r="G8" t="s">
        <v>11</v>
      </c>
      <c r="I8">
        <f t="shared" si="0"/>
        <v>12553.425735915263</v>
      </c>
    </row>
    <row r="9" spans="1:9" x14ac:dyDescent="0.25">
      <c r="A9" t="s">
        <v>7</v>
      </c>
      <c r="B9">
        <v>1</v>
      </c>
      <c r="C9" t="s">
        <v>9</v>
      </c>
      <c r="D9">
        <v>182.99377749360599</v>
      </c>
      <c r="G9" t="s">
        <v>12</v>
      </c>
      <c r="I9">
        <f t="shared" si="0"/>
        <v>11486.519413273649</v>
      </c>
    </row>
    <row r="10" spans="1:9" x14ac:dyDescent="0.25">
      <c r="A10" t="s">
        <v>7</v>
      </c>
      <c r="B10">
        <v>2</v>
      </c>
      <c r="C10" t="s">
        <v>9</v>
      </c>
      <c r="D10">
        <v>192.31015856777501</v>
      </c>
      <c r="I10">
        <f t="shared" si="0"/>
        <v>12071.308653299238</v>
      </c>
    </row>
    <row r="11" spans="1:9" x14ac:dyDescent="0.25">
      <c r="A11" t="s">
        <v>7</v>
      </c>
      <c r="B11">
        <v>3</v>
      </c>
      <c r="C11" t="s">
        <v>9</v>
      </c>
      <c r="D11">
        <v>192.492785896968</v>
      </c>
      <c r="I11">
        <f t="shared" si="0"/>
        <v>12082.772170752682</v>
      </c>
    </row>
    <row r="12" spans="1:9" x14ac:dyDescent="0.25">
      <c r="A12" t="s">
        <v>7</v>
      </c>
      <c r="B12">
        <v>4</v>
      </c>
      <c r="C12" t="s">
        <v>9</v>
      </c>
      <c r="D12">
        <v>202.285828279138</v>
      </c>
      <c r="I12">
        <f t="shared" si="0"/>
        <v>12697.481441081492</v>
      </c>
    </row>
    <row r="13" spans="1:9" x14ac:dyDescent="0.25">
      <c r="A13" t="s">
        <v>7</v>
      </c>
      <c r="B13">
        <v>1</v>
      </c>
      <c r="C13" t="s">
        <v>10</v>
      </c>
      <c r="D13">
        <v>174.75048118377799</v>
      </c>
      <c r="I13">
        <f t="shared" si="0"/>
        <v>10969.087703905745</v>
      </c>
    </row>
    <row r="14" spans="1:9" x14ac:dyDescent="0.25">
      <c r="A14" t="s">
        <v>7</v>
      </c>
      <c r="B14">
        <v>2</v>
      </c>
      <c r="C14" t="s">
        <v>10</v>
      </c>
      <c r="D14">
        <v>195.31415929850201</v>
      </c>
      <c r="I14">
        <f t="shared" si="0"/>
        <v>12259.869779166971</v>
      </c>
    </row>
    <row r="15" spans="1:9" x14ac:dyDescent="0.25">
      <c r="A15" t="s">
        <v>7</v>
      </c>
      <c r="B15">
        <v>3</v>
      </c>
      <c r="C15" t="s">
        <v>10</v>
      </c>
      <c r="D15">
        <v>205.24287906466901</v>
      </c>
      <c r="I15">
        <f t="shared" si="0"/>
        <v>12883.095518889275</v>
      </c>
    </row>
    <row r="16" spans="1:9" x14ac:dyDescent="0.25">
      <c r="A16" t="s">
        <v>7</v>
      </c>
      <c r="B16">
        <v>4</v>
      </c>
      <c r="C16" t="s">
        <v>10</v>
      </c>
      <c r="D16">
        <v>192.95830654000699</v>
      </c>
      <c r="I16">
        <f t="shared" si="0"/>
        <v>12111.99290151624</v>
      </c>
    </row>
    <row r="17" spans="1:9" x14ac:dyDescent="0.25">
      <c r="A17" t="s">
        <v>7</v>
      </c>
      <c r="B17">
        <v>1</v>
      </c>
      <c r="C17" t="s">
        <v>11</v>
      </c>
      <c r="D17">
        <v>185.71289550602901</v>
      </c>
      <c r="I17">
        <f t="shared" si="0"/>
        <v>11657.198450913442</v>
      </c>
    </row>
    <row r="18" spans="1:9" x14ac:dyDescent="0.25">
      <c r="A18" t="s">
        <v>7</v>
      </c>
      <c r="B18">
        <v>2</v>
      </c>
      <c r="C18" t="s">
        <v>11</v>
      </c>
      <c r="D18">
        <v>189.47645085860401</v>
      </c>
      <c r="I18">
        <f t="shared" si="0"/>
        <v>11893.436820394574</v>
      </c>
    </row>
    <row r="19" spans="1:9" x14ac:dyDescent="0.25">
      <c r="A19" t="s">
        <v>7</v>
      </c>
      <c r="B19">
        <v>3</v>
      </c>
      <c r="C19" t="s">
        <v>11</v>
      </c>
      <c r="D19">
        <v>202.02044172451599</v>
      </c>
      <c r="I19">
        <f t="shared" si="0"/>
        <v>12680.82312704787</v>
      </c>
    </row>
    <row r="20" spans="1:9" x14ac:dyDescent="0.25">
      <c r="A20" t="s">
        <v>7</v>
      </c>
      <c r="B20">
        <v>4</v>
      </c>
      <c r="C20" t="s">
        <v>11</v>
      </c>
      <c r="D20">
        <v>213.89599269272901</v>
      </c>
      <c r="I20">
        <f t="shared" si="0"/>
        <v>13426.251461322601</v>
      </c>
    </row>
    <row r="21" spans="1:9" x14ac:dyDescent="0.25">
      <c r="A21" t="s">
        <v>13</v>
      </c>
      <c r="B21">
        <v>1</v>
      </c>
      <c r="C21" t="s">
        <v>12</v>
      </c>
      <c r="D21">
        <v>169.90860701570199</v>
      </c>
      <c r="I21">
        <f t="shared" si="0"/>
        <v>10665.163262375614</v>
      </c>
    </row>
    <row r="22" spans="1:9" x14ac:dyDescent="0.25">
      <c r="A22" t="s">
        <v>13</v>
      </c>
      <c r="B22">
        <v>2</v>
      </c>
      <c r="C22" t="s">
        <v>12</v>
      </c>
      <c r="D22">
        <v>161.932294754531</v>
      </c>
      <c r="I22">
        <f t="shared" si="0"/>
        <v>10164.490141741911</v>
      </c>
    </row>
    <row r="23" spans="1:9" x14ac:dyDescent="0.25">
      <c r="A23" t="s">
        <v>13</v>
      </c>
      <c r="B23">
        <v>3</v>
      </c>
      <c r="C23" t="s">
        <v>12</v>
      </c>
      <c r="D23">
        <v>175.005533991199</v>
      </c>
      <c r="I23">
        <f t="shared" si="0"/>
        <v>10985.097368627561</v>
      </c>
    </row>
    <row r="24" spans="1:9" x14ac:dyDescent="0.25">
      <c r="A24" t="s">
        <v>13</v>
      </c>
      <c r="B24">
        <v>4</v>
      </c>
      <c r="C24" t="s">
        <v>12</v>
      </c>
      <c r="D24">
        <v>151.93466417461499</v>
      </c>
      <c r="I24">
        <f t="shared" si="0"/>
        <v>9536.9388702405831</v>
      </c>
    </row>
    <row r="25" spans="1:9" x14ac:dyDescent="0.25">
      <c r="A25" t="s">
        <v>13</v>
      </c>
      <c r="B25">
        <v>1</v>
      </c>
      <c r="C25" t="s">
        <v>8</v>
      </c>
      <c r="D25">
        <v>216.32177711611499</v>
      </c>
      <c r="I25">
        <f t="shared" si="0"/>
        <v>13578.517949578538</v>
      </c>
    </row>
    <row r="26" spans="1:9" x14ac:dyDescent="0.25">
      <c r="A26" t="s">
        <v>13</v>
      </c>
      <c r="B26">
        <v>2</v>
      </c>
      <c r="C26" t="s">
        <v>8</v>
      </c>
      <c r="D26">
        <v>229.77341895978699</v>
      </c>
      <c r="I26">
        <f t="shared" si="0"/>
        <v>14422.87750810583</v>
      </c>
    </row>
    <row r="27" spans="1:9" x14ac:dyDescent="0.25">
      <c r="A27" t="s">
        <v>13</v>
      </c>
      <c r="B27">
        <v>3</v>
      </c>
      <c r="C27" t="s">
        <v>8</v>
      </c>
      <c r="D27">
        <v>211.82821514533501</v>
      </c>
      <c r="I27">
        <f t="shared" si="0"/>
        <v>13296.457064672679</v>
      </c>
    </row>
    <row r="28" spans="1:9" x14ac:dyDescent="0.25">
      <c r="A28" t="s">
        <v>13</v>
      </c>
      <c r="B28">
        <v>4</v>
      </c>
      <c r="C28" t="s">
        <v>8</v>
      </c>
      <c r="D28">
        <v>209.764898639633</v>
      </c>
      <c r="I28">
        <f t="shared" si="0"/>
        <v>13166.942687609764</v>
      </c>
    </row>
    <row r="29" spans="1:9" x14ac:dyDescent="0.25">
      <c r="A29" t="s">
        <v>13</v>
      </c>
      <c r="B29">
        <v>1</v>
      </c>
      <c r="C29" t="s">
        <v>9</v>
      </c>
      <c r="D29">
        <v>191.76841522599901</v>
      </c>
      <c r="I29">
        <f t="shared" si="0"/>
        <v>12037.303423735959</v>
      </c>
    </row>
    <row r="30" spans="1:9" x14ac:dyDescent="0.25">
      <c r="A30" t="s">
        <v>13</v>
      </c>
      <c r="B30">
        <v>2</v>
      </c>
      <c r="C30" t="s">
        <v>9</v>
      </c>
      <c r="D30">
        <v>241.31034450680801</v>
      </c>
      <c r="I30">
        <f t="shared" si="0"/>
        <v>15147.05032469234</v>
      </c>
    </row>
    <row r="31" spans="1:9" x14ac:dyDescent="0.25">
      <c r="A31" t="s">
        <v>13</v>
      </c>
      <c r="B31">
        <v>3</v>
      </c>
      <c r="C31" t="s">
        <v>9</v>
      </c>
      <c r="D31">
        <v>218.800857776892</v>
      </c>
      <c r="I31">
        <f t="shared" si="0"/>
        <v>13734.129842655511</v>
      </c>
    </row>
    <row r="32" spans="1:9" x14ac:dyDescent="0.25">
      <c r="A32" t="s">
        <v>13</v>
      </c>
      <c r="B32">
        <v>4</v>
      </c>
      <c r="C32" t="s">
        <v>9</v>
      </c>
      <c r="D32">
        <v>216.32225298168501</v>
      </c>
      <c r="I32">
        <f t="shared" si="0"/>
        <v>13578.547819660369</v>
      </c>
    </row>
    <row r="33" spans="1:9" x14ac:dyDescent="0.25">
      <c r="A33" t="s">
        <v>13</v>
      </c>
      <c r="B33">
        <v>1</v>
      </c>
      <c r="C33" t="s">
        <v>10</v>
      </c>
      <c r="D33">
        <v>213.46367156258799</v>
      </c>
      <c r="I33">
        <f t="shared" si="0"/>
        <v>13399.114663983648</v>
      </c>
    </row>
    <row r="34" spans="1:9" x14ac:dyDescent="0.25">
      <c r="A34" t="s">
        <v>13</v>
      </c>
      <c r="B34">
        <v>2</v>
      </c>
      <c r="C34" t="s">
        <v>10</v>
      </c>
      <c r="D34">
        <v>216.741319725159</v>
      </c>
      <c r="I34">
        <f t="shared" si="0"/>
        <v>13604.852639148232</v>
      </c>
    </row>
    <row r="35" spans="1:9" x14ac:dyDescent="0.25">
      <c r="A35" t="s">
        <v>13</v>
      </c>
      <c r="B35">
        <v>3</v>
      </c>
      <c r="C35" t="s">
        <v>10</v>
      </c>
      <c r="D35">
        <v>217.098894062223</v>
      </c>
      <c r="I35">
        <f t="shared" si="0"/>
        <v>13627.297580285738</v>
      </c>
    </row>
    <row r="36" spans="1:9" x14ac:dyDescent="0.25">
      <c r="A36" t="s">
        <v>13</v>
      </c>
      <c r="B36">
        <v>4</v>
      </c>
      <c r="C36" t="s">
        <v>10</v>
      </c>
      <c r="D36">
        <v>244.20113023002301</v>
      </c>
      <c r="I36">
        <f t="shared" si="0"/>
        <v>15328.504944538545</v>
      </c>
    </row>
    <row r="37" spans="1:9" x14ac:dyDescent="0.25">
      <c r="A37" t="s">
        <v>13</v>
      </c>
      <c r="B37">
        <v>1</v>
      </c>
      <c r="C37" t="s">
        <v>11</v>
      </c>
      <c r="D37">
        <v>236.660995536705</v>
      </c>
      <c r="I37">
        <f t="shared" ref="I37:I68" si="1">D37*62.77</f>
        <v>14855.210689838974</v>
      </c>
    </row>
    <row r="38" spans="1:9" x14ac:dyDescent="0.25">
      <c r="A38" t="s">
        <v>13</v>
      </c>
      <c r="B38">
        <v>2</v>
      </c>
      <c r="C38" t="s">
        <v>11</v>
      </c>
      <c r="D38">
        <v>229.81232198692601</v>
      </c>
      <c r="I38">
        <f t="shared" si="1"/>
        <v>14425.319451119347</v>
      </c>
    </row>
    <row r="39" spans="1:9" x14ac:dyDescent="0.25">
      <c r="A39" t="s">
        <v>13</v>
      </c>
      <c r="B39">
        <v>3</v>
      </c>
      <c r="C39" t="s">
        <v>11</v>
      </c>
      <c r="D39">
        <v>228.140813668726</v>
      </c>
      <c r="I39">
        <f t="shared" si="1"/>
        <v>14320.398873985932</v>
      </c>
    </row>
    <row r="40" spans="1:9" x14ac:dyDescent="0.25">
      <c r="A40" t="s">
        <v>13</v>
      </c>
      <c r="B40">
        <v>4</v>
      </c>
      <c r="C40" t="s">
        <v>11</v>
      </c>
      <c r="D40">
        <v>238.60949015435801</v>
      </c>
      <c r="I40">
        <f t="shared" si="1"/>
        <v>14977.517696989053</v>
      </c>
    </row>
    <row r="41" spans="1:9" x14ac:dyDescent="0.25">
      <c r="A41" t="s">
        <v>14</v>
      </c>
      <c r="B41">
        <v>1</v>
      </c>
      <c r="C41" t="s">
        <v>8</v>
      </c>
      <c r="D41">
        <v>214.00401138655499</v>
      </c>
      <c r="I41">
        <f t="shared" si="1"/>
        <v>13433.031794734057</v>
      </c>
    </row>
    <row r="42" spans="1:9" x14ac:dyDescent="0.25">
      <c r="A42" t="s">
        <v>14</v>
      </c>
      <c r="B42">
        <v>2</v>
      </c>
      <c r="C42" t="s">
        <v>8</v>
      </c>
      <c r="D42">
        <v>221.87830500000001</v>
      </c>
      <c r="I42">
        <f t="shared" si="1"/>
        <v>13927.301204850002</v>
      </c>
    </row>
    <row r="43" spans="1:9" x14ac:dyDescent="0.25">
      <c r="A43" t="s">
        <v>14</v>
      </c>
      <c r="B43">
        <v>3</v>
      </c>
      <c r="C43" t="s">
        <v>8</v>
      </c>
      <c r="D43">
        <v>199.35975252100801</v>
      </c>
      <c r="I43">
        <f t="shared" si="1"/>
        <v>12513.811665743673</v>
      </c>
    </row>
    <row r="44" spans="1:9" x14ac:dyDescent="0.25">
      <c r="A44" t="s">
        <v>14</v>
      </c>
      <c r="B44">
        <v>4</v>
      </c>
      <c r="C44" t="s">
        <v>8</v>
      </c>
      <c r="D44">
        <v>198.99063642857101</v>
      </c>
      <c r="I44">
        <f t="shared" si="1"/>
        <v>12490.642248621403</v>
      </c>
    </row>
    <row r="45" spans="1:9" x14ac:dyDescent="0.25">
      <c r="A45" t="s">
        <v>14</v>
      </c>
      <c r="B45">
        <v>1</v>
      </c>
      <c r="C45" t="s">
        <v>9</v>
      </c>
      <c r="D45">
        <v>198.49747500000001</v>
      </c>
      <c r="I45">
        <f t="shared" si="1"/>
        <v>12459.686505750002</v>
      </c>
    </row>
    <row r="46" spans="1:9" x14ac:dyDescent="0.25">
      <c r="A46" t="s">
        <v>14</v>
      </c>
      <c r="B46">
        <v>2</v>
      </c>
      <c r="C46" t="s">
        <v>9</v>
      </c>
      <c r="D46">
        <v>199.73037857142899</v>
      </c>
      <c r="I46">
        <f t="shared" si="1"/>
        <v>12537.075862928597</v>
      </c>
    </row>
    <row r="47" spans="1:9" x14ac:dyDescent="0.25">
      <c r="A47" t="s">
        <v>14</v>
      </c>
      <c r="B47">
        <v>3</v>
      </c>
      <c r="C47" t="s">
        <v>9</v>
      </c>
      <c r="D47">
        <v>203.237050084034</v>
      </c>
      <c r="I47">
        <f t="shared" si="1"/>
        <v>12757.189633774815</v>
      </c>
    </row>
    <row r="48" spans="1:9" x14ac:dyDescent="0.25">
      <c r="A48" t="s">
        <v>14</v>
      </c>
      <c r="B48">
        <v>4</v>
      </c>
      <c r="C48" t="s">
        <v>9</v>
      </c>
      <c r="D48">
        <v>194.020266554622</v>
      </c>
      <c r="I48">
        <f t="shared" si="1"/>
        <v>12178.652131633624</v>
      </c>
    </row>
    <row r="49" spans="1:9" x14ac:dyDescent="0.25">
      <c r="A49" t="s">
        <v>14</v>
      </c>
      <c r="B49">
        <v>1</v>
      </c>
      <c r="C49" t="s">
        <v>10</v>
      </c>
      <c r="D49">
        <v>182.40704243697499</v>
      </c>
      <c r="I49">
        <f t="shared" si="1"/>
        <v>11449.69005376892</v>
      </c>
    </row>
    <row r="50" spans="1:9" x14ac:dyDescent="0.25">
      <c r="A50" t="s">
        <v>14</v>
      </c>
      <c r="B50">
        <v>2</v>
      </c>
      <c r="C50" t="s">
        <v>10</v>
      </c>
      <c r="D50">
        <v>201.05392537815101</v>
      </c>
      <c r="I50">
        <f t="shared" si="1"/>
        <v>12620.154895986539</v>
      </c>
    </row>
    <row r="51" spans="1:9" x14ac:dyDescent="0.25">
      <c r="A51" t="s">
        <v>14</v>
      </c>
      <c r="B51">
        <v>3</v>
      </c>
      <c r="C51" t="s">
        <v>10</v>
      </c>
      <c r="D51">
        <v>196.82631756302499</v>
      </c>
      <c r="I51">
        <f t="shared" si="1"/>
        <v>12354.78795343108</v>
      </c>
    </row>
    <row r="52" spans="1:9" x14ac:dyDescent="0.25">
      <c r="A52" t="s">
        <v>14</v>
      </c>
      <c r="B52">
        <v>4</v>
      </c>
      <c r="C52" t="s">
        <v>10</v>
      </c>
      <c r="D52">
        <v>206.96417546218501</v>
      </c>
      <c r="I52">
        <f t="shared" si="1"/>
        <v>12991.141293761353</v>
      </c>
    </row>
    <row r="53" spans="1:9" x14ac:dyDescent="0.25">
      <c r="A53" t="s">
        <v>14</v>
      </c>
      <c r="B53">
        <v>1</v>
      </c>
      <c r="C53" t="s">
        <v>11</v>
      </c>
      <c r="D53">
        <v>215.874208739496</v>
      </c>
      <c r="I53">
        <f t="shared" si="1"/>
        <v>13550.424082578165</v>
      </c>
    </row>
    <row r="54" spans="1:9" x14ac:dyDescent="0.25">
      <c r="A54" t="s">
        <v>14</v>
      </c>
      <c r="B54">
        <v>2</v>
      </c>
      <c r="C54" t="s">
        <v>11</v>
      </c>
      <c r="D54">
        <v>231.456837857143</v>
      </c>
      <c r="I54">
        <f t="shared" si="1"/>
        <v>14528.545712292867</v>
      </c>
    </row>
    <row r="55" spans="1:9" x14ac:dyDescent="0.25">
      <c r="A55" t="s">
        <v>14</v>
      </c>
      <c r="B55">
        <v>3</v>
      </c>
      <c r="C55" t="s">
        <v>11</v>
      </c>
      <c r="D55">
        <v>206.74495701680701</v>
      </c>
      <c r="I55">
        <f t="shared" si="1"/>
        <v>12977.380951944977</v>
      </c>
    </row>
    <row r="56" spans="1:9" x14ac:dyDescent="0.25">
      <c r="A56" t="s">
        <v>14</v>
      </c>
      <c r="B56">
        <v>4</v>
      </c>
      <c r="C56" t="s">
        <v>11</v>
      </c>
      <c r="D56">
        <v>196.53247058823499</v>
      </c>
      <c r="I56">
        <f t="shared" si="1"/>
        <v>12336.34317882351</v>
      </c>
    </row>
    <row r="57" spans="1:9" x14ac:dyDescent="0.25">
      <c r="A57" t="s">
        <v>15</v>
      </c>
      <c r="B57">
        <v>1</v>
      </c>
      <c r="C57" t="s">
        <v>12</v>
      </c>
      <c r="D57">
        <v>186.81973546933699</v>
      </c>
      <c r="I57">
        <f t="shared" si="1"/>
        <v>11726.674795410283</v>
      </c>
    </row>
    <row r="58" spans="1:9" x14ac:dyDescent="0.25">
      <c r="A58" t="s">
        <v>15</v>
      </c>
      <c r="B58">
        <v>2</v>
      </c>
      <c r="C58" t="s">
        <v>12</v>
      </c>
      <c r="D58">
        <v>153.84439100661501</v>
      </c>
      <c r="I58">
        <f t="shared" si="1"/>
        <v>9656.8124234852239</v>
      </c>
    </row>
    <row r="59" spans="1:9" x14ac:dyDescent="0.25">
      <c r="A59" t="s">
        <v>15</v>
      </c>
      <c r="B59">
        <v>3</v>
      </c>
      <c r="C59" t="s">
        <v>12</v>
      </c>
      <c r="D59">
        <v>158.37210370105501</v>
      </c>
      <c r="I59">
        <f t="shared" si="1"/>
        <v>9941.0169493152243</v>
      </c>
    </row>
    <row r="60" spans="1:9" x14ac:dyDescent="0.25">
      <c r="A60" t="s">
        <v>15</v>
      </c>
      <c r="B60">
        <v>4</v>
      </c>
      <c r="C60" t="s">
        <v>12</v>
      </c>
      <c r="D60">
        <v>161.56809381369601</v>
      </c>
      <c r="I60">
        <f t="shared" si="1"/>
        <v>10141.629248685698</v>
      </c>
    </row>
    <row r="61" spans="1:9" x14ac:dyDescent="0.25">
      <c r="A61" t="s">
        <v>15</v>
      </c>
      <c r="B61">
        <v>1</v>
      </c>
      <c r="C61" t="s">
        <v>8</v>
      </c>
      <c r="D61">
        <v>235.58354718397999</v>
      </c>
      <c r="I61">
        <f t="shared" si="1"/>
        <v>14787.579256738425</v>
      </c>
    </row>
    <row r="62" spans="1:9" x14ac:dyDescent="0.25">
      <c r="A62" t="s">
        <v>15</v>
      </c>
      <c r="B62">
        <v>2</v>
      </c>
      <c r="C62" t="s">
        <v>8</v>
      </c>
      <c r="D62">
        <v>229.24687951367801</v>
      </c>
      <c r="I62">
        <f t="shared" si="1"/>
        <v>14389.826627073569</v>
      </c>
    </row>
    <row r="63" spans="1:9" x14ac:dyDescent="0.25">
      <c r="A63" t="s">
        <v>15</v>
      </c>
      <c r="B63">
        <v>3</v>
      </c>
      <c r="C63" t="s">
        <v>8</v>
      </c>
      <c r="D63">
        <v>238.18485334167701</v>
      </c>
      <c r="I63">
        <f t="shared" si="1"/>
        <v>14950.863244257067</v>
      </c>
    </row>
    <row r="64" spans="1:9" x14ac:dyDescent="0.25">
      <c r="A64" t="s">
        <v>15</v>
      </c>
      <c r="B64">
        <v>4</v>
      </c>
      <c r="C64" t="s">
        <v>8</v>
      </c>
      <c r="D64">
        <v>232.076616710173</v>
      </c>
      <c r="I64">
        <f t="shared" si="1"/>
        <v>14567.44923089756</v>
      </c>
    </row>
    <row r="65" spans="1:9" x14ac:dyDescent="0.25">
      <c r="A65" t="s">
        <v>15</v>
      </c>
      <c r="B65">
        <v>1</v>
      </c>
      <c r="C65" t="s">
        <v>9</v>
      </c>
      <c r="D65">
        <v>228.055486644019</v>
      </c>
      <c r="I65">
        <f t="shared" si="1"/>
        <v>14315.042896645073</v>
      </c>
    </row>
    <row r="66" spans="1:9" x14ac:dyDescent="0.25">
      <c r="A66" t="s">
        <v>15</v>
      </c>
      <c r="B66">
        <v>2</v>
      </c>
      <c r="C66" t="s">
        <v>9</v>
      </c>
      <c r="D66">
        <v>244.26459645270899</v>
      </c>
      <c r="I66">
        <f t="shared" si="1"/>
        <v>15332.488719336543</v>
      </c>
    </row>
    <row r="67" spans="1:9" x14ac:dyDescent="0.25">
      <c r="A67" t="s">
        <v>15</v>
      </c>
      <c r="B67">
        <v>3</v>
      </c>
      <c r="C67" t="s">
        <v>9</v>
      </c>
      <c r="D67">
        <v>234.59811219381399</v>
      </c>
      <c r="I67">
        <f t="shared" si="1"/>
        <v>14725.723502405704</v>
      </c>
    </row>
    <row r="68" spans="1:9" x14ac:dyDescent="0.25">
      <c r="A68" t="s">
        <v>15</v>
      </c>
      <c r="B68">
        <v>4</v>
      </c>
      <c r="C68" t="s">
        <v>9</v>
      </c>
      <c r="D68">
        <v>243.477736027177</v>
      </c>
      <c r="I68">
        <f t="shared" si="1"/>
        <v>15283.097490425902</v>
      </c>
    </row>
    <row r="69" spans="1:9" x14ac:dyDescent="0.25">
      <c r="A69" t="s">
        <v>15</v>
      </c>
      <c r="B69">
        <v>1</v>
      </c>
      <c r="C69" t="s">
        <v>10</v>
      </c>
      <c r="D69">
        <v>241.37497496513501</v>
      </c>
      <c r="I69">
        <f t="shared" ref="I69:I76" si="2">D69*62.77</f>
        <v>15151.107178561526</v>
      </c>
    </row>
    <row r="70" spans="1:9" x14ac:dyDescent="0.25">
      <c r="A70" t="s">
        <v>15</v>
      </c>
      <c r="B70">
        <v>2</v>
      </c>
      <c r="C70" t="s">
        <v>10</v>
      </c>
      <c r="D70">
        <v>228.64023271947099</v>
      </c>
      <c r="I70">
        <f t="shared" si="2"/>
        <v>14351.747407801195</v>
      </c>
    </row>
    <row r="71" spans="1:9" x14ac:dyDescent="0.25">
      <c r="A71" t="s">
        <v>15</v>
      </c>
      <c r="B71">
        <v>3</v>
      </c>
      <c r="C71" t="s">
        <v>10</v>
      </c>
      <c r="D71">
        <v>231.58555617736499</v>
      </c>
      <c r="I71">
        <f t="shared" si="2"/>
        <v>14536.625361253202</v>
      </c>
    </row>
    <row r="72" spans="1:9" x14ac:dyDescent="0.25">
      <c r="A72" t="s">
        <v>15</v>
      </c>
      <c r="B72">
        <v>4</v>
      </c>
      <c r="C72" t="s">
        <v>10</v>
      </c>
      <c r="D72">
        <v>238.26816875379899</v>
      </c>
      <c r="I72">
        <f t="shared" si="2"/>
        <v>14956.092952675963</v>
      </c>
    </row>
    <row r="73" spans="1:9" x14ac:dyDescent="0.25">
      <c r="A73" t="s">
        <v>15</v>
      </c>
      <c r="B73">
        <v>1</v>
      </c>
      <c r="C73" t="s">
        <v>11</v>
      </c>
      <c r="D73">
        <v>253.35500302163399</v>
      </c>
      <c r="I73">
        <f t="shared" si="2"/>
        <v>15903.093539667967</v>
      </c>
    </row>
    <row r="74" spans="1:9" x14ac:dyDescent="0.25">
      <c r="A74" t="s">
        <v>15</v>
      </c>
      <c r="B74">
        <v>2</v>
      </c>
      <c r="C74" t="s">
        <v>11</v>
      </c>
      <c r="D74">
        <v>254.01702857142899</v>
      </c>
      <c r="I74">
        <f t="shared" si="2"/>
        <v>15944.648883428599</v>
      </c>
    </row>
    <row r="75" spans="1:9" x14ac:dyDescent="0.25">
      <c r="A75" t="s">
        <v>15</v>
      </c>
      <c r="B75">
        <v>3</v>
      </c>
      <c r="C75" t="s">
        <v>11</v>
      </c>
      <c r="D75">
        <v>249.67567058823499</v>
      </c>
      <c r="I75">
        <f t="shared" si="2"/>
        <v>15672.141842823512</v>
      </c>
    </row>
    <row r="76" spans="1:9" x14ac:dyDescent="0.25">
      <c r="A76" t="s">
        <v>15</v>
      </c>
      <c r="B76">
        <v>4</v>
      </c>
      <c r="C76" t="s">
        <v>11</v>
      </c>
      <c r="D76">
        <v>238.590207452172</v>
      </c>
      <c r="I76">
        <f t="shared" si="2"/>
        <v>14976.307321772836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3"/>
  <sheetViews>
    <sheetView zoomScaleNormal="100" workbookViewId="0">
      <selection activeCell="P4" sqref="P4"/>
    </sheetView>
  </sheetViews>
  <sheetFormatPr defaultRowHeight="15" x14ac:dyDescent="0.25"/>
  <cols>
    <col min="1" max="1" width="11.85546875" customWidth="1"/>
    <col min="2" max="2" width="8.5703125" customWidth="1"/>
    <col min="3" max="3" width="16" customWidth="1"/>
    <col min="4" max="12" width="8.5703125" customWidth="1"/>
    <col min="13" max="13" width="11.28515625" customWidth="1"/>
    <col min="14" max="1022" width="8.5703125" customWidth="1"/>
    <col min="1023" max="1025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</row>
    <row r="2" spans="1:23" x14ac:dyDescent="0.25">
      <c r="D2" t="s">
        <v>5</v>
      </c>
      <c r="L2" t="s">
        <v>28</v>
      </c>
      <c r="M2" t="s">
        <v>28</v>
      </c>
    </row>
    <row r="3" spans="1:23" x14ac:dyDescent="0.25">
      <c r="G3" t="s">
        <v>29</v>
      </c>
    </row>
    <row r="4" spans="1:23" x14ac:dyDescent="0.25">
      <c r="A4" s="1" t="s">
        <v>7</v>
      </c>
      <c r="B4" s="1">
        <v>1</v>
      </c>
      <c r="C4" s="1" t="s">
        <v>30</v>
      </c>
      <c r="D4" s="1">
        <v>206.30243587869899</v>
      </c>
      <c r="E4" s="1"/>
      <c r="F4" s="2">
        <f>AVERAGE(L4:L103)</f>
        <v>13236.156623350509</v>
      </c>
      <c r="G4" s="1" t="s">
        <v>31</v>
      </c>
      <c r="H4" s="1"/>
      <c r="I4" s="1" t="s">
        <v>32</v>
      </c>
      <c r="J4" s="1">
        <f>AVERAGE(L4:L27)</f>
        <v>12945.524414934389</v>
      </c>
      <c r="K4" s="1">
        <f>AVERAGE(L4:L6)</f>
        <v>13724.2912601191</v>
      </c>
      <c r="L4" s="1">
        <f t="shared" ref="L4:L24" si="0">D4*62.77</f>
        <v>12949.603900105936</v>
      </c>
      <c r="M4" s="1">
        <f>6132*2</f>
        <v>12264</v>
      </c>
      <c r="N4" s="1">
        <f t="shared" ref="N4:N24" si="1">(M4-L4)</f>
        <v>-685.60390010593619</v>
      </c>
      <c r="O4">
        <f t="shared" ref="O4:O24" si="2">N4*N4</f>
        <v>470052.70784047054</v>
      </c>
      <c r="P4">
        <f>SQRT(SUMSQ(N4:N6)*100/(COUNTA(N4:N6)*AVERAGE(L4:L6)))</f>
        <v>137.45924475035235</v>
      </c>
      <c r="Q4">
        <f>SQRT(SUM(O4:O103)*100/((103-4+1-4)*F4))</f>
        <v>182.45022372986963</v>
      </c>
      <c r="R4" s="3">
        <f>1-(SUM(M4:M6)/SUM(L4:L6))</f>
        <v>0.10640194327283814</v>
      </c>
      <c r="S4">
        <f>1-(SUM(M4:M103)/SUM(L4:L103))</f>
        <v>0.12583354096502342</v>
      </c>
      <c r="T4">
        <f t="shared" ref="T4:T24" si="3">(ABS(M4-J4)+ABS(L4-J4))^2</f>
        <v>470052.70784047054</v>
      </c>
      <c r="U4" s="59">
        <f>1-((SUM(O4:O24))/(SUM(T4:T24)))</f>
        <v>0.82064900103435812</v>
      </c>
      <c r="V4" s="59">
        <f>1-((SUM(O4:O103))/(SUM(T4:T103)))</f>
        <v>0.70668883420020989</v>
      </c>
      <c r="W4" s="59"/>
    </row>
    <row r="5" spans="1:23" x14ac:dyDescent="0.25">
      <c r="A5" s="1" t="s">
        <v>7</v>
      </c>
      <c r="B5" s="1">
        <v>2</v>
      </c>
      <c r="C5" s="1" t="s">
        <v>30</v>
      </c>
      <c r="D5" s="1">
        <v>216.993495432956</v>
      </c>
      <c r="E5" s="1"/>
      <c r="F5" s="1"/>
      <c r="G5" s="1" t="s">
        <v>30</v>
      </c>
      <c r="H5" s="1"/>
      <c r="I5" s="1"/>
      <c r="J5" s="1">
        <v>12945.5</v>
      </c>
      <c r="K5" s="1"/>
      <c r="L5" s="1">
        <f t="shared" si="0"/>
        <v>13620.681708326649</v>
      </c>
      <c r="M5" s="1">
        <v>12264</v>
      </c>
      <c r="N5" s="1">
        <f t="shared" si="1"/>
        <v>-1356.6817083266487</v>
      </c>
      <c r="O5">
        <f t="shared" si="2"/>
        <v>1840585.2577081139</v>
      </c>
      <c r="T5">
        <f t="shared" si="3"/>
        <v>1840585.2577081139</v>
      </c>
    </row>
    <row r="6" spans="1:23" x14ac:dyDescent="0.25">
      <c r="A6" s="1" t="s">
        <v>7</v>
      </c>
      <c r="B6" s="1">
        <v>3</v>
      </c>
      <c r="C6" s="1" t="s">
        <v>30</v>
      </c>
      <c r="D6" s="1">
        <v>232.636421410303</v>
      </c>
      <c r="E6" s="1"/>
      <c r="F6" s="1"/>
      <c r="G6" s="1" t="s">
        <v>33</v>
      </c>
      <c r="H6" s="1"/>
      <c r="I6" s="1"/>
      <c r="J6" s="1">
        <v>12945.5</v>
      </c>
      <c r="K6" s="1"/>
      <c r="L6" s="1">
        <f t="shared" si="0"/>
        <v>14602.588171924721</v>
      </c>
      <c r="M6" s="1">
        <v>12264</v>
      </c>
      <c r="N6" s="1">
        <f t="shared" si="1"/>
        <v>-2338.5881719247209</v>
      </c>
      <c r="O6">
        <f t="shared" si="2"/>
        <v>5468994.6378662083</v>
      </c>
      <c r="T6">
        <f t="shared" si="3"/>
        <v>5468994.6378662083</v>
      </c>
    </row>
    <row r="7" spans="1:23" x14ac:dyDescent="0.25">
      <c r="A7" s="4" t="s">
        <v>7</v>
      </c>
      <c r="B7" s="4">
        <v>1</v>
      </c>
      <c r="C7" s="4" t="s">
        <v>29</v>
      </c>
      <c r="D7" s="4">
        <v>216.66122510047501</v>
      </c>
      <c r="E7" s="4"/>
      <c r="F7" s="4"/>
      <c r="G7" s="4" t="s">
        <v>34</v>
      </c>
      <c r="H7" s="4"/>
      <c r="I7" s="4" t="s">
        <v>35</v>
      </c>
      <c r="J7" s="1">
        <v>12945.5</v>
      </c>
      <c r="K7" s="4">
        <f>AVERAGE(L7:L12)</f>
        <v>13443.621146137919</v>
      </c>
      <c r="L7" s="4">
        <f t="shared" si="0"/>
        <v>13599.825099556818</v>
      </c>
      <c r="M7" s="4">
        <f>6021*2</f>
        <v>12042</v>
      </c>
      <c r="N7" s="1">
        <f t="shared" si="1"/>
        <v>-1557.8250995568178</v>
      </c>
      <c r="O7">
        <f t="shared" si="2"/>
        <v>2426819.0408092095</v>
      </c>
      <c r="P7">
        <f>SQRT(SUMSQ(N7:N12)*100/(COUNTA(N7:N12)*AVERAGE(L7:L12)))</f>
        <v>136.04952495382958</v>
      </c>
      <c r="R7" s="3">
        <f>1-(SUM(M7:M12)/SUM(L7:L12))</f>
        <v>0.10425919704979014</v>
      </c>
      <c r="T7">
        <f t="shared" si="3"/>
        <v>2426819.0408092095</v>
      </c>
    </row>
    <row r="8" spans="1:23" x14ac:dyDescent="0.25">
      <c r="A8" s="4" t="s">
        <v>7</v>
      </c>
      <c r="B8" s="4">
        <v>2</v>
      </c>
      <c r="C8" s="4" t="s">
        <v>29</v>
      </c>
      <c r="D8" s="4">
        <v>226.571522981366</v>
      </c>
      <c r="E8" s="4"/>
      <c r="F8" s="4"/>
      <c r="G8" s="4" t="s">
        <v>36</v>
      </c>
      <c r="H8" s="4"/>
      <c r="I8" s="4"/>
      <c r="J8" s="1">
        <v>12945.5</v>
      </c>
      <c r="K8" s="4"/>
      <c r="L8" s="4">
        <f t="shared" si="0"/>
        <v>14221.894497540345</v>
      </c>
      <c r="M8" s="4">
        <v>12042</v>
      </c>
      <c r="N8" s="1">
        <f t="shared" si="1"/>
        <v>-2179.8944975403447</v>
      </c>
      <c r="O8">
        <f t="shared" si="2"/>
        <v>4751940.0204066718</v>
      </c>
      <c r="T8">
        <f t="shared" si="3"/>
        <v>4751940.0204066718</v>
      </c>
    </row>
    <row r="9" spans="1:23" x14ac:dyDescent="0.25">
      <c r="A9" s="4" t="s">
        <v>7</v>
      </c>
      <c r="B9" s="4">
        <v>3</v>
      </c>
      <c r="C9" s="4" t="s">
        <v>29</v>
      </c>
      <c r="D9" s="4">
        <v>222.956456777494</v>
      </c>
      <c r="E9" s="4"/>
      <c r="F9" s="4"/>
      <c r="G9" s="4" t="s">
        <v>12</v>
      </c>
      <c r="H9" s="4"/>
      <c r="I9" s="4"/>
      <c r="J9" s="1">
        <v>12945.5</v>
      </c>
      <c r="K9" s="4"/>
      <c r="L9" s="4">
        <f t="shared" si="0"/>
        <v>13994.976791923298</v>
      </c>
      <c r="M9" s="4">
        <v>12042</v>
      </c>
      <c r="N9" s="1">
        <f t="shared" si="1"/>
        <v>-1952.9767919232982</v>
      </c>
      <c r="O9">
        <f t="shared" si="2"/>
        <v>3814118.3497910174</v>
      </c>
      <c r="T9">
        <f t="shared" si="3"/>
        <v>3814118.3497910174</v>
      </c>
    </row>
    <row r="10" spans="1:23" x14ac:dyDescent="0.25">
      <c r="A10" s="4" t="s">
        <v>7</v>
      </c>
      <c r="B10" s="4">
        <v>1</v>
      </c>
      <c r="C10" s="4" t="s">
        <v>31</v>
      </c>
      <c r="D10" s="4">
        <v>199.712175520643</v>
      </c>
      <c r="E10" s="4"/>
      <c r="F10" s="4"/>
      <c r="G10" s="4"/>
      <c r="H10" s="4"/>
      <c r="I10" s="4"/>
      <c r="J10" s="1">
        <v>12945.5</v>
      </c>
      <c r="K10" s="4"/>
      <c r="L10" s="4">
        <f t="shared" si="0"/>
        <v>12535.933257430761</v>
      </c>
      <c r="M10" s="4">
        <v>12042</v>
      </c>
      <c r="N10" s="1">
        <f t="shared" si="1"/>
        <v>-493.93325743076093</v>
      </c>
      <c r="O10">
        <f t="shared" si="2"/>
        <v>243970.06279616235</v>
      </c>
      <c r="T10">
        <f t="shared" si="3"/>
        <v>1724144.2704413924</v>
      </c>
    </row>
    <row r="11" spans="1:23" x14ac:dyDescent="0.25">
      <c r="A11" s="4" t="s">
        <v>7</v>
      </c>
      <c r="B11" s="4">
        <v>2</v>
      </c>
      <c r="C11" s="4" t="s">
        <v>31</v>
      </c>
      <c r="D11" s="4">
        <v>197.136612933869</v>
      </c>
      <c r="E11" s="4"/>
      <c r="F11" s="4"/>
      <c r="G11" s="4"/>
      <c r="H11" s="4"/>
      <c r="I11" s="4"/>
      <c r="J11" s="1">
        <v>12945.5</v>
      </c>
      <c r="K11" s="4"/>
      <c r="L11" s="4">
        <f t="shared" si="0"/>
        <v>12374.265193858959</v>
      </c>
      <c r="M11" s="4">
        <v>12042</v>
      </c>
      <c r="N11" s="1">
        <f t="shared" si="1"/>
        <v>-332.26519385895881</v>
      </c>
      <c r="O11">
        <f t="shared" si="2"/>
        <v>110400.15905013148</v>
      </c>
      <c r="T11">
        <f t="shared" si="3"/>
        <v>2174842.7484438545</v>
      </c>
    </row>
    <row r="12" spans="1:23" x14ac:dyDescent="0.25">
      <c r="A12" s="4" t="s">
        <v>7</v>
      </c>
      <c r="B12" s="4">
        <v>3</v>
      </c>
      <c r="C12" s="4" t="s">
        <v>31</v>
      </c>
      <c r="D12" s="4">
        <v>221.99828001461401</v>
      </c>
      <c r="E12" s="4"/>
      <c r="F12" s="4"/>
      <c r="G12" s="4"/>
      <c r="H12" s="4"/>
      <c r="I12" s="4"/>
      <c r="J12" s="1">
        <v>12945.5</v>
      </c>
      <c r="K12" s="4"/>
      <c r="L12" s="4">
        <f t="shared" si="0"/>
        <v>13934.832036517322</v>
      </c>
      <c r="M12" s="4">
        <v>12042</v>
      </c>
      <c r="N12" s="1">
        <f t="shared" si="1"/>
        <v>-1892.8320365173222</v>
      </c>
      <c r="O12">
        <f t="shared" si="2"/>
        <v>3582813.1184663135</v>
      </c>
      <c r="T12">
        <f t="shared" si="3"/>
        <v>3582813.1184663135</v>
      </c>
    </row>
    <row r="13" spans="1:23" x14ac:dyDescent="0.25">
      <c r="A13" s="5" t="s">
        <v>7</v>
      </c>
      <c r="B13" s="5">
        <v>1</v>
      </c>
      <c r="C13" s="5" t="s">
        <v>12</v>
      </c>
      <c r="D13" s="5">
        <v>128.578393131166</v>
      </c>
      <c r="E13" s="5"/>
      <c r="F13" s="5"/>
      <c r="G13" s="5"/>
      <c r="H13" s="5"/>
      <c r="I13" s="5"/>
      <c r="J13" s="1">
        <v>12945.5</v>
      </c>
      <c r="K13" s="5">
        <f>AVERAGE(L13:L15)</f>
        <v>9045.3238278447316</v>
      </c>
      <c r="L13" s="5">
        <f t="shared" si="0"/>
        <v>8070.8657368432896</v>
      </c>
      <c r="M13" s="5">
        <f>4302*2</f>
        <v>8604</v>
      </c>
      <c r="N13" s="1">
        <f t="shared" si="1"/>
        <v>533.1342631567104</v>
      </c>
      <c r="O13">
        <f t="shared" si="2"/>
        <v>284232.14255164855</v>
      </c>
      <c r="P13">
        <f>SQRT(SUMSQ(N13:N15)*100/(COUNTA(N13:N15)*AVERAGE(L13:L15)))</f>
        <v>87.29691104069046</v>
      </c>
      <c r="R13" s="3">
        <f>1-(SUM(M13:M15)/SUM(L13:L15))</f>
        <v>4.8790273985125809E-2</v>
      </c>
      <c r="T13">
        <f t="shared" si="3"/>
        <v>84937130.75653106</v>
      </c>
    </row>
    <row r="14" spans="1:23" x14ac:dyDescent="0.25">
      <c r="A14" s="5" t="s">
        <v>7</v>
      </c>
      <c r="B14" s="5">
        <v>2</v>
      </c>
      <c r="C14" s="5" t="s">
        <v>12</v>
      </c>
      <c r="D14" s="5">
        <v>149.12130186335401</v>
      </c>
      <c r="E14" s="5"/>
      <c r="F14" s="5"/>
      <c r="G14" s="5"/>
      <c r="H14" s="5"/>
      <c r="I14" s="5"/>
      <c r="J14" s="1">
        <v>12945.5</v>
      </c>
      <c r="K14" s="5"/>
      <c r="L14" s="5">
        <f t="shared" si="0"/>
        <v>9360.3441179627316</v>
      </c>
      <c r="M14" s="5">
        <v>8604</v>
      </c>
      <c r="N14" s="1">
        <f t="shared" si="1"/>
        <v>-756.34411796273162</v>
      </c>
      <c r="O14">
        <f t="shared" si="2"/>
        <v>572056.42477682244</v>
      </c>
      <c r="T14">
        <f t="shared" si="3"/>
        <v>62831873.472236022</v>
      </c>
    </row>
    <row r="15" spans="1:23" x14ac:dyDescent="0.25">
      <c r="A15" s="5" t="s">
        <v>7</v>
      </c>
      <c r="B15" s="5">
        <v>3</v>
      </c>
      <c r="C15" s="5" t="s">
        <v>12</v>
      </c>
      <c r="D15" s="5">
        <v>154.608278297406</v>
      </c>
      <c r="E15" s="5"/>
      <c r="F15" s="5"/>
      <c r="G15" s="5"/>
      <c r="H15" s="5"/>
      <c r="I15" s="5"/>
      <c r="J15" s="1">
        <v>12945.5</v>
      </c>
      <c r="K15" s="5"/>
      <c r="L15" s="5">
        <f t="shared" si="0"/>
        <v>9704.7616287281744</v>
      </c>
      <c r="M15" s="5">
        <v>8604</v>
      </c>
      <c r="N15" s="1">
        <f t="shared" si="1"/>
        <v>-1100.7616287281744</v>
      </c>
      <c r="O15">
        <f t="shared" si="2"/>
        <v>1211676.1632803034</v>
      </c>
      <c r="T15">
        <f t="shared" si="3"/>
        <v>57490338.718786828</v>
      </c>
    </row>
    <row r="16" spans="1:23" x14ac:dyDescent="0.25">
      <c r="A16" s="6" t="s">
        <v>7</v>
      </c>
      <c r="B16" s="6">
        <v>1</v>
      </c>
      <c r="C16" s="6" t="s">
        <v>36</v>
      </c>
      <c r="D16" s="6">
        <v>215.809322323712</v>
      </c>
      <c r="E16" s="6"/>
      <c r="F16" s="6"/>
      <c r="G16" s="6"/>
      <c r="H16" s="6"/>
      <c r="I16" s="6"/>
      <c r="J16" s="1">
        <v>12945.5</v>
      </c>
      <c r="K16" s="6">
        <f>AVERAGE(L16:L18)</f>
        <v>13635.577621020459</v>
      </c>
      <c r="L16" s="6">
        <f t="shared" si="0"/>
        <v>13546.351162259403</v>
      </c>
      <c r="M16" s="6">
        <v>12100</v>
      </c>
      <c r="N16" s="1">
        <f t="shared" si="1"/>
        <v>-1446.3511622594033</v>
      </c>
      <c r="O16">
        <f t="shared" si="2"/>
        <v>2091931.6845691267</v>
      </c>
      <c r="P16">
        <f>SQRT(SUMSQ(N16:N18)*100/(COUNTA(N16:N18)*AVERAGE(L16:L18)))</f>
        <v>133.54538877262837</v>
      </c>
      <c r="R16" s="3">
        <f>1-(SUM(M16:M18)/SUM(L16:L18))</f>
        <v>0.11403337633139632</v>
      </c>
      <c r="T16">
        <f t="shared" si="3"/>
        <v>2091931.6845691267</v>
      </c>
    </row>
    <row r="17" spans="1:21" x14ac:dyDescent="0.25">
      <c r="A17" s="6" t="s">
        <v>7</v>
      </c>
      <c r="B17" s="6">
        <v>2</v>
      </c>
      <c r="C17" s="6" t="s">
        <v>36</v>
      </c>
      <c r="D17" s="6">
        <v>219.24410869565199</v>
      </c>
      <c r="E17" s="6"/>
      <c r="F17" s="6"/>
      <c r="G17" s="6"/>
      <c r="H17" s="6"/>
      <c r="I17" s="6"/>
      <c r="J17" s="1">
        <v>12945.5</v>
      </c>
      <c r="K17" s="6"/>
      <c r="L17" s="6">
        <f t="shared" si="0"/>
        <v>13761.952702826076</v>
      </c>
      <c r="M17" s="6">
        <v>12042</v>
      </c>
      <c r="N17" s="1">
        <f t="shared" si="1"/>
        <v>-1719.9527028260763</v>
      </c>
      <c r="O17">
        <f t="shared" si="2"/>
        <v>2958237.2999587255</v>
      </c>
      <c r="T17">
        <f t="shared" si="3"/>
        <v>2958237.2999587255</v>
      </c>
    </row>
    <row r="18" spans="1:21" x14ac:dyDescent="0.25">
      <c r="A18" s="6" t="s">
        <v>7</v>
      </c>
      <c r="B18" s="6">
        <v>3</v>
      </c>
      <c r="C18" s="6" t="s">
        <v>36</v>
      </c>
      <c r="D18" s="6">
        <v>216.638983558641</v>
      </c>
      <c r="E18" s="6"/>
      <c r="F18" s="6"/>
      <c r="G18" s="6"/>
      <c r="H18" s="6"/>
      <c r="I18" s="6"/>
      <c r="J18" s="1">
        <v>12945.5</v>
      </c>
      <c r="K18" s="6"/>
      <c r="L18" s="6">
        <f t="shared" si="0"/>
        <v>13598.428997975896</v>
      </c>
      <c r="M18" s="6">
        <v>12100</v>
      </c>
      <c r="N18" s="1">
        <f t="shared" si="1"/>
        <v>-1498.428997975896</v>
      </c>
      <c r="O18">
        <f t="shared" si="2"/>
        <v>2245289.4619750478</v>
      </c>
      <c r="T18">
        <f t="shared" si="3"/>
        <v>2245289.4619750478</v>
      </c>
    </row>
    <row r="19" spans="1:21" x14ac:dyDescent="0.25">
      <c r="A19" s="7" t="s">
        <v>7</v>
      </c>
      <c r="B19" s="7">
        <v>1</v>
      </c>
      <c r="C19" s="7" t="s">
        <v>33</v>
      </c>
      <c r="D19" s="7">
        <v>209.379089660212</v>
      </c>
      <c r="E19" s="7"/>
      <c r="F19" s="7"/>
      <c r="G19" s="7"/>
      <c r="H19" s="7"/>
      <c r="I19" s="7"/>
      <c r="J19" s="1">
        <v>12945.5</v>
      </c>
      <c r="K19" s="7">
        <f>AVERAGE(L19:L24)</f>
        <v>13663.117951640301</v>
      </c>
      <c r="L19" s="7">
        <f t="shared" si="0"/>
        <v>13142.725457971508</v>
      </c>
      <c r="M19" s="7">
        <v>12280</v>
      </c>
      <c r="N19" s="1">
        <f t="shared" si="1"/>
        <v>-862.72545797150815</v>
      </c>
      <c r="O19">
        <f t="shared" si="2"/>
        <v>744295.21583214845</v>
      </c>
      <c r="P19">
        <f>SQRT(SUMSQ(N19:N27)*100/(COUNTA(N19:N27)*AVERAGE(L19:L27)))</f>
        <v>126.45242178570346</v>
      </c>
      <c r="R19" s="3">
        <f>1-(SUM(M19:M27)/SUM(L19:L27))</f>
        <v>0.10123003816081777</v>
      </c>
      <c r="T19">
        <f t="shared" si="3"/>
        <v>744295.21583214845</v>
      </c>
    </row>
    <row r="20" spans="1:21" x14ac:dyDescent="0.25">
      <c r="A20" s="7" t="s">
        <v>7</v>
      </c>
      <c r="B20" s="7">
        <v>1</v>
      </c>
      <c r="C20" s="7" t="s">
        <v>33</v>
      </c>
      <c r="D20" s="7">
        <v>216.83020511509</v>
      </c>
      <c r="E20" s="7"/>
      <c r="F20" s="7"/>
      <c r="G20" s="7"/>
      <c r="H20" s="7"/>
      <c r="I20" s="7"/>
      <c r="J20" s="1">
        <v>12945.5</v>
      </c>
      <c r="K20" s="7"/>
      <c r="L20" s="7">
        <f t="shared" si="0"/>
        <v>13610.4319750742</v>
      </c>
      <c r="M20" s="7">
        <v>12280</v>
      </c>
      <c r="N20" s="1">
        <f t="shared" si="1"/>
        <v>-1330.4319750741997</v>
      </c>
      <c r="O20">
        <f t="shared" si="2"/>
        <v>1770049.240299836</v>
      </c>
      <c r="T20">
        <f t="shared" si="3"/>
        <v>1770049.240299836</v>
      </c>
    </row>
    <row r="21" spans="1:21" x14ac:dyDescent="0.25">
      <c r="A21" s="7" t="s">
        <v>7</v>
      </c>
      <c r="B21" s="7">
        <v>2</v>
      </c>
      <c r="C21" s="7" t="s">
        <v>33</v>
      </c>
      <c r="D21" s="7">
        <v>218.44102590427499</v>
      </c>
      <c r="E21" s="7"/>
      <c r="F21" s="7"/>
      <c r="G21" s="7"/>
      <c r="H21" s="7"/>
      <c r="I21" s="7"/>
      <c r="J21" s="1">
        <v>12945.5</v>
      </c>
      <c r="K21" s="7"/>
      <c r="L21" s="7">
        <f t="shared" si="0"/>
        <v>13711.543196011342</v>
      </c>
      <c r="M21" s="7">
        <v>12280</v>
      </c>
      <c r="N21" s="1">
        <f t="shared" si="1"/>
        <v>-1431.5431960113419</v>
      </c>
      <c r="O21">
        <f t="shared" si="2"/>
        <v>2049315.9220463673</v>
      </c>
      <c r="T21">
        <f t="shared" si="3"/>
        <v>2049315.9220463673</v>
      </c>
    </row>
    <row r="22" spans="1:21" x14ac:dyDescent="0.25">
      <c r="A22" s="7" t="s">
        <v>7</v>
      </c>
      <c r="B22" s="7">
        <v>2</v>
      </c>
      <c r="C22" s="7" t="s">
        <v>33</v>
      </c>
      <c r="D22" s="7">
        <v>208.99497544757</v>
      </c>
      <c r="E22" s="7"/>
      <c r="F22" s="7"/>
      <c r="G22" s="7"/>
      <c r="H22" s="7"/>
      <c r="I22" s="7"/>
      <c r="J22" s="1">
        <v>12945.5</v>
      </c>
      <c r="K22" s="7"/>
      <c r="L22" s="7">
        <f t="shared" si="0"/>
        <v>13118.614608843969</v>
      </c>
      <c r="M22" s="7">
        <v>12280</v>
      </c>
      <c r="N22" s="1">
        <f t="shared" si="1"/>
        <v>-838.61460884396911</v>
      </c>
      <c r="O22">
        <f t="shared" si="2"/>
        <v>703274.46216652333</v>
      </c>
      <c r="T22">
        <f t="shared" si="3"/>
        <v>703274.46216652333</v>
      </c>
    </row>
    <row r="23" spans="1:21" x14ac:dyDescent="0.25">
      <c r="A23" s="7" t="s">
        <v>7</v>
      </c>
      <c r="B23" s="7">
        <v>3</v>
      </c>
      <c r="C23" s="7" t="s">
        <v>33</v>
      </c>
      <c r="D23" s="7">
        <v>218.32854497625101</v>
      </c>
      <c r="E23" s="7"/>
      <c r="F23" s="7"/>
      <c r="G23" s="7"/>
      <c r="H23" s="7"/>
      <c r="I23" s="7"/>
      <c r="J23" s="1">
        <v>12945.5</v>
      </c>
      <c r="K23" s="7"/>
      <c r="L23" s="7">
        <f t="shared" si="0"/>
        <v>13704.482768159276</v>
      </c>
      <c r="M23" s="7">
        <v>12280</v>
      </c>
      <c r="N23" s="1">
        <f t="shared" si="1"/>
        <v>-1424.482768159276</v>
      </c>
      <c r="O23">
        <f t="shared" si="2"/>
        <v>2029151.1567827137</v>
      </c>
      <c r="T23">
        <f t="shared" si="3"/>
        <v>2029151.1567827137</v>
      </c>
    </row>
    <row r="24" spans="1:21" x14ac:dyDescent="0.25">
      <c r="A24" s="7" t="s">
        <v>7</v>
      </c>
      <c r="B24" s="7">
        <v>3</v>
      </c>
      <c r="C24" s="7" t="s">
        <v>33</v>
      </c>
      <c r="D24" s="7">
        <v>234.04348739495799</v>
      </c>
      <c r="E24" s="7"/>
      <c r="F24" s="7"/>
      <c r="G24" s="7"/>
      <c r="H24" s="7"/>
      <c r="I24" s="7"/>
      <c r="J24" s="1">
        <v>12945.5</v>
      </c>
      <c r="K24" s="7"/>
      <c r="L24" s="7">
        <f t="shared" si="0"/>
        <v>14690.909703781514</v>
      </c>
      <c r="M24" s="7">
        <v>12280</v>
      </c>
      <c r="N24" s="1">
        <f t="shared" si="1"/>
        <v>-2410.9097037815136</v>
      </c>
      <c r="O24">
        <f t="shared" si="2"/>
        <v>5812485.5997878658</v>
      </c>
      <c r="T24">
        <f t="shared" si="3"/>
        <v>5812485.5997878658</v>
      </c>
    </row>
    <row r="25" spans="1:21" x14ac:dyDescent="0.25">
      <c r="A25" s="7" t="s">
        <v>7</v>
      </c>
      <c r="B25" s="7">
        <v>1</v>
      </c>
      <c r="C25" s="7" t="s">
        <v>34</v>
      </c>
      <c r="D25" s="7" t="s">
        <v>37</v>
      </c>
      <c r="E25" s="7" t="s">
        <v>38</v>
      </c>
      <c r="F25" s="7"/>
      <c r="G25" s="7"/>
      <c r="H25" s="7"/>
      <c r="I25" s="7"/>
      <c r="J25" s="1">
        <v>12945.5</v>
      </c>
      <c r="K25" s="7"/>
      <c r="L25" s="7"/>
      <c r="M25" s="7"/>
      <c r="N25" s="1"/>
    </row>
    <row r="26" spans="1:21" x14ac:dyDescent="0.25">
      <c r="A26" s="7" t="s">
        <v>7</v>
      </c>
      <c r="B26" s="7">
        <v>2</v>
      </c>
      <c r="C26" s="7" t="s">
        <v>34</v>
      </c>
      <c r="D26" s="7" t="s">
        <v>37</v>
      </c>
      <c r="E26" s="7"/>
      <c r="F26" s="7"/>
      <c r="G26" s="7"/>
      <c r="H26" s="7"/>
      <c r="I26" s="7"/>
      <c r="J26" s="1">
        <v>12945.5</v>
      </c>
      <c r="K26" s="7"/>
      <c r="L26" s="7"/>
      <c r="M26" s="7"/>
      <c r="N26" s="1"/>
    </row>
    <row r="27" spans="1:21" x14ac:dyDescent="0.25">
      <c r="A27" s="7" t="s">
        <v>7</v>
      </c>
      <c r="B27" s="7">
        <v>3</v>
      </c>
      <c r="C27" s="7" t="s">
        <v>34</v>
      </c>
      <c r="D27" s="7" t="s">
        <v>37</v>
      </c>
      <c r="E27" s="7"/>
      <c r="F27" s="7"/>
      <c r="G27" s="7"/>
      <c r="H27" s="7"/>
      <c r="I27" s="7"/>
      <c r="J27" s="1">
        <v>12945.5</v>
      </c>
      <c r="K27" s="7"/>
      <c r="L27" s="7"/>
      <c r="M27" s="7"/>
      <c r="N27" s="1"/>
    </row>
    <row r="28" spans="1:21" x14ac:dyDescent="0.25">
      <c r="A28" s="1" t="s">
        <v>13</v>
      </c>
      <c r="B28" s="1">
        <v>1</v>
      </c>
      <c r="C28" s="1" t="s">
        <v>30</v>
      </c>
      <c r="D28" s="1" t="s">
        <v>37</v>
      </c>
      <c r="E28" s="1"/>
      <c r="F28" s="1"/>
      <c r="G28" s="1"/>
      <c r="H28" s="1"/>
      <c r="I28" s="1"/>
      <c r="J28" s="1">
        <f>AVERAGE(L28:L50)</f>
        <v>14213.617558421012</v>
      </c>
      <c r="K28" s="1">
        <f>AVERAGE(L29:L30)</f>
        <v>14882.227695984351</v>
      </c>
      <c r="L28" s="1"/>
      <c r="M28" s="1"/>
      <c r="N28" s="1"/>
      <c r="P28">
        <f>SQRT(SUMSQ(N28:N30)*100/(COUNTA(N28:N30)*AVERAGE(L28:L30)))</f>
        <v>253.65429099537334</v>
      </c>
      <c r="R28" s="3">
        <f>1-(SUM(M28:M30)/SUM(L28:L30))</f>
        <v>0.20791428267283274</v>
      </c>
      <c r="U28">
        <f>1-((SUM(O28:O50))/(SUM(T28:T50)))</f>
        <v>0.48481965918111758</v>
      </c>
    </row>
    <row r="29" spans="1:21" x14ac:dyDescent="0.25">
      <c r="A29" s="1" t="s">
        <v>13</v>
      </c>
      <c r="B29" s="1">
        <v>2</v>
      </c>
      <c r="C29" s="1" t="s">
        <v>30</v>
      </c>
      <c r="D29" s="1">
        <v>236.57405495798301</v>
      </c>
      <c r="E29" s="1"/>
      <c r="F29" s="1"/>
      <c r="G29" s="1"/>
      <c r="H29" s="1"/>
      <c r="I29" s="1"/>
      <c r="J29" s="1">
        <v>14213.6</v>
      </c>
      <c r="K29" s="1"/>
      <c r="L29" s="1">
        <f t="shared" ref="L29:L60" si="4">D29*62.77</f>
        <v>14849.753429712595</v>
      </c>
      <c r="M29" s="1">
        <v>11788</v>
      </c>
      <c r="N29" s="1">
        <f t="shared" ref="N29:N60" si="5">(M29-L29)</f>
        <v>-3061.7534297125949</v>
      </c>
      <c r="O29">
        <f t="shared" ref="O29:O60" si="6">N29*N29</f>
        <v>9374334.0643568374</v>
      </c>
      <c r="T29">
        <f t="shared" ref="T29:T60" si="7">(ABS(M29-J29)+ABS(L29-J29))^2</f>
        <v>9374334.0643568374</v>
      </c>
    </row>
    <row r="30" spans="1:21" x14ac:dyDescent="0.25">
      <c r="A30" s="1" t="s">
        <v>13</v>
      </c>
      <c r="B30" s="1">
        <v>3</v>
      </c>
      <c r="C30" s="1" t="s">
        <v>30</v>
      </c>
      <c r="D30" s="1">
        <v>237.60876154621801</v>
      </c>
      <c r="E30" s="1"/>
      <c r="F30" s="1"/>
      <c r="G30" s="1"/>
      <c r="H30" s="1"/>
      <c r="I30" s="1"/>
      <c r="J30" s="1">
        <v>14213.6</v>
      </c>
      <c r="K30" s="1"/>
      <c r="L30" s="1">
        <f t="shared" si="4"/>
        <v>14914.701962256106</v>
      </c>
      <c r="M30" s="1">
        <v>11788</v>
      </c>
      <c r="N30" s="1">
        <f t="shared" si="5"/>
        <v>-3126.7019622561056</v>
      </c>
      <c r="O30">
        <f t="shared" si="6"/>
        <v>9776265.1607761811</v>
      </c>
      <c r="T30">
        <f t="shared" si="7"/>
        <v>9776265.1607761811</v>
      </c>
    </row>
    <row r="31" spans="1:21" x14ac:dyDescent="0.25">
      <c r="A31" s="4" t="s">
        <v>13</v>
      </c>
      <c r="B31" s="4">
        <v>1</v>
      </c>
      <c r="C31" s="4" t="s">
        <v>29</v>
      </c>
      <c r="D31" s="4">
        <v>227.78190211764701</v>
      </c>
      <c r="E31" s="4"/>
      <c r="F31" s="4"/>
      <c r="G31" s="4"/>
      <c r="H31" s="4"/>
      <c r="I31" s="4"/>
      <c r="J31" s="1">
        <v>14213.6</v>
      </c>
      <c r="K31" s="4">
        <f>AVERAGE(L31:L36)</f>
        <v>15013.133025207679</v>
      </c>
      <c r="L31" s="4">
        <f t="shared" si="4"/>
        <v>14297.869995924704</v>
      </c>
      <c r="M31" s="4">
        <f>5913*2</f>
        <v>11826</v>
      </c>
      <c r="N31" s="1">
        <f t="shared" si="5"/>
        <v>-2471.8699959247042</v>
      </c>
      <c r="O31">
        <f t="shared" si="6"/>
        <v>6110141.276752797</v>
      </c>
      <c r="P31">
        <f>SQRT(SUMSQ(N31:N36)*100/(COUNTA(N31:N36)*AVERAGE(L31:L36)))</f>
        <v>265.33901246690584</v>
      </c>
      <c r="R31" s="3">
        <f>1-(SUM(M31:M36)/SUM(L31:L36))</f>
        <v>0.21228966797645421</v>
      </c>
      <c r="T31">
        <f t="shared" si="7"/>
        <v>6110141.276752797</v>
      </c>
    </row>
    <row r="32" spans="1:21" x14ac:dyDescent="0.25">
      <c r="A32" s="4" t="s">
        <v>13</v>
      </c>
      <c r="B32" s="4">
        <v>2</v>
      </c>
      <c r="C32" s="4" t="s">
        <v>29</v>
      </c>
      <c r="D32" s="4">
        <v>242.19192836974801</v>
      </c>
      <c r="E32" s="4"/>
      <c r="F32" s="4"/>
      <c r="G32" s="4"/>
      <c r="H32" s="4"/>
      <c r="I32" s="4"/>
      <c r="J32" s="1">
        <v>14213.6</v>
      </c>
      <c r="K32" s="4"/>
      <c r="L32" s="4">
        <f t="shared" si="4"/>
        <v>15202.387343769084</v>
      </c>
      <c r="M32" s="4">
        <v>11826</v>
      </c>
      <c r="N32" s="1">
        <f t="shared" si="5"/>
        <v>-3376.3873437690836</v>
      </c>
      <c r="O32">
        <f t="shared" si="6"/>
        <v>11399991.495164048</v>
      </c>
      <c r="T32">
        <f t="shared" si="7"/>
        <v>11399991.495164048</v>
      </c>
    </row>
    <row r="33" spans="1:20" x14ac:dyDescent="0.25">
      <c r="A33" s="4" t="s">
        <v>13</v>
      </c>
      <c r="B33" s="4">
        <v>3</v>
      </c>
      <c r="C33" s="4" t="s">
        <v>29</v>
      </c>
      <c r="D33" s="4">
        <v>257.66769008403401</v>
      </c>
      <c r="E33" s="4"/>
      <c r="F33" s="4"/>
      <c r="G33" s="4"/>
      <c r="H33" s="4"/>
      <c r="I33" s="4"/>
      <c r="J33" s="1">
        <v>14213.6</v>
      </c>
      <c r="K33" s="4"/>
      <c r="L33" s="4">
        <f t="shared" si="4"/>
        <v>16173.800906574816</v>
      </c>
      <c r="M33" s="4">
        <v>11826</v>
      </c>
      <c r="N33" s="1">
        <f t="shared" si="5"/>
        <v>-4347.8009065748156</v>
      </c>
      <c r="O33">
        <f t="shared" si="6"/>
        <v>18903372.72321279</v>
      </c>
      <c r="T33">
        <f t="shared" si="7"/>
        <v>18903372.72321279</v>
      </c>
    </row>
    <row r="34" spans="1:20" x14ac:dyDescent="0.25">
      <c r="A34" s="4" t="s">
        <v>13</v>
      </c>
      <c r="B34" s="4">
        <v>1</v>
      </c>
      <c r="C34" s="4" t="s">
        <v>31</v>
      </c>
      <c r="D34" s="4">
        <v>229.70981647058801</v>
      </c>
      <c r="E34" s="4"/>
      <c r="F34" s="4"/>
      <c r="G34" s="4"/>
      <c r="H34" s="4"/>
      <c r="I34" s="4"/>
      <c r="J34" s="1">
        <v>14213.6</v>
      </c>
      <c r="K34" s="4"/>
      <c r="L34" s="4">
        <f t="shared" si="4"/>
        <v>14418.885179858809</v>
      </c>
      <c r="M34" s="4">
        <v>11826</v>
      </c>
      <c r="N34" s="1">
        <f t="shared" si="5"/>
        <v>-2592.8851798588094</v>
      </c>
      <c r="O34">
        <f t="shared" si="6"/>
        <v>6723053.5559314499</v>
      </c>
      <c r="T34">
        <f t="shared" si="7"/>
        <v>6723053.5559314499</v>
      </c>
    </row>
    <row r="35" spans="1:20" x14ac:dyDescent="0.25">
      <c r="A35" s="4" t="s">
        <v>13</v>
      </c>
      <c r="B35" s="4">
        <v>2</v>
      </c>
      <c r="C35" s="4" t="s">
        <v>31</v>
      </c>
      <c r="D35" s="4">
        <v>233.51895341176501</v>
      </c>
      <c r="E35" s="4"/>
      <c r="F35" s="4"/>
      <c r="G35" s="4"/>
      <c r="H35" s="4"/>
      <c r="I35" s="4"/>
      <c r="J35" s="1">
        <v>14213.6</v>
      </c>
      <c r="K35" s="4"/>
      <c r="L35" s="4">
        <f t="shared" si="4"/>
        <v>14657.98470565649</v>
      </c>
      <c r="M35" s="4">
        <v>11826</v>
      </c>
      <c r="N35" s="1">
        <f t="shared" si="5"/>
        <v>-2831.9847056564904</v>
      </c>
      <c r="O35">
        <f t="shared" si="6"/>
        <v>8020137.3730722787</v>
      </c>
      <c r="T35">
        <f t="shared" si="7"/>
        <v>8020137.3730722787</v>
      </c>
    </row>
    <row r="36" spans="1:20" x14ac:dyDescent="0.25">
      <c r="A36" s="4" t="s">
        <v>13</v>
      </c>
      <c r="B36" s="4">
        <v>3</v>
      </c>
      <c r="C36" s="4" t="s">
        <v>31</v>
      </c>
      <c r="D36" s="4">
        <v>244.19101512604999</v>
      </c>
      <c r="E36" s="4"/>
      <c r="F36" s="4"/>
      <c r="G36" s="4"/>
      <c r="H36" s="4"/>
      <c r="I36" s="4"/>
      <c r="J36" s="1">
        <v>14213.6</v>
      </c>
      <c r="K36" s="4"/>
      <c r="L36" s="4">
        <f t="shared" si="4"/>
        <v>15327.870019462158</v>
      </c>
      <c r="M36" s="4">
        <v>11826</v>
      </c>
      <c r="N36" s="1">
        <f t="shared" si="5"/>
        <v>-3501.8700194621579</v>
      </c>
      <c r="O36">
        <f t="shared" si="6"/>
        <v>12263093.633207895</v>
      </c>
      <c r="T36">
        <f t="shared" si="7"/>
        <v>12263093.633207895</v>
      </c>
    </row>
    <row r="37" spans="1:20" x14ac:dyDescent="0.25">
      <c r="A37" s="5" t="s">
        <v>13</v>
      </c>
      <c r="B37" s="5">
        <v>1</v>
      </c>
      <c r="C37" s="5" t="s">
        <v>12</v>
      </c>
      <c r="D37" s="5">
        <v>165.68924114285701</v>
      </c>
      <c r="E37" s="5"/>
      <c r="F37" s="5"/>
      <c r="G37" s="5"/>
      <c r="H37" s="5"/>
      <c r="I37" s="5"/>
      <c r="J37" s="1">
        <v>14213.6</v>
      </c>
      <c r="K37" s="5">
        <f>AVERAGE(L37:L41)</f>
        <v>11716.414680830596</v>
      </c>
      <c r="L37" s="5">
        <f t="shared" si="4"/>
        <v>10400.313666537135</v>
      </c>
      <c r="M37" s="5">
        <f>5392*2</f>
        <v>10784</v>
      </c>
      <c r="N37" s="1">
        <f t="shared" si="5"/>
        <v>383.68633346286515</v>
      </c>
      <c r="O37">
        <f t="shared" si="6"/>
        <v>147215.20248617695</v>
      </c>
      <c r="P37">
        <f>SQRT(SUMSQ(N37:N41)*100/(COUNTA(N37:N41)*AVERAGE(L37:L41)))</f>
        <v>149.0532680578616</v>
      </c>
      <c r="R37" s="3">
        <f>1-(SUM(M37:M41)/SUM(L37:L41))</f>
        <v>7.9581911892904755E-2</v>
      </c>
      <c r="T37">
        <f t="shared" si="7"/>
        <v>52459402.439463153</v>
      </c>
    </row>
    <row r="38" spans="1:20" x14ac:dyDescent="0.25">
      <c r="A38" s="5" t="s">
        <v>13</v>
      </c>
      <c r="B38" s="5">
        <v>2</v>
      </c>
      <c r="C38" s="5" t="s">
        <v>12</v>
      </c>
      <c r="D38" s="5">
        <v>177.95094188235299</v>
      </c>
      <c r="E38" s="5"/>
      <c r="F38" s="5"/>
      <c r="G38" s="5"/>
      <c r="H38" s="5"/>
      <c r="I38" s="5"/>
      <c r="J38" s="1">
        <v>14213.6</v>
      </c>
      <c r="K38" s="5"/>
      <c r="L38" s="5">
        <f t="shared" si="4"/>
        <v>11169.980621955297</v>
      </c>
      <c r="M38" s="5">
        <v>10784</v>
      </c>
      <c r="N38" s="1">
        <f t="shared" si="5"/>
        <v>-385.98062195529747</v>
      </c>
      <c r="O38">
        <f t="shared" si="6"/>
        <v>148981.04052499827</v>
      </c>
      <c r="T38">
        <f t="shared" si="7"/>
        <v>41902569.116293453</v>
      </c>
    </row>
    <row r="39" spans="1:20" x14ac:dyDescent="0.25">
      <c r="A39" s="5" t="s">
        <v>13</v>
      </c>
      <c r="B39" s="5">
        <v>2</v>
      </c>
      <c r="C39" s="5" t="s">
        <v>12</v>
      </c>
      <c r="D39" s="5">
        <v>166.144591596639</v>
      </c>
      <c r="E39" s="5"/>
      <c r="F39" s="5"/>
      <c r="G39" s="5"/>
      <c r="H39" s="5"/>
      <c r="I39" s="5"/>
      <c r="J39" s="1">
        <v>14213.6</v>
      </c>
      <c r="K39" s="5"/>
      <c r="L39" s="5">
        <f t="shared" si="4"/>
        <v>10428.896014521031</v>
      </c>
      <c r="M39" s="5">
        <v>10784</v>
      </c>
      <c r="N39" s="1">
        <f t="shared" si="5"/>
        <v>355.10398547896875</v>
      </c>
      <c r="O39">
        <f t="shared" si="6"/>
        <v>126098.84050304766</v>
      </c>
      <c r="T39">
        <f t="shared" si="7"/>
        <v>52046181.994897746</v>
      </c>
    </row>
    <row r="40" spans="1:20" x14ac:dyDescent="0.25">
      <c r="A40" s="5" t="s">
        <v>13</v>
      </c>
      <c r="B40" s="5">
        <v>3</v>
      </c>
      <c r="C40" s="5" t="s">
        <v>12</v>
      </c>
      <c r="D40" s="5">
        <v>213.27162278991599</v>
      </c>
      <c r="E40" s="5"/>
      <c r="F40" s="5"/>
      <c r="G40" s="5"/>
      <c r="H40" s="5"/>
      <c r="I40" s="5"/>
      <c r="J40" s="1">
        <v>14213.6</v>
      </c>
      <c r="K40" s="5"/>
      <c r="L40" s="5">
        <f t="shared" si="4"/>
        <v>13387.059762523028</v>
      </c>
      <c r="M40" s="5">
        <v>10784</v>
      </c>
      <c r="N40" s="1">
        <f t="shared" si="5"/>
        <v>-2603.0597625230275</v>
      </c>
      <c r="O40">
        <f t="shared" si="6"/>
        <v>6775920.1272664405</v>
      </c>
      <c r="T40">
        <f t="shared" si="7"/>
        <v>18114729.721070547</v>
      </c>
    </row>
    <row r="41" spans="1:20" x14ac:dyDescent="0.25">
      <c r="A41" s="5" t="s">
        <v>13</v>
      </c>
      <c r="B41" s="5">
        <v>3</v>
      </c>
      <c r="C41" s="5" t="s">
        <v>12</v>
      </c>
      <c r="D41" s="5">
        <v>210.22500141176499</v>
      </c>
      <c r="E41" s="5"/>
      <c r="F41" s="5"/>
      <c r="G41" s="5"/>
      <c r="H41" s="5"/>
      <c r="I41" s="5"/>
      <c r="J41" s="1">
        <v>14213.6</v>
      </c>
      <c r="K41" s="5"/>
      <c r="L41" s="5">
        <f t="shared" si="4"/>
        <v>13195.823338616488</v>
      </c>
      <c r="M41" s="5">
        <v>10784</v>
      </c>
      <c r="N41" s="1">
        <f t="shared" si="5"/>
        <v>-2411.8233386164884</v>
      </c>
      <c r="O41">
        <f t="shared" si="6"/>
        <v>5816891.8166951844</v>
      </c>
      <c r="T41">
        <f t="shared" si="7"/>
        <v>19779159.168218758</v>
      </c>
    </row>
    <row r="42" spans="1:20" x14ac:dyDescent="0.25">
      <c r="A42" s="6" t="s">
        <v>13</v>
      </c>
      <c r="B42" s="6">
        <v>1</v>
      </c>
      <c r="C42" s="6" t="s">
        <v>36</v>
      </c>
      <c r="D42" s="6">
        <v>223.19080013445401</v>
      </c>
      <c r="E42" s="6"/>
      <c r="F42" s="6"/>
      <c r="G42" s="6"/>
      <c r="H42" s="6"/>
      <c r="I42" s="6"/>
      <c r="J42" s="1">
        <v>14213.6</v>
      </c>
      <c r="K42" s="6">
        <f>AVERAGE(L42:L44)</f>
        <v>14494.893556421513</v>
      </c>
      <c r="L42" s="6">
        <f t="shared" si="4"/>
        <v>14009.686524439679</v>
      </c>
      <c r="M42" s="6">
        <f>5913*2</f>
        <v>11826</v>
      </c>
      <c r="N42" s="1">
        <f t="shared" si="5"/>
        <v>-2183.6865244396795</v>
      </c>
      <c r="O42">
        <f t="shared" si="6"/>
        <v>4768486.8370194472</v>
      </c>
      <c r="P42">
        <f>SQRT(SUMSQ(N42:N44)*100/(COUNTA(N42:N44)*AVERAGE(L42:L44)))</f>
        <v>225.3317030285306</v>
      </c>
      <c r="R42" s="3">
        <f>1-(SUM(M42:M44)/SUM(L42:L44))</f>
        <v>0.18412646812705591</v>
      </c>
      <c r="T42">
        <f t="shared" si="7"/>
        <v>6715942.0940107359</v>
      </c>
    </row>
    <row r="43" spans="1:20" x14ac:dyDescent="0.25">
      <c r="A43" s="6" t="s">
        <v>13</v>
      </c>
      <c r="B43" s="6">
        <v>2</v>
      </c>
      <c r="C43" s="6" t="s">
        <v>36</v>
      </c>
      <c r="D43" s="6">
        <v>228.055268571428</v>
      </c>
      <c r="E43" s="6"/>
      <c r="F43" s="6"/>
      <c r="G43" s="6"/>
      <c r="H43" s="6"/>
      <c r="I43" s="6"/>
      <c r="J43" s="1">
        <v>14213.6</v>
      </c>
      <c r="K43" s="6"/>
      <c r="L43" s="6">
        <f t="shared" si="4"/>
        <v>14315.029208228536</v>
      </c>
      <c r="M43" s="6">
        <v>11826</v>
      </c>
      <c r="N43" s="1">
        <f t="shared" si="5"/>
        <v>-2489.0292082285359</v>
      </c>
      <c r="O43">
        <f t="shared" si="6"/>
        <v>6195266.3994147722</v>
      </c>
      <c r="T43">
        <f t="shared" si="7"/>
        <v>6195266.3994147722</v>
      </c>
    </row>
    <row r="44" spans="1:20" x14ac:dyDescent="0.25">
      <c r="A44" s="6" t="s">
        <v>13</v>
      </c>
      <c r="B44" s="6">
        <v>3</v>
      </c>
      <c r="C44" s="6" t="s">
        <v>36</v>
      </c>
      <c r="D44" s="6">
        <v>241.516089478992</v>
      </c>
      <c r="E44" s="6"/>
      <c r="F44" s="6"/>
      <c r="G44" s="6"/>
      <c r="H44" s="6"/>
      <c r="I44" s="6"/>
      <c r="J44" s="1">
        <v>14213.6</v>
      </c>
      <c r="K44" s="6"/>
      <c r="L44" s="6">
        <f t="shared" si="4"/>
        <v>15159.964936596329</v>
      </c>
      <c r="M44" s="6">
        <v>11826</v>
      </c>
      <c r="N44" s="1">
        <f t="shared" si="5"/>
        <v>-3333.9649365963287</v>
      </c>
      <c r="O44">
        <f t="shared" si="6"/>
        <v>11115322.198453762</v>
      </c>
      <c r="T44">
        <f t="shared" si="7"/>
        <v>11115322.198453762</v>
      </c>
    </row>
    <row r="45" spans="1:20" x14ac:dyDescent="0.25">
      <c r="A45" s="7" t="s">
        <v>13</v>
      </c>
      <c r="B45" s="7">
        <v>1</v>
      </c>
      <c r="C45" s="7" t="s">
        <v>33</v>
      </c>
      <c r="D45" s="7">
        <v>220.03671042016799</v>
      </c>
      <c r="E45" s="7"/>
      <c r="F45" s="7"/>
      <c r="G45" s="7"/>
      <c r="H45" s="7"/>
      <c r="I45" s="7"/>
      <c r="J45" s="1">
        <v>14213.6</v>
      </c>
      <c r="K45" s="7">
        <f>AVERAGE(L45:L50)</f>
        <v>15131.596444771649</v>
      </c>
      <c r="L45" s="7">
        <f t="shared" si="4"/>
        <v>13811.704313073946</v>
      </c>
      <c r="M45" s="7">
        <f>5895*2</f>
        <v>11790</v>
      </c>
      <c r="N45" s="1">
        <f t="shared" si="5"/>
        <v>-2021.7043130739457</v>
      </c>
      <c r="O45">
        <f t="shared" si="6"/>
        <v>4087288.3295017947</v>
      </c>
      <c r="P45">
        <f>SQRT(SUMSQ(N45:N50)*100/(COUNTA(N45:N50)*AVERAGE(L45:L50)))</f>
        <v>278.77650186759581</v>
      </c>
      <c r="R45" s="3">
        <f>1-(SUM(M45:M50)/SUM(L45:L50))</f>
        <v>0.22083568359545136</v>
      </c>
      <c r="T45">
        <f t="shared" si="7"/>
        <v>7983425.8768377397</v>
      </c>
    </row>
    <row r="46" spans="1:20" x14ac:dyDescent="0.25">
      <c r="A46" s="7" t="s">
        <v>13</v>
      </c>
      <c r="B46" s="7">
        <v>2</v>
      </c>
      <c r="C46" s="7" t="s">
        <v>33</v>
      </c>
      <c r="D46" s="7">
        <v>244.994194823529</v>
      </c>
      <c r="E46" s="7"/>
      <c r="F46" s="7"/>
      <c r="G46" s="7"/>
      <c r="H46" s="7"/>
      <c r="I46" s="7"/>
      <c r="J46" s="1">
        <v>14213.6</v>
      </c>
      <c r="K46" s="7"/>
      <c r="L46" s="7">
        <f t="shared" si="4"/>
        <v>15378.285609072916</v>
      </c>
      <c r="M46" s="7">
        <v>11790</v>
      </c>
      <c r="N46" s="1">
        <f t="shared" si="5"/>
        <v>-3588.2856090729165</v>
      </c>
      <c r="O46">
        <f t="shared" si="6"/>
        <v>12875793.612279791</v>
      </c>
      <c r="T46">
        <f t="shared" si="7"/>
        <v>12875793.612279791</v>
      </c>
    </row>
    <row r="47" spans="1:20" x14ac:dyDescent="0.25">
      <c r="A47" s="7" t="s">
        <v>13</v>
      </c>
      <c r="B47" s="7">
        <v>3</v>
      </c>
      <c r="C47" s="7" t="s">
        <v>33</v>
      </c>
      <c r="D47" s="7">
        <v>241.70626894117601</v>
      </c>
      <c r="E47" s="7"/>
      <c r="F47" s="7"/>
      <c r="G47" s="7"/>
      <c r="H47" s="7"/>
      <c r="I47" s="7"/>
      <c r="J47" s="1">
        <v>14213.6</v>
      </c>
      <c r="K47" s="7"/>
      <c r="L47" s="7">
        <f t="shared" si="4"/>
        <v>15171.902501437618</v>
      </c>
      <c r="M47" s="7">
        <v>11790</v>
      </c>
      <c r="N47" s="1">
        <f t="shared" si="5"/>
        <v>-3381.9025014376184</v>
      </c>
      <c r="O47">
        <f t="shared" si="6"/>
        <v>11437264.529230021</v>
      </c>
      <c r="T47">
        <f t="shared" si="7"/>
        <v>11437264.529230021</v>
      </c>
    </row>
    <row r="48" spans="1:20" x14ac:dyDescent="0.25">
      <c r="A48" s="7" t="s">
        <v>13</v>
      </c>
      <c r="B48" s="7">
        <v>1</v>
      </c>
      <c r="C48" s="7" t="s">
        <v>34</v>
      </c>
      <c r="D48" s="7">
        <v>238.46139872268901</v>
      </c>
      <c r="E48" s="7"/>
      <c r="F48" s="7"/>
      <c r="G48" s="7"/>
      <c r="H48" s="7"/>
      <c r="I48" s="7"/>
      <c r="J48" s="1">
        <v>14213.6</v>
      </c>
      <c r="K48" s="7"/>
      <c r="L48" s="7">
        <f t="shared" si="4"/>
        <v>14968.22199782319</v>
      </c>
      <c r="M48" s="7">
        <v>11790</v>
      </c>
      <c r="N48" s="1">
        <f t="shared" si="5"/>
        <v>-3178.2219978231897</v>
      </c>
      <c r="O48">
        <f t="shared" si="6"/>
        <v>10101095.067447226</v>
      </c>
      <c r="T48">
        <f t="shared" si="7"/>
        <v>10101095.067447226</v>
      </c>
    </row>
    <row r="49" spans="1:21" x14ac:dyDescent="0.25">
      <c r="A49" s="7" t="s">
        <v>13</v>
      </c>
      <c r="B49" s="7">
        <v>2</v>
      </c>
      <c r="C49" s="7" t="s">
        <v>34</v>
      </c>
      <c r="D49" s="7">
        <v>261.93630571428599</v>
      </c>
      <c r="E49" s="7"/>
      <c r="F49" s="7"/>
      <c r="G49" s="7"/>
      <c r="H49" s="7"/>
      <c r="I49" s="7"/>
      <c r="J49" s="1">
        <v>14213.6</v>
      </c>
      <c r="K49" s="7"/>
      <c r="L49" s="7">
        <f t="shared" si="4"/>
        <v>16441.741909685734</v>
      </c>
      <c r="M49" s="7">
        <v>11790</v>
      </c>
      <c r="N49" s="1">
        <f t="shared" si="5"/>
        <v>-4651.7419096857338</v>
      </c>
      <c r="O49">
        <f t="shared" si="6"/>
        <v>21638702.794326678</v>
      </c>
      <c r="T49">
        <f t="shared" si="7"/>
        <v>21638702.794326678</v>
      </c>
    </row>
    <row r="50" spans="1:21" x14ac:dyDescent="0.25">
      <c r="A50" s="7" t="s">
        <v>13</v>
      </c>
      <c r="B50" s="7">
        <v>3</v>
      </c>
      <c r="C50" s="7" t="s">
        <v>34</v>
      </c>
      <c r="D50" s="7">
        <v>239.24999741176501</v>
      </c>
      <c r="E50" s="7"/>
      <c r="F50" s="7"/>
      <c r="G50" s="7"/>
      <c r="H50" s="7"/>
      <c r="I50" s="7"/>
      <c r="J50" s="1">
        <v>14213.6</v>
      </c>
      <c r="K50" s="7"/>
      <c r="L50" s="7">
        <f t="shared" si="4"/>
        <v>15017.72233753649</v>
      </c>
      <c r="M50" s="7">
        <v>11790</v>
      </c>
      <c r="N50" s="1">
        <f t="shared" si="5"/>
        <v>-3227.7223375364902</v>
      </c>
      <c r="O50">
        <f t="shared" si="6"/>
        <v>10418191.488232024</v>
      </c>
      <c r="T50">
        <f t="shared" si="7"/>
        <v>10418191.488232024</v>
      </c>
    </row>
    <row r="51" spans="1:21" x14ac:dyDescent="0.25">
      <c r="A51" s="1" t="s">
        <v>14</v>
      </c>
      <c r="B51" s="1">
        <v>1</v>
      </c>
      <c r="C51" s="1" t="s">
        <v>30</v>
      </c>
      <c r="D51" s="1">
        <v>192.04121495798299</v>
      </c>
      <c r="E51" s="1"/>
      <c r="F51" s="1"/>
      <c r="G51" s="1"/>
      <c r="H51" s="1"/>
      <c r="I51" s="1"/>
      <c r="J51" s="1">
        <f>AVERAGE(L51:L71)</f>
        <v>12337.680220514771</v>
      </c>
      <c r="K51" s="1">
        <f>AVERAGE(L51:L53)</f>
        <v>12529.563537724038</v>
      </c>
      <c r="L51" s="1">
        <f t="shared" si="4"/>
        <v>12054.427062912593</v>
      </c>
      <c r="M51" s="1">
        <v>11050</v>
      </c>
      <c r="N51" s="1">
        <f t="shared" si="5"/>
        <v>-1004.4270629125931</v>
      </c>
      <c r="O51">
        <f t="shared" si="6"/>
        <v>1008873.7247112183</v>
      </c>
      <c r="P51">
        <f>SQRT(SUMSQ(N51:N53)*100/(COUNTA(N51:N53)*AVERAGE(L51:L53)))</f>
        <v>136.02715522038778</v>
      </c>
      <c r="R51" s="3">
        <f>1-(SUM(M51:M53)/SUM(L51:L53))</f>
        <v>0.11808580029698279</v>
      </c>
      <c r="T51">
        <f t="shared" si="7"/>
        <v>2467831.6784819257</v>
      </c>
      <c r="U51">
        <f>1-((SUM(O51:O71))/(SUM(T51:T71)))</f>
        <v>0.42131542407001121</v>
      </c>
    </row>
    <row r="52" spans="1:21" x14ac:dyDescent="0.25">
      <c r="A52" s="1" t="s">
        <v>14</v>
      </c>
      <c r="B52" s="1">
        <v>2</v>
      </c>
      <c r="C52" s="1" t="s">
        <v>30</v>
      </c>
      <c r="D52" s="1">
        <v>205.89475915966401</v>
      </c>
      <c r="E52" s="1"/>
      <c r="F52" s="1"/>
      <c r="G52" s="1"/>
      <c r="H52" s="1"/>
      <c r="I52" s="1"/>
      <c r="J52" s="1">
        <v>12337.7</v>
      </c>
      <c r="K52" s="1"/>
      <c r="L52" s="1">
        <f t="shared" si="4"/>
        <v>12924.014032452111</v>
      </c>
      <c r="M52" s="1">
        <v>11050</v>
      </c>
      <c r="N52" s="1">
        <f t="shared" si="5"/>
        <v>-1874.0140324521108</v>
      </c>
      <c r="O52">
        <f t="shared" si="6"/>
        <v>3511928.5938274208</v>
      </c>
      <c r="T52">
        <f t="shared" si="7"/>
        <v>3511928.5938274208</v>
      </c>
    </row>
    <row r="53" spans="1:21" x14ac:dyDescent="0.25">
      <c r="A53" s="1" t="s">
        <v>14</v>
      </c>
      <c r="B53" s="1">
        <v>3</v>
      </c>
      <c r="C53" s="1" t="s">
        <v>30</v>
      </c>
      <c r="D53" s="1">
        <v>200.896121042017</v>
      </c>
      <c r="E53" s="1"/>
      <c r="F53" s="1"/>
      <c r="G53" s="1"/>
      <c r="H53" s="1"/>
      <c r="I53" s="1"/>
      <c r="J53" s="1">
        <v>12337.7</v>
      </c>
      <c r="K53" s="1"/>
      <c r="L53" s="1">
        <f t="shared" si="4"/>
        <v>12610.249517807408</v>
      </c>
      <c r="M53" s="1">
        <v>11050</v>
      </c>
      <c r="N53" s="1">
        <f t="shared" si="5"/>
        <v>-1560.2495178074078</v>
      </c>
      <c r="O53">
        <f t="shared" si="6"/>
        <v>2434378.5578182484</v>
      </c>
      <c r="T53">
        <f t="shared" si="7"/>
        <v>2434378.5578182484</v>
      </c>
    </row>
    <row r="54" spans="1:21" x14ac:dyDescent="0.25">
      <c r="A54" s="4" t="s">
        <v>14</v>
      </c>
      <c r="B54" s="4">
        <v>1</v>
      </c>
      <c r="C54" s="4" t="s">
        <v>29</v>
      </c>
      <c r="D54" s="4">
        <v>198.49808813445401</v>
      </c>
      <c r="E54" s="4"/>
      <c r="F54" s="4"/>
      <c r="G54" s="4"/>
      <c r="H54" s="4"/>
      <c r="I54" s="4"/>
      <c r="J54" s="1">
        <v>12337.7</v>
      </c>
      <c r="K54" s="4">
        <f>AVERAGE(L54:L59)</f>
        <v>12717.210828943373</v>
      </c>
      <c r="L54" s="4">
        <f t="shared" si="4"/>
        <v>12459.724992199679</v>
      </c>
      <c r="M54" s="4">
        <f>5136*2</f>
        <v>10272</v>
      </c>
      <c r="N54" s="1">
        <f t="shared" si="5"/>
        <v>-2187.724992199679</v>
      </c>
      <c r="O54">
        <f t="shared" si="6"/>
        <v>4786140.6414950853</v>
      </c>
      <c r="P54">
        <f>SQRT(SUMSQ(N54:N59)*100/(COUNTA(N54:N59)*AVERAGE(L54:L59)))</f>
        <v>219.12335277156825</v>
      </c>
      <c r="R54" s="3">
        <f>1-(SUM(M54:M59)/SUM(L54:L59))</f>
        <v>0.19227571688740619</v>
      </c>
      <c r="T54">
        <f t="shared" si="7"/>
        <v>4786140.6414950853</v>
      </c>
    </row>
    <row r="55" spans="1:21" x14ac:dyDescent="0.25">
      <c r="A55" s="4" t="s">
        <v>14</v>
      </c>
      <c r="B55" s="4">
        <v>2</v>
      </c>
      <c r="C55" s="4" t="s">
        <v>29</v>
      </c>
      <c r="D55" s="4">
        <v>212.162384268908</v>
      </c>
      <c r="E55" s="4"/>
      <c r="F55" s="4"/>
      <c r="G55" s="4"/>
      <c r="H55" s="4"/>
      <c r="I55" s="4"/>
      <c r="J55" s="1">
        <v>12337.7</v>
      </c>
      <c r="K55" s="4"/>
      <c r="L55" s="4">
        <f t="shared" si="4"/>
        <v>13317.432860559356</v>
      </c>
      <c r="M55" s="4">
        <v>10272</v>
      </c>
      <c r="N55" s="1">
        <f t="shared" si="5"/>
        <v>-3045.4328605593564</v>
      </c>
      <c r="O55">
        <f t="shared" si="6"/>
        <v>9274661.3081747442</v>
      </c>
      <c r="T55">
        <f t="shared" si="7"/>
        <v>9274661.3081747442</v>
      </c>
    </row>
    <row r="56" spans="1:21" x14ac:dyDescent="0.25">
      <c r="A56" s="4" t="s">
        <v>14</v>
      </c>
      <c r="B56" s="4">
        <v>3</v>
      </c>
      <c r="C56" s="4" t="s">
        <v>29</v>
      </c>
      <c r="D56" s="4">
        <v>194.00536830252099</v>
      </c>
      <c r="E56" s="4"/>
      <c r="F56" s="4"/>
      <c r="G56" s="4"/>
      <c r="H56" s="4"/>
      <c r="I56" s="4"/>
      <c r="J56" s="1">
        <v>12337.7</v>
      </c>
      <c r="K56" s="4"/>
      <c r="L56" s="4">
        <f t="shared" si="4"/>
        <v>12177.716968349243</v>
      </c>
      <c r="M56" s="4">
        <v>10272</v>
      </c>
      <c r="N56" s="1">
        <f t="shared" si="5"/>
        <v>-1905.716968349243</v>
      </c>
      <c r="O56">
        <f t="shared" si="6"/>
        <v>3631757.1634542295</v>
      </c>
      <c r="T56">
        <f t="shared" si="7"/>
        <v>4953664.9573781108</v>
      </c>
    </row>
    <row r="57" spans="1:21" x14ac:dyDescent="0.25">
      <c r="A57" s="4" t="s">
        <v>14</v>
      </c>
      <c r="B57" s="4">
        <v>1</v>
      </c>
      <c r="C57" s="4" t="s">
        <v>31</v>
      </c>
      <c r="D57" s="4">
        <v>205.304100201681</v>
      </c>
      <c r="E57" s="4"/>
      <c r="F57" s="4"/>
      <c r="G57" s="4"/>
      <c r="H57" s="4"/>
      <c r="I57" s="4"/>
      <c r="J57" s="1">
        <v>12337.7</v>
      </c>
      <c r="K57" s="4"/>
      <c r="L57" s="4">
        <f t="shared" si="4"/>
        <v>12886.938369659516</v>
      </c>
      <c r="M57" s="4">
        <v>10272</v>
      </c>
      <c r="N57" s="1">
        <f t="shared" si="5"/>
        <v>-2614.938369659516</v>
      </c>
      <c r="O57">
        <f t="shared" si="6"/>
        <v>6837902.6771175675</v>
      </c>
      <c r="T57">
        <f t="shared" si="7"/>
        <v>6837902.6771175675</v>
      </c>
    </row>
    <row r="58" spans="1:21" x14ac:dyDescent="0.25">
      <c r="A58" s="4" t="s">
        <v>14</v>
      </c>
      <c r="B58" s="4">
        <v>2</v>
      </c>
      <c r="C58" s="4" t="s">
        <v>31</v>
      </c>
      <c r="D58" s="4">
        <v>204.23673378151301</v>
      </c>
      <c r="E58" s="4"/>
      <c r="F58" s="4"/>
      <c r="G58" s="4"/>
      <c r="H58" s="4"/>
      <c r="I58" s="4"/>
      <c r="J58" s="1">
        <v>12337.7</v>
      </c>
      <c r="K58" s="4"/>
      <c r="L58" s="4">
        <f t="shared" si="4"/>
        <v>12819.939779465572</v>
      </c>
      <c r="M58" s="4">
        <v>10272</v>
      </c>
      <c r="N58" s="1">
        <f t="shared" si="5"/>
        <v>-2547.9397794655724</v>
      </c>
      <c r="O58">
        <f t="shared" si="6"/>
        <v>6491997.1197830699</v>
      </c>
      <c r="T58">
        <f t="shared" si="7"/>
        <v>6491997.1197830699</v>
      </c>
    </row>
    <row r="59" spans="1:21" x14ac:dyDescent="0.25">
      <c r="A59" s="4" t="s">
        <v>14</v>
      </c>
      <c r="B59" s="4">
        <v>3</v>
      </c>
      <c r="C59" s="4" t="s">
        <v>31</v>
      </c>
      <c r="D59" s="4">
        <v>201.39416924369701</v>
      </c>
      <c r="E59" s="4"/>
      <c r="F59" s="4"/>
      <c r="G59" s="4"/>
      <c r="H59" s="4"/>
      <c r="I59" s="4"/>
      <c r="J59" s="1">
        <v>12337.7</v>
      </c>
      <c r="K59" s="4"/>
      <c r="L59" s="4">
        <f t="shared" si="4"/>
        <v>12641.512003426862</v>
      </c>
      <c r="M59" s="4">
        <v>10272</v>
      </c>
      <c r="N59" s="1">
        <f t="shared" si="5"/>
        <v>-2369.5120034268621</v>
      </c>
      <c r="O59">
        <f t="shared" si="6"/>
        <v>5614587.134383982</v>
      </c>
      <c r="T59">
        <f t="shared" si="7"/>
        <v>5614587.134383982</v>
      </c>
    </row>
    <row r="60" spans="1:21" x14ac:dyDescent="0.25">
      <c r="A60" s="5" t="s">
        <v>14</v>
      </c>
      <c r="B60" s="5">
        <v>1</v>
      </c>
      <c r="C60" s="5" t="s">
        <v>12</v>
      </c>
      <c r="D60" s="5">
        <v>176.36635028571399</v>
      </c>
      <c r="E60" s="5"/>
      <c r="F60" s="5"/>
      <c r="G60" s="5"/>
      <c r="H60" s="5"/>
      <c r="I60" s="5"/>
      <c r="J60" s="1">
        <v>12337.7</v>
      </c>
      <c r="K60" s="5">
        <f>AVERAGE(L60:L62)</f>
        <v>11015.6260882689</v>
      </c>
      <c r="L60" s="5">
        <f t="shared" si="4"/>
        <v>11070.515807434267</v>
      </c>
      <c r="M60" s="5">
        <f>4174*2</f>
        <v>8348</v>
      </c>
      <c r="N60" s="1">
        <f t="shared" si="5"/>
        <v>-2722.5158074342671</v>
      </c>
      <c r="O60">
        <f t="shared" si="6"/>
        <v>7412092.3217294598</v>
      </c>
      <c r="P60">
        <f>SQRT(SUMSQ(N60:N62)*100/(COUNTA(N60:N62)*AVERAGE(L60:L62)))</f>
        <v>254.33512258711323</v>
      </c>
      <c r="R60" s="3">
        <f>1-(SUM(M60:M62)/SUM(L60:L62))</f>
        <v>0.24216745075523127</v>
      </c>
      <c r="T60">
        <f t="shared" si="7"/>
        <v>27634831.414047491</v>
      </c>
    </row>
    <row r="61" spans="1:21" x14ac:dyDescent="0.25">
      <c r="A61" s="5" t="s">
        <v>14</v>
      </c>
      <c r="B61" s="5">
        <v>2</v>
      </c>
      <c r="C61" s="5" t="s">
        <v>12</v>
      </c>
      <c r="D61" s="5">
        <v>176.78577085714301</v>
      </c>
      <c r="E61" s="5"/>
      <c r="F61" s="5"/>
      <c r="G61" s="5"/>
      <c r="H61" s="5"/>
      <c r="I61" s="5"/>
      <c r="J61" s="1">
        <v>12337.7</v>
      </c>
      <c r="K61" s="5"/>
      <c r="L61" s="5">
        <f t="shared" ref="L61:L92" si="8">D61*62.77</f>
        <v>11096.842836702866</v>
      </c>
      <c r="M61" s="5">
        <v>8348</v>
      </c>
      <c r="N61" s="1">
        <f t="shared" ref="N61:N92" si="9">(M61-L61)</f>
        <v>-2748.8428367028664</v>
      </c>
      <c r="O61">
        <f t="shared" ref="O61:O92" si="10">N61*N61</f>
        <v>7556136.9408926619</v>
      </c>
      <c r="T61">
        <f t="shared" ref="T61:T92" si="11">(ABS(M61-J61)+ABS(L61-J61))^2</f>
        <v>27358728.238518972</v>
      </c>
    </row>
    <row r="62" spans="1:21" x14ac:dyDescent="0.25">
      <c r="A62" s="5" t="s">
        <v>14</v>
      </c>
      <c r="B62" s="5">
        <v>3</v>
      </c>
      <c r="C62" s="5" t="s">
        <v>12</v>
      </c>
      <c r="D62" s="5">
        <v>173.323556168067</v>
      </c>
      <c r="E62" s="5"/>
      <c r="F62" s="5"/>
      <c r="G62" s="5"/>
      <c r="H62" s="5"/>
      <c r="I62" s="5"/>
      <c r="J62" s="1">
        <v>12337.7</v>
      </c>
      <c r="K62" s="5"/>
      <c r="L62" s="5">
        <f t="shared" si="8"/>
        <v>10879.519620669565</v>
      </c>
      <c r="M62" s="5">
        <v>8348</v>
      </c>
      <c r="N62" s="1">
        <f t="shared" si="9"/>
        <v>-2531.5196206695655</v>
      </c>
      <c r="O62">
        <f t="shared" si="10"/>
        <v>6408591.5898349807</v>
      </c>
      <c r="T62">
        <f t="shared" si="11"/>
        <v>29679400.627493534</v>
      </c>
    </row>
    <row r="63" spans="1:21" x14ac:dyDescent="0.25">
      <c r="A63" s="6" t="s">
        <v>14</v>
      </c>
      <c r="B63" s="6">
        <v>1</v>
      </c>
      <c r="C63" s="6" t="s">
        <v>36</v>
      </c>
      <c r="D63" s="6">
        <v>181.382888268908</v>
      </c>
      <c r="E63" s="6"/>
      <c r="F63" s="6"/>
      <c r="G63" s="6"/>
      <c r="H63" s="6"/>
      <c r="I63" s="6"/>
      <c r="J63" s="1">
        <v>12337.7</v>
      </c>
      <c r="K63" s="6">
        <f>AVERAGE(L63:L65)</f>
        <v>12387.419484399334</v>
      </c>
      <c r="L63" s="6">
        <f t="shared" si="8"/>
        <v>11385.403896639356</v>
      </c>
      <c r="M63" s="6">
        <f>10420</f>
        <v>10420</v>
      </c>
      <c r="N63" s="1">
        <f t="shared" si="9"/>
        <v>-965.40389663935639</v>
      </c>
      <c r="O63">
        <f t="shared" si="10"/>
        <v>932004.68364645308</v>
      </c>
      <c r="P63">
        <f>SQRT(SUMSQ(N63:N65)*100/(COUNTA(N63:N65)*AVERAGE(L63:L65)))</f>
        <v>188.47462883108443</v>
      </c>
      <c r="R63" s="3">
        <f>1-(SUM(M63:M65)/SUM(L63:L65))</f>
        <v>0.15882399775652178</v>
      </c>
      <c r="T63">
        <f t="shared" si="11"/>
        <v>8236877.6333052861</v>
      </c>
    </row>
    <row r="64" spans="1:21" x14ac:dyDescent="0.25">
      <c r="A64" s="6" t="s">
        <v>14</v>
      </c>
      <c r="B64" s="6">
        <v>2</v>
      </c>
      <c r="C64" s="6" t="s">
        <v>36</v>
      </c>
      <c r="D64" s="6">
        <v>202.08706608403401</v>
      </c>
      <c r="E64" s="6"/>
      <c r="F64" s="6"/>
      <c r="G64" s="6"/>
      <c r="H64" s="6"/>
      <c r="I64" s="6"/>
      <c r="J64" s="1">
        <v>12337.7</v>
      </c>
      <c r="K64" s="6"/>
      <c r="L64" s="6">
        <f t="shared" si="8"/>
        <v>12685.005138094815</v>
      </c>
      <c r="M64" s="6">
        <v>10420</v>
      </c>
      <c r="N64" s="1">
        <f t="shared" si="9"/>
        <v>-2265.0051380948153</v>
      </c>
      <c r="O64">
        <f t="shared" si="10"/>
        <v>5130248.2755959127</v>
      </c>
      <c r="T64">
        <f t="shared" si="11"/>
        <v>5130248.2755959127</v>
      </c>
    </row>
    <row r="65" spans="1:21" x14ac:dyDescent="0.25">
      <c r="A65" s="6" t="s">
        <v>14</v>
      </c>
      <c r="B65" s="6">
        <v>3</v>
      </c>
      <c r="C65" s="6" t="s">
        <v>36</v>
      </c>
      <c r="D65" s="6">
        <v>208.568574453781</v>
      </c>
      <c r="E65" s="6"/>
      <c r="F65" s="6"/>
      <c r="G65" s="6"/>
      <c r="H65" s="6"/>
      <c r="I65" s="6"/>
      <c r="J65" s="1">
        <v>12337.7</v>
      </c>
      <c r="K65" s="6"/>
      <c r="L65" s="6">
        <f t="shared" si="8"/>
        <v>13091.849418463833</v>
      </c>
      <c r="M65" s="6">
        <v>10420</v>
      </c>
      <c r="N65" s="1">
        <f t="shared" si="9"/>
        <v>-2671.849418463833</v>
      </c>
      <c r="O65">
        <f t="shared" si="10"/>
        <v>7138779.3149455227</v>
      </c>
      <c r="T65">
        <f t="shared" si="11"/>
        <v>7138779.3149455227</v>
      </c>
    </row>
    <row r="66" spans="1:21" x14ac:dyDescent="0.25">
      <c r="A66" s="8" t="s">
        <v>14</v>
      </c>
      <c r="B66" s="8">
        <v>1</v>
      </c>
      <c r="C66" s="8" t="s">
        <v>33</v>
      </c>
      <c r="D66" s="8">
        <v>196.906940168067</v>
      </c>
      <c r="E66" s="8"/>
      <c r="F66" s="8"/>
      <c r="G66" s="8"/>
      <c r="H66" s="8"/>
      <c r="I66" s="8"/>
      <c r="J66" s="1">
        <v>12337.7</v>
      </c>
      <c r="K66" s="8">
        <f>AVERAGE(L66:L71)</f>
        <v>12498.36538766219</v>
      </c>
      <c r="L66" s="8">
        <f t="shared" si="8"/>
        <v>12359.848634349566</v>
      </c>
      <c r="M66" s="8">
        <f t="shared" ref="M66:M71" si="12">5181*2</f>
        <v>10362</v>
      </c>
      <c r="N66" s="1">
        <f t="shared" si="9"/>
        <v>-1997.8486343495661</v>
      </c>
      <c r="O66">
        <f t="shared" si="10"/>
        <v>3991399.1657724259</v>
      </c>
      <c r="P66">
        <f>SQRT(SUMSQ(N66:N71)*100/(COUNTA(N66:N71)*AVERAGE(L66:L71)))</f>
        <v>193.88039991939326</v>
      </c>
      <c r="R66" s="3">
        <f>1-(SUM(M66:M71)/SUM(L66:L71))</f>
        <v>0.1709315835630083</v>
      </c>
      <c r="T66">
        <f t="shared" si="11"/>
        <v>3991399.1657724259</v>
      </c>
    </row>
    <row r="67" spans="1:21" x14ac:dyDescent="0.25">
      <c r="A67" s="8" t="s">
        <v>14</v>
      </c>
      <c r="B67" s="8">
        <v>2</v>
      </c>
      <c r="C67" s="8" t="s">
        <v>33</v>
      </c>
      <c r="D67" s="8">
        <v>206.93518426890799</v>
      </c>
      <c r="E67" s="8"/>
      <c r="F67" s="8"/>
      <c r="G67" s="8"/>
      <c r="H67" s="8"/>
      <c r="I67" s="8"/>
      <c r="J67" s="1">
        <v>12337.7</v>
      </c>
      <c r="K67" s="8"/>
      <c r="L67" s="8">
        <f t="shared" si="8"/>
        <v>12989.321516559356</v>
      </c>
      <c r="M67" s="8">
        <f t="shared" si="12"/>
        <v>10362</v>
      </c>
      <c r="N67" s="1">
        <f t="shared" si="9"/>
        <v>-2627.3215165593556</v>
      </c>
      <c r="O67">
        <f t="shared" si="10"/>
        <v>6902818.3513757521</v>
      </c>
      <c r="T67">
        <f t="shared" si="11"/>
        <v>6902818.3513757521</v>
      </c>
    </row>
    <row r="68" spans="1:21" x14ac:dyDescent="0.25">
      <c r="A68" s="8" t="s">
        <v>14</v>
      </c>
      <c r="B68" s="8">
        <v>3</v>
      </c>
      <c r="C68" s="8" t="s">
        <v>33</v>
      </c>
      <c r="D68" s="8">
        <v>188.38316329411799</v>
      </c>
      <c r="E68" s="8"/>
      <c r="F68" s="8"/>
      <c r="G68" s="8"/>
      <c r="H68" s="8"/>
      <c r="I68" s="8"/>
      <c r="J68" s="1">
        <v>12337.7</v>
      </c>
      <c r="K68" s="8"/>
      <c r="L68" s="8">
        <f t="shared" si="8"/>
        <v>11824.811159971787</v>
      </c>
      <c r="M68" s="8">
        <f t="shared" si="12"/>
        <v>10362</v>
      </c>
      <c r="N68" s="1">
        <f t="shared" si="9"/>
        <v>-1462.8111599717868</v>
      </c>
      <c r="O68">
        <f t="shared" si="10"/>
        <v>2139816.4897380043</v>
      </c>
      <c r="T68">
        <f t="shared" si="11"/>
        <v>6193074.4147129748</v>
      </c>
    </row>
    <row r="69" spans="1:21" x14ac:dyDescent="0.25">
      <c r="A69" s="8" t="s">
        <v>14</v>
      </c>
      <c r="B69" s="8">
        <v>1</v>
      </c>
      <c r="C69" s="8" t="s">
        <v>34</v>
      </c>
      <c r="D69" s="8">
        <v>198.660541310924</v>
      </c>
      <c r="E69" s="8"/>
      <c r="F69" s="8"/>
      <c r="G69" s="8"/>
      <c r="H69" s="8"/>
      <c r="I69" s="8"/>
      <c r="J69" s="1">
        <v>12337.7</v>
      </c>
      <c r="K69" s="8"/>
      <c r="L69" s="8">
        <f t="shared" si="8"/>
        <v>12469.922178086701</v>
      </c>
      <c r="M69" s="8">
        <f t="shared" si="12"/>
        <v>10362</v>
      </c>
      <c r="N69" s="1">
        <f t="shared" si="9"/>
        <v>-2107.922178086701</v>
      </c>
      <c r="O69">
        <f t="shared" si="10"/>
        <v>4443335.9088697815</v>
      </c>
      <c r="T69">
        <f t="shared" si="11"/>
        <v>4443335.9088697815</v>
      </c>
    </row>
    <row r="70" spans="1:21" x14ac:dyDescent="0.25">
      <c r="A70" s="8" t="s">
        <v>14</v>
      </c>
      <c r="B70" s="8">
        <v>2</v>
      </c>
      <c r="C70" s="8" t="s">
        <v>34</v>
      </c>
      <c r="D70" s="8">
        <v>200.00057868907601</v>
      </c>
      <c r="E70" s="8"/>
      <c r="F70" s="8"/>
      <c r="G70" s="8"/>
      <c r="H70" s="8"/>
      <c r="I70" s="8"/>
      <c r="J70" s="1">
        <v>12337.7</v>
      </c>
      <c r="K70" s="8"/>
      <c r="L70" s="8">
        <f t="shared" si="8"/>
        <v>12554.036324313302</v>
      </c>
      <c r="M70" s="8">
        <f t="shared" si="12"/>
        <v>10362</v>
      </c>
      <c r="N70" s="1">
        <f t="shared" si="9"/>
        <v>-2192.0363243133015</v>
      </c>
      <c r="O70">
        <f t="shared" si="10"/>
        <v>4805023.2471089698</v>
      </c>
      <c r="T70">
        <f t="shared" si="11"/>
        <v>4805023.2471089698</v>
      </c>
    </row>
    <row r="71" spans="1:21" x14ac:dyDescent="0.25">
      <c r="A71" s="8" t="s">
        <v>14</v>
      </c>
      <c r="B71" s="8">
        <v>3</v>
      </c>
      <c r="C71" s="8" t="s">
        <v>34</v>
      </c>
      <c r="D71" s="8">
        <v>203.79564302521001</v>
      </c>
      <c r="E71" s="8"/>
      <c r="F71" s="8"/>
      <c r="G71" s="8"/>
      <c r="H71" s="8"/>
      <c r="I71" s="8"/>
      <c r="J71" s="1">
        <v>12337.7</v>
      </c>
      <c r="K71" s="8"/>
      <c r="L71" s="8">
        <f t="shared" si="8"/>
        <v>12792.252512692434</v>
      </c>
      <c r="M71" s="8">
        <f t="shared" si="12"/>
        <v>10362</v>
      </c>
      <c r="N71" s="1">
        <f t="shared" si="9"/>
        <v>-2430.2525126924338</v>
      </c>
      <c r="O71">
        <f t="shared" si="10"/>
        <v>5906127.2754478883</v>
      </c>
      <c r="T71">
        <f t="shared" si="11"/>
        <v>5906127.2754478883</v>
      </c>
    </row>
    <row r="72" spans="1:21" x14ac:dyDescent="0.25">
      <c r="A72" s="1" t="s">
        <v>15</v>
      </c>
      <c r="B72" s="1">
        <v>1</v>
      </c>
      <c r="C72" s="1" t="s">
        <v>30</v>
      </c>
      <c r="D72" s="1">
        <v>240.35061401752199</v>
      </c>
      <c r="E72" s="1"/>
      <c r="F72" s="1"/>
      <c r="G72" s="1"/>
      <c r="H72" s="1"/>
      <c r="I72" s="1"/>
      <c r="J72" s="1">
        <f>AVERAGE(L72:L103)</f>
        <v>13344.504756623583</v>
      </c>
      <c r="K72" s="1">
        <f>AVERAGE(L72:L75)</f>
        <v>14982.49619709226</v>
      </c>
      <c r="L72" s="1">
        <f t="shared" si="8"/>
        <v>15086.808041879856</v>
      </c>
      <c r="M72" s="1">
        <v>13426</v>
      </c>
      <c r="N72" s="1">
        <f t="shared" si="9"/>
        <v>-1660.8080418798563</v>
      </c>
      <c r="O72">
        <f t="shared" si="10"/>
        <v>2758283.3519728025</v>
      </c>
      <c r="P72">
        <f>SQRT(SUMSQ(N72:N75)*100/(COUNTA(N72:N75)*AVERAGE(L72:L75)))</f>
        <v>130.67423818550941</v>
      </c>
      <c r="R72" s="3">
        <f>1-(SUM(M72:M75)/SUM(L72:L75))</f>
        <v>0.103887641726506</v>
      </c>
      <c r="T72">
        <f t="shared" si="11"/>
        <v>3326241.073042769</v>
      </c>
      <c r="U72">
        <f>1-((SUM(O72:O103))/(SUM(T72:T103)))</f>
        <v>0.87017914967762056</v>
      </c>
    </row>
    <row r="73" spans="1:21" x14ac:dyDescent="0.25">
      <c r="A73" s="1" t="s">
        <v>15</v>
      </c>
      <c r="B73" s="1">
        <v>2</v>
      </c>
      <c r="C73" s="1" t="s">
        <v>30</v>
      </c>
      <c r="D73" s="1">
        <v>228.73525006257799</v>
      </c>
      <c r="E73" s="1"/>
      <c r="F73" s="1"/>
      <c r="G73" s="1"/>
      <c r="H73" s="1"/>
      <c r="I73" s="1"/>
      <c r="J73" s="1">
        <v>13344.5</v>
      </c>
      <c r="K73" s="1"/>
      <c r="L73" s="1">
        <f t="shared" si="8"/>
        <v>14357.711646428021</v>
      </c>
      <c r="M73" s="1">
        <v>13426</v>
      </c>
      <c r="N73" s="1">
        <f t="shared" si="9"/>
        <v>-931.71164642802069</v>
      </c>
      <c r="O73">
        <f t="shared" si="10"/>
        <v>868086.59208961308</v>
      </c>
      <c r="T73">
        <f t="shared" si="11"/>
        <v>1198393.5888251478</v>
      </c>
    </row>
    <row r="74" spans="1:21" x14ac:dyDescent="0.25">
      <c r="A74" s="1" t="s">
        <v>15</v>
      </c>
      <c r="B74" s="1">
        <v>3</v>
      </c>
      <c r="C74" s="1" t="s">
        <v>30</v>
      </c>
      <c r="D74" s="1">
        <v>243.71407219739001</v>
      </c>
      <c r="E74" s="1"/>
      <c r="F74" s="1"/>
      <c r="G74" s="1"/>
      <c r="H74" s="1"/>
      <c r="I74" s="1"/>
      <c r="J74" s="1">
        <v>13344.5</v>
      </c>
      <c r="K74" s="1"/>
      <c r="L74" s="1">
        <f t="shared" si="8"/>
        <v>15297.932311830171</v>
      </c>
      <c r="M74" s="1">
        <v>13426</v>
      </c>
      <c r="N74" s="1">
        <f t="shared" si="9"/>
        <v>-1871.9323118301709</v>
      </c>
      <c r="O74">
        <f t="shared" si="10"/>
        <v>3504130.5800738479</v>
      </c>
      <c r="T74">
        <f t="shared" si="11"/>
        <v>4140949.5137304836</v>
      </c>
    </row>
    <row r="75" spans="1:21" x14ac:dyDescent="0.25">
      <c r="A75" s="1" t="s">
        <v>15</v>
      </c>
      <c r="B75" s="1">
        <v>4</v>
      </c>
      <c r="C75" s="1" t="s">
        <v>30</v>
      </c>
      <c r="D75" s="1">
        <v>241.95527781154999</v>
      </c>
      <c r="E75" s="1"/>
      <c r="F75" s="1"/>
      <c r="G75" s="1"/>
      <c r="H75" s="1"/>
      <c r="I75" s="1"/>
      <c r="J75" s="1">
        <v>13344.5</v>
      </c>
      <c r="K75" s="1"/>
      <c r="L75" s="1">
        <f t="shared" si="8"/>
        <v>15187.532788230994</v>
      </c>
      <c r="M75" s="1">
        <v>13426</v>
      </c>
      <c r="N75" s="1">
        <f t="shared" si="9"/>
        <v>-1761.5327882309939</v>
      </c>
      <c r="O75">
        <f t="shared" si="10"/>
        <v>3102997.7640128597</v>
      </c>
      <c r="T75">
        <f t="shared" si="11"/>
        <v>3703826.4529761635</v>
      </c>
    </row>
    <row r="76" spans="1:21" x14ac:dyDescent="0.25">
      <c r="A76" s="4" t="s">
        <v>15</v>
      </c>
      <c r="B76" s="4">
        <v>1</v>
      </c>
      <c r="C76" s="4" t="s">
        <v>29</v>
      </c>
      <c r="D76" s="4">
        <v>212.34989865903799</v>
      </c>
      <c r="E76" s="4"/>
      <c r="F76" s="4"/>
      <c r="G76" s="4"/>
      <c r="H76" s="4"/>
      <c r="I76" s="4"/>
      <c r="J76" s="1">
        <v>13344.5</v>
      </c>
      <c r="K76" s="4">
        <f>AVERAGE(L76:L83)</f>
        <v>14663.279573925576</v>
      </c>
      <c r="L76" s="4">
        <f t="shared" si="8"/>
        <v>13329.203138827816</v>
      </c>
      <c r="M76" s="4">
        <v>13082</v>
      </c>
      <c r="N76" s="1">
        <f t="shared" si="9"/>
        <v>-247.20313882781556</v>
      </c>
      <c r="O76">
        <f t="shared" si="10"/>
        <v>61109.391846324252</v>
      </c>
      <c r="P76">
        <f>SQRT(SUMSQ(N76:N83)*100/(COUNTA(N76:N83)*AVERAGE(L76:L83)))</f>
        <v>139.89649430664412</v>
      </c>
      <c r="R76" s="3">
        <f>1-(SUM(M76:M83)/SUM(L76:L83))</f>
        <v>0.10783942063939278</v>
      </c>
      <c r="T76">
        <f t="shared" si="11"/>
        <v>77171.096077117909</v>
      </c>
    </row>
    <row r="77" spans="1:21" x14ac:dyDescent="0.25">
      <c r="A77" s="4" t="s">
        <v>15</v>
      </c>
      <c r="B77" s="4">
        <v>2</v>
      </c>
      <c r="C77" s="4" t="s">
        <v>29</v>
      </c>
      <c r="D77" s="4">
        <v>230.66912558555299</v>
      </c>
      <c r="E77" s="4"/>
      <c r="F77" s="4"/>
      <c r="G77" s="4"/>
      <c r="H77" s="4"/>
      <c r="I77" s="4"/>
      <c r="J77" s="1">
        <v>13344.5</v>
      </c>
      <c r="K77" s="4"/>
      <c r="L77" s="4">
        <f t="shared" si="8"/>
        <v>14479.101013005162</v>
      </c>
      <c r="M77" s="4">
        <v>13082</v>
      </c>
      <c r="N77" s="1">
        <f t="shared" si="9"/>
        <v>-1397.1010130051618</v>
      </c>
      <c r="O77">
        <f t="shared" si="10"/>
        <v>1951891.2405400493</v>
      </c>
      <c r="T77">
        <f t="shared" si="11"/>
        <v>1951891.2405400493</v>
      </c>
    </row>
    <row r="78" spans="1:21" x14ac:dyDescent="0.25">
      <c r="A78" s="4" t="s">
        <v>15</v>
      </c>
      <c r="B78" s="4">
        <v>3</v>
      </c>
      <c r="C78" s="4" t="s">
        <v>29</v>
      </c>
      <c r="D78" s="4">
        <v>232.23270606114801</v>
      </c>
      <c r="E78" s="4"/>
      <c r="F78" s="4"/>
      <c r="G78" s="4"/>
      <c r="H78" s="4"/>
      <c r="I78" s="4"/>
      <c r="J78" s="1">
        <v>13344.5</v>
      </c>
      <c r="K78" s="4"/>
      <c r="L78" s="4">
        <f t="shared" si="8"/>
        <v>14577.246959458262</v>
      </c>
      <c r="M78" s="4">
        <v>13082</v>
      </c>
      <c r="N78" s="1">
        <f t="shared" si="9"/>
        <v>-1495.2469594582617</v>
      </c>
      <c r="O78">
        <f t="shared" si="10"/>
        <v>2235763.4697691766</v>
      </c>
      <c r="T78">
        <f t="shared" si="11"/>
        <v>2235763.4697691766</v>
      </c>
    </row>
    <row r="79" spans="1:21" x14ac:dyDescent="0.25">
      <c r="A79" s="4" t="s">
        <v>15</v>
      </c>
      <c r="B79" s="4">
        <v>4</v>
      </c>
      <c r="C79" s="4" t="s">
        <v>29</v>
      </c>
      <c r="D79" s="4">
        <v>232.016775254783</v>
      </c>
      <c r="E79" s="4"/>
      <c r="F79" s="4"/>
      <c r="G79" s="4"/>
      <c r="H79" s="4"/>
      <c r="I79" s="4"/>
      <c r="J79" s="1">
        <v>13344.5</v>
      </c>
      <c r="K79" s="4"/>
      <c r="L79" s="4">
        <f t="shared" si="8"/>
        <v>14563.69298274273</v>
      </c>
      <c r="M79" s="4">
        <v>13082</v>
      </c>
      <c r="N79" s="1">
        <f t="shared" si="9"/>
        <v>-1481.6929827427302</v>
      </c>
      <c r="O79">
        <f t="shared" si="10"/>
        <v>2195414.0951090488</v>
      </c>
      <c r="T79">
        <f t="shared" si="11"/>
        <v>2195414.0951090488</v>
      </c>
    </row>
    <row r="80" spans="1:21" x14ac:dyDescent="0.25">
      <c r="A80" s="4" t="s">
        <v>15</v>
      </c>
      <c r="B80" s="4">
        <v>1</v>
      </c>
      <c r="C80" s="4" t="s">
        <v>31</v>
      </c>
      <c r="D80" s="4">
        <v>238.65023193277301</v>
      </c>
      <c r="E80" s="4"/>
      <c r="F80" s="4"/>
      <c r="G80" s="4"/>
      <c r="H80" s="4"/>
      <c r="I80" s="4"/>
      <c r="J80" s="1">
        <v>13344.5</v>
      </c>
      <c r="K80" s="4"/>
      <c r="L80" s="4">
        <f t="shared" si="8"/>
        <v>14980.075058420163</v>
      </c>
      <c r="M80" s="4">
        <v>13082</v>
      </c>
      <c r="N80" s="1">
        <f t="shared" si="9"/>
        <v>-1898.0750584201633</v>
      </c>
      <c r="O80">
        <f t="shared" si="10"/>
        <v>3602688.9273967063</v>
      </c>
      <c r="T80">
        <f t="shared" si="11"/>
        <v>3602688.9273967063</v>
      </c>
    </row>
    <row r="81" spans="1:20" x14ac:dyDescent="0.25">
      <c r="A81" s="4" t="s">
        <v>15</v>
      </c>
      <c r="B81" s="4">
        <v>2</v>
      </c>
      <c r="C81" s="4" t="s">
        <v>31</v>
      </c>
      <c r="D81" s="4">
        <v>247.06756134453801</v>
      </c>
      <c r="E81" s="4"/>
      <c r="F81" s="4"/>
      <c r="G81" s="4"/>
      <c r="H81" s="4"/>
      <c r="I81" s="4"/>
      <c r="J81" s="1">
        <v>13344.5</v>
      </c>
      <c r="K81" s="4"/>
      <c r="L81" s="4">
        <f t="shared" si="8"/>
        <v>15508.430825596652</v>
      </c>
      <c r="M81" s="4">
        <v>13082</v>
      </c>
      <c r="N81" s="1">
        <f t="shared" si="9"/>
        <v>-2426.4308255966516</v>
      </c>
      <c r="O81">
        <f t="shared" si="10"/>
        <v>5887566.5514056487</v>
      </c>
      <c r="T81">
        <f t="shared" si="11"/>
        <v>5887566.5514056487</v>
      </c>
    </row>
    <row r="82" spans="1:20" x14ac:dyDescent="0.25">
      <c r="A82" s="4" t="s">
        <v>15</v>
      </c>
      <c r="B82" s="4">
        <v>3</v>
      </c>
      <c r="C82" s="4" t="s">
        <v>31</v>
      </c>
      <c r="D82" s="4">
        <v>242.45407992132999</v>
      </c>
      <c r="E82" s="4"/>
      <c r="F82" s="4"/>
      <c r="G82" s="4"/>
      <c r="H82" s="4"/>
      <c r="I82" s="4"/>
      <c r="J82" s="1">
        <v>13344.5</v>
      </c>
      <c r="K82" s="4"/>
      <c r="L82" s="4">
        <f t="shared" si="8"/>
        <v>15218.842596661885</v>
      </c>
      <c r="M82" s="4">
        <v>13082</v>
      </c>
      <c r="N82" s="1">
        <f t="shared" si="9"/>
        <v>-2136.8425966618852</v>
      </c>
      <c r="O82">
        <f t="shared" si="10"/>
        <v>4566096.2829087079</v>
      </c>
      <c r="T82">
        <f t="shared" si="11"/>
        <v>4566096.2829087079</v>
      </c>
    </row>
    <row r="83" spans="1:20" x14ac:dyDescent="0.25">
      <c r="A83" s="4" t="s">
        <v>15</v>
      </c>
      <c r="B83" s="4">
        <v>4</v>
      </c>
      <c r="C83" s="4" t="s">
        <v>31</v>
      </c>
      <c r="D83" s="4">
        <v>233.38607641695</v>
      </c>
      <c r="E83" s="4"/>
      <c r="F83" s="4"/>
      <c r="G83" s="4"/>
      <c r="H83" s="4"/>
      <c r="I83" s="4"/>
      <c r="J83" s="1">
        <v>13344.5</v>
      </c>
      <c r="K83" s="4"/>
      <c r="L83" s="4">
        <f t="shared" si="8"/>
        <v>14649.644016691953</v>
      </c>
      <c r="M83" s="4">
        <v>13082</v>
      </c>
      <c r="N83" s="1">
        <f t="shared" si="9"/>
        <v>-1567.6440166919529</v>
      </c>
      <c r="O83">
        <f t="shared" si="10"/>
        <v>2457507.76307008</v>
      </c>
      <c r="T83">
        <f t="shared" si="11"/>
        <v>2457507.76307008</v>
      </c>
    </row>
    <row r="84" spans="1:20" x14ac:dyDescent="0.25">
      <c r="A84" s="5" t="s">
        <v>15</v>
      </c>
      <c r="B84" s="5">
        <v>1</v>
      </c>
      <c r="C84" s="5" t="s">
        <v>12</v>
      </c>
      <c r="D84" s="5">
        <v>168.371238226354</v>
      </c>
      <c r="E84" s="5"/>
      <c r="F84" s="5"/>
      <c r="G84" s="5"/>
      <c r="H84" s="5"/>
      <c r="I84" s="5"/>
      <c r="J84" s="1">
        <v>13344.5</v>
      </c>
      <c r="K84" s="5">
        <f>AVERAGE(L84:L91)</f>
        <v>8722.9739822858974</v>
      </c>
      <c r="L84" s="5">
        <f t="shared" si="8"/>
        <v>10568.662623468241</v>
      </c>
      <c r="M84" s="5">
        <f t="shared" ref="M84:M91" si="13">4842*2</f>
        <v>9684</v>
      </c>
      <c r="N84" s="1">
        <f t="shared" si="9"/>
        <v>-884.66262346824078</v>
      </c>
      <c r="O84">
        <f t="shared" si="10"/>
        <v>782627.95736171037</v>
      </c>
      <c r="P84">
        <f>SQRT(SUMSQ(N84:N91)*100/(COUNTA(N84:N91)*AVERAGE(L84:L91)))</f>
        <v>175.1748697644137</v>
      </c>
      <c r="R84" s="3">
        <f>1-(SUM(M84:M91)/SUM(L84:L91))</f>
        <v>-0.11017183126599916</v>
      </c>
      <c r="T84">
        <f t="shared" si="11"/>
        <v>41426438.824539728</v>
      </c>
    </row>
    <row r="85" spans="1:20" x14ac:dyDescent="0.25">
      <c r="A85" s="5" t="s">
        <v>15</v>
      </c>
      <c r="B85" s="5">
        <v>1</v>
      </c>
      <c r="C85" s="5" t="s">
        <v>12</v>
      </c>
      <c r="D85" s="5">
        <v>170.95411335598101</v>
      </c>
      <c r="E85" s="5"/>
      <c r="F85" s="5"/>
      <c r="G85" s="5"/>
      <c r="H85" s="5"/>
      <c r="I85" s="5"/>
      <c r="J85" s="1">
        <v>13344.5</v>
      </c>
      <c r="K85" s="5"/>
      <c r="L85" s="5">
        <f t="shared" si="8"/>
        <v>10730.789695354928</v>
      </c>
      <c r="M85" s="5">
        <f t="shared" si="13"/>
        <v>9684</v>
      </c>
      <c r="N85" s="1">
        <f t="shared" si="9"/>
        <v>-1046.789695354928</v>
      </c>
      <c r="O85">
        <f t="shared" si="10"/>
        <v>1095768.6663012628</v>
      </c>
      <c r="T85">
        <f t="shared" si="11"/>
        <v>39365714.946914405</v>
      </c>
    </row>
    <row r="86" spans="1:20" x14ac:dyDescent="0.25">
      <c r="A86" s="5" t="s">
        <v>15</v>
      </c>
      <c r="B86" s="5">
        <v>2</v>
      </c>
      <c r="C86" s="5" t="s">
        <v>12</v>
      </c>
      <c r="D86" s="5">
        <v>115.980310781334</v>
      </c>
      <c r="E86" s="5"/>
      <c r="F86" s="5"/>
      <c r="G86" s="5"/>
      <c r="H86" s="5"/>
      <c r="I86" s="5"/>
      <c r="J86" s="1">
        <v>13344.5</v>
      </c>
      <c r="K86" s="5"/>
      <c r="L86" s="5">
        <f t="shared" si="8"/>
        <v>7280.0841077443356</v>
      </c>
      <c r="M86" s="5">
        <f t="shared" si="13"/>
        <v>9684</v>
      </c>
      <c r="N86" s="1">
        <f t="shared" si="9"/>
        <v>2403.9158922556644</v>
      </c>
      <c r="O86">
        <f t="shared" si="10"/>
        <v>5778811.6170393471</v>
      </c>
      <c r="T86">
        <f t="shared" si="11"/>
        <v>94573989.111446768</v>
      </c>
    </row>
    <row r="87" spans="1:20" x14ac:dyDescent="0.25">
      <c r="A87" s="5" t="s">
        <v>15</v>
      </c>
      <c r="B87" s="5">
        <v>2</v>
      </c>
      <c r="C87" s="5" t="s">
        <v>12</v>
      </c>
      <c r="D87" s="5">
        <v>133.794154478813</v>
      </c>
      <c r="E87" s="5"/>
      <c r="F87" s="5"/>
      <c r="G87" s="5"/>
      <c r="H87" s="5"/>
      <c r="I87" s="5"/>
      <c r="J87" s="1">
        <v>13344.5</v>
      </c>
      <c r="K87" s="5"/>
      <c r="L87" s="5">
        <f t="shared" si="8"/>
        <v>8398.2590766350932</v>
      </c>
      <c r="M87" s="5">
        <f t="shared" si="13"/>
        <v>9684</v>
      </c>
      <c r="N87" s="1">
        <f t="shared" si="9"/>
        <v>1285.7409233649068</v>
      </c>
      <c r="O87">
        <f t="shared" si="10"/>
        <v>1653129.7220152433</v>
      </c>
      <c r="T87">
        <f t="shared" si="11"/>
        <v>74075989.32192421</v>
      </c>
    </row>
    <row r="88" spans="1:20" x14ac:dyDescent="0.25">
      <c r="A88" s="5" t="s">
        <v>15</v>
      </c>
      <c r="B88" s="5">
        <v>3</v>
      </c>
      <c r="C88" s="5" t="s">
        <v>12</v>
      </c>
      <c r="D88" s="5">
        <v>154.82857986769201</v>
      </c>
      <c r="E88" s="5"/>
      <c r="F88" s="5"/>
      <c r="G88" s="5"/>
      <c r="H88" s="5"/>
      <c r="I88" s="5"/>
      <c r="J88" s="1">
        <v>13344.5</v>
      </c>
      <c r="K88" s="5"/>
      <c r="L88" s="5">
        <f t="shared" si="8"/>
        <v>9718.5899582950278</v>
      </c>
      <c r="M88" s="5">
        <f t="shared" si="13"/>
        <v>9684</v>
      </c>
      <c r="N88" s="1">
        <f t="shared" si="9"/>
        <v>-34.589958295027827</v>
      </c>
      <c r="O88">
        <f t="shared" si="10"/>
        <v>1196.4652148517644</v>
      </c>
      <c r="T88">
        <f t="shared" si="11"/>
        <v>53091771.295859054</v>
      </c>
    </row>
    <row r="89" spans="1:20" x14ac:dyDescent="0.25">
      <c r="A89" s="5" t="s">
        <v>15</v>
      </c>
      <c r="B89" s="5">
        <v>3</v>
      </c>
      <c r="C89" s="5" t="s">
        <v>12</v>
      </c>
      <c r="D89" s="5">
        <v>119.690699088146</v>
      </c>
      <c r="E89" s="5"/>
      <c r="F89" s="5"/>
      <c r="G89" s="5"/>
      <c r="H89" s="5"/>
      <c r="I89" s="5"/>
      <c r="J89" s="1">
        <v>13344.5</v>
      </c>
      <c r="K89" s="5"/>
      <c r="L89" s="5">
        <f t="shared" si="8"/>
        <v>7512.9851817629251</v>
      </c>
      <c r="M89" s="5">
        <f t="shared" si="13"/>
        <v>9684</v>
      </c>
      <c r="N89" s="1">
        <f t="shared" si="9"/>
        <v>2171.0148182370749</v>
      </c>
      <c r="O89">
        <f t="shared" si="10"/>
        <v>4713305.3410049593</v>
      </c>
      <c r="T89">
        <f t="shared" si="11"/>
        <v>90098345.309632227</v>
      </c>
    </row>
    <row r="90" spans="1:20" x14ac:dyDescent="0.25">
      <c r="A90" s="5" t="s">
        <v>15</v>
      </c>
      <c r="B90" s="5">
        <v>4</v>
      </c>
      <c r="C90" s="5" t="s">
        <v>12</v>
      </c>
      <c r="D90" s="5">
        <v>129.015522009655</v>
      </c>
      <c r="E90" s="5"/>
      <c r="F90" s="5"/>
      <c r="G90" s="5"/>
      <c r="H90" s="5"/>
      <c r="I90" s="5"/>
      <c r="J90" s="1">
        <v>13344.5</v>
      </c>
      <c r="K90" s="5"/>
      <c r="L90" s="5">
        <f t="shared" si="8"/>
        <v>8098.3043165460449</v>
      </c>
      <c r="M90" s="5">
        <f t="shared" si="13"/>
        <v>9684</v>
      </c>
      <c r="N90" s="1">
        <f t="shared" si="9"/>
        <v>1585.6956834539551</v>
      </c>
      <c r="O90">
        <f t="shared" si="10"/>
        <v>2514430.8005245058</v>
      </c>
      <c r="T90">
        <f t="shared" si="11"/>
        <v>79329227.997657329</v>
      </c>
    </row>
    <row r="91" spans="1:20" x14ac:dyDescent="0.25">
      <c r="A91" s="5" t="s">
        <v>15</v>
      </c>
      <c r="B91" s="5">
        <v>4</v>
      </c>
      <c r="C91" s="5" t="s">
        <v>12</v>
      </c>
      <c r="D91" s="5">
        <v>119.103343929912</v>
      </c>
      <c r="E91" s="5"/>
      <c r="F91" s="5"/>
      <c r="G91" s="5"/>
      <c r="H91" s="5"/>
      <c r="I91" s="5"/>
      <c r="J91" s="1">
        <v>13344.5</v>
      </c>
      <c r="K91" s="5"/>
      <c r="L91" s="5">
        <f t="shared" si="8"/>
        <v>7476.1168984805763</v>
      </c>
      <c r="M91" s="5">
        <f t="shared" si="13"/>
        <v>9684</v>
      </c>
      <c r="N91" s="1">
        <f t="shared" si="9"/>
        <v>2207.8831015194237</v>
      </c>
      <c r="O91">
        <f t="shared" si="10"/>
        <v>4874747.7899750294</v>
      </c>
      <c r="T91">
        <f t="shared" si="11"/>
        <v>90799613.162422419</v>
      </c>
    </row>
    <row r="92" spans="1:20" x14ac:dyDescent="0.25">
      <c r="A92" s="6" t="s">
        <v>15</v>
      </c>
      <c r="B92" s="6">
        <v>1</v>
      </c>
      <c r="C92" s="6" t="s">
        <v>36</v>
      </c>
      <c r="D92" s="6">
        <v>230.41771904165901</v>
      </c>
      <c r="E92" s="6"/>
      <c r="F92" s="6"/>
      <c r="G92" s="6"/>
      <c r="H92" s="6"/>
      <c r="I92" s="6"/>
      <c r="J92" s="1">
        <v>13344.5</v>
      </c>
      <c r="K92" s="6">
        <f>AVERAGE(L92:L95)</f>
        <v>15048.951626029952</v>
      </c>
      <c r="L92" s="6">
        <f t="shared" si="8"/>
        <v>14463.320224244937</v>
      </c>
      <c r="M92" s="6">
        <v>13830</v>
      </c>
      <c r="N92" s="1">
        <f t="shared" si="9"/>
        <v>-633.32022424493698</v>
      </c>
      <c r="O92">
        <f t="shared" si="10"/>
        <v>401094.50643765728</v>
      </c>
      <c r="P92">
        <f>SQRT(SUMSQ(N92:N95)*100/(COUNTA(N92:N95)*AVERAGE(L92:L95)))</f>
        <v>105.78156398970778</v>
      </c>
      <c r="R92" s="3">
        <f>1-(SUM(M92:M95)/SUM(L92:L95))</f>
        <v>8.0999105872700761E-2</v>
      </c>
      <c r="T92">
        <f t="shared" si="11"/>
        <v>2573843.3819213249</v>
      </c>
    </row>
    <row r="93" spans="1:20" x14ac:dyDescent="0.25">
      <c r="A93" s="6" t="s">
        <v>15</v>
      </c>
      <c r="B93" s="6">
        <v>2</v>
      </c>
      <c r="C93" s="6" t="s">
        <v>36</v>
      </c>
      <c r="D93" s="6">
        <v>236.113502521008</v>
      </c>
      <c r="E93" s="6"/>
      <c r="F93" s="6"/>
      <c r="G93" s="6"/>
      <c r="H93" s="6"/>
      <c r="I93" s="6"/>
      <c r="J93" s="1">
        <v>13344.5</v>
      </c>
      <c r="K93" s="6"/>
      <c r="L93" s="6">
        <f t="shared" ref="L93:L123" si="14">D93*62.77</f>
        <v>14820.844553243673</v>
      </c>
      <c r="M93" s="6">
        <v>13830</v>
      </c>
      <c r="N93" s="1">
        <f t="shared" ref="N93:N124" si="15">(M93-L93)</f>
        <v>-990.84455324367264</v>
      </c>
      <c r="O93">
        <f t="shared" ref="O93:O124" si="16">N93*N93</f>
        <v>981772.92869265319</v>
      </c>
      <c r="T93">
        <f t="shared" ref="T93:T103" si="17">(ABS(M93-J93)+ABS(L93-J93))^2</f>
        <v>3848834.0510918656</v>
      </c>
    </row>
    <row r="94" spans="1:20" x14ac:dyDescent="0.25">
      <c r="A94" s="6" t="s">
        <v>15</v>
      </c>
      <c r="B94" s="6">
        <v>3</v>
      </c>
      <c r="C94" s="6" t="s">
        <v>36</v>
      </c>
      <c r="D94" s="6">
        <v>243.32882360093001</v>
      </c>
      <c r="E94" s="6"/>
      <c r="F94" s="6"/>
      <c r="G94" s="6"/>
      <c r="H94" s="6"/>
      <c r="I94" s="6"/>
      <c r="J94" s="1">
        <v>13344.5</v>
      </c>
      <c r="K94" s="6"/>
      <c r="L94" s="6">
        <f t="shared" si="14"/>
        <v>15273.750257430378</v>
      </c>
      <c r="M94" s="6">
        <v>13830</v>
      </c>
      <c r="N94" s="1">
        <f t="shared" si="15"/>
        <v>-1443.750257430378</v>
      </c>
      <c r="O94">
        <f t="shared" si="16"/>
        <v>2084414.8058302829</v>
      </c>
      <c r="T94">
        <f t="shared" si="17"/>
        <v>5831018.8057600772</v>
      </c>
    </row>
    <row r="95" spans="1:20" x14ac:dyDescent="0.25">
      <c r="A95" s="6" t="s">
        <v>15</v>
      </c>
      <c r="B95" s="6">
        <v>4</v>
      </c>
      <c r="C95" s="6" t="s">
        <v>36</v>
      </c>
      <c r="D95" s="6">
        <v>249.130021812981</v>
      </c>
      <c r="E95" s="6"/>
      <c r="F95" s="6"/>
      <c r="G95" s="6"/>
      <c r="H95" s="6"/>
      <c r="I95" s="6"/>
      <c r="J95" s="1">
        <v>13344.5</v>
      </c>
      <c r="K95" s="6"/>
      <c r="L95" s="6">
        <f t="shared" si="14"/>
        <v>15637.891469200818</v>
      </c>
      <c r="M95" s="6">
        <v>13830</v>
      </c>
      <c r="N95" s="1">
        <f t="shared" si="15"/>
        <v>-1807.8914692008184</v>
      </c>
      <c r="O95">
        <f t="shared" si="16"/>
        <v>3268471.5644090935</v>
      </c>
      <c r="T95">
        <f t="shared" si="17"/>
        <v>7722237.7975970833</v>
      </c>
    </row>
    <row r="96" spans="1:20" x14ac:dyDescent="0.25">
      <c r="A96" s="8" t="s">
        <v>15</v>
      </c>
      <c r="B96" s="8">
        <v>1</v>
      </c>
      <c r="C96" s="8" t="s">
        <v>33</v>
      </c>
      <c r="D96" s="8">
        <v>230.74856631503701</v>
      </c>
      <c r="E96" s="8"/>
      <c r="F96" s="8"/>
      <c r="G96" s="8"/>
      <c r="H96" s="8"/>
      <c r="I96" s="8"/>
      <c r="J96" s="1">
        <v>13344.5</v>
      </c>
      <c r="K96" s="8">
        <f>AVERAGE(L96:L103)</f>
        <v>14976.041558721759</v>
      </c>
      <c r="L96" s="8">
        <f t="shared" si="14"/>
        <v>14484.087507594873</v>
      </c>
      <c r="M96" s="8">
        <v>13365</v>
      </c>
      <c r="N96" s="1">
        <f t="shared" si="15"/>
        <v>-1119.0875075948734</v>
      </c>
      <c r="O96">
        <f t="shared" si="16"/>
        <v>1252356.8496549057</v>
      </c>
      <c r="P96">
        <f>SQRT(SUMSQ(N96:N103)*100/(COUNTA(N96:N103)*AVERAGE(L96:L103)))</f>
        <v>135.13122800240794</v>
      </c>
      <c r="R96" s="3">
        <f>1-(SUM(M96:M103)/SUM(L96:L103))</f>
        <v>0.10757459188429663</v>
      </c>
      <c r="T96">
        <f t="shared" si="17"/>
        <v>1345803.0252776854</v>
      </c>
    </row>
    <row r="97" spans="1:20" x14ac:dyDescent="0.25">
      <c r="A97" s="8" t="s">
        <v>15</v>
      </c>
      <c r="B97" s="8">
        <v>2</v>
      </c>
      <c r="C97" s="8" t="s">
        <v>33</v>
      </c>
      <c r="D97" s="8">
        <v>237.65878047559499</v>
      </c>
      <c r="E97" s="8"/>
      <c r="F97" s="8"/>
      <c r="G97" s="8"/>
      <c r="H97" s="8"/>
      <c r="I97" s="8"/>
      <c r="J97" s="1">
        <v>13344.5</v>
      </c>
      <c r="K97" s="8"/>
      <c r="L97" s="8">
        <f t="shared" si="14"/>
        <v>14917.841650453098</v>
      </c>
      <c r="M97" s="8">
        <v>13365</v>
      </c>
      <c r="N97" s="1">
        <f t="shared" si="15"/>
        <v>-1552.8416504530978</v>
      </c>
      <c r="O97">
        <f t="shared" si="16"/>
        <v>2411317.191381901</v>
      </c>
      <c r="T97">
        <f t="shared" si="17"/>
        <v>2540331.2067190548</v>
      </c>
    </row>
    <row r="98" spans="1:20" x14ac:dyDescent="0.25">
      <c r="A98" s="8" t="s">
        <v>15</v>
      </c>
      <c r="B98" s="8">
        <v>3</v>
      </c>
      <c r="C98" s="8" t="s">
        <v>33</v>
      </c>
      <c r="D98" s="8">
        <v>245.63735562310001</v>
      </c>
      <c r="E98" s="8"/>
      <c r="F98" s="8"/>
      <c r="G98" s="8"/>
      <c r="H98" s="8"/>
      <c r="I98" s="8"/>
      <c r="J98" s="1">
        <v>13344.5</v>
      </c>
      <c r="K98" s="8"/>
      <c r="L98" s="8">
        <f t="shared" si="14"/>
        <v>15418.656812461988</v>
      </c>
      <c r="M98" s="8">
        <v>13365</v>
      </c>
      <c r="N98" s="1">
        <f t="shared" si="15"/>
        <v>-2053.656812461988</v>
      </c>
      <c r="O98">
        <f t="shared" si="16"/>
        <v>4217506.3033715328</v>
      </c>
      <c r="T98">
        <f t="shared" si="17"/>
        <v>4387587.161993416</v>
      </c>
    </row>
    <row r="99" spans="1:20" x14ac:dyDescent="0.25">
      <c r="A99" s="8" t="s">
        <v>15</v>
      </c>
      <c r="B99" s="8">
        <v>4</v>
      </c>
      <c r="C99" s="8" t="s">
        <v>33</v>
      </c>
      <c r="D99" s="8">
        <v>237.53105224387599</v>
      </c>
      <c r="E99" s="8"/>
      <c r="F99" s="8"/>
      <c r="G99" s="8"/>
      <c r="H99" s="8"/>
      <c r="I99" s="8"/>
      <c r="J99" s="1">
        <v>13344.5</v>
      </c>
      <c r="K99" s="8"/>
      <c r="L99" s="8">
        <f t="shared" si="14"/>
        <v>14909.824149348096</v>
      </c>
      <c r="M99" s="8">
        <v>13365</v>
      </c>
      <c r="N99" s="1">
        <f t="shared" si="15"/>
        <v>-1544.8241493480964</v>
      </c>
      <c r="O99">
        <f t="shared" si="16"/>
        <v>2386481.6524090697</v>
      </c>
      <c r="T99">
        <f t="shared" si="17"/>
        <v>2514838.2326556137</v>
      </c>
    </row>
    <row r="100" spans="1:20" x14ac:dyDescent="0.25">
      <c r="A100" s="8" t="s">
        <v>15</v>
      </c>
      <c r="B100" s="8">
        <v>1</v>
      </c>
      <c r="C100" s="8" t="s">
        <v>34</v>
      </c>
      <c r="D100" s="8">
        <v>243.055531914894</v>
      </c>
      <c r="E100" s="8"/>
      <c r="F100" s="8"/>
      <c r="G100" s="8"/>
      <c r="H100" s="8"/>
      <c r="I100" s="8"/>
      <c r="J100" s="1">
        <v>13344.5</v>
      </c>
      <c r="K100" s="8"/>
      <c r="L100" s="8">
        <f t="shared" si="14"/>
        <v>15256.595738297898</v>
      </c>
      <c r="M100" s="8">
        <v>13365</v>
      </c>
      <c r="N100" s="1">
        <f t="shared" si="15"/>
        <v>-1891.5957382978977</v>
      </c>
      <c r="O100">
        <f t="shared" si="16"/>
        <v>3578134.4371467684</v>
      </c>
      <c r="T100">
        <f t="shared" si="17"/>
        <v>3734926.2876871964</v>
      </c>
    </row>
    <row r="101" spans="1:20" x14ac:dyDescent="0.25">
      <c r="A101" s="8" t="s">
        <v>15</v>
      </c>
      <c r="B101" s="8">
        <v>2</v>
      </c>
      <c r="C101" s="8" t="s">
        <v>34</v>
      </c>
      <c r="D101" s="8">
        <v>233.67397117825899</v>
      </c>
      <c r="E101" s="8"/>
      <c r="F101" s="8"/>
      <c r="G101" s="8"/>
      <c r="H101" s="8"/>
      <c r="I101" s="8"/>
      <c r="J101" s="1">
        <v>13344.5</v>
      </c>
      <c r="K101" s="8"/>
      <c r="L101" s="8">
        <f t="shared" si="14"/>
        <v>14667.715170859317</v>
      </c>
      <c r="M101" s="8">
        <v>13365</v>
      </c>
      <c r="N101" s="1">
        <f t="shared" si="15"/>
        <v>-1302.7151708593174</v>
      </c>
      <c r="O101">
        <f t="shared" si="16"/>
        <v>1697066.8163870205</v>
      </c>
      <c r="T101">
        <f t="shared" si="17"/>
        <v>1805570.4603974845</v>
      </c>
    </row>
    <row r="102" spans="1:20" x14ac:dyDescent="0.25">
      <c r="A102" s="8" t="s">
        <v>15</v>
      </c>
      <c r="B102" s="8">
        <v>3</v>
      </c>
      <c r="C102" s="8" t="s">
        <v>34</v>
      </c>
      <c r="D102" s="8">
        <v>247.94795154657601</v>
      </c>
      <c r="E102" s="8"/>
      <c r="F102" s="8"/>
      <c r="G102" s="8"/>
      <c r="H102" s="8"/>
      <c r="I102" s="8"/>
      <c r="J102" s="1">
        <v>13344.5</v>
      </c>
      <c r="K102" s="8"/>
      <c r="L102" s="8">
        <f t="shared" si="14"/>
        <v>15563.692918578578</v>
      </c>
      <c r="M102" s="8">
        <v>13365</v>
      </c>
      <c r="N102" s="1">
        <f t="shared" si="15"/>
        <v>-2198.6929185785775</v>
      </c>
      <c r="O102">
        <f t="shared" si="16"/>
        <v>4834250.5502075832</v>
      </c>
      <c r="T102">
        <f t="shared" si="17"/>
        <v>5016224.369531027</v>
      </c>
    </row>
    <row r="103" spans="1:20" x14ac:dyDescent="0.25">
      <c r="A103" s="8" t="s">
        <v>15</v>
      </c>
      <c r="B103" s="8">
        <v>4</v>
      </c>
      <c r="C103" s="8" t="s">
        <v>34</v>
      </c>
      <c r="D103" s="8">
        <v>232.43457897371701</v>
      </c>
      <c r="E103" s="8"/>
      <c r="F103" s="8"/>
      <c r="G103" s="8"/>
      <c r="H103" s="8"/>
      <c r="I103" s="8"/>
      <c r="J103" s="1">
        <v>13344.5</v>
      </c>
      <c r="K103" s="8"/>
      <c r="L103" s="8">
        <f t="shared" si="14"/>
        <v>14589.918522180218</v>
      </c>
      <c r="M103" s="8">
        <v>13365</v>
      </c>
      <c r="N103" s="1">
        <f t="shared" si="15"/>
        <v>-1224.9185221802181</v>
      </c>
      <c r="O103">
        <f t="shared" si="16"/>
        <v>1500425.3859801695</v>
      </c>
      <c r="T103">
        <f t="shared" si="17"/>
        <v>1602549.7047989473</v>
      </c>
    </row>
    <row r="104" spans="1:20" x14ac:dyDescent="0.25">
      <c r="A104" t="s">
        <v>39</v>
      </c>
      <c r="B104">
        <v>1</v>
      </c>
      <c r="C104" t="s">
        <v>12</v>
      </c>
      <c r="D104">
        <v>141.99688684201601</v>
      </c>
      <c r="F104" t="s">
        <v>12</v>
      </c>
      <c r="L104">
        <f t="shared" si="14"/>
        <v>8913.144587073346</v>
      </c>
      <c r="N104" s="59"/>
      <c r="O104" s="59" t="s">
        <v>67</v>
      </c>
      <c r="P104" s="59">
        <f>SQRT(SUMSQ(N4:N103)*100/(COUNTA(N4:N103)*AVERAGE(L4:L103)))</f>
        <v>182.45022372986963</v>
      </c>
      <c r="Q104" s="59"/>
      <c r="R104" s="59">
        <f>1-(SUM(M4:M103)/SUM(L4:L103))</f>
        <v>0.12583354096502342</v>
      </c>
      <c r="S104" s="59"/>
      <c r="T104" s="59"/>
    </row>
    <row r="105" spans="1:20" x14ac:dyDescent="0.25">
      <c r="A105" t="s">
        <v>39</v>
      </c>
      <c r="B105">
        <v>2</v>
      </c>
      <c r="C105" t="s">
        <v>12</v>
      </c>
      <c r="D105">
        <v>154.72289952307301</v>
      </c>
      <c r="F105" t="s">
        <v>40</v>
      </c>
      <c r="H105" t="s">
        <v>41</v>
      </c>
      <c r="L105">
        <f t="shared" si="14"/>
        <v>9711.9564030632937</v>
      </c>
    </row>
    <row r="106" spans="1:20" x14ac:dyDescent="0.25">
      <c r="A106" t="s">
        <v>39</v>
      </c>
      <c r="B106">
        <v>3</v>
      </c>
      <c r="C106" t="s">
        <v>12</v>
      </c>
      <c r="D106">
        <v>145.77016598379001</v>
      </c>
      <c r="F106" t="s">
        <v>42</v>
      </c>
      <c r="H106" t="s">
        <v>43</v>
      </c>
      <c r="L106">
        <f t="shared" si="14"/>
        <v>9149.9933188024988</v>
      </c>
    </row>
    <row r="107" spans="1:20" x14ac:dyDescent="0.25">
      <c r="A107" t="s">
        <v>39</v>
      </c>
      <c r="B107">
        <v>4</v>
      </c>
      <c r="C107" t="s">
        <v>12</v>
      </c>
      <c r="D107">
        <v>120.471899169013</v>
      </c>
      <c r="F107" t="s">
        <v>44</v>
      </c>
      <c r="H107" t="s">
        <v>45</v>
      </c>
      <c r="L107">
        <f t="shared" si="14"/>
        <v>7562.0211108389467</v>
      </c>
    </row>
    <row r="108" spans="1:20" x14ac:dyDescent="0.25">
      <c r="A108" t="s">
        <v>39</v>
      </c>
      <c r="B108">
        <v>1</v>
      </c>
      <c r="C108" t="s">
        <v>40</v>
      </c>
      <c r="D108">
        <v>167.29811854219599</v>
      </c>
      <c r="F108" t="s">
        <v>46</v>
      </c>
      <c r="H108" t="s">
        <v>47</v>
      </c>
      <c r="L108">
        <f t="shared" si="14"/>
        <v>10501.302900893643</v>
      </c>
    </row>
    <row r="109" spans="1:20" x14ac:dyDescent="0.25">
      <c r="A109" t="s">
        <v>39</v>
      </c>
      <c r="B109">
        <v>2</v>
      </c>
      <c r="C109" t="s">
        <v>40</v>
      </c>
      <c r="D109">
        <v>176.47461814440399</v>
      </c>
      <c r="L109">
        <f t="shared" si="14"/>
        <v>11077.311780924239</v>
      </c>
    </row>
    <row r="110" spans="1:20" x14ac:dyDescent="0.25">
      <c r="A110" t="s">
        <v>39</v>
      </c>
      <c r="B110">
        <v>3</v>
      </c>
      <c r="C110" t="s">
        <v>40</v>
      </c>
      <c r="D110">
        <v>180.38798999703599</v>
      </c>
      <c r="L110">
        <f t="shared" si="14"/>
        <v>11322.95413211395</v>
      </c>
    </row>
    <row r="111" spans="1:20" x14ac:dyDescent="0.25">
      <c r="A111" t="s">
        <v>39</v>
      </c>
      <c r="B111">
        <v>4</v>
      </c>
      <c r="C111" t="s">
        <v>40</v>
      </c>
      <c r="D111">
        <v>177.51279672768999</v>
      </c>
      <c r="L111">
        <f t="shared" si="14"/>
        <v>11142.478250597102</v>
      </c>
    </row>
    <row r="112" spans="1:20" x14ac:dyDescent="0.25">
      <c r="A112" t="s">
        <v>39</v>
      </c>
      <c r="B112">
        <v>1</v>
      </c>
      <c r="C112" t="s">
        <v>42</v>
      </c>
      <c r="D112">
        <v>184.26003682633799</v>
      </c>
      <c r="L112">
        <f t="shared" si="14"/>
        <v>11566.002511589237</v>
      </c>
    </row>
    <row r="113" spans="1:12" x14ac:dyDescent="0.25">
      <c r="A113" t="s">
        <v>39</v>
      </c>
      <c r="B113">
        <v>2</v>
      </c>
      <c r="C113" t="s">
        <v>42</v>
      </c>
      <c r="D113">
        <v>185.46121611752099</v>
      </c>
      <c r="L113">
        <f t="shared" si="14"/>
        <v>11641.400535696794</v>
      </c>
    </row>
    <row r="114" spans="1:12" x14ac:dyDescent="0.25">
      <c r="A114" t="s">
        <v>39</v>
      </c>
      <c r="B114">
        <v>3</v>
      </c>
      <c r="C114" t="s">
        <v>42</v>
      </c>
      <c r="D114">
        <v>188.55709226305399</v>
      </c>
      <c r="L114">
        <f t="shared" si="14"/>
        <v>11835.728681351899</v>
      </c>
    </row>
    <row r="115" spans="1:12" x14ac:dyDescent="0.25">
      <c r="A115" t="s">
        <v>39</v>
      </c>
      <c r="B115">
        <v>4</v>
      </c>
      <c r="C115" t="s">
        <v>42</v>
      </c>
      <c r="D115">
        <v>187.114511495421</v>
      </c>
      <c r="L115">
        <f t="shared" si="14"/>
        <v>11745.177886567577</v>
      </c>
    </row>
    <row r="116" spans="1:12" x14ac:dyDescent="0.25">
      <c r="A116" t="s">
        <v>39</v>
      </c>
      <c r="B116">
        <v>1</v>
      </c>
      <c r="C116" t="s">
        <v>44</v>
      </c>
      <c r="D116">
        <v>184.493596134727</v>
      </c>
      <c r="L116">
        <f t="shared" si="14"/>
        <v>11580.663029376814</v>
      </c>
    </row>
    <row r="117" spans="1:12" x14ac:dyDescent="0.25">
      <c r="A117" t="s">
        <v>39</v>
      </c>
      <c r="B117">
        <v>2</v>
      </c>
      <c r="C117" t="s">
        <v>44</v>
      </c>
      <c r="D117">
        <v>167.47253068834499</v>
      </c>
      <c r="L117">
        <f t="shared" si="14"/>
        <v>10512.250751307416</v>
      </c>
    </row>
    <row r="118" spans="1:12" x14ac:dyDescent="0.25">
      <c r="A118" t="s">
        <v>39</v>
      </c>
      <c r="B118">
        <v>3</v>
      </c>
      <c r="C118" t="s">
        <v>44</v>
      </c>
      <c r="D118">
        <v>188.01034061973201</v>
      </c>
      <c r="L118">
        <f t="shared" si="14"/>
        <v>11801.409080700578</v>
      </c>
    </row>
    <row r="119" spans="1:12" x14ac:dyDescent="0.25">
      <c r="A119" t="s">
        <v>39</v>
      </c>
      <c r="B119">
        <v>4</v>
      </c>
      <c r="C119" t="s">
        <v>44</v>
      </c>
      <c r="D119">
        <v>173.58430254242501</v>
      </c>
      <c r="L119">
        <f t="shared" si="14"/>
        <v>10895.886670588019</v>
      </c>
    </row>
    <row r="120" spans="1:12" x14ac:dyDescent="0.25">
      <c r="A120" t="s">
        <v>39</v>
      </c>
      <c r="B120">
        <v>1</v>
      </c>
      <c r="C120" t="s">
        <v>46</v>
      </c>
      <c r="D120">
        <v>177.00101095596099</v>
      </c>
      <c r="L120">
        <f t="shared" si="14"/>
        <v>11110.353457705673</v>
      </c>
    </row>
    <row r="121" spans="1:12" x14ac:dyDescent="0.25">
      <c r="A121" t="s">
        <v>39</v>
      </c>
      <c r="B121">
        <v>2</v>
      </c>
      <c r="C121" t="s">
        <v>46</v>
      </c>
      <c r="D121">
        <v>179.28502253152701</v>
      </c>
      <c r="L121">
        <f t="shared" si="14"/>
        <v>11253.72086430395</v>
      </c>
    </row>
    <row r="122" spans="1:12" x14ac:dyDescent="0.25">
      <c r="A122" t="s">
        <v>39</v>
      </c>
      <c r="B122">
        <v>3</v>
      </c>
      <c r="C122" t="s">
        <v>46</v>
      </c>
      <c r="D122">
        <v>180.43515281757399</v>
      </c>
      <c r="L122">
        <f t="shared" si="14"/>
        <v>11325.91454235912</v>
      </c>
    </row>
    <row r="123" spans="1:12" x14ac:dyDescent="0.25">
      <c r="A123" t="s">
        <v>39</v>
      </c>
      <c r="B123">
        <v>4</v>
      </c>
      <c r="C123" t="s">
        <v>46</v>
      </c>
      <c r="D123">
        <v>175.03239477031499</v>
      </c>
      <c r="L123">
        <f t="shared" si="14"/>
        <v>10986.783419732672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7"/>
  <sheetViews>
    <sheetView zoomScaleNormal="100" workbookViewId="0">
      <selection activeCell="P4" sqref="P4"/>
    </sheetView>
  </sheetViews>
  <sheetFormatPr defaultRowHeight="15" x14ac:dyDescent="0.25"/>
  <cols>
    <col min="1" max="1" width="10.5703125" customWidth="1"/>
    <col min="2" max="2" width="8.85546875" style="9" customWidth="1"/>
    <col min="3" max="3" width="15.5703125" style="9" customWidth="1"/>
    <col min="4" max="4" width="8.85546875" style="9" customWidth="1"/>
    <col min="5" max="12" width="8.5703125" customWidth="1"/>
    <col min="13" max="13" width="11" customWidth="1"/>
    <col min="14" max="1020" width="8.5703125" customWidth="1"/>
    <col min="1021" max="1025" width="9.140625" customWidth="1"/>
  </cols>
  <sheetData>
    <row r="1" spans="1:23" x14ac:dyDescent="0.25">
      <c r="A1" t="s">
        <v>0</v>
      </c>
      <c r="B1" s="9" t="s">
        <v>1</v>
      </c>
      <c r="C1" s="9" t="s">
        <v>2</v>
      </c>
      <c r="D1" s="9" t="s">
        <v>3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</row>
    <row r="2" spans="1:23" x14ac:dyDescent="0.25">
      <c r="D2" s="9" t="s">
        <v>5</v>
      </c>
    </row>
    <row r="4" spans="1:23" x14ac:dyDescent="0.25">
      <c r="A4" s="2" t="s">
        <v>7</v>
      </c>
      <c r="B4" s="10">
        <v>1</v>
      </c>
      <c r="C4" s="11" t="s">
        <v>48</v>
      </c>
      <c r="D4" s="10">
        <v>222.31356083302899</v>
      </c>
      <c r="E4" s="2"/>
      <c r="F4" s="2">
        <f>AVERAGE(L4:L113)</f>
        <v>14012.737286409067</v>
      </c>
      <c r="G4" s="2" t="s">
        <v>49</v>
      </c>
      <c r="H4" s="2"/>
      <c r="I4" s="2"/>
      <c r="J4" s="2">
        <f>AVERAGE(L4:L26)</f>
        <v>14961.413004202412</v>
      </c>
      <c r="K4" s="2">
        <f>AVERAGE(L4:L5)</f>
        <v>14138.16503266059</v>
      </c>
      <c r="L4" s="2">
        <f t="shared" ref="L4:L28" si="0">D4*62.77</f>
        <v>13954.62221348923</v>
      </c>
      <c r="M4" s="2">
        <v>13686</v>
      </c>
      <c r="N4">
        <f t="shared" ref="N4:N28" si="1">(M4-L4)</f>
        <v>-268.62221348923049</v>
      </c>
      <c r="O4" s="3">
        <f t="shared" ref="O4:O28" si="2">N4*N4</f>
        <v>72157.893579853728</v>
      </c>
      <c r="P4" s="3">
        <f>SQRT(SUMSQ(N4:N5)*100/(COUNTA(N4:N5)*AVERAGE(L4:L5)))</f>
        <v>41.041264220586363</v>
      </c>
      <c r="Q4" s="3">
        <f>SQRT(SUM(O4:O113)*100/((113-4+1-4)*F4))</f>
        <v>205.84998756189094</v>
      </c>
      <c r="R4" s="3">
        <f>1-(SUM(M4:M5)/SUM(L4:L5))</f>
        <v>3.1981875414245353E-2</v>
      </c>
      <c r="S4">
        <f>1-(SUM(M4:M113)/SUM(L4:L113))</f>
        <v>0.12303506487616866</v>
      </c>
      <c r="T4">
        <f t="shared" ref="T4:T28" si="3">(ABS(M4-J4)+ABS(L4-J4))^2</f>
        <v>5208454.1615271335</v>
      </c>
      <c r="U4" s="59">
        <f>1-((SUM(O4:O26))/(SUM(T4:T26)))</f>
        <v>0.92906083651108895</v>
      </c>
      <c r="V4" s="59">
        <f>1-((SUM(O4:O113))/(SUM(T4:T113)))</f>
        <v>0.57228835302365288</v>
      </c>
      <c r="W4" s="59"/>
    </row>
    <row r="5" spans="1:23" x14ac:dyDescent="0.25">
      <c r="A5" s="2" t="s">
        <v>7</v>
      </c>
      <c r="B5" s="10">
        <v>2</v>
      </c>
      <c r="C5" s="11" t="s">
        <v>48</v>
      </c>
      <c r="D5" s="10">
        <v>228.16166722689101</v>
      </c>
      <c r="E5" s="2"/>
      <c r="F5" s="2"/>
      <c r="G5" s="2">
        <v>1</v>
      </c>
      <c r="H5" s="2" t="s">
        <v>9</v>
      </c>
      <c r="I5" s="2"/>
      <c r="J5" s="2">
        <v>14961.4</v>
      </c>
      <c r="K5" s="2"/>
      <c r="L5" s="2">
        <f t="shared" si="0"/>
        <v>14321.70785183195</v>
      </c>
      <c r="M5" s="2">
        <v>13686</v>
      </c>
      <c r="N5">
        <f t="shared" si="1"/>
        <v>-635.70785183195039</v>
      </c>
      <c r="O5" s="3">
        <f t="shared" si="2"/>
        <v>404124.47288079298</v>
      </c>
      <c r="P5" s="3"/>
      <c r="Q5" s="3"/>
      <c r="R5" s="3"/>
      <c r="T5">
        <f t="shared" si="3"/>
        <v>3667577.9359749123</v>
      </c>
    </row>
    <row r="6" spans="1:23" x14ac:dyDescent="0.25">
      <c r="A6" s="5" t="s">
        <v>7</v>
      </c>
      <c r="B6" s="12">
        <v>1</v>
      </c>
      <c r="C6" s="5" t="s">
        <v>30</v>
      </c>
      <c r="D6" s="12">
        <v>250.96083294117599</v>
      </c>
      <c r="E6" s="5"/>
      <c r="F6" s="5"/>
      <c r="G6" s="5">
        <v>2</v>
      </c>
      <c r="H6" s="5" t="s">
        <v>50</v>
      </c>
      <c r="I6" s="5"/>
      <c r="J6" s="2">
        <v>14961.4</v>
      </c>
      <c r="K6" s="5">
        <f>AVERAGE(L6:L8)</f>
        <v>15948.952767829307</v>
      </c>
      <c r="L6" s="5">
        <f t="shared" si="0"/>
        <v>15752.811483717618</v>
      </c>
      <c r="M6" s="5">
        <f>7770*2</f>
        <v>15540</v>
      </c>
      <c r="N6">
        <f t="shared" si="1"/>
        <v>-212.8114837176181</v>
      </c>
      <c r="O6" s="3">
        <f t="shared" si="2"/>
        <v>45288.727602094034</v>
      </c>
      <c r="P6" s="3">
        <f>SQRT(SUMSQ(N6:N8)*100/(COUNTA(N6:N8)*AVERAGE(L6:L8)))</f>
        <v>35.169979381423765</v>
      </c>
      <c r="Q6" s="3"/>
      <c r="R6" s="3">
        <f>1-(SUM(M6:M8)/SUM(L6:L8))</f>
        <v>2.5641355503554175E-2</v>
      </c>
      <c r="T6">
        <f t="shared" si="3"/>
        <v>1876931.4655181514</v>
      </c>
    </row>
    <row r="7" spans="1:23" x14ac:dyDescent="0.25">
      <c r="A7" s="5" t="s">
        <v>7</v>
      </c>
      <c r="B7" s="12">
        <v>2</v>
      </c>
      <c r="C7" s="5" t="s">
        <v>30</v>
      </c>
      <c r="D7" s="12">
        <v>257.675580504202</v>
      </c>
      <c r="E7" s="5"/>
      <c r="F7" s="5"/>
      <c r="G7" s="5">
        <v>3</v>
      </c>
      <c r="H7" s="5" t="s">
        <v>30</v>
      </c>
      <c r="I7" s="5"/>
      <c r="J7" s="2">
        <v>14961.4</v>
      </c>
      <c r="K7" s="5"/>
      <c r="L7" s="5">
        <f t="shared" si="0"/>
        <v>16174.29618824876</v>
      </c>
      <c r="M7" s="5">
        <f>7770*2</f>
        <v>15540</v>
      </c>
      <c r="N7">
        <f t="shared" si="1"/>
        <v>-634.29618824875979</v>
      </c>
      <c r="O7" s="3">
        <f t="shared" si="2"/>
        <v>402331.65442690614</v>
      </c>
      <c r="P7" s="3"/>
      <c r="Q7" s="3"/>
      <c r="R7" s="3"/>
      <c r="T7">
        <f t="shared" si="3"/>
        <v>3209458.5925098383</v>
      </c>
    </row>
    <row r="8" spans="1:23" x14ac:dyDescent="0.25">
      <c r="A8" s="5" t="s">
        <v>7</v>
      </c>
      <c r="B8" s="12">
        <v>3</v>
      </c>
      <c r="C8" s="5" t="s">
        <v>30</v>
      </c>
      <c r="D8" s="12">
        <v>253.620370105489</v>
      </c>
      <c r="E8" s="5"/>
      <c r="F8" s="5"/>
      <c r="G8" s="5">
        <v>4</v>
      </c>
      <c r="H8" s="5" t="s">
        <v>10</v>
      </c>
      <c r="I8" s="5"/>
      <c r="J8" s="2">
        <v>14961.4</v>
      </c>
      <c r="K8" s="5"/>
      <c r="L8" s="5">
        <f t="shared" si="0"/>
        <v>15919.750631521545</v>
      </c>
      <c r="M8" s="5">
        <f>7770*2</f>
        <v>15540</v>
      </c>
      <c r="N8">
        <f t="shared" si="1"/>
        <v>-379.75063152154507</v>
      </c>
      <c r="O8" s="3">
        <f t="shared" si="2"/>
        <v>144210.54214101229</v>
      </c>
      <c r="P8" s="3"/>
      <c r="Q8" s="3"/>
      <c r="R8" s="3"/>
      <c r="T8">
        <f t="shared" si="3"/>
        <v>2362217.2437344785</v>
      </c>
    </row>
    <row r="9" spans="1:23" x14ac:dyDescent="0.25">
      <c r="A9" s="13" t="s">
        <v>7</v>
      </c>
      <c r="B9" s="14">
        <v>1</v>
      </c>
      <c r="C9" s="13" t="s">
        <v>9</v>
      </c>
      <c r="D9" s="14">
        <v>259.16696856785302</v>
      </c>
      <c r="E9" s="13"/>
      <c r="F9" s="15"/>
      <c r="G9" s="13">
        <v>5</v>
      </c>
      <c r="H9" s="13" t="s">
        <v>51</v>
      </c>
      <c r="I9" s="13"/>
      <c r="J9" s="2">
        <v>14961.4</v>
      </c>
      <c r="K9" s="13">
        <f>AVERAGE(L9:L14)</f>
        <v>15634.799761076532</v>
      </c>
      <c r="L9" s="13">
        <f t="shared" si="0"/>
        <v>16267.910617004134</v>
      </c>
      <c r="M9" s="13">
        <f t="shared" ref="M9:M14" si="4">7832*2</f>
        <v>15664</v>
      </c>
      <c r="N9">
        <f t="shared" si="1"/>
        <v>-603.91061700413411</v>
      </c>
      <c r="O9" s="3">
        <f t="shared" si="2"/>
        <v>364708.03333031398</v>
      </c>
      <c r="P9" s="3">
        <f>SQRT(SUMSQ(N9:N14)*100/(COUNTA(N9:N14)*AVERAGE(L9:L14)))</f>
        <v>66.552466145075925</v>
      </c>
      <c r="Q9" s="3"/>
      <c r="R9" s="3">
        <f>1-(SUM(M9:M14)/SUM(L9:L14))</f>
        <v>-1.8676439333851214E-3</v>
      </c>
      <c r="T9">
        <f t="shared" si="3"/>
        <v>4036525.4713587356</v>
      </c>
    </row>
    <row r="10" spans="1:23" x14ac:dyDescent="0.25">
      <c r="A10" s="13" t="s">
        <v>7</v>
      </c>
      <c r="B10" s="14">
        <v>2</v>
      </c>
      <c r="C10" s="13" t="s">
        <v>9</v>
      </c>
      <c r="D10" s="14">
        <v>225.794385410334</v>
      </c>
      <c r="E10" s="13"/>
      <c r="F10" s="15"/>
      <c r="G10" s="13">
        <v>6</v>
      </c>
      <c r="H10" s="13" t="s">
        <v>11</v>
      </c>
      <c r="I10" s="13"/>
      <c r="J10" s="2">
        <v>14961.4</v>
      </c>
      <c r="K10" s="13"/>
      <c r="L10" s="13">
        <f t="shared" si="0"/>
        <v>14173.113572206667</v>
      </c>
      <c r="M10" s="13">
        <f t="shared" si="4"/>
        <v>15664</v>
      </c>
      <c r="N10">
        <f t="shared" si="1"/>
        <v>1490.8864277933335</v>
      </c>
      <c r="O10" s="3">
        <f t="shared" si="2"/>
        <v>2222742.3405783665</v>
      </c>
      <c r="P10" s="3"/>
      <c r="Q10" s="3"/>
      <c r="R10" s="3"/>
      <c r="T10">
        <f t="shared" si="3"/>
        <v>2222742.3405783665</v>
      </c>
    </row>
    <row r="11" spans="1:23" x14ac:dyDescent="0.25">
      <c r="A11" s="13" t="s">
        <v>7</v>
      </c>
      <c r="B11" s="14">
        <v>3</v>
      </c>
      <c r="C11" s="13" t="s">
        <v>9</v>
      </c>
      <c r="D11" s="14">
        <v>242.758408010013</v>
      </c>
      <c r="E11" s="13"/>
      <c r="F11" s="15"/>
      <c r="G11" s="13">
        <v>7</v>
      </c>
      <c r="H11" s="13" t="s">
        <v>12</v>
      </c>
      <c r="I11" s="13"/>
      <c r="J11" s="2">
        <v>14961.4</v>
      </c>
      <c r="K11" s="13"/>
      <c r="L11" s="13">
        <f t="shared" si="0"/>
        <v>15237.945270788518</v>
      </c>
      <c r="M11" s="13">
        <f t="shared" si="4"/>
        <v>15664</v>
      </c>
      <c r="N11">
        <f t="shared" si="1"/>
        <v>426.05472921148248</v>
      </c>
      <c r="O11" s="3">
        <f t="shared" si="2"/>
        <v>181522.63228346966</v>
      </c>
      <c r="P11" s="3"/>
      <c r="Q11" s="3"/>
      <c r="R11" s="3"/>
      <c r="T11">
        <f t="shared" si="3"/>
        <v>958725.46130752075</v>
      </c>
    </row>
    <row r="12" spans="1:23" x14ac:dyDescent="0.25">
      <c r="A12" s="13" t="s">
        <v>7</v>
      </c>
      <c r="B12" s="14">
        <v>1</v>
      </c>
      <c r="C12" s="13" t="s">
        <v>52</v>
      </c>
      <c r="D12" s="14">
        <v>255.114790416592</v>
      </c>
      <c r="E12" s="13"/>
      <c r="F12" s="15"/>
      <c r="G12" s="16">
        <v>8</v>
      </c>
      <c r="H12" s="16" t="s">
        <v>48</v>
      </c>
      <c r="I12" s="13" t="s">
        <v>53</v>
      </c>
      <c r="J12" s="2">
        <v>14961.4</v>
      </c>
      <c r="K12" s="13"/>
      <c r="L12" s="13">
        <f t="shared" si="0"/>
        <v>16013.55539444948</v>
      </c>
      <c r="M12" s="13">
        <f t="shared" si="4"/>
        <v>15664</v>
      </c>
      <c r="N12">
        <f t="shared" si="1"/>
        <v>-349.55539444948045</v>
      </c>
      <c r="O12" s="3">
        <f t="shared" si="2"/>
        <v>122188.97378873186</v>
      </c>
      <c r="P12" s="3"/>
      <c r="Q12" s="3"/>
      <c r="R12" s="3"/>
      <c r="T12">
        <f t="shared" si="3"/>
        <v>3079166.4943495542</v>
      </c>
    </row>
    <row r="13" spans="1:23" x14ac:dyDescent="0.25">
      <c r="A13" s="13" t="s">
        <v>7</v>
      </c>
      <c r="B13" s="14">
        <v>2</v>
      </c>
      <c r="C13" s="13" t="s">
        <v>52</v>
      </c>
      <c r="D13" s="14">
        <v>266.82306887180403</v>
      </c>
      <c r="E13" s="13"/>
      <c r="F13" s="15"/>
      <c r="G13" s="13"/>
      <c r="H13" s="13"/>
      <c r="I13" s="13"/>
      <c r="J13" s="2">
        <v>14961.4</v>
      </c>
      <c r="K13" s="13"/>
      <c r="L13" s="13">
        <f t="shared" si="0"/>
        <v>16748.484033083139</v>
      </c>
      <c r="M13" s="13">
        <f t="shared" si="4"/>
        <v>15664</v>
      </c>
      <c r="N13">
        <f t="shared" si="1"/>
        <v>-1084.4840330831394</v>
      </c>
      <c r="O13" s="3">
        <f t="shared" si="2"/>
        <v>1176105.6180122718</v>
      </c>
      <c r="P13" s="3"/>
      <c r="Q13" s="3"/>
      <c r="R13" s="3"/>
      <c r="T13">
        <f t="shared" si="3"/>
        <v>6198526.5845891302</v>
      </c>
    </row>
    <row r="14" spans="1:23" x14ac:dyDescent="0.25">
      <c r="A14" s="13" t="s">
        <v>7</v>
      </c>
      <c r="B14" s="14">
        <v>3</v>
      </c>
      <c r="C14" s="13" t="s">
        <v>52</v>
      </c>
      <c r="D14" s="14">
        <v>244.82698229930301</v>
      </c>
      <c r="E14" s="13"/>
      <c r="F14" s="15"/>
      <c r="G14" s="13"/>
      <c r="H14" s="13"/>
      <c r="I14" s="13"/>
      <c r="J14" s="2">
        <v>14961.4</v>
      </c>
      <c r="K14" s="13"/>
      <c r="L14" s="13">
        <f t="shared" si="0"/>
        <v>15367.789678927251</v>
      </c>
      <c r="M14" s="13">
        <f t="shared" si="4"/>
        <v>15664</v>
      </c>
      <c r="N14">
        <f t="shared" si="1"/>
        <v>296.21032107274914</v>
      </c>
      <c r="O14" s="3">
        <f t="shared" si="2"/>
        <v>87740.554310021136</v>
      </c>
      <c r="P14" s="3"/>
      <c r="Q14" s="3"/>
      <c r="R14" s="3"/>
      <c r="T14">
        <f t="shared" si="3"/>
        <v>1229858.1079671686</v>
      </c>
    </row>
    <row r="15" spans="1:23" x14ac:dyDescent="0.25">
      <c r="A15" s="17" t="s">
        <v>7</v>
      </c>
      <c r="B15" s="18">
        <v>1</v>
      </c>
      <c r="C15" s="17" t="s">
        <v>51</v>
      </c>
      <c r="D15" s="18">
        <v>266.811503236188</v>
      </c>
      <c r="E15" s="17"/>
      <c r="F15" s="19"/>
      <c r="G15" s="17"/>
      <c r="H15" s="17"/>
      <c r="I15" s="17"/>
      <c r="J15" s="2">
        <v>14961.4</v>
      </c>
      <c r="K15" s="17">
        <f>AVERAGE(L15:L20)</f>
        <v>15651.380262980523</v>
      </c>
      <c r="L15" s="17">
        <f t="shared" si="0"/>
        <v>16747.758058135521</v>
      </c>
      <c r="M15" s="17">
        <f>7831*2</f>
        <v>15662</v>
      </c>
      <c r="N15">
        <f t="shared" si="1"/>
        <v>-1085.7580581355214</v>
      </c>
      <c r="O15" s="3">
        <f t="shared" si="2"/>
        <v>1178870.5608062183</v>
      </c>
      <c r="P15" s="3">
        <f>SQRT(SUMSQ(N15:N20)*100/(COUNTA(N15:N20)*AVERAGE(L15:L20)))</f>
        <v>66.28912718331577</v>
      </c>
      <c r="Q15" s="3"/>
      <c r="R15" s="3">
        <f>1-(SUM(M15:M20)/SUM(L15:L20))</f>
        <v>-6.7851760298709429E-4</v>
      </c>
      <c r="T15">
        <f t="shared" si="3"/>
        <v>6184960.3829252068</v>
      </c>
    </row>
    <row r="16" spans="1:23" x14ac:dyDescent="0.25">
      <c r="A16" s="17" t="s">
        <v>7</v>
      </c>
      <c r="B16" s="18">
        <v>2</v>
      </c>
      <c r="C16" s="17" t="s">
        <v>51</v>
      </c>
      <c r="D16" s="18">
        <v>256.98569747899199</v>
      </c>
      <c r="E16" s="17"/>
      <c r="F16" s="19"/>
      <c r="G16" s="17"/>
      <c r="H16" s="17"/>
      <c r="I16" s="17"/>
      <c r="J16" s="2">
        <v>14961.4</v>
      </c>
      <c r="K16" s="17"/>
      <c r="L16" s="17">
        <f t="shared" si="0"/>
        <v>16130.992230756328</v>
      </c>
      <c r="M16" s="17">
        <v>15662</v>
      </c>
      <c r="N16">
        <f t="shared" si="1"/>
        <v>-468.99223075632835</v>
      </c>
      <c r="O16" s="3">
        <f t="shared" si="2"/>
        <v>219953.71250979713</v>
      </c>
      <c r="P16" s="3"/>
      <c r="Q16" s="3"/>
      <c r="R16" s="3"/>
      <c r="T16">
        <f t="shared" si="3"/>
        <v>3497618.9799813344</v>
      </c>
    </row>
    <row r="17" spans="1:21" x14ac:dyDescent="0.25">
      <c r="A17" s="17" t="s">
        <v>7</v>
      </c>
      <c r="B17" s="18">
        <v>3</v>
      </c>
      <c r="C17" s="17" t="s">
        <v>51</v>
      </c>
      <c r="D17" s="18">
        <v>225.275216878241</v>
      </c>
      <c r="E17" s="17"/>
      <c r="F17" s="19"/>
      <c r="G17" s="17"/>
      <c r="H17" s="17"/>
      <c r="I17" s="17"/>
      <c r="J17" s="2">
        <v>14961.4</v>
      </c>
      <c r="K17" s="17"/>
      <c r="L17" s="17">
        <f t="shared" si="0"/>
        <v>14140.525363447188</v>
      </c>
      <c r="M17" s="17">
        <v>15662</v>
      </c>
      <c r="N17">
        <f t="shared" si="1"/>
        <v>1521.4746365528117</v>
      </c>
      <c r="O17" s="3">
        <f t="shared" si="2"/>
        <v>2314885.0696735107</v>
      </c>
      <c r="P17" s="3"/>
      <c r="Q17" s="3"/>
      <c r="R17" s="3"/>
      <c r="T17">
        <f t="shared" si="3"/>
        <v>2314885.0696735107</v>
      </c>
    </row>
    <row r="18" spans="1:21" x14ac:dyDescent="0.25">
      <c r="A18" s="17" t="s">
        <v>7</v>
      </c>
      <c r="B18" s="18">
        <v>1</v>
      </c>
      <c r="C18" s="17" t="s">
        <v>54</v>
      </c>
      <c r="D18" s="18">
        <v>251.27850413016299</v>
      </c>
      <c r="E18" s="17"/>
      <c r="F18" s="19"/>
      <c r="G18" s="17"/>
      <c r="H18" s="17"/>
      <c r="I18" s="17"/>
      <c r="J18" s="2">
        <v>14961.4</v>
      </c>
      <c r="K18" s="17"/>
      <c r="L18" s="17">
        <f t="shared" si="0"/>
        <v>15772.751704250331</v>
      </c>
      <c r="M18" s="17">
        <v>15662</v>
      </c>
      <c r="N18">
        <f t="shared" si="1"/>
        <v>-110.75170425033139</v>
      </c>
      <c r="O18" s="3">
        <f t="shared" si="2"/>
        <v>12265.939994352872</v>
      </c>
      <c r="P18" s="3"/>
      <c r="Q18" s="3"/>
      <c r="R18" s="3"/>
      <c r="T18">
        <f t="shared" si="3"/>
        <v>2285997.9559854837</v>
      </c>
    </row>
    <row r="19" spans="1:21" x14ac:dyDescent="0.25">
      <c r="A19" s="17" t="s">
        <v>7</v>
      </c>
      <c r="B19" s="18">
        <v>2</v>
      </c>
      <c r="C19" s="17" t="s">
        <v>54</v>
      </c>
      <c r="D19" s="18">
        <v>254.79445735741101</v>
      </c>
      <c r="E19" s="17"/>
      <c r="F19" s="19"/>
      <c r="G19" s="17"/>
      <c r="H19" s="17"/>
      <c r="I19" s="17"/>
      <c r="J19" s="2">
        <v>14961.4</v>
      </c>
      <c r="K19" s="17"/>
      <c r="L19" s="17">
        <f t="shared" si="0"/>
        <v>15993.448088324689</v>
      </c>
      <c r="M19" s="17">
        <v>15662</v>
      </c>
      <c r="N19">
        <f t="shared" si="1"/>
        <v>-331.4480883246888</v>
      </c>
      <c r="O19" s="3">
        <f t="shared" si="2"/>
        <v>109857.83525409071</v>
      </c>
      <c r="P19" s="3"/>
      <c r="Q19" s="3"/>
      <c r="R19" s="3"/>
      <c r="T19">
        <f t="shared" si="3"/>
        <v>3002069.3979752013</v>
      </c>
    </row>
    <row r="20" spans="1:21" x14ac:dyDescent="0.25">
      <c r="A20" s="17" t="s">
        <v>7</v>
      </c>
      <c r="B20" s="18">
        <v>3</v>
      </c>
      <c r="C20" s="17" t="s">
        <v>54</v>
      </c>
      <c r="D20" s="18">
        <v>240.92410598962999</v>
      </c>
      <c r="E20" s="17"/>
      <c r="F20" s="19"/>
      <c r="G20" s="20"/>
      <c r="H20" s="20"/>
      <c r="I20" s="17"/>
      <c r="J20" s="2">
        <v>14961.4</v>
      </c>
      <c r="K20" s="17"/>
      <c r="L20" s="17">
        <f t="shared" si="0"/>
        <v>15122.806132969075</v>
      </c>
      <c r="M20" s="17">
        <v>15662</v>
      </c>
      <c r="N20">
        <f t="shared" si="1"/>
        <v>539.19386703092459</v>
      </c>
      <c r="O20" s="3">
        <f t="shared" si="2"/>
        <v>290730.0262437624</v>
      </c>
      <c r="P20" s="3"/>
      <c r="Q20" s="3"/>
      <c r="R20" s="3"/>
      <c r="T20">
        <f t="shared" si="3"/>
        <v>743054.57327630057</v>
      </c>
    </row>
    <row r="21" spans="1:21" x14ac:dyDescent="0.25">
      <c r="A21" s="3" t="s">
        <v>7</v>
      </c>
      <c r="B21" s="21">
        <v>1</v>
      </c>
      <c r="C21" s="3" t="s">
        <v>11</v>
      </c>
      <c r="D21" s="21">
        <v>260.173451457179</v>
      </c>
      <c r="E21" s="3"/>
      <c r="F21" s="22"/>
      <c r="G21" s="23"/>
      <c r="H21" s="23"/>
      <c r="I21" s="3"/>
      <c r="J21" s="2">
        <v>14961.4</v>
      </c>
      <c r="K21" s="3">
        <f>AVERAGE(L21:L23)</f>
        <v>16351.717947151819</v>
      </c>
      <c r="L21" s="3">
        <f t="shared" si="0"/>
        <v>16331.087547967127</v>
      </c>
      <c r="M21" s="3">
        <f>8026*2</f>
        <v>16052</v>
      </c>
      <c r="N21">
        <f t="shared" si="1"/>
        <v>-279.08754796712674</v>
      </c>
      <c r="O21" s="3">
        <f t="shared" si="2"/>
        <v>77889.859430303273</v>
      </c>
      <c r="P21" s="3">
        <f>SQRT(SUMSQ(N21:N23)*100/(COUNTA(N21:N23)*AVERAGE(L21:L23)))</f>
        <v>23.587344393641416</v>
      </c>
      <c r="Q21" s="3"/>
      <c r="R21" s="3">
        <f>1-(SUM(M21:M23)/SUM(L21:L23))</f>
        <v>1.8329446980463904E-2</v>
      </c>
      <c r="T21">
        <f t="shared" si="3"/>
        <v>6053014.8186821006</v>
      </c>
    </row>
    <row r="22" spans="1:21" x14ac:dyDescent="0.25">
      <c r="A22" s="3" t="s">
        <v>7</v>
      </c>
      <c r="B22" s="21">
        <v>2</v>
      </c>
      <c r="C22" s="3" t="s">
        <v>11</v>
      </c>
      <c r="D22" s="21">
        <v>261.26186733416802</v>
      </c>
      <c r="E22" s="3"/>
      <c r="F22" s="23"/>
      <c r="G22" s="23"/>
      <c r="H22" s="23"/>
      <c r="I22" s="3"/>
      <c r="J22" s="2">
        <v>14961.4</v>
      </c>
      <c r="K22" s="3"/>
      <c r="L22" s="3">
        <f t="shared" si="0"/>
        <v>16399.407412565728</v>
      </c>
      <c r="M22" s="3">
        <v>16052</v>
      </c>
      <c r="N22">
        <f t="shared" si="1"/>
        <v>-347.40741256572801</v>
      </c>
      <c r="O22" s="3">
        <f t="shared" si="2"/>
        <v>120691.91030561396</v>
      </c>
      <c r="P22" s="3"/>
      <c r="Q22" s="3"/>
      <c r="R22" s="3"/>
      <c r="T22">
        <f t="shared" si="3"/>
        <v>6393855.4468823494</v>
      </c>
    </row>
    <row r="23" spans="1:21" x14ac:dyDescent="0.25">
      <c r="A23" s="3" t="s">
        <v>7</v>
      </c>
      <c r="B23" s="21">
        <v>3</v>
      </c>
      <c r="C23" s="3" t="s">
        <v>11</v>
      </c>
      <c r="D23" s="21">
        <v>260.07103522260002</v>
      </c>
      <c r="E23" s="3"/>
      <c r="F23" s="23"/>
      <c r="G23" s="23"/>
      <c r="H23" s="23"/>
      <c r="I23" s="3"/>
      <c r="J23" s="2">
        <v>14961.4</v>
      </c>
      <c r="K23" s="3"/>
      <c r="L23" s="3">
        <f t="shared" si="0"/>
        <v>16324.658880922603</v>
      </c>
      <c r="M23" s="3">
        <v>16052</v>
      </c>
      <c r="N23">
        <f t="shared" si="1"/>
        <v>-272.6588809226032</v>
      </c>
      <c r="O23" s="3">
        <f t="shared" si="2"/>
        <v>74342.865345966318</v>
      </c>
      <c r="P23" s="3"/>
      <c r="Q23" s="3"/>
      <c r="R23" s="3"/>
      <c r="T23">
        <f t="shared" si="3"/>
        <v>6021423.407482734</v>
      </c>
    </row>
    <row r="24" spans="1:21" x14ac:dyDescent="0.25">
      <c r="A24" s="24" t="s">
        <v>7</v>
      </c>
      <c r="B24" s="25">
        <v>1</v>
      </c>
      <c r="C24" s="24" t="s">
        <v>12</v>
      </c>
      <c r="D24" s="25">
        <v>165.332046200608</v>
      </c>
      <c r="E24" s="24"/>
      <c r="F24" s="26"/>
      <c r="G24" s="26"/>
      <c r="H24" s="26"/>
      <c r="I24" s="24"/>
      <c r="J24" s="2">
        <v>14961.4</v>
      </c>
      <c r="K24" s="24">
        <f>AVERAGE(L24:L26)</f>
        <v>10405.692247349531</v>
      </c>
      <c r="L24" s="24">
        <f t="shared" si="0"/>
        <v>10377.892540012164</v>
      </c>
      <c r="M24" s="24">
        <f>5937*2</f>
        <v>11874</v>
      </c>
      <c r="N24">
        <f t="shared" si="1"/>
        <v>1496.1074599878357</v>
      </c>
      <c r="O24" s="3">
        <f t="shared" si="2"/>
        <v>2238337.5318312533</v>
      </c>
      <c r="P24" s="3">
        <f>SQRT(SUMSQ(N24:N26)*100/(COUNTA(N24:N26)*AVERAGE(L24:L26)))</f>
        <v>159.25095193850223</v>
      </c>
      <c r="Q24" s="3"/>
      <c r="R24" s="3">
        <f>1-(SUM(M24:M26)/SUM(L24:L26))</f>
        <v>-0.14110620588692369</v>
      </c>
      <c r="T24">
        <f t="shared" si="3"/>
        <v>58842821.25969702</v>
      </c>
    </row>
    <row r="25" spans="1:21" x14ac:dyDescent="0.25">
      <c r="A25" s="24" t="s">
        <v>7</v>
      </c>
      <c r="B25" s="25">
        <v>2</v>
      </c>
      <c r="C25" s="24" t="s">
        <v>12</v>
      </c>
      <c r="D25" s="25">
        <v>179.55181995351299</v>
      </c>
      <c r="E25" s="24"/>
      <c r="F25" s="26"/>
      <c r="G25" s="26"/>
      <c r="H25" s="26"/>
      <c r="I25" s="24"/>
      <c r="J25" s="2">
        <v>14961.4</v>
      </c>
      <c r="K25" s="24"/>
      <c r="L25" s="24">
        <f t="shared" si="0"/>
        <v>11270.467738482012</v>
      </c>
      <c r="M25" s="24">
        <v>11874</v>
      </c>
      <c r="N25">
        <f t="shared" si="1"/>
        <v>603.53226151798845</v>
      </c>
      <c r="O25" s="3">
        <f t="shared" si="2"/>
        <v>364251.19069301762</v>
      </c>
      <c r="P25" s="3"/>
      <c r="Q25" s="3"/>
      <c r="R25" s="3"/>
      <c r="T25">
        <f t="shared" si="3"/>
        <v>45945788.247535557</v>
      </c>
    </row>
    <row r="26" spans="1:21" x14ac:dyDescent="0.25">
      <c r="A26" s="24" t="s">
        <v>7</v>
      </c>
      <c r="B26" s="25">
        <v>3</v>
      </c>
      <c r="C26" s="24" t="s">
        <v>12</v>
      </c>
      <c r="D26" s="25">
        <v>152.44091864831</v>
      </c>
      <c r="E26" s="24"/>
      <c r="F26" s="26"/>
      <c r="G26" s="26"/>
      <c r="H26" s="26"/>
      <c r="I26" s="24"/>
      <c r="J26" s="2">
        <v>14961.4</v>
      </c>
      <c r="K26" s="24"/>
      <c r="L26" s="24">
        <f t="shared" si="0"/>
        <v>9568.7164635544195</v>
      </c>
      <c r="M26" s="24">
        <v>11874</v>
      </c>
      <c r="N26">
        <f t="shared" si="1"/>
        <v>2305.2835364455805</v>
      </c>
      <c r="O26" s="3">
        <f t="shared" si="2"/>
        <v>5314332.1834070422</v>
      </c>
      <c r="P26" s="3"/>
      <c r="Q26" s="3"/>
      <c r="R26" s="3"/>
      <c r="T26">
        <f t="shared" si="3"/>
        <v>71911816.785095364</v>
      </c>
    </row>
    <row r="27" spans="1:21" x14ac:dyDescent="0.25">
      <c r="A27" s="2" t="s">
        <v>13</v>
      </c>
      <c r="B27" s="27">
        <v>1</v>
      </c>
      <c r="C27" s="11" t="s">
        <v>48</v>
      </c>
      <c r="D27" s="28">
        <v>243.475822328931</v>
      </c>
      <c r="E27" s="2"/>
      <c r="F27" s="11"/>
      <c r="G27" s="2"/>
      <c r="H27" s="2"/>
      <c r="I27" s="2"/>
      <c r="J27" s="2">
        <f>AVERAGE(L27:L62)</f>
        <v>15851.359084712927</v>
      </c>
      <c r="K27" s="2">
        <f>AVERAGE(L27:L28)</f>
        <v>14684.153376086424</v>
      </c>
      <c r="L27" s="2">
        <f t="shared" si="0"/>
        <v>15282.977367587</v>
      </c>
      <c r="M27" s="2">
        <f>6782*2</f>
        <v>13564</v>
      </c>
      <c r="N27">
        <f t="shared" si="1"/>
        <v>-1718.9773675870001</v>
      </c>
      <c r="O27" s="3">
        <f t="shared" si="2"/>
        <v>2954883.1902763327</v>
      </c>
      <c r="P27" s="3">
        <f>SQRT(SUMSQ(N27:N30)*100/(COUNTA(N27:N30)*AVERAGE(L27:L30)))</f>
        <v>104.81843102809736</v>
      </c>
      <c r="R27" s="3">
        <f>1-(SUM(M27:M30)/SUM(L27:L30))</f>
        <v>7.6283143290414412E-2</v>
      </c>
      <c r="T27">
        <f t="shared" si="3"/>
        <v>8155255.5272872215</v>
      </c>
      <c r="U27">
        <f>1-((SUM(O27:O62))/(SUM(T27:T62)))</f>
        <v>0.52662040948701394</v>
      </c>
    </row>
    <row r="28" spans="1:21" x14ac:dyDescent="0.25">
      <c r="A28" s="2" t="s">
        <v>13</v>
      </c>
      <c r="B28" s="27">
        <v>2</v>
      </c>
      <c r="C28" s="11" t="s">
        <v>48</v>
      </c>
      <c r="D28" s="28">
        <v>224.39587995198099</v>
      </c>
      <c r="E28" s="2"/>
      <c r="F28" s="2"/>
      <c r="G28" s="11"/>
      <c r="H28" s="11"/>
      <c r="I28" s="2"/>
      <c r="J28" s="2">
        <v>15851.4</v>
      </c>
      <c r="K28" s="2"/>
      <c r="L28" s="2">
        <f t="shared" si="0"/>
        <v>14085.329384585848</v>
      </c>
      <c r="M28" s="2">
        <v>13564</v>
      </c>
      <c r="N28">
        <f t="shared" si="1"/>
        <v>-521.32938458584795</v>
      </c>
      <c r="O28" s="3">
        <f t="shared" si="2"/>
        <v>271784.32723265898</v>
      </c>
      <c r="T28">
        <f t="shared" si="3"/>
        <v>16430624.03002598</v>
      </c>
    </row>
    <row r="29" spans="1:21" x14ac:dyDescent="0.25">
      <c r="A29" s="2" t="s">
        <v>13</v>
      </c>
      <c r="B29" s="27">
        <v>3</v>
      </c>
      <c r="C29" s="11" t="s">
        <v>48</v>
      </c>
      <c r="D29" s="28" t="s">
        <v>37</v>
      </c>
      <c r="E29" s="2"/>
      <c r="F29" s="2"/>
      <c r="G29" s="11"/>
      <c r="H29" s="2"/>
      <c r="I29" s="2"/>
      <c r="J29" s="2"/>
      <c r="K29" s="2"/>
      <c r="L29" s="2"/>
      <c r="M29" s="2"/>
      <c r="O29" s="3"/>
    </row>
    <row r="30" spans="1:21" x14ac:dyDescent="0.25">
      <c r="A30" s="2" t="s">
        <v>13</v>
      </c>
      <c r="B30" s="27">
        <v>4</v>
      </c>
      <c r="C30" s="11" t="s">
        <v>48</v>
      </c>
      <c r="D30" s="10" t="s">
        <v>37</v>
      </c>
      <c r="E30" s="2"/>
      <c r="F30" s="2"/>
      <c r="G30" s="11"/>
      <c r="H30" s="2"/>
      <c r="I30" s="2"/>
      <c r="J30" s="2"/>
      <c r="K30" s="2"/>
      <c r="L30" s="2"/>
      <c r="M30" s="2"/>
      <c r="O30" s="3"/>
    </row>
    <row r="31" spans="1:21" x14ac:dyDescent="0.25">
      <c r="A31" s="5" t="s">
        <v>13</v>
      </c>
      <c r="B31" s="29">
        <v>2</v>
      </c>
      <c r="C31" s="5" t="s">
        <v>30</v>
      </c>
      <c r="D31" s="30" t="s">
        <v>37</v>
      </c>
      <c r="E31" s="5"/>
      <c r="F31" s="31"/>
      <c r="G31" s="31"/>
      <c r="H31" s="5"/>
      <c r="I31" s="5"/>
      <c r="J31" s="2"/>
      <c r="K31" s="5">
        <f>AVERAGE(L32:L33)</f>
        <v>17650.25355429577</v>
      </c>
      <c r="L31" s="5"/>
      <c r="M31" s="5"/>
      <c r="O31" s="3"/>
      <c r="P31" s="3">
        <f>SQRT(SUMSQ(N31:N33)*100/(COUNTA(N31:N33)*AVERAGE(L31:L33)))</f>
        <v>323.57987592541002</v>
      </c>
      <c r="R31" s="3">
        <f>1-(SUM(M31:M33)/SUM(L31:L33))</f>
        <v>0.24295705107602161</v>
      </c>
    </row>
    <row r="32" spans="1:21" x14ac:dyDescent="0.25">
      <c r="A32" s="5" t="s">
        <v>13</v>
      </c>
      <c r="B32" s="29">
        <v>3</v>
      </c>
      <c r="C32" s="5" t="s">
        <v>30</v>
      </c>
      <c r="D32" s="30">
        <v>276.37315632199301</v>
      </c>
      <c r="E32" s="5"/>
      <c r="F32" s="5"/>
      <c r="G32" s="31"/>
      <c r="H32" s="5"/>
      <c r="I32" s="5"/>
      <c r="J32" s="2">
        <v>15851.4</v>
      </c>
      <c r="K32" s="5"/>
      <c r="L32" s="5">
        <f t="shared" ref="L32:L78" si="5">D32*62.77</f>
        <v>17347.943022331503</v>
      </c>
      <c r="M32" s="5">
        <v>13362</v>
      </c>
      <c r="N32">
        <f t="shared" ref="N32:N78" si="6">(M32-L32)</f>
        <v>-3985.943022331503</v>
      </c>
      <c r="O32" s="3">
        <f t="shared" ref="O32:O78" si="7">N32*N32</f>
        <v>15887741.777273197</v>
      </c>
      <c r="T32">
        <f t="shared" ref="T32:T78" si="8">(ABS(M32-J32)+ABS(L32-J32))^2</f>
        <v>15887741.777273197</v>
      </c>
    </row>
    <row r="33" spans="1:20" x14ac:dyDescent="0.25">
      <c r="A33" s="5" t="s">
        <v>13</v>
      </c>
      <c r="B33" s="29">
        <v>4</v>
      </c>
      <c r="C33" s="5" t="s">
        <v>30</v>
      </c>
      <c r="D33" s="30">
        <v>286.00548169922001</v>
      </c>
      <c r="E33" s="5"/>
      <c r="F33" s="5"/>
      <c r="G33" s="5"/>
      <c r="H33" s="5"/>
      <c r="I33" s="5"/>
      <c r="J33" s="2">
        <v>15851.4</v>
      </c>
      <c r="K33" s="5"/>
      <c r="L33" s="5">
        <f t="shared" si="5"/>
        <v>17952.564086260041</v>
      </c>
      <c r="M33" s="5">
        <v>13362</v>
      </c>
      <c r="N33">
        <f t="shared" si="6"/>
        <v>-4590.5640862600412</v>
      </c>
      <c r="O33" s="3">
        <f t="shared" si="7"/>
        <v>21073278.630060486</v>
      </c>
      <c r="T33">
        <f t="shared" si="8"/>
        <v>21073278.630060486</v>
      </c>
    </row>
    <row r="34" spans="1:20" x14ac:dyDescent="0.25">
      <c r="A34" s="13" t="s">
        <v>13</v>
      </c>
      <c r="B34" s="32">
        <v>1</v>
      </c>
      <c r="C34" s="13" t="s">
        <v>9</v>
      </c>
      <c r="D34" s="33">
        <v>287.197054005609</v>
      </c>
      <c r="E34" s="13"/>
      <c r="F34" s="13"/>
      <c r="G34" s="13"/>
      <c r="H34" s="13"/>
      <c r="I34" s="13"/>
      <c r="J34" s="2">
        <v>15851.4</v>
      </c>
      <c r="K34" s="13">
        <f>AVERAGE(L34:L42)</f>
        <v>17083.907312663534</v>
      </c>
      <c r="L34" s="13">
        <f t="shared" si="5"/>
        <v>18027.359079932077</v>
      </c>
      <c r="M34" s="13">
        <f>6782*2</f>
        <v>13564</v>
      </c>
      <c r="N34">
        <f t="shared" si="6"/>
        <v>-4463.3590799320773</v>
      </c>
      <c r="O34" s="3">
        <f t="shared" si="7"/>
        <v>19921574.276412118</v>
      </c>
      <c r="P34" s="3">
        <f>SQRT(SUMSQ(N34:N42)*100/(COUNTA(N34:N42)*AVERAGE(L34:L42)))</f>
        <v>274.27024780613419</v>
      </c>
      <c r="R34" s="3">
        <f>1-(SUM(M34:M42)/SUM(L34:L42))</f>
        <v>0.20603643231278745</v>
      </c>
      <c r="T34">
        <f t="shared" si="8"/>
        <v>19921574.276412118</v>
      </c>
    </row>
    <row r="35" spans="1:20" x14ac:dyDescent="0.25">
      <c r="A35" s="13" t="s">
        <v>13</v>
      </c>
      <c r="B35" s="32">
        <v>2</v>
      </c>
      <c r="C35" s="13" t="s">
        <v>9</v>
      </c>
      <c r="D35" s="33">
        <v>265.072989730666</v>
      </c>
      <c r="E35" s="13"/>
      <c r="F35" s="16"/>
      <c r="G35" s="13"/>
      <c r="H35" s="13"/>
      <c r="I35" s="13"/>
      <c r="J35" s="2">
        <v>15851.4</v>
      </c>
      <c r="K35" s="13"/>
      <c r="L35" s="13">
        <f t="shared" si="5"/>
        <v>16638.631565393905</v>
      </c>
      <c r="M35" s="13">
        <v>13564</v>
      </c>
      <c r="N35">
        <f t="shared" si="6"/>
        <v>-3074.6315653939055</v>
      </c>
      <c r="O35" s="3">
        <f t="shared" si="7"/>
        <v>9453359.262916578</v>
      </c>
      <c r="T35">
        <f t="shared" si="8"/>
        <v>9453359.262916578</v>
      </c>
    </row>
    <row r="36" spans="1:20" x14ac:dyDescent="0.25">
      <c r="A36" s="13" t="s">
        <v>13</v>
      </c>
      <c r="B36" s="32">
        <v>3</v>
      </c>
      <c r="C36" s="13" t="s">
        <v>9</v>
      </c>
      <c r="D36" s="33">
        <v>287.16086246203997</v>
      </c>
      <c r="E36" s="13"/>
      <c r="F36" s="16"/>
      <c r="G36" s="13"/>
      <c r="H36" s="13"/>
      <c r="I36" s="13"/>
      <c r="J36" s="2">
        <v>15851.4</v>
      </c>
      <c r="K36" s="13"/>
      <c r="L36" s="13">
        <f t="shared" si="5"/>
        <v>18025.08733674225</v>
      </c>
      <c r="M36" s="13">
        <v>13564</v>
      </c>
      <c r="N36">
        <f t="shared" si="6"/>
        <v>-4461.08733674225</v>
      </c>
      <c r="O36" s="3">
        <f t="shared" si="7"/>
        <v>19901300.226042062</v>
      </c>
      <c r="T36">
        <f t="shared" si="8"/>
        <v>19901300.226042062</v>
      </c>
    </row>
    <row r="37" spans="1:20" x14ac:dyDescent="0.25">
      <c r="A37" s="13" t="s">
        <v>13</v>
      </c>
      <c r="B37" s="32">
        <v>4</v>
      </c>
      <c r="C37" s="13" t="s">
        <v>9</v>
      </c>
      <c r="D37" s="33">
        <v>255.027541789666</v>
      </c>
      <c r="E37" s="13"/>
      <c r="F37" s="13"/>
      <c r="G37" s="13"/>
      <c r="H37" s="13"/>
      <c r="I37" s="13"/>
      <c r="J37" s="2">
        <v>15851.4</v>
      </c>
      <c r="K37" s="13"/>
      <c r="L37" s="13">
        <f t="shared" si="5"/>
        <v>16008.078798137336</v>
      </c>
      <c r="M37" s="13">
        <v>13564</v>
      </c>
      <c r="N37">
        <f t="shared" si="6"/>
        <v>-2444.078798137336</v>
      </c>
      <c r="O37" s="3">
        <f t="shared" si="7"/>
        <v>5973521.1715044444</v>
      </c>
      <c r="T37">
        <f t="shared" si="8"/>
        <v>5973521.1715044444</v>
      </c>
    </row>
    <row r="38" spans="1:20" x14ac:dyDescent="0.25">
      <c r="A38" s="13" t="s">
        <v>13</v>
      </c>
      <c r="B38" s="32">
        <v>1</v>
      </c>
      <c r="C38" s="13" t="s">
        <v>52</v>
      </c>
      <c r="D38" s="33">
        <v>266.38910472316098</v>
      </c>
      <c r="E38" s="13"/>
      <c r="F38" s="13"/>
      <c r="G38" s="13"/>
      <c r="H38" s="13"/>
      <c r="I38" s="13"/>
      <c r="J38" s="2">
        <v>15851.4</v>
      </c>
      <c r="K38" s="13"/>
      <c r="L38" s="13">
        <f t="shared" si="5"/>
        <v>16721.244103472814</v>
      </c>
      <c r="M38" s="13">
        <v>13564</v>
      </c>
      <c r="N38">
        <f t="shared" si="6"/>
        <v>-3157.2441034728145</v>
      </c>
      <c r="O38" s="3">
        <f t="shared" si="7"/>
        <v>9968190.3289138563</v>
      </c>
      <c r="T38">
        <f t="shared" si="8"/>
        <v>9968190.3289138563</v>
      </c>
    </row>
    <row r="39" spans="1:20" x14ac:dyDescent="0.25">
      <c r="A39" s="13" t="s">
        <v>13</v>
      </c>
      <c r="B39" s="32">
        <v>1</v>
      </c>
      <c r="C39" s="13" t="s">
        <v>52</v>
      </c>
      <c r="D39" s="33">
        <v>266.47076110444198</v>
      </c>
      <c r="E39" s="13"/>
      <c r="F39" s="13"/>
      <c r="G39" s="13"/>
      <c r="H39" s="13"/>
      <c r="I39" s="13"/>
      <c r="J39" s="2">
        <v>15851.4</v>
      </c>
      <c r="K39" s="13"/>
      <c r="L39" s="13">
        <f t="shared" si="5"/>
        <v>16726.369674525824</v>
      </c>
      <c r="M39" s="13">
        <v>13564</v>
      </c>
      <c r="N39">
        <f t="shared" si="6"/>
        <v>-3162.3696745258239</v>
      </c>
      <c r="O39" s="3">
        <f t="shared" si="7"/>
        <v>10000581.958360566</v>
      </c>
      <c r="T39">
        <f t="shared" si="8"/>
        <v>10000581.958360566</v>
      </c>
    </row>
    <row r="40" spans="1:20" x14ac:dyDescent="0.25">
      <c r="A40" s="13" t="s">
        <v>13</v>
      </c>
      <c r="B40" s="32">
        <v>2</v>
      </c>
      <c r="C40" s="13" t="s">
        <v>52</v>
      </c>
      <c r="D40" s="33">
        <v>263.60062834655901</v>
      </c>
      <c r="E40" s="13"/>
      <c r="F40" s="16"/>
      <c r="G40" s="13"/>
      <c r="H40" s="13"/>
      <c r="I40" s="13"/>
      <c r="J40" s="2">
        <v>15851.4</v>
      </c>
      <c r="K40" s="13"/>
      <c r="L40" s="13">
        <f t="shared" si="5"/>
        <v>16546.21144131351</v>
      </c>
      <c r="M40" s="13">
        <v>13564</v>
      </c>
      <c r="N40">
        <f t="shared" si="6"/>
        <v>-2982.2114413135096</v>
      </c>
      <c r="O40" s="3">
        <f t="shared" si="7"/>
        <v>8893585.0807012003</v>
      </c>
      <c r="T40">
        <f t="shared" si="8"/>
        <v>8893585.0807012003</v>
      </c>
    </row>
    <row r="41" spans="1:20" x14ac:dyDescent="0.25">
      <c r="A41" s="13" t="s">
        <v>13</v>
      </c>
      <c r="B41" s="32">
        <v>3</v>
      </c>
      <c r="C41" s="13" t="s">
        <v>52</v>
      </c>
      <c r="D41" s="33">
        <v>282.340762201313</v>
      </c>
      <c r="E41" s="13"/>
      <c r="F41" s="16"/>
      <c r="G41" s="13"/>
      <c r="H41" s="13"/>
      <c r="I41" s="13"/>
      <c r="J41" s="2">
        <v>15851.4</v>
      </c>
      <c r="K41" s="13"/>
      <c r="L41" s="13">
        <f t="shared" si="5"/>
        <v>17722.529643376416</v>
      </c>
      <c r="M41" s="13">
        <v>13564</v>
      </c>
      <c r="N41">
        <f t="shared" si="6"/>
        <v>-4158.5296433764161</v>
      </c>
      <c r="O41" s="3">
        <f t="shared" si="7"/>
        <v>17293368.794840381</v>
      </c>
      <c r="T41">
        <f t="shared" si="8"/>
        <v>17293368.794840381</v>
      </c>
    </row>
    <row r="42" spans="1:20" x14ac:dyDescent="0.25">
      <c r="A42" s="13" t="s">
        <v>13</v>
      </c>
      <c r="B42" s="32">
        <v>4</v>
      </c>
      <c r="C42" s="13" t="s">
        <v>52</v>
      </c>
      <c r="D42" s="33">
        <v>276.24110516293899</v>
      </c>
      <c r="E42" s="13"/>
      <c r="F42" s="13"/>
      <c r="G42" s="13"/>
      <c r="H42" s="13"/>
      <c r="I42" s="13"/>
      <c r="J42" s="2">
        <v>15851.4</v>
      </c>
      <c r="K42" s="13"/>
      <c r="L42" s="13">
        <f t="shared" si="5"/>
        <v>17339.65417107768</v>
      </c>
      <c r="M42" s="13">
        <v>13564</v>
      </c>
      <c r="N42">
        <f t="shared" si="6"/>
        <v>-3775.6541710776801</v>
      </c>
      <c r="O42" s="3">
        <f t="shared" si="7"/>
        <v>14255564.419576284</v>
      </c>
      <c r="T42">
        <f t="shared" si="8"/>
        <v>14255564.419576284</v>
      </c>
    </row>
    <row r="43" spans="1:20" x14ac:dyDescent="0.25">
      <c r="A43" s="17" t="s">
        <v>13</v>
      </c>
      <c r="B43" s="34">
        <v>1</v>
      </c>
      <c r="C43" s="17" t="s">
        <v>51</v>
      </c>
      <c r="D43" s="35">
        <v>260.98380192773101</v>
      </c>
      <c r="E43" s="17"/>
      <c r="F43" s="17"/>
      <c r="G43" s="17"/>
      <c r="H43" s="17"/>
      <c r="I43" s="17"/>
      <c r="J43" s="2">
        <v>15851.4</v>
      </c>
      <c r="K43" s="17">
        <f>AVERAGE(L43:L50)</f>
        <v>17125.633749023018</v>
      </c>
      <c r="L43" s="17">
        <f t="shared" si="5"/>
        <v>16381.953247003676</v>
      </c>
      <c r="M43" s="17">
        <f>6684*2</f>
        <v>13368</v>
      </c>
      <c r="N43">
        <f t="shared" si="6"/>
        <v>-3013.9532470036756</v>
      </c>
      <c r="O43" s="3">
        <f t="shared" si="7"/>
        <v>9083914.1751239989</v>
      </c>
      <c r="P43" s="3">
        <f>SQRT(SUMSQ(N43:N50)*100/(COUNTA(N43:N50)*AVERAGE(L43:L50)))</f>
        <v>292.67678822327838</v>
      </c>
      <c r="R43" s="3">
        <f>1-(SUM(M43:M50)/SUM(L43:L50))</f>
        <v>0.21941574858433388</v>
      </c>
      <c r="T43">
        <f t="shared" si="8"/>
        <v>9083914.1751239989</v>
      </c>
    </row>
    <row r="44" spans="1:20" x14ac:dyDescent="0.25">
      <c r="A44" s="17" t="s">
        <v>13</v>
      </c>
      <c r="B44" s="34">
        <v>2</v>
      </c>
      <c r="C44" s="17" t="s">
        <v>51</v>
      </c>
      <c r="D44" s="35">
        <v>282.73526307994399</v>
      </c>
      <c r="E44" s="17"/>
      <c r="F44" s="20"/>
      <c r="G44" s="17"/>
      <c r="H44" s="17"/>
      <c r="I44" s="17"/>
      <c r="J44" s="2">
        <v>15851.4</v>
      </c>
      <c r="K44" s="17"/>
      <c r="L44" s="17">
        <f t="shared" si="5"/>
        <v>17747.292463528087</v>
      </c>
      <c r="M44" s="17">
        <v>13368</v>
      </c>
      <c r="N44">
        <f t="shared" si="6"/>
        <v>-4379.292463528087</v>
      </c>
      <c r="O44" s="3">
        <f t="shared" si="7"/>
        <v>19178202.481113899</v>
      </c>
      <c r="T44">
        <f t="shared" si="8"/>
        <v>19178202.481113899</v>
      </c>
    </row>
    <row r="45" spans="1:20" x14ac:dyDescent="0.25">
      <c r="A45" s="17" t="s">
        <v>13</v>
      </c>
      <c r="B45" s="34">
        <v>3</v>
      </c>
      <c r="C45" s="17" t="s">
        <v>51</v>
      </c>
      <c r="D45" s="35">
        <v>289.48396285803301</v>
      </c>
      <c r="E45" s="17"/>
      <c r="F45" s="20"/>
      <c r="G45" s="17"/>
      <c r="H45" s="17"/>
      <c r="I45" s="17"/>
      <c r="J45" s="2">
        <v>15851.4</v>
      </c>
      <c r="K45" s="17"/>
      <c r="L45" s="17">
        <f t="shared" si="5"/>
        <v>18170.908348598732</v>
      </c>
      <c r="M45" s="17">
        <v>13368</v>
      </c>
      <c r="N45">
        <f t="shared" si="6"/>
        <v>-4802.9083485987321</v>
      </c>
      <c r="O45" s="3">
        <f t="shared" si="7"/>
        <v>23067928.605039399</v>
      </c>
      <c r="T45">
        <f t="shared" si="8"/>
        <v>23067928.605039399</v>
      </c>
    </row>
    <row r="46" spans="1:20" x14ac:dyDescent="0.25">
      <c r="A46" s="17" t="s">
        <v>13</v>
      </c>
      <c r="B46" s="34">
        <v>4</v>
      </c>
      <c r="C46" s="17" t="s">
        <v>51</v>
      </c>
      <c r="D46" s="35">
        <v>266.690470185766</v>
      </c>
      <c r="E46" s="17"/>
      <c r="F46" s="17"/>
      <c r="G46" s="17"/>
      <c r="H46" s="17"/>
      <c r="I46" s="17"/>
      <c r="J46" s="2">
        <v>15851.4</v>
      </c>
      <c r="K46" s="17"/>
      <c r="L46" s="17">
        <f t="shared" si="5"/>
        <v>16740.160813560531</v>
      </c>
      <c r="M46" s="17">
        <v>13368</v>
      </c>
      <c r="N46">
        <f t="shared" si="6"/>
        <v>-3372.1608135605311</v>
      </c>
      <c r="O46" s="3">
        <f t="shared" si="7"/>
        <v>11371468.552513223</v>
      </c>
      <c r="T46">
        <f t="shared" si="8"/>
        <v>11371468.552513223</v>
      </c>
    </row>
    <row r="47" spans="1:20" x14ac:dyDescent="0.25">
      <c r="A47" s="17" t="s">
        <v>13</v>
      </c>
      <c r="B47" s="34">
        <v>1</v>
      </c>
      <c r="C47" s="17" t="s">
        <v>54</v>
      </c>
      <c r="D47" s="35">
        <v>268.520630528369</v>
      </c>
      <c r="E47" s="17"/>
      <c r="F47" s="17"/>
      <c r="G47" s="17"/>
      <c r="H47" s="17"/>
      <c r="I47" s="17"/>
      <c r="J47" s="2">
        <v>15851.4</v>
      </c>
      <c r="K47" s="17"/>
      <c r="L47" s="17">
        <f t="shared" si="5"/>
        <v>16855.039978265722</v>
      </c>
      <c r="M47" s="17">
        <v>13368</v>
      </c>
      <c r="N47">
        <f t="shared" si="6"/>
        <v>-3487.0399782657223</v>
      </c>
      <c r="O47" s="3">
        <f t="shared" si="7"/>
        <v>12159447.810023408</v>
      </c>
      <c r="T47">
        <f t="shared" si="8"/>
        <v>12159447.810023408</v>
      </c>
    </row>
    <row r="48" spans="1:20" x14ac:dyDescent="0.25">
      <c r="A48" s="17" t="s">
        <v>13</v>
      </c>
      <c r="B48" s="34">
        <v>2</v>
      </c>
      <c r="C48" s="17" t="s">
        <v>54</v>
      </c>
      <c r="D48" s="35">
        <v>268.94465799506901</v>
      </c>
      <c r="E48" s="17"/>
      <c r="F48" s="20"/>
      <c r="G48" s="17"/>
      <c r="H48" s="17"/>
      <c r="I48" s="17"/>
      <c r="J48" s="2">
        <v>15851.4</v>
      </c>
      <c r="K48" s="17"/>
      <c r="L48" s="17">
        <f t="shared" si="5"/>
        <v>16881.656182350482</v>
      </c>
      <c r="M48" s="17">
        <v>13368</v>
      </c>
      <c r="N48">
        <f t="shared" si="6"/>
        <v>-3513.6561823504817</v>
      </c>
      <c r="O48" s="3">
        <f t="shared" si="7"/>
        <v>12345779.767769761</v>
      </c>
      <c r="T48">
        <f t="shared" si="8"/>
        <v>12345779.767769761</v>
      </c>
    </row>
    <row r="49" spans="1:21" x14ac:dyDescent="0.25">
      <c r="A49" s="17" t="s">
        <v>13</v>
      </c>
      <c r="B49" s="34">
        <v>3</v>
      </c>
      <c r="C49" s="17" t="s">
        <v>54</v>
      </c>
      <c r="D49" s="35">
        <v>288.91641909677998</v>
      </c>
      <c r="E49" s="17"/>
      <c r="F49" s="17"/>
      <c r="G49" s="17"/>
      <c r="H49" s="17"/>
      <c r="I49" s="17"/>
      <c r="J49" s="2">
        <v>15851.4</v>
      </c>
      <c r="K49" s="17"/>
      <c r="L49" s="17">
        <f t="shared" si="5"/>
        <v>18135.283626704881</v>
      </c>
      <c r="M49" s="17">
        <v>13368</v>
      </c>
      <c r="N49">
        <f t="shared" si="6"/>
        <v>-4767.2836267048806</v>
      </c>
      <c r="O49" s="3">
        <f t="shared" si="7"/>
        <v>22726993.17744844</v>
      </c>
      <c r="T49">
        <f t="shared" si="8"/>
        <v>22726993.17744844</v>
      </c>
    </row>
    <row r="50" spans="1:21" x14ac:dyDescent="0.25">
      <c r="A50" s="17" t="s">
        <v>13</v>
      </c>
      <c r="B50" s="34">
        <v>4</v>
      </c>
      <c r="C50" s="17" t="s">
        <v>54</v>
      </c>
      <c r="D50" s="35">
        <v>256.376857291254</v>
      </c>
      <c r="E50" s="17"/>
      <c r="F50" s="17"/>
      <c r="G50" s="17"/>
      <c r="H50" s="17"/>
      <c r="I50" s="17"/>
      <c r="J50" s="2">
        <v>15851.4</v>
      </c>
      <c r="K50" s="17"/>
      <c r="L50" s="17">
        <f t="shared" si="5"/>
        <v>16092.775332172014</v>
      </c>
      <c r="M50" s="17">
        <v>13368</v>
      </c>
      <c r="N50">
        <f t="shared" si="6"/>
        <v>-2724.7753321720138</v>
      </c>
      <c r="O50" s="3">
        <f t="shared" si="7"/>
        <v>7424400.6108131083</v>
      </c>
      <c r="T50">
        <f t="shared" si="8"/>
        <v>7424400.6108131083</v>
      </c>
    </row>
    <row r="51" spans="1:21" x14ac:dyDescent="0.25">
      <c r="A51" s="36" t="s">
        <v>13</v>
      </c>
      <c r="B51" s="37">
        <v>1</v>
      </c>
      <c r="C51" s="36" t="s">
        <v>11</v>
      </c>
      <c r="D51" s="38">
        <v>273.54175704329703</v>
      </c>
      <c r="E51" s="36"/>
      <c r="F51" s="36"/>
      <c r="G51" s="36"/>
      <c r="H51" s="36"/>
      <c r="I51" s="36"/>
      <c r="J51" s="2">
        <v>15851.4</v>
      </c>
      <c r="K51" s="36">
        <f>AVERAGE(L51:L54)</f>
        <v>16159.737393710055</v>
      </c>
      <c r="L51" s="36">
        <f t="shared" si="5"/>
        <v>17170.216089607755</v>
      </c>
      <c r="M51" s="36">
        <f>6708*2</f>
        <v>13416</v>
      </c>
      <c r="N51">
        <f t="shared" si="6"/>
        <v>-3754.2160896077548</v>
      </c>
      <c r="O51" s="3">
        <f t="shared" si="7"/>
        <v>14094138.447469741</v>
      </c>
      <c r="P51" s="3">
        <f>SQRT(SUMSQ(N51:N54)*100/(COUNTA(N51:N54)*AVERAGE(L51:L54)))</f>
        <v>226.36030390353844</v>
      </c>
      <c r="R51" s="3">
        <f>1-(SUM(M51:M54)/SUM(L51:L54))</f>
        <v>0.16978848893782239</v>
      </c>
      <c r="T51">
        <f t="shared" si="8"/>
        <v>14094138.447469741</v>
      </c>
    </row>
    <row r="52" spans="1:21" x14ac:dyDescent="0.25">
      <c r="A52" s="36" t="s">
        <v>13</v>
      </c>
      <c r="B52" s="37">
        <v>2</v>
      </c>
      <c r="C52" s="36" t="s">
        <v>11</v>
      </c>
      <c r="D52" s="38">
        <v>245.78674165093699</v>
      </c>
      <c r="E52" s="36"/>
      <c r="F52" s="36"/>
      <c r="G52" s="36"/>
      <c r="H52" s="36"/>
      <c r="I52" s="36"/>
      <c r="J52" s="2">
        <v>15851.4</v>
      </c>
      <c r="K52" s="36"/>
      <c r="L52" s="36">
        <f t="shared" si="5"/>
        <v>15428.033773429315</v>
      </c>
      <c r="M52" s="36">
        <v>13416</v>
      </c>
      <c r="N52">
        <f t="shared" si="6"/>
        <v>-2012.0337734293153</v>
      </c>
      <c r="O52" s="3">
        <f t="shared" si="7"/>
        <v>4048279.9054202093</v>
      </c>
      <c r="T52">
        <f t="shared" si="8"/>
        <v>8172544.3381811874</v>
      </c>
    </row>
    <row r="53" spans="1:21" x14ac:dyDescent="0.25">
      <c r="A53" s="36" t="s">
        <v>13</v>
      </c>
      <c r="B53" s="37">
        <v>3</v>
      </c>
      <c r="C53" s="36" t="s">
        <v>11</v>
      </c>
      <c r="D53" s="38">
        <v>268.61208880348198</v>
      </c>
      <c r="E53" s="36"/>
      <c r="F53" s="36"/>
      <c r="G53" s="36"/>
      <c r="H53" s="36"/>
      <c r="I53" s="36"/>
      <c r="J53" s="2">
        <v>15851.4</v>
      </c>
      <c r="K53" s="36"/>
      <c r="L53" s="36">
        <f t="shared" si="5"/>
        <v>16860.780814194564</v>
      </c>
      <c r="M53" s="36">
        <v>13416</v>
      </c>
      <c r="N53">
        <f t="shared" si="6"/>
        <v>-3444.7808141945643</v>
      </c>
      <c r="O53" s="3">
        <f t="shared" si="7"/>
        <v>11866514.857842965</v>
      </c>
      <c r="T53">
        <f t="shared" si="8"/>
        <v>11866514.857842965</v>
      </c>
    </row>
    <row r="54" spans="1:21" x14ac:dyDescent="0.25">
      <c r="A54" s="36" t="s">
        <v>13</v>
      </c>
      <c r="B54" s="37">
        <v>4</v>
      </c>
      <c r="C54" s="36" t="s">
        <v>11</v>
      </c>
      <c r="D54" s="38">
        <v>241.83397956999499</v>
      </c>
      <c r="E54" s="36"/>
      <c r="F54" s="36"/>
      <c r="G54" s="36"/>
      <c r="H54" s="36"/>
      <c r="I54" s="36"/>
      <c r="J54" s="2">
        <v>15851.4</v>
      </c>
      <c r="K54" s="36"/>
      <c r="L54" s="36">
        <f t="shared" si="5"/>
        <v>15179.918897608586</v>
      </c>
      <c r="M54" s="36">
        <v>13416</v>
      </c>
      <c r="N54">
        <f t="shared" si="6"/>
        <v>-1763.9188976085861</v>
      </c>
      <c r="O54" s="3">
        <f t="shared" si="7"/>
        <v>3111409.8773406898</v>
      </c>
      <c r="T54">
        <f t="shared" si="8"/>
        <v>9652710.1843968835</v>
      </c>
    </row>
    <row r="55" spans="1:21" x14ac:dyDescent="0.25">
      <c r="A55" s="39" t="s">
        <v>13</v>
      </c>
      <c r="B55" s="40">
        <v>1</v>
      </c>
      <c r="C55" s="39" t="s">
        <v>12</v>
      </c>
      <c r="D55" s="41">
        <v>204.885922482241</v>
      </c>
      <c r="E55" s="39" t="s">
        <v>55</v>
      </c>
      <c r="F55" s="42"/>
      <c r="G55" s="39"/>
      <c r="H55" s="39"/>
      <c r="I55" s="39"/>
      <c r="J55" s="2">
        <v>15851.4</v>
      </c>
      <c r="K55" s="39">
        <f>AVERAGE(L55:L62)</f>
        <v>12878.356319220764</v>
      </c>
      <c r="L55" s="39">
        <f t="shared" si="5"/>
        <v>12860.689354210268</v>
      </c>
      <c r="M55" s="39">
        <f>6291*2</f>
        <v>12582</v>
      </c>
      <c r="N55">
        <f t="shared" si="6"/>
        <v>-278.68935421026799</v>
      </c>
      <c r="O55" s="3">
        <f t="shared" si="7"/>
        <v>77667.756150136222</v>
      </c>
      <c r="P55" s="3">
        <f>SQRT(SUMSQ(N55:N62)*100/(COUNTA(N55:N62)*AVERAGE(L55:L62)))</f>
        <v>44.672421106226103</v>
      </c>
      <c r="R55" s="3">
        <f>1-(SUM(M55:M62)/SUM(L55:L62))</f>
        <v>2.3011967666902944E-2</v>
      </c>
      <c r="T55">
        <f t="shared" si="8"/>
        <v>39188985.297529928</v>
      </c>
    </row>
    <row r="56" spans="1:21" x14ac:dyDescent="0.25">
      <c r="A56" s="39" t="s">
        <v>13</v>
      </c>
      <c r="B56" s="40">
        <v>1</v>
      </c>
      <c r="C56" s="39" t="s">
        <v>12</v>
      </c>
      <c r="D56" s="41">
        <v>203.14428266513201</v>
      </c>
      <c r="E56" s="39"/>
      <c r="F56" s="42"/>
      <c r="G56" s="39"/>
      <c r="H56" s="39"/>
      <c r="I56" s="39"/>
      <c r="J56" s="2">
        <v>15851.4</v>
      </c>
      <c r="K56" s="39"/>
      <c r="L56" s="39">
        <f t="shared" si="5"/>
        <v>12751.366622890337</v>
      </c>
      <c r="M56" s="39">
        <v>12582</v>
      </c>
      <c r="N56">
        <f t="shared" si="6"/>
        <v>-169.36662289033666</v>
      </c>
      <c r="O56" s="3">
        <f t="shared" si="7"/>
        <v>28685.052949277509</v>
      </c>
      <c r="T56">
        <f t="shared" si="8"/>
        <v>40569681.545438603</v>
      </c>
    </row>
    <row r="57" spans="1:21" x14ac:dyDescent="0.25">
      <c r="A57" s="39" t="s">
        <v>13</v>
      </c>
      <c r="B57" s="40">
        <v>2</v>
      </c>
      <c r="C57" s="39" t="s">
        <v>12</v>
      </c>
      <c r="D57" s="41">
        <v>211.27934648924699</v>
      </c>
      <c r="E57" s="39"/>
      <c r="F57" s="42"/>
      <c r="G57" s="39"/>
      <c r="H57" s="39"/>
      <c r="I57" s="39"/>
      <c r="J57" s="2">
        <v>15851.4</v>
      </c>
      <c r="K57" s="39"/>
      <c r="L57" s="39">
        <f t="shared" si="5"/>
        <v>13262.004579130034</v>
      </c>
      <c r="M57" s="39">
        <v>12582</v>
      </c>
      <c r="N57">
        <f t="shared" si="6"/>
        <v>-680.00457913003447</v>
      </c>
      <c r="O57" s="3">
        <f t="shared" si="7"/>
        <v>462406.22763781529</v>
      </c>
      <c r="T57">
        <f t="shared" si="8"/>
        <v>34325483.783606865</v>
      </c>
    </row>
    <row r="58" spans="1:21" x14ac:dyDescent="0.25">
      <c r="A58" s="39" t="s">
        <v>13</v>
      </c>
      <c r="B58" s="40">
        <v>2</v>
      </c>
      <c r="C58" s="39" t="s">
        <v>12</v>
      </c>
      <c r="D58" s="41">
        <v>202.61060229709599</v>
      </c>
      <c r="E58" s="39"/>
      <c r="F58" s="39"/>
      <c r="G58" s="39"/>
      <c r="H58" s="39"/>
      <c r="I58" s="39"/>
      <c r="J58" s="2">
        <v>15851.4</v>
      </c>
      <c r="K58" s="39"/>
      <c r="L58" s="39">
        <f t="shared" si="5"/>
        <v>12717.867506188717</v>
      </c>
      <c r="M58" s="39">
        <v>12582</v>
      </c>
      <c r="N58">
        <f t="shared" si="6"/>
        <v>-135.86750618871702</v>
      </c>
      <c r="O58" s="3">
        <f t="shared" si="7"/>
        <v>18459.979237941057</v>
      </c>
      <c r="T58">
        <f t="shared" si="8"/>
        <v>40997544.520304367</v>
      </c>
    </row>
    <row r="59" spans="1:21" x14ac:dyDescent="0.25">
      <c r="A59" s="39" t="s">
        <v>13</v>
      </c>
      <c r="B59" s="40">
        <v>3</v>
      </c>
      <c r="C59" s="39" t="s">
        <v>12</v>
      </c>
      <c r="D59" s="41">
        <v>206.73084428542799</v>
      </c>
      <c r="E59" s="39"/>
      <c r="F59" s="39"/>
      <c r="G59" s="39"/>
      <c r="H59" s="42"/>
      <c r="I59" s="39"/>
      <c r="J59" s="2">
        <v>15851.4</v>
      </c>
      <c r="K59" s="39"/>
      <c r="L59" s="39">
        <f t="shared" si="5"/>
        <v>12976.495095796316</v>
      </c>
      <c r="M59" s="39">
        <v>12582</v>
      </c>
      <c r="N59">
        <f t="shared" si="6"/>
        <v>-394.49509579631558</v>
      </c>
      <c r="O59" s="3">
        <f t="shared" si="7"/>
        <v>155626.38060734421</v>
      </c>
      <c r="T59">
        <f t="shared" si="8"/>
        <v>37752482.755821437</v>
      </c>
    </row>
    <row r="60" spans="1:21" x14ac:dyDescent="0.25">
      <c r="A60" s="39" t="s">
        <v>13</v>
      </c>
      <c r="B60" s="40">
        <v>3</v>
      </c>
      <c r="C60" s="39" t="s">
        <v>12</v>
      </c>
      <c r="D60" s="41">
        <v>218.039052224096</v>
      </c>
      <c r="E60" s="39"/>
      <c r="F60" s="39"/>
      <c r="G60" s="39"/>
      <c r="H60" s="42"/>
      <c r="I60" s="39"/>
      <c r="J60" s="2">
        <v>15851.4</v>
      </c>
      <c r="K60" s="39"/>
      <c r="L60" s="39">
        <f t="shared" si="5"/>
        <v>13686.311308106506</v>
      </c>
      <c r="M60" s="39">
        <v>12582</v>
      </c>
      <c r="N60">
        <f t="shared" si="6"/>
        <v>-1104.3113081065057</v>
      </c>
      <c r="O60" s="3">
        <f t="shared" si="7"/>
        <v>1219503.4652119018</v>
      </c>
      <c r="T60">
        <f t="shared" si="8"/>
        <v>29533667.342318255</v>
      </c>
    </row>
    <row r="61" spans="1:21" x14ac:dyDescent="0.25">
      <c r="A61" s="39" t="s">
        <v>13</v>
      </c>
      <c r="B61" s="40">
        <v>4</v>
      </c>
      <c r="C61" s="39" t="s">
        <v>12</v>
      </c>
      <c r="D61" s="41">
        <v>195.86027226988401</v>
      </c>
      <c r="E61" s="39"/>
      <c r="F61" s="39"/>
      <c r="G61" s="39"/>
      <c r="H61" s="39"/>
      <c r="I61" s="39"/>
      <c r="J61" s="2">
        <v>15851.4</v>
      </c>
      <c r="K61" s="39"/>
      <c r="L61" s="39">
        <f t="shared" si="5"/>
        <v>12294.149290380619</v>
      </c>
      <c r="M61" s="39">
        <v>12582</v>
      </c>
      <c r="N61">
        <f t="shared" si="6"/>
        <v>287.85070961938072</v>
      </c>
      <c r="O61" s="3">
        <f t="shared" si="7"/>
        <v>82858.03102838104</v>
      </c>
      <c r="T61">
        <f t="shared" si="8"/>
        <v>46603159.911146782</v>
      </c>
    </row>
    <row r="62" spans="1:21" x14ac:dyDescent="0.25">
      <c r="A62" s="39" t="s">
        <v>13</v>
      </c>
      <c r="B62" s="40">
        <v>4</v>
      </c>
      <c r="C62" s="39" t="s">
        <v>12</v>
      </c>
      <c r="D62" s="41">
        <v>198.78870156226401</v>
      </c>
      <c r="E62" s="39"/>
      <c r="F62" s="39"/>
      <c r="G62" s="39"/>
      <c r="H62" s="39"/>
      <c r="I62" s="39"/>
      <c r="J62" s="2">
        <v>15851.4</v>
      </c>
      <c r="K62" s="39"/>
      <c r="L62" s="39">
        <f t="shared" si="5"/>
        <v>12477.966797063313</v>
      </c>
      <c r="M62" s="39">
        <v>12582</v>
      </c>
      <c r="N62">
        <f t="shared" si="6"/>
        <v>104.0332029366873</v>
      </c>
      <c r="O62" s="3">
        <f t="shared" si="7"/>
        <v>10822.907313265963</v>
      </c>
      <c r="T62">
        <f t="shared" si="8"/>
        <v>44127232.962038077</v>
      </c>
    </row>
    <row r="63" spans="1:21" x14ac:dyDescent="0.25">
      <c r="A63" s="4" t="s">
        <v>14</v>
      </c>
      <c r="B63" s="43">
        <v>1</v>
      </c>
      <c r="C63" s="4" t="s">
        <v>30</v>
      </c>
      <c r="D63" s="43">
        <v>152.21167139495799</v>
      </c>
      <c r="E63" s="4"/>
      <c r="F63" s="4"/>
      <c r="G63" s="4"/>
      <c r="H63" s="4"/>
      <c r="I63" s="4"/>
      <c r="J63" s="2">
        <f>AVERAGE(L63:L83)</f>
        <v>10248.997494445564</v>
      </c>
      <c r="K63" s="4">
        <f>AVERAGE(L63:L65)</f>
        <v>10663.629402592936</v>
      </c>
      <c r="L63" s="4">
        <f t="shared" si="5"/>
        <v>9554.3266134615133</v>
      </c>
      <c r="M63" s="4">
        <f>4749*2</f>
        <v>9498</v>
      </c>
      <c r="N63">
        <f t="shared" si="6"/>
        <v>-56.326613461513261</v>
      </c>
      <c r="O63" s="3">
        <f t="shared" si="7"/>
        <v>3172.687384042727</v>
      </c>
      <c r="P63" s="3">
        <f>SQRT(SUMSQ(N63:N65)*100/(COUNTA(N63:N65)*AVERAGE(L63:L65)))</f>
        <v>139.8221039021692</v>
      </c>
      <c r="R63" s="3">
        <f>1-(SUM(M63:M65)/SUM(L63:L65))</f>
        <v>0.10930888148733919</v>
      </c>
      <c r="T63">
        <f t="shared" si="8"/>
        <v>2089957.0517173037</v>
      </c>
      <c r="U63">
        <f>1-((SUM(O63:O83))/(SUM(T63:T83)))</f>
        <v>0.72532064326145729</v>
      </c>
    </row>
    <row r="64" spans="1:21" x14ac:dyDescent="0.25">
      <c r="A64" s="4" t="s">
        <v>14</v>
      </c>
      <c r="B64" s="43">
        <v>2</v>
      </c>
      <c r="C64" s="4" t="s">
        <v>30</v>
      </c>
      <c r="D64" s="43">
        <v>185.215033512605</v>
      </c>
      <c r="E64" s="4"/>
      <c r="F64" s="4"/>
      <c r="G64" s="4"/>
      <c r="H64" s="4"/>
      <c r="I64" s="4"/>
      <c r="J64" s="4">
        <v>10249</v>
      </c>
      <c r="K64" s="4"/>
      <c r="L64" s="4">
        <f t="shared" si="5"/>
        <v>11625.947653586216</v>
      </c>
      <c r="M64" s="4">
        <v>9498</v>
      </c>
      <c r="N64">
        <f t="shared" si="6"/>
        <v>-2127.9476535862159</v>
      </c>
      <c r="O64" s="3">
        <f t="shared" si="7"/>
        <v>4528161.216403082</v>
      </c>
      <c r="T64">
        <f t="shared" si="8"/>
        <v>4528161.216403082</v>
      </c>
    </row>
    <row r="65" spans="1:20" x14ac:dyDescent="0.25">
      <c r="A65" s="4" t="s">
        <v>14</v>
      </c>
      <c r="B65" s="43">
        <v>3</v>
      </c>
      <c r="C65" s="4" t="s">
        <v>30</v>
      </c>
      <c r="D65" s="43">
        <v>172.225807563025</v>
      </c>
      <c r="E65" s="4"/>
      <c r="F65" s="4"/>
      <c r="G65" s="4"/>
      <c r="H65" s="4"/>
      <c r="I65" s="4"/>
      <c r="J65" s="4">
        <v>10249</v>
      </c>
      <c r="K65" s="4"/>
      <c r="L65" s="4">
        <f t="shared" si="5"/>
        <v>10810.61394073108</v>
      </c>
      <c r="M65" s="4">
        <v>9498</v>
      </c>
      <c r="N65">
        <f t="shared" si="6"/>
        <v>-1312.6139407310802</v>
      </c>
      <c r="O65" s="3">
        <f t="shared" si="7"/>
        <v>1722955.3574015757</v>
      </c>
      <c r="T65">
        <f t="shared" si="8"/>
        <v>1722955.3574015757</v>
      </c>
    </row>
    <row r="66" spans="1:20" x14ac:dyDescent="0.25">
      <c r="A66" s="6" t="s">
        <v>14</v>
      </c>
      <c r="B66" s="44">
        <v>1</v>
      </c>
      <c r="C66" s="6" t="s">
        <v>9</v>
      </c>
      <c r="D66" s="44">
        <v>179.388792</v>
      </c>
      <c r="E66" s="6"/>
      <c r="F66" s="6"/>
      <c r="G66" s="6"/>
      <c r="H66" s="6"/>
      <c r="I66" s="6"/>
      <c r="J66" s="4">
        <v>10249</v>
      </c>
      <c r="K66" s="6">
        <f>AVERAGE(L66:L68)</f>
        <v>10745.603625628237</v>
      </c>
      <c r="L66" s="6">
        <f t="shared" si="5"/>
        <v>11260.234473840001</v>
      </c>
      <c r="M66" s="6">
        <f>4746*2</f>
        <v>9492</v>
      </c>
      <c r="N66">
        <f t="shared" si="6"/>
        <v>-1768.2344738400006</v>
      </c>
      <c r="O66" s="3">
        <f t="shared" si="7"/>
        <v>3126653.154476224</v>
      </c>
      <c r="P66" s="3">
        <f>SQRT(SUMSQ(N66:N68)*100/(COUNTA(N66:N68)*AVERAGE(L66:L68)))</f>
        <v>126.34275378199609</v>
      </c>
      <c r="R66" s="3">
        <f>1-(SUM(M66:M68)/SUM(L66:L68))</f>
        <v>0.11666200143828076</v>
      </c>
      <c r="T66">
        <f t="shared" si="8"/>
        <v>3126653.154476224</v>
      </c>
    </row>
    <row r="67" spans="1:20" x14ac:dyDescent="0.25">
      <c r="A67" s="6" t="s">
        <v>14</v>
      </c>
      <c r="B67" s="44">
        <v>2</v>
      </c>
      <c r="C67" s="6" t="s">
        <v>9</v>
      </c>
      <c r="D67" s="44">
        <v>169.166870621849</v>
      </c>
      <c r="E67" s="6"/>
      <c r="F67" s="6"/>
      <c r="G67" s="6"/>
      <c r="H67" s="6"/>
      <c r="I67" s="6"/>
      <c r="J67" s="4">
        <v>10249</v>
      </c>
      <c r="K67" s="6"/>
      <c r="L67" s="6">
        <f t="shared" si="5"/>
        <v>10618.604468933463</v>
      </c>
      <c r="M67" s="6">
        <f>4746*2</f>
        <v>9492</v>
      </c>
      <c r="N67">
        <f t="shared" si="6"/>
        <v>-1126.6044689334631</v>
      </c>
      <c r="O67" s="3">
        <f t="shared" si="7"/>
        <v>1269237.6294208504</v>
      </c>
      <c r="T67">
        <f t="shared" si="8"/>
        <v>1269237.6294208504</v>
      </c>
    </row>
    <row r="68" spans="1:20" x14ac:dyDescent="0.25">
      <c r="A68" s="6" t="s">
        <v>14</v>
      </c>
      <c r="B68" s="44">
        <v>3</v>
      </c>
      <c r="C68" s="6" t="s">
        <v>9</v>
      </c>
      <c r="D68" s="44">
        <v>165.014687495798</v>
      </c>
      <c r="E68" s="6"/>
      <c r="F68" s="6"/>
      <c r="G68" s="6"/>
      <c r="H68" s="6"/>
      <c r="I68" s="6"/>
      <c r="J68" s="4">
        <v>10249</v>
      </c>
      <c r="K68" s="6"/>
      <c r="L68" s="6">
        <f t="shared" si="5"/>
        <v>10357.971934111241</v>
      </c>
      <c r="M68" s="6">
        <f>4746*2</f>
        <v>9492</v>
      </c>
      <c r="N68">
        <f t="shared" si="6"/>
        <v>-865.97193411124135</v>
      </c>
      <c r="O68" s="3">
        <f t="shared" si="7"/>
        <v>749907.39066836413</v>
      </c>
      <c r="T68">
        <f t="shared" si="8"/>
        <v>749907.39066836413</v>
      </c>
    </row>
    <row r="69" spans="1:20" x14ac:dyDescent="0.25">
      <c r="A69" s="45" t="s">
        <v>14</v>
      </c>
      <c r="B69" s="46">
        <v>1</v>
      </c>
      <c r="C69" s="45" t="s">
        <v>52</v>
      </c>
      <c r="D69" s="46">
        <v>185.12619307563</v>
      </c>
      <c r="E69" s="45"/>
      <c r="F69" s="45"/>
      <c r="G69" s="45"/>
      <c r="H69" s="45"/>
      <c r="I69" s="45"/>
      <c r="J69" s="4">
        <v>10249</v>
      </c>
      <c r="K69" s="45">
        <f>AVERAGE(L69:L71)</f>
        <v>11163.372696405369</v>
      </c>
      <c r="L69" s="45">
        <f t="shared" si="5"/>
        <v>11620.371139357296</v>
      </c>
      <c r="M69" s="45">
        <v>9492</v>
      </c>
      <c r="N69">
        <f t="shared" si="6"/>
        <v>-2128.3711393572958</v>
      </c>
      <c r="O69" s="3">
        <f t="shared" si="7"/>
        <v>4529963.7068490731</v>
      </c>
      <c r="P69" s="3">
        <f>SQRT(SUMSQ(N69:N71)*100/(COUNTA(N69:N71)*AVERAGE(L69:L71)))</f>
        <v>161.46757156064919</v>
      </c>
      <c r="R69" s="3">
        <f>1-(SUM(M69:M71)/SUM(L69:L71))</f>
        <v>0.1497193314116938</v>
      </c>
      <c r="T69">
        <f t="shared" si="8"/>
        <v>4529963.7068490731</v>
      </c>
    </row>
    <row r="70" spans="1:20" x14ac:dyDescent="0.25">
      <c r="A70" s="45" t="s">
        <v>14</v>
      </c>
      <c r="B70" s="46">
        <v>2</v>
      </c>
      <c r="C70" s="45" t="s">
        <v>52</v>
      </c>
      <c r="D70" s="46">
        <v>176.393767462185</v>
      </c>
      <c r="E70" s="45"/>
      <c r="F70" s="45"/>
      <c r="G70" s="45"/>
      <c r="H70" s="45"/>
      <c r="I70" s="45"/>
      <c r="J70" s="4">
        <v>10249</v>
      </c>
      <c r="K70" s="45"/>
      <c r="L70" s="45">
        <f t="shared" si="5"/>
        <v>11072.236783601353</v>
      </c>
      <c r="M70" s="45">
        <v>9492</v>
      </c>
      <c r="N70">
        <f t="shared" si="6"/>
        <v>-1580.2367836013527</v>
      </c>
      <c r="O70" s="3">
        <f t="shared" si="7"/>
        <v>2497148.2922467487</v>
      </c>
      <c r="T70">
        <f t="shared" si="8"/>
        <v>2497148.2922467487</v>
      </c>
    </row>
    <row r="71" spans="1:20" x14ac:dyDescent="0.25">
      <c r="A71" s="45" t="s">
        <v>14</v>
      </c>
      <c r="B71" s="46">
        <v>3</v>
      </c>
      <c r="C71" s="45" t="s">
        <v>52</v>
      </c>
      <c r="D71" s="46">
        <v>172.01704900840301</v>
      </c>
      <c r="E71" s="45"/>
      <c r="F71" s="45"/>
      <c r="G71" s="45"/>
      <c r="H71" s="45"/>
      <c r="I71" s="45"/>
      <c r="J71" s="4">
        <v>10249</v>
      </c>
      <c r="K71" s="45"/>
      <c r="L71" s="45">
        <f t="shared" si="5"/>
        <v>10797.510166257458</v>
      </c>
      <c r="M71" s="45">
        <v>9492</v>
      </c>
      <c r="N71">
        <f t="shared" si="6"/>
        <v>-1305.510166257458</v>
      </c>
      <c r="O71" s="3">
        <f t="shared" si="7"/>
        <v>1704356.7942015755</v>
      </c>
      <c r="T71">
        <f t="shared" si="8"/>
        <v>1704356.7942015755</v>
      </c>
    </row>
    <row r="72" spans="1:20" x14ac:dyDescent="0.25">
      <c r="A72" s="47" t="s">
        <v>14</v>
      </c>
      <c r="B72" s="48">
        <v>1</v>
      </c>
      <c r="C72" s="47" t="s">
        <v>51</v>
      </c>
      <c r="D72" s="48">
        <v>140.264224941176</v>
      </c>
      <c r="E72" s="47"/>
      <c r="F72" s="47"/>
      <c r="G72" s="47"/>
      <c r="H72" s="47"/>
      <c r="I72" s="47"/>
      <c r="J72" s="4">
        <v>10249</v>
      </c>
      <c r="K72" s="47">
        <f>AVERAGE(L72:L74)</f>
        <v>10344.235526654107</v>
      </c>
      <c r="L72" s="47">
        <f t="shared" si="5"/>
        <v>8804.3853995576173</v>
      </c>
      <c r="M72" s="47">
        <f>4750*2</f>
        <v>9500</v>
      </c>
      <c r="N72">
        <f t="shared" si="6"/>
        <v>695.61460044238265</v>
      </c>
      <c r="O72" s="3">
        <f t="shared" si="7"/>
        <v>483879.67234861566</v>
      </c>
      <c r="P72" s="3">
        <f>SQRT(SUMSQ(N72:N74)*100/(COUNTA(N72:N74)*AVERAGE(L72:L74)))</f>
        <v>158.74394677523497</v>
      </c>
      <c r="R72" s="3">
        <f>1-(SUM(M72:M74)/SUM(L72:L74))</f>
        <v>8.1614105216258559E-2</v>
      </c>
      <c r="T72">
        <f t="shared" si="8"/>
        <v>4811945.0152739938</v>
      </c>
    </row>
    <row r="73" spans="1:20" x14ac:dyDescent="0.25">
      <c r="A73" s="47" t="s">
        <v>14</v>
      </c>
      <c r="B73" s="48">
        <v>2</v>
      </c>
      <c r="C73" s="47" t="s">
        <v>51</v>
      </c>
      <c r="D73" s="48">
        <v>193.48400268907599</v>
      </c>
      <c r="E73" s="47"/>
      <c r="F73" s="47"/>
      <c r="G73" s="47"/>
      <c r="H73" s="47"/>
      <c r="I73" s="47"/>
      <c r="J73" s="4">
        <v>10249</v>
      </c>
      <c r="K73" s="47"/>
      <c r="L73" s="47">
        <f t="shared" si="5"/>
        <v>12144.990848793301</v>
      </c>
      <c r="M73" s="47">
        <v>9500</v>
      </c>
      <c r="N73">
        <f t="shared" si="6"/>
        <v>-2644.9908487933008</v>
      </c>
      <c r="O73" s="3">
        <f t="shared" si="7"/>
        <v>6995976.5902003059</v>
      </c>
      <c r="T73">
        <f t="shared" si="8"/>
        <v>6995976.5902003059</v>
      </c>
    </row>
    <row r="74" spans="1:20" x14ac:dyDescent="0.25">
      <c r="A74" s="47" t="s">
        <v>14</v>
      </c>
      <c r="B74" s="48">
        <v>3</v>
      </c>
      <c r="C74" s="47" t="s">
        <v>51</v>
      </c>
      <c r="D74" s="48">
        <v>160.639323428571</v>
      </c>
      <c r="E74" s="47"/>
      <c r="F74" s="47"/>
      <c r="G74" s="47"/>
      <c r="H74" s="47"/>
      <c r="I74" s="47"/>
      <c r="J74" s="4">
        <v>10249</v>
      </c>
      <c r="K74" s="47"/>
      <c r="L74" s="47">
        <f t="shared" si="5"/>
        <v>10083.330331611402</v>
      </c>
      <c r="M74" s="47">
        <v>9500</v>
      </c>
      <c r="N74">
        <f t="shared" si="6"/>
        <v>-583.33033161140156</v>
      </c>
      <c r="O74" s="3">
        <f t="shared" si="7"/>
        <v>340274.2757778677</v>
      </c>
      <c r="T74">
        <f t="shared" si="8"/>
        <v>836620.60227010865</v>
      </c>
    </row>
    <row r="75" spans="1:20" x14ac:dyDescent="0.25">
      <c r="A75" s="7" t="s">
        <v>14</v>
      </c>
      <c r="B75" s="49">
        <v>1</v>
      </c>
      <c r="C75" s="7" t="s">
        <v>54</v>
      </c>
      <c r="D75" s="49">
        <v>180.87341929411801</v>
      </c>
      <c r="E75" s="7"/>
      <c r="F75" s="7"/>
      <c r="G75" s="7"/>
      <c r="H75" s="7"/>
      <c r="I75" s="7"/>
      <c r="J75" s="4">
        <v>10249</v>
      </c>
      <c r="K75" s="7">
        <f>AVERAGE(L75:L77)</f>
        <v>10647.363229101191</v>
      </c>
      <c r="L75" s="7">
        <f t="shared" si="5"/>
        <v>11353.424529091788</v>
      </c>
      <c r="M75" s="7">
        <v>9500</v>
      </c>
      <c r="N75">
        <f t="shared" si="6"/>
        <v>-1853.4245290917879</v>
      </c>
      <c r="O75" s="3">
        <f t="shared" si="7"/>
        <v>3435182.4850391159</v>
      </c>
      <c r="P75" s="3">
        <f>SQRT(SUMSQ(N75:N77)*100/(COUNTA(N75:N77)*AVERAGE(L75:L77)))</f>
        <v>131.02508570384117</v>
      </c>
      <c r="R75" s="3">
        <f>1-(SUM(M75:M77)/SUM(L75:L77))</f>
        <v>0.10776031627861049</v>
      </c>
      <c r="T75">
        <f t="shared" si="8"/>
        <v>3435182.4850391159</v>
      </c>
    </row>
    <row r="76" spans="1:20" x14ac:dyDescent="0.25">
      <c r="A76" s="7" t="s">
        <v>14</v>
      </c>
      <c r="B76" s="49">
        <v>2</v>
      </c>
      <c r="C76" s="7" t="s">
        <v>54</v>
      </c>
      <c r="D76" s="49">
        <v>173.99167139495799</v>
      </c>
      <c r="E76" s="7"/>
      <c r="F76" s="7"/>
      <c r="G76" s="7"/>
      <c r="H76" s="7"/>
      <c r="I76" s="7"/>
      <c r="J76" s="4">
        <v>10249</v>
      </c>
      <c r="K76" s="7"/>
      <c r="L76" s="7">
        <f t="shared" si="5"/>
        <v>10921.457213461514</v>
      </c>
      <c r="M76" s="7">
        <v>9500</v>
      </c>
      <c r="N76">
        <f t="shared" si="6"/>
        <v>-1421.4572134615137</v>
      </c>
      <c r="O76" s="3">
        <f t="shared" si="7"/>
        <v>2020540.6097017713</v>
      </c>
      <c r="T76">
        <f t="shared" si="8"/>
        <v>2020540.6097017713</v>
      </c>
    </row>
    <row r="77" spans="1:20" x14ac:dyDescent="0.25">
      <c r="A77" s="7" t="s">
        <v>14</v>
      </c>
      <c r="B77" s="49">
        <v>3</v>
      </c>
      <c r="C77" s="7" t="s">
        <v>54</v>
      </c>
      <c r="D77" s="49">
        <v>154.01000389916001</v>
      </c>
      <c r="E77" s="7"/>
      <c r="F77" s="7"/>
      <c r="G77" s="7"/>
      <c r="H77" s="7"/>
      <c r="I77" s="7"/>
      <c r="J77" s="4">
        <v>10249</v>
      </c>
      <c r="K77" s="7"/>
      <c r="L77" s="7">
        <f t="shared" si="5"/>
        <v>9667.2079447502747</v>
      </c>
      <c r="M77" s="7">
        <v>9500</v>
      </c>
      <c r="N77">
        <f t="shared" si="6"/>
        <v>-167.20794475027469</v>
      </c>
      <c r="O77" s="3">
        <f t="shared" si="7"/>
        <v>27958.496787610915</v>
      </c>
      <c r="T77">
        <f t="shared" si="8"/>
        <v>1771007.4943157879</v>
      </c>
    </row>
    <row r="78" spans="1:20" x14ac:dyDescent="0.25">
      <c r="A78" s="50" t="s">
        <v>14</v>
      </c>
      <c r="B78" s="51">
        <v>1</v>
      </c>
      <c r="C78" s="50" t="s">
        <v>11</v>
      </c>
      <c r="D78" s="51">
        <v>164.97987610083999</v>
      </c>
      <c r="E78" s="50"/>
      <c r="F78" s="50"/>
      <c r="G78" s="50"/>
      <c r="H78" s="50"/>
      <c r="I78" s="50"/>
      <c r="J78" s="4">
        <v>10249</v>
      </c>
      <c r="K78" s="50">
        <f>AVERAGE(L80,L78)</f>
        <v>10732.005080080322</v>
      </c>
      <c r="L78" s="50">
        <f t="shared" si="5"/>
        <v>10355.786822849726</v>
      </c>
      <c r="M78" s="50">
        <f>4753*2</f>
        <v>9506</v>
      </c>
      <c r="N78">
        <f t="shared" si="6"/>
        <v>-849.78682284972638</v>
      </c>
      <c r="O78" s="3">
        <f t="shared" si="7"/>
        <v>722137.64428903221</v>
      </c>
      <c r="P78" s="3">
        <f>SQRT(SUMSQ(N78:N80)*100/(COUNTA(N78:N80)*AVERAGE(L78:L80)))</f>
        <v>123.79225918529585</v>
      </c>
      <c r="R78" s="3">
        <f>1-(SUM(M78:M80)/SUM(L78:L80))</f>
        <v>0.11423821279733737</v>
      </c>
      <c r="T78">
        <f t="shared" si="8"/>
        <v>722137.64428903221</v>
      </c>
    </row>
    <row r="79" spans="1:20" x14ac:dyDescent="0.25">
      <c r="A79" s="50" t="s">
        <v>14</v>
      </c>
      <c r="B79" s="51">
        <v>2</v>
      </c>
      <c r="C79" s="50" t="s">
        <v>11</v>
      </c>
      <c r="D79" s="51" t="s">
        <v>37</v>
      </c>
      <c r="E79" s="50"/>
      <c r="F79" s="50"/>
      <c r="G79" s="50"/>
      <c r="H79" s="50"/>
      <c r="I79" s="50"/>
      <c r="J79" s="4"/>
      <c r="K79" s="50"/>
      <c r="L79" s="50"/>
      <c r="M79" s="50"/>
      <c r="O79" s="3"/>
    </row>
    <row r="80" spans="1:20" x14ac:dyDescent="0.25">
      <c r="A80" s="50" t="s">
        <v>14</v>
      </c>
      <c r="B80" s="51">
        <v>3</v>
      </c>
      <c r="C80" s="50" t="s">
        <v>11</v>
      </c>
      <c r="D80" s="51">
        <v>176.967075630252</v>
      </c>
      <c r="E80" s="50"/>
      <c r="F80" s="50"/>
      <c r="G80" s="50"/>
      <c r="H80" s="50"/>
      <c r="I80" s="50"/>
      <c r="J80" s="4">
        <v>10249</v>
      </c>
      <c r="K80" s="50"/>
      <c r="L80" s="50">
        <f t="shared" ref="L80:L111" si="9">D80*62.77</f>
        <v>11108.223337310919</v>
      </c>
      <c r="M80" s="50">
        <v>9506</v>
      </c>
      <c r="N80">
        <f t="shared" ref="N80:N113" si="10">(M80-L80)</f>
        <v>-1602.2233373109193</v>
      </c>
      <c r="O80" s="3">
        <f t="shared" ref="O80:O113" si="11">N80*N80</f>
        <v>2567119.6226237398</v>
      </c>
      <c r="T80">
        <f t="shared" ref="T80:T113" si="12">(ABS(M80-J80)+ABS(L80-J80))^2</f>
        <v>2567119.6226237398</v>
      </c>
    </row>
    <row r="81" spans="1:21" x14ac:dyDescent="0.25">
      <c r="A81" s="52" t="s">
        <v>14</v>
      </c>
      <c r="B81" s="53">
        <v>1</v>
      </c>
      <c r="C81" s="52" t="s">
        <v>12</v>
      </c>
      <c r="D81" s="53">
        <v>120.96355764705901</v>
      </c>
      <c r="E81" s="52"/>
      <c r="F81" s="52"/>
      <c r="G81" s="52"/>
      <c r="H81" s="52"/>
      <c r="I81" s="52"/>
      <c r="J81" s="4">
        <v>10249</v>
      </c>
      <c r="K81" s="52">
        <f>AVERAGE(L81:L83)</f>
        <v>7607.7754292016953</v>
      </c>
      <c r="L81" s="52">
        <f t="shared" si="9"/>
        <v>7592.8825135058942</v>
      </c>
      <c r="M81" s="52">
        <f>3728*2</f>
        <v>7456</v>
      </c>
      <c r="N81">
        <f t="shared" si="10"/>
        <v>-136.88251350589417</v>
      </c>
      <c r="O81" s="3">
        <f t="shared" si="11"/>
        <v>18736.822503691299</v>
      </c>
      <c r="P81" s="3">
        <f>SQRT(SUMSQ(N81:N83)*100/(COUNTA(N81:N83)*AVERAGE(L81:L83)))</f>
        <v>18.315387289306322</v>
      </c>
      <c r="R81" s="3">
        <f>1-(SUM(M81:M83)/SUM(L81:L83))</f>
        <v>1.9950040667488733E-2</v>
      </c>
      <c r="T81">
        <f t="shared" si="12"/>
        <v>29692881.38161584</v>
      </c>
    </row>
    <row r="82" spans="1:21" x14ac:dyDescent="0.25">
      <c r="A82" s="52" t="s">
        <v>14</v>
      </c>
      <c r="B82" s="53">
        <v>2</v>
      </c>
      <c r="C82" s="52" t="s">
        <v>12</v>
      </c>
      <c r="D82" s="53">
        <v>122.270101411765</v>
      </c>
      <c r="E82" s="52"/>
      <c r="F82" s="52"/>
      <c r="G82" s="52"/>
      <c r="H82" s="52"/>
      <c r="I82" s="52"/>
      <c r="J82" s="4">
        <v>10249</v>
      </c>
      <c r="K82" s="52"/>
      <c r="L82" s="52">
        <f t="shared" si="9"/>
        <v>7674.8942656164891</v>
      </c>
      <c r="M82" s="52">
        <f>3728*2</f>
        <v>7456</v>
      </c>
      <c r="N82">
        <f t="shared" si="10"/>
        <v>-218.89426561648906</v>
      </c>
      <c r="O82" s="3">
        <f t="shared" si="11"/>
        <v>47914.699519782065</v>
      </c>
      <c r="T82">
        <f t="shared" si="12"/>
        <v>28805823.964052368</v>
      </c>
    </row>
    <row r="83" spans="1:21" x14ac:dyDescent="0.25">
      <c r="A83" s="52" t="s">
        <v>14</v>
      </c>
      <c r="B83" s="53">
        <v>3</v>
      </c>
      <c r="C83" s="52" t="s">
        <v>12</v>
      </c>
      <c r="D83" s="53">
        <v>120.36879892437</v>
      </c>
      <c r="E83" s="52"/>
      <c r="F83" s="52"/>
      <c r="G83" s="52"/>
      <c r="H83" s="52"/>
      <c r="I83" s="52"/>
      <c r="J83" s="4">
        <v>10249</v>
      </c>
      <c r="K83" s="52"/>
      <c r="L83" s="52">
        <f t="shared" si="9"/>
        <v>7555.5495084827053</v>
      </c>
      <c r="M83" s="52">
        <f>3728*2</f>
        <v>7456</v>
      </c>
      <c r="N83">
        <f t="shared" si="10"/>
        <v>-99.549508482705278</v>
      </c>
      <c r="O83" s="3">
        <f t="shared" si="11"/>
        <v>9910.1046391482105</v>
      </c>
      <c r="T83">
        <f t="shared" si="12"/>
        <v>30101138.995870367</v>
      </c>
    </row>
    <row r="84" spans="1:21" x14ac:dyDescent="0.25">
      <c r="A84" s="1" t="s">
        <v>15</v>
      </c>
      <c r="B84" s="54">
        <v>1</v>
      </c>
      <c r="C84" s="55" t="s">
        <v>48</v>
      </c>
      <c r="D84" s="54">
        <v>186.617733493397</v>
      </c>
      <c r="E84" s="1"/>
      <c r="F84" s="1"/>
      <c r="G84" s="1"/>
      <c r="H84" s="1"/>
      <c r="I84" s="1"/>
      <c r="J84" s="2">
        <f>AVERAGE(L84:L113)</f>
        <v>13772.095119275577</v>
      </c>
      <c r="K84" s="1">
        <f>AVERAGE(L84:L85)</f>
        <v>13042.187948085209</v>
      </c>
      <c r="L84" s="1">
        <f t="shared" si="9"/>
        <v>11713.99513138053</v>
      </c>
      <c r="M84" s="1">
        <f>5586*2</f>
        <v>11172</v>
      </c>
      <c r="N84">
        <f t="shared" si="10"/>
        <v>-541.99513138053044</v>
      </c>
      <c r="O84" s="3">
        <f t="shared" si="11"/>
        <v>293758.72244019847</v>
      </c>
      <c r="P84" s="3">
        <f>SQRT(SUMSQ(N84:N85)*100/(COUNTA(N84:N85)*AVERAGE(L84:L85)))</f>
        <v>200.85737279817397</v>
      </c>
      <c r="R84" s="3">
        <f>1-(SUM(M84:M85)/SUM(L84:L85))</f>
        <v>0.14339526124984125</v>
      </c>
      <c r="T84">
        <f t="shared" si="12"/>
        <v>21698781.656468328</v>
      </c>
      <c r="U84">
        <f>1-((SUM(O84:O113))/(SUM(T84:T113)))</f>
        <v>0.39237076356243017</v>
      </c>
    </row>
    <row r="85" spans="1:21" x14ac:dyDescent="0.25">
      <c r="A85" s="1" t="s">
        <v>15</v>
      </c>
      <c r="B85" s="54">
        <v>2</v>
      </c>
      <c r="C85" s="55" t="s">
        <v>48</v>
      </c>
      <c r="D85" s="54">
        <v>228.93708403361299</v>
      </c>
      <c r="E85" s="1"/>
      <c r="F85" s="1"/>
      <c r="G85" s="1"/>
      <c r="H85" s="1"/>
      <c r="I85" s="1"/>
      <c r="J85" s="4">
        <v>13772.1</v>
      </c>
      <c r="K85" s="1"/>
      <c r="L85" s="1">
        <f t="shared" si="9"/>
        <v>14370.380764789888</v>
      </c>
      <c r="M85" s="1">
        <v>11172</v>
      </c>
      <c r="N85">
        <f t="shared" si="10"/>
        <v>-3198.3807647898884</v>
      </c>
      <c r="O85" s="3">
        <f t="shared" si="11"/>
        <v>10229639.516577952</v>
      </c>
      <c r="T85">
        <f t="shared" si="12"/>
        <v>10229639.516577952</v>
      </c>
    </row>
    <row r="86" spans="1:21" x14ac:dyDescent="0.25">
      <c r="A86" s="5" t="s">
        <v>15</v>
      </c>
      <c r="B86" s="12">
        <v>1</v>
      </c>
      <c r="C86" s="5" t="s">
        <v>30</v>
      </c>
      <c r="D86" s="12">
        <v>193.147912087912</v>
      </c>
      <c r="E86" s="5"/>
      <c r="F86" s="5"/>
      <c r="G86" s="5"/>
      <c r="H86" s="5"/>
      <c r="I86" s="5"/>
      <c r="J86" s="4">
        <v>13772.1</v>
      </c>
      <c r="K86" s="5">
        <f>AVERAGE(L86:L89)</f>
        <v>13858.937910105822</v>
      </c>
      <c r="L86" s="5">
        <f t="shared" si="9"/>
        <v>12123.894441758237</v>
      </c>
      <c r="M86" s="5">
        <f>5599*2</f>
        <v>11198</v>
      </c>
      <c r="N86">
        <f t="shared" si="10"/>
        <v>-925.89444175823701</v>
      </c>
      <c r="O86" s="3">
        <f t="shared" si="11"/>
        <v>857280.51727879734</v>
      </c>
      <c r="P86" s="3">
        <f>SQRT(SUMSQ(N86:N89)*100/(COUNTA(N86:N89)*AVERAGE(L86:L89)))</f>
        <v>241.6407145473899</v>
      </c>
      <c r="R86" s="3">
        <f>1-(SUM(M86:M89)/SUM(L86:L89))</f>
        <v>0.19200157525530781</v>
      </c>
      <c r="T86">
        <f t="shared" si="12"/>
        <v>17827864.227159292</v>
      </c>
    </row>
    <row r="87" spans="1:21" x14ac:dyDescent="0.25">
      <c r="A87" s="5" t="s">
        <v>15</v>
      </c>
      <c r="B87" s="12">
        <v>2</v>
      </c>
      <c r="C87" s="5" t="s">
        <v>30</v>
      </c>
      <c r="D87" s="12">
        <v>228.016467226891</v>
      </c>
      <c r="E87" s="5"/>
      <c r="F87" s="5"/>
      <c r="G87" s="5"/>
      <c r="H87" s="5"/>
      <c r="I87" s="5"/>
      <c r="J87" s="4">
        <v>13772.1</v>
      </c>
      <c r="K87" s="5"/>
      <c r="L87" s="5">
        <f t="shared" si="9"/>
        <v>14312.593647831949</v>
      </c>
      <c r="M87" s="5">
        <v>11198</v>
      </c>
      <c r="N87">
        <f t="shared" si="10"/>
        <v>-3114.5936478319491</v>
      </c>
      <c r="O87" s="3">
        <f t="shared" si="11"/>
        <v>9700693.5911151264</v>
      </c>
      <c r="T87">
        <f t="shared" si="12"/>
        <v>9700693.5911151264</v>
      </c>
    </row>
    <row r="88" spans="1:21" x14ac:dyDescent="0.25">
      <c r="A88" s="5" t="s">
        <v>15</v>
      </c>
      <c r="B88" s="12">
        <v>3</v>
      </c>
      <c r="C88" s="5" t="s">
        <v>30</v>
      </c>
      <c r="D88" s="12">
        <v>229.89552605041999</v>
      </c>
      <c r="E88" s="5"/>
      <c r="F88" s="5"/>
      <c r="G88" s="5"/>
      <c r="H88" s="5"/>
      <c r="I88" s="5"/>
      <c r="J88" s="4">
        <v>13772.1</v>
      </c>
      <c r="K88" s="5"/>
      <c r="L88" s="5">
        <f t="shared" si="9"/>
        <v>14430.542170184863</v>
      </c>
      <c r="M88" s="5">
        <v>11198</v>
      </c>
      <c r="N88">
        <f t="shared" si="10"/>
        <v>-3232.5421701848627</v>
      </c>
      <c r="O88" s="3">
        <f t="shared" si="11"/>
        <v>10449328.882023461</v>
      </c>
      <c r="T88">
        <f t="shared" si="12"/>
        <v>10449328.882023461</v>
      </c>
    </row>
    <row r="89" spans="1:21" x14ac:dyDescent="0.25">
      <c r="A89" s="5" t="s">
        <v>15</v>
      </c>
      <c r="B89" s="12">
        <v>4</v>
      </c>
      <c r="C89" s="5" t="s">
        <v>30</v>
      </c>
      <c r="D89" s="12">
        <v>232.09688355342101</v>
      </c>
      <c r="E89" s="5"/>
      <c r="F89" s="5"/>
      <c r="G89" s="5"/>
      <c r="H89" s="5"/>
      <c r="I89" s="5"/>
      <c r="J89" s="4">
        <v>13772.1</v>
      </c>
      <c r="K89" s="5"/>
      <c r="L89" s="5">
        <f t="shared" si="9"/>
        <v>14568.721380648238</v>
      </c>
      <c r="M89" s="5">
        <v>11198</v>
      </c>
      <c r="N89">
        <f t="shared" si="10"/>
        <v>-3370.7213806482378</v>
      </c>
      <c r="O89" s="3">
        <f t="shared" si="11"/>
        <v>11361762.625959162</v>
      </c>
      <c r="T89">
        <f t="shared" si="12"/>
        <v>11361762.625959162</v>
      </c>
    </row>
    <row r="90" spans="1:21" x14ac:dyDescent="0.25">
      <c r="A90" s="4" t="s">
        <v>15</v>
      </c>
      <c r="B90" s="43">
        <v>1</v>
      </c>
      <c r="C90" s="4" t="s">
        <v>9</v>
      </c>
      <c r="D90" s="43">
        <v>225.79994477791101</v>
      </c>
      <c r="E90" s="4"/>
      <c r="F90" s="4"/>
      <c r="G90" s="4"/>
      <c r="H90" s="4"/>
      <c r="I90" s="4"/>
      <c r="J90" s="4">
        <v>13772.1</v>
      </c>
      <c r="K90" s="4">
        <f>AVERAGE(L90:L97)</f>
        <v>14439.169822853388</v>
      </c>
      <c r="L90" s="4">
        <f t="shared" si="9"/>
        <v>14173.462533709475</v>
      </c>
      <c r="M90" s="4">
        <f>5591*2</f>
        <v>11182</v>
      </c>
      <c r="N90">
        <f t="shared" si="10"/>
        <v>-2991.4625337094749</v>
      </c>
      <c r="O90" s="3">
        <f t="shared" si="11"/>
        <v>8948848.0905875117</v>
      </c>
      <c r="P90" s="3">
        <f>SQRT(SUMSQ(N90:N97)*100/(COUNTA(N90:N97)*AVERAGE(L90:L97)))</f>
        <v>274.99144630184185</v>
      </c>
      <c r="R90" s="3">
        <f>1-(SUM(M90:M97)/SUM(L90:L97))</f>
        <v>0.22557874606462136</v>
      </c>
      <c r="T90">
        <f t="shared" si="12"/>
        <v>8948848.0905875117</v>
      </c>
    </row>
    <row r="91" spans="1:21" x14ac:dyDescent="0.25">
      <c r="A91" s="4" t="s">
        <v>15</v>
      </c>
      <c r="B91" s="43">
        <v>2</v>
      </c>
      <c r="C91" s="4" t="s">
        <v>9</v>
      </c>
      <c r="D91" s="43">
        <v>213.795974909964</v>
      </c>
      <c r="E91" s="4"/>
      <c r="F91" s="4"/>
      <c r="G91" s="4"/>
      <c r="H91" s="4"/>
      <c r="I91" s="4"/>
      <c r="J91" s="4">
        <v>13772.1</v>
      </c>
      <c r="K91" s="4"/>
      <c r="L91" s="4">
        <f t="shared" si="9"/>
        <v>13419.97334509844</v>
      </c>
      <c r="M91" s="4">
        <v>11182</v>
      </c>
      <c r="N91">
        <f t="shared" si="10"/>
        <v>-2237.9733450984404</v>
      </c>
      <c r="O91" s="3">
        <f t="shared" si="11"/>
        <v>5008524.6933711031</v>
      </c>
      <c r="T91">
        <f t="shared" si="12"/>
        <v>8656697.6888132244</v>
      </c>
    </row>
    <row r="92" spans="1:21" x14ac:dyDescent="0.25">
      <c r="A92" s="4" t="s">
        <v>15</v>
      </c>
      <c r="B92" s="43">
        <v>3</v>
      </c>
      <c r="C92" s="4" t="s">
        <v>9</v>
      </c>
      <c r="D92" s="43">
        <v>225.985802521008</v>
      </c>
      <c r="E92" s="4"/>
      <c r="F92" s="4"/>
      <c r="G92" s="4"/>
      <c r="H92" s="4"/>
      <c r="I92" s="4"/>
      <c r="J92" s="4">
        <v>13772.1</v>
      </c>
      <c r="K92" s="4"/>
      <c r="L92" s="4">
        <f t="shared" si="9"/>
        <v>14185.128824243673</v>
      </c>
      <c r="M92" s="4">
        <v>11182</v>
      </c>
      <c r="N92">
        <f t="shared" si="10"/>
        <v>-3003.1288242436731</v>
      </c>
      <c r="O92" s="3">
        <f t="shared" si="11"/>
        <v>9018782.7350031864</v>
      </c>
      <c r="T92">
        <f t="shared" si="12"/>
        <v>9018782.7350031864</v>
      </c>
    </row>
    <row r="93" spans="1:21" x14ac:dyDescent="0.25">
      <c r="A93" s="4" t="s">
        <v>15</v>
      </c>
      <c r="B93" s="43">
        <v>4</v>
      </c>
      <c r="C93" s="4" t="s">
        <v>9</v>
      </c>
      <c r="D93" s="43">
        <v>239.93951380552201</v>
      </c>
      <c r="E93" s="4"/>
      <c r="F93" s="4"/>
      <c r="G93" s="4"/>
      <c r="H93" s="4"/>
      <c r="I93" s="4"/>
      <c r="J93" s="4">
        <v>13772.1</v>
      </c>
      <c r="K93" s="4"/>
      <c r="L93" s="4">
        <f t="shared" si="9"/>
        <v>15061.003281572617</v>
      </c>
      <c r="M93" s="4">
        <v>11182</v>
      </c>
      <c r="N93">
        <f t="shared" si="10"/>
        <v>-3879.0032815726172</v>
      </c>
      <c r="O93" s="3">
        <f t="shared" si="11"/>
        <v>15046666.458451133</v>
      </c>
      <c r="T93">
        <f t="shared" si="12"/>
        <v>15046666.458451133</v>
      </c>
    </row>
    <row r="94" spans="1:21" x14ac:dyDescent="0.25">
      <c r="A94" s="4" t="s">
        <v>15</v>
      </c>
      <c r="B94" s="43">
        <v>1</v>
      </c>
      <c r="C94" s="4" t="s">
        <v>52</v>
      </c>
      <c r="D94" s="43">
        <v>242.56557695078001</v>
      </c>
      <c r="E94" s="4"/>
      <c r="F94" s="4"/>
      <c r="G94" s="4"/>
      <c r="H94" s="4"/>
      <c r="I94" s="4"/>
      <c r="J94" s="4">
        <v>13772.1</v>
      </c>
      <c r="K94" s="4"/>
      <c r="L94" s="4">
        <f t="shared" si="9"/>
        <v>15225.841265200463</v>
      </c>
      <c r="M94" s="4">
        <v>11182</v>
      </c>
      <c r="N94">
        <f t="shared" si="10"/>
        <v>-4043.8412652004627</v>
      </c>
      <c r="O94" s="3">
        <f t="shared" si="11"/>
        <v>16352652.178138079</v>
      </c>
      <c r="T94">
        <f t="shared" si="12"/>
        <v>16352652.178138079</v>
      </c>
    </row>
    <row r="95" spans="1:21" x14ac:dyDescent="0.25">
      <c r="A95" s="4" t="s">
        <v>15</v>
      </c>
      <c r="B95" s="43">
        <v>2</v>
      </c>
      <c r="C95" s="4" t="s">
        <v>52</v>
      </c>
      <c r="D95" s="43">
        <v>234.00762316926799</v>
      </c>
      <c r="E95" s="4"/>
      <c r="F95" s="4"/>
      <c r="G95" s="4"/>
      <c r="H95" s="4"/>
      <c r="I95" s="4"/>
      <c r="J95" s="4">
        <v>13772.1</v>
      </c>
      <c r="K95" s="4"/>
      <c r="L95" s="4">
        <f t="shared" si="9"/>
        <v>14688.658506334952</v>
      </c>
      <c r="M95" s="4">
        <v>11182</v>
      </c>
      <c r="N95">
        <f t="shared" si="10"/>
        <v>-3506.6585063349521</v>
      </c>
      <c r="O95" s="3">
        <f t="shared" si="11"/>
        <v>12296653.880051278</v>
      </c>
      <c r="T95">
        <f t="shared" si="12"/>
        <v>12296653.880051278</v>
      </c>
    </row>
    <row r="96" spans="1:21" x14ac:dyDescent="0.25">
      <c r="A96" s="4" t="s">
        <v>15</v>
      </c>
      <c r="B96" s="43">
        <v>3</v>
      </c>
      <c r="C96" s="4" t="s">
        <v>52</v>
      </c>
      <c r="D96" s="43">
        <v>223.687528811525</v>
      </c>
      <c r="E96" s="4"/>
      <c r="F96" s="4"/>
      <c r="G96" s="4"/>
      <c r="H96" s="4"/>
      <c r="I96" s="4"/>
      <c r="J96" s="4">
        <v>13772.1</v>
      </c>
      <c r="K96" s="4"/>
      <c r="L96" s="4">
        <f t="shared" si="9"/>
        <v>14040.866183499425</v>
      </c>
      <c r="M96" s="4">
        <v>11182</v>
      </c>
      <c r="N96">
        <f t="shared" si="10"/>
        <v>-2858.8661834994255</v>
      </c>
      <c r="O96" s="3">
        <f t="shared" si="11"/>
        <v>8173115.8551565707</v>
      </c>
      <c r="T96">
        <f t="shared" si="12"/>
        <v>8173115.8551565707</v>
      </c>
    </row>
    <row r="97" spans="1:20" x14ac:dyDescent="0.25">
      <c r="A97" s="4" t="s">
        <v>15</v>
      </c>
      <c r="B97" s="43">
        <v>4</v>
      </c>
      <c r="C97" s="4" t="s">
        <v>52</v>
      </c>
      <c r="D97" s="43">
        <v>234.48183277310901</v>
      </c>
      <c r="E97" s="4"/>
      <c r="F97" s="4"/>
      <c r="G97" s="4"/>
      <c r="H97" s="4"/>
      <c r="I97" s="4"/>
      <c r="J97" s="4">
        <v>13772.1</v>
      </c>
      <c r="K97" s="4"/>
      <c r="L97" s="4">
        <f t="shared" si="9"/>
        <v>14718.424643168053</v>
      </c>
      <c r="M97" s="4">
        <v>11182</v>
      </c>
      <c r="N97">
        <f t="shared" si="10"/>
        <v>-3536.4246431680531</v>
      </c>
      <c r="O97" s="3">
        <f t="shared" si="11"/>
        <v>12506299.256806292</v>
      </c>
      <c r="T97">
        <f t="shared" si="12"/>
        <v>12506299.256806292</v>
      </c>
    </row>
    <row r="98" spans="1:20" x14ac:dyDescent="0.25">
      <c r="A98" s="50" t="s">
        <v>15</v>
      </c>
      <c r="B98" s="51">
        <v>1</v>
      </c>
      <c r="C98" s="50" t="s">
        <v>51</v>
      </c>
      <c r="D98" s="51">
        <v>229.731587755102</v>
      </c>
      <c r="E98" s="50"/>
      <c r="F98" s="50"/>
      <c r="G98" s="50"/>
      <c r="H98" s="50"/>
      <c r="I98" s="50"/>
      <c r="J98" s="4">
        <v>13772.1</v>
      </c>
      <c r="K98" s="50">
        <f>AVERAGE(L98:L105)</f>
        <v>14730.162052941176</v>
      </c>
      <c r="L98" s="50">
        <f t="shared" si="9"/>
        <v>14420.251763387752</v>
      </c>
      <c r="M98" s="50">
        <f>5608*2</f>
        <v>11216</v>
      </c>
      <c r="N98">
        <f t="shared" si="10"/>
        <v>-3204.2517633877524</v>
      </c>
      <c r="O98" s="3">
        <f t="shared" si="11"/>
        <v>10267229.36317352</v>
      </c>
      <c r="P98" s="3">
        <f>SQRT(SUMSQ(N98:N105)*100/(COUNTA(N98:N105)*AVERAGE(L98:L105)))</f>
        <v>295.56039977196599</v>
      </c>
      <c r="R98" s="3">
        <f>1-(SUM(M98:M105)/SUM(L98:L105))</f>
        <v>0.23856913727839824</v>
      </c>
      <c r="T98">
        <f t="shared" si="12"/>
        <v>10267229.36317352</v>
      </c>
    </row>
    <row r="99" spans="1:20" x14ac:dyDescent="0.25">
      <c r="A99" s="50" t="s">
        <v>15</v>
      </c>
      <c r="B99" s="51">
        <v>2</v>
      </c>
      <c r="C99" s="50" t="s">
        <v>51</v>
      </c>
      <c r="D99" s="51">
        <v>251.779806842737</v>
      </c>
      <c r="E99" s="50"/>
      <c r="F99" s="50"/>
      <c r="G99" s="50"/>
      <c r="H99" s="50"/>
      <c r="I99" s="50"/>
      <c r="J99" s="4">
        <v>13772.1</v>
      </c>
      <c r="K99" s="50"/>
      <c r="L99" s="50">
        <f t="shared" si="9"/>
        <v>15804.218475518603</v>
      </c>
      <c r="M99" s="50">
        <v>11216</v>
      </c>
      <c r="N99">
        <f t="shared" si="10"/>
        <v>-4588.2184755186026</v>
      </c>
      <c r="O99" s="3">
        <f t="shared" si="11"/>
        <v>21051748.779090252</v>
      </c>
      <c r="T99">
        <f t="shared" si="12"/>
        <v>21051748.779090252</v>
      </c>
    </row>
    <row r="100" spans="1:20" x14ac:dyDescent="0.25">
      <c r="A100" s="50" t="s">
        <v>15</v>
      </c>
      <c r="B100" s="51">
        <v>3</v>
      </c>
      <c r="C100" s="50" t="s">
        <v>51</v>
      </c>
      <c r="D100" s="51">
        <v>222.260934453782</v>
      </c>
      <c r="E100" s="50"/>
      <c r="F100" s="50"/>
      <c r="G100" s="50"/>
      <c r="H100" s="50"/>
      <c r="I100" s="50"/>
      <c r="J100" s="4">
        <v>13772.1</v>
      </c>
      <c r="K100" s="50"/>
      <c r="L100" s="50">
        <f t="shared" si="9"/>
        <v>13951.318855663896</v>
      </c>
      <c r="M100" s="50">
        <v>11216</v>
      </c>
      <c r="N100">
        <f t="shared" si="10"/>
        <v>-2735.3188556638961</v>
      </c>
      <c r="O100" s="3">
        <f t="shared" si="11"/>
        <v>7481969.2421504464</v>
      </c>
      <c r="T100">
        <f t="shared" si="12"/>
        <v>7481969.2421504464</v>
      </c>
    </row>
    <row r="101" spans="1:20" x14ac:dyDescent="0.25">
      <c r="A101" s="50" t="s">
        <v>15</v>
      </c>
      <c r="B101" s="51">
        <v>4</v>
      </c>
      <c r="C101" s="50" t="s">
        <v>51</v>
      </c>
      <c r="D101" s="51">
        <v>248.38386122449</v>
      </c>
      <c r="E101" s="50"/>
      <c r="F101" s="50"/>
      <c r="G101" s="50"/>
      <c r="H101" s="50"/>
      <c r="I101" s="50"/>
      <c r="J101" s="4">
        <v>13772.1</v>
      </c>
      <c r="K101" s="50"/>
      <c r="L101" s="50">
        <f t="shared" si="9"/>
        <v>15591.054969061239</v>
      </c>
      <c r="M101" s="50">
        <v>11216</v>
      </c>
      <c r="N101">
        <f t="shared" si="10"/>
        <v>-4375.0549690612388</v>
      </c>
      <c r="O101" s="3">
        <f t="shared" si="11"/>
        <v>19141105.982307438</v>
      </c>
      <c r="T101">
        <f t="shared" si="12"/>
        <v>19141105.982307438</v>
      </c>
    </row>
    <row r="102" spans="1:20" x14ac:dyDescent="0.25">
      <c r="A102" s="50" t="s">
        <v>15</v>
      </c>
      <c r="B102" s="51">
        <v>1</v>
      </c>
      <c r="C102" s="50" t="s">
        <v>54</v>
      </c>
      <c r="D102" s="51">
        <v>233.13402641056399</v>
      </c>
      <c r="E102" s="50"/>
      <c r="F102" s="50"/>
      <c r="G102" s="50"/>
      <c r="H102" s="50"/>
      <c r="I102" s="50"/>
      <c r="J102" s="4">
        <v>13772.1</v>
      </c>
      <c r="K102" s="50"/>
      <c r="L102" s="50">
        <f t="shared" si="9"/>
        <v>14633.822837791102</v>
      </c>
      <c r="M102" s="50">
        <v>11216</v>
      </c>
      <c r="N102">
        <f t="shared" si="10"/>
        <v>-3417.8228377911018</v>
      </c>
      <c r="O102" s="3">
        <f t="shared" si="11"/>
        <v>11681512.95052642</v>
      </c>
      <c r="T102">
        <f t="shared" si="12"/>
        <v>11681512.95052642</v>
      </c>
    </row>
    <row r="103" spans="1:20" x14ac:dyDescent="0.25">
      <c r="A103" s="50" t="s">
        <v>15</v>
      </c>
      <c r="B103" s="51">
        <v>2</v>
      </c>
      <c r="C103" s="50" t="s">
        <v>54</v>
      </c>
      <c r="D103" s="51">
        <v>243.88196398559401</v>
      </c>
      <c r="E103" s="50"/>
      <c r="F103" s="50"/>
      <c r="G103" s="50"/>
      <c r="H103" s="50"/>
      <c r="I103" s="50"/>
      <c r="J103" s="4">
        <v>13772.1</v>
      </c>
      <c r="K103" s="50"/>
      <c r="L103" s="50">
        <f t="shared" si="9"/>
        <v>15308.470879375736</v>
      </c>
      <c r="M103" s="50">
        <v>11216</v>
      </c>
      <c r="N103">
        <f t="shared" si="10"/>
        <v>-4092.4708793757363</v>
      </c>
      <c r="O103" s="3">
        <f t="shared" si="11"/>
        <v>16748317.898538413</v>
      </c>
      <c r="T103">
        <f t="shared" si="12"/>
        <v>16748317.898538413</v>
      </c>
    </row>
    <row r="104" spans="1:20" x14ac:dyDescent="0.25">
      <c r="A104" s="50" t="s">
        <v>15</v>
      </c>
      <c r="B104" s="51">
        <v>3</v>
      </c>
      <c r="C104" s="50" t="s">
        <v>54</v>
      </c>
      <c r="D104" s="51">
        <v>217.68103361344501</v>
      </c>
      <c r="E104" s="50"/>
      <c r="F104" s="50"/>
      <c r="G104" s="50"/>
      <c r="H104" s="50"/>
      <c r="I104" s="50"/>
      <c r="J104" s="4">
        <v>13772.1</v>
      </c>
      <c r="K104" s="50"/>
      <c r="L104" s="50">
        <f t="shared" si="9"/>
        <v>13663.838479915945</v>
      </c>
      <c r="M104" s="50">
        <v>11216</v>
      </c>
      <c r="N104">
        <f t="shared" si="10"/>
        <v>-2447.8384799159448</v>
      </c>
      <c r="O104" s="3">
        <f t="shared" si="11"/>
        <v>5991913.2237572037</v>
      </c>
      <c r="T104">
        <f t="shared" si="12"/>
        <v>7098822.3097046213</v>
      </c>
    </row>
    <row r="105" spans="1:20" x14ac:dyDescent="0.25">
      <c r="A105" s="50" t="s">
        <v>15</v>
      </c>
      <c r="B105" s="51">
        <v>4</v>
      </c>
      <c r="C105" s="50" t="s">
        <v>54</v>
      </c>
      <c r="D105" s="51">
        <v>230.49737394958001</v>
      </c>
      <c r="E105" s="50"/>
      <c r="F105" s="50"/>
      <c r="G105" s="50"/>
      <c r="H105" s="50"/>
      <c r="I105" s="50"/>
      <c r="J105" s="4">
        <v>13772.1</v>
      </c>
      <c r="K105" s="50"/>
      <c r="L105" s="50">
        <f t="shared" si="9"/>
        <v>14468.320162815138</v>
      </c>
      <c r="M105" s="50">
        <v>11216</v>
      </c>
      <c r="N105">
        <f t="shared" si="10"/>
        <v>-3252.3201628151382</v>
      </c>
      <c r="O105" s="3">
        <f t="shared" si="11"/>
        <v>10577586.441453887</v>
      </c>
      <c r="T105">
        <f t="shared" si="12"/>
        <v>10577586.441453887</v>
      </c>
    </row>
    <row r="106" spans="1:20" x14ac:dyDescent="0.25">
      <c r="A106" s="45" t="s">
        <v>15</v>
      </c>
      <c r="B106" s="46">
        <v>1</v>
      </c>
      <c r="C106" s="45" t="s">
        <v>11</v>
      </c>
      <c r="D106" s="46">
        <v>220.27293205282101</v>
      </c>
      <c r="E106" s="45"/>
      <c r="F106" s="45"/>
      <c r="G106" s="45"/>
      <c r="H106" s="45"/>
      <c r="I106" s="45"/>
      <c r="J106" s="4">
        <v>13772.1</v>
      </c>
      <c r="K106" s="45">
        <f>AVERAGE(L106:L109)</f>
        <v>13647.050920342432</v>
      </c>
      <c r="L106" s="45">
        <f t="shared" si="9"/>
        <v>13826.531944955575</v>
      </c>
      <c r="M106" s="45">
        <f>5606*2</f>
        <v>11212</v>
      </c>
      <c r="N106">
        <f t="shared" si="10"/>
        <v>-2614.5319449555755</v>
      </c>
      <c r="O106" s="3">
        <f t="shared" si="11"/>
        <v>6835777.2911931844</v>
      </c>
      <c r="P106" s="3">
        <f>SQRT(SUMSQ(N106:N109)*100/(COUNTA(N106:N109)*AVERAGE(L106:L109)))</f>
        <v>212.89561009869817</v>
      </c>
      <c r="R106" s="3">
        <f>1-(SUM(M106:M109)/SUM(L106:L109))</f>
        <v>0.17843055870134694</v>
      </c>
      <c r="T106">
        <f t="shared" si="12"/>
        <v>6835777.2911931844</v>
      </c>
    </row>
    <row r="107" spans="1:20" x14ac:dyDescent="0.25">
      <c r="A107" s="45" t="s">
        <v>15</v>
      </c>
      <c r="B107" s="46">
        <v>2</v>
      </c>
      <c r="C107" s="45" t="s">
        <v>11</v>
      </c>
      <c r="D107" s="46">
        <v>204.85532412965199</v>
      </c>
      <c r="E107" s="45"/>
      <c r="F107" s="45"/>
      <c r="G107" s="45"/>
      <c r="H107" s="45"/>
      <c r="I107" s="45"/>
      <c r="J107" s="4">
        <v>13772.1</v>
      </c>
      <c r="K107" s="45"/>
      <c r="L107" s="45">
        <f t="shared" si="9"/>
        <v>12858.768695618255</v>
      </c>
      <c r="M107" s="45">
        <v>11212</v>
      </c>
      <c r="N107">
        <f t="shared" si="10"/>
        <v>-1646.7686956182552</v>
      </c>
      <c r="O107" s="3">
        <f t="shared" si="11"/>
        <v>2711847.1368682496</v>
      </c>
      <c r="T107">
        <f t="shared" si="12"/>
        <v>12064725.026259074</v>
      </c>
    </row>
    <row r="108" spans="1:20" x14ac:dyDescent="0.25">
      <c r="A108" s="45" t="s">
        <v>15</v>
      </c>
      <c r="B108" s="46">
        <v>3</v>
      </c>
      <c r="C108" s="45" t="s">
        <v>11</v>
      </c>
      <c r="D108" s="46">
        <v>217.417259423769</v>
      </c>
      <c r="E108" s="45"/>
      <c r="F108" s="45"/>
      <c r="G108" s="45"/>
      <c r="H108" s="45"/>
      <c r="I108" s="45"/>
      <c r="J108" s="4">
        <v>13772.1</v>
      </c>
      <c r="K108" s="45"/>
      <c r="L108" s="45">
        <f t="shared" si="9"/>
        <v>13647.281374029981</v>
      </c>
      <c r="M108" s="45">
        <v>11212</v>
      </c>
      <c r="N108">
        <f t="shared" si="10"/>
        <v>-2435.2813740299807</v>
      </c>
      <c r="O108" s="3">
        <f t="shared" si="11"/>
        <v>5930595.3706973512</v>
      </c>
      <c r="T108">
        <f t="shared" si="12"/>
        <v>7208788.02808074</v>
      </c>
    </row>
    <row r="109" spans="1:20" x14ac:dyDescent="0.25">
      <c r="A109" s="45" t="s">
        <v>15</v>
      </c>
      <c r="B109" s="46">
        <v>4</v>
      </c>
      <c r="C109" s="45" t="s">
        <v>11</v>
      </c>
      <c r="D109" s="46">
        <v>227.10883649459799</v>
      </c>
      <c r="E109" s="45"/>
      <c r="F109" s="45"/>
      <c r="G109" s="45"/>
      <c r="H109" s="45"/>
      <c r="I109" s="45"/>
      <c r="J109" s="4">
        <v>13772.1</v>
      </c>
      <c r="K109" s="45"/>
      <c r="L109" s="45">
        <f t="shared" si="9"/>
        <v>14255.621666765917</v>
      </c>
      <c r="M109" s="45">
        <v>11212</v>
      </c>
      <c r="N109">
        <f t="shared" si="10"/>
        <v>-3043.6216667659173</v>
      </c>
      <c r="O109" s="3">
        <f t="shared" si="11"/>
        <v>9263632.850406941</v>
      </c>
      <c r="T109">
        <f t="shared" si="12"/>
        <v>9263632.850406941</v>
      </c>
    </row>
    <row r="110" spans="1:20" x14ac:dyDescent="0.25">
      <c r="A110" s="8" t="s">
        <v>15</v>
      </c>
      <c r="B110" s="56">
        <v>1</v>
      </c>
      <c r="C110" s="8" t="s">
        <v>12</v>
      </c>
      <c r="D110" s="56">
        <v>168.746541896759</v>
      </c>
      <c r="E110" s="8"/>
      <c r="F110" s="8"/>
      <c r="G110" s="8"/>
      <c r="H110" s="8"/>
      <c r="I110" s="8"/>
      <c r="J110" s="4">
        <v>13772.1</v>
      </c>
      <c r="K110" s="8">
        <f>AVERAGE(L110:L113)</f>
        <v>10924.9668384868</v>
      </c>
      <c r="L110" s="8">
        <f t="shared" si="9"/>
        <v>10592.220434859562</v>
      </c>
      <c r="M110" s="8">
        <f>5586*2</f>
        <v>11172</v>
      </c>
      <c r="N110">
        <f t="shared" si="10"/>
        <v>579.77956514043763</v>
      </c>
      <c r="O110" s="3">
        <f t="shared" si="11"/>
        <v>336144.34415443498</v>
      </c>
      <c r="P110" s="3">
        <f>SQRT(SUMSQ(N110:N113)*100/(COUNTA(N110:N113)*AVERAGE(L110:L113)))</f>
        <v>141.53721725132138</v>
      </c>
      <c r="R110" s="3">
        <f>1-(SUM(M110:M113)/SUM(L110:L113))</f>
        <v>-2.2611799666333532E-2</v>
      </c>
      <c r="T110">
        <f t="shared" si="12"/>
        <v>33408163.77344105</v>
      </c>
    </row>
    <row r="111" spans="1:20" x14ac:dyDescent="0.25">
      <c r="A111" s="8" t="s">
        <v>15</v>
      </c>
      <c r="B111" s="56">
        <v>2</v>
      </c>
      <c r="C111" s="8" t="s">
        <v>12</v>
      </c>
      <c r="D111" s="56">
        <v>140.494596158463</v>
      </c>
      <c r="E111" s="8"/>
      <c r="F111" s="8"/>
      <c r="G111" s="8"/>
      <c r="H111" s="8"/>
      <c r="I111" s="8"/>
      <c r="J111" s="4">
        <v>13772.1</v>
      </c>
      <c r="K111" s="8"/>
      <c r="L111" s="8">
        <f t="shared" si="9"/>
        <v>8818.8458008667221</v>
      </c>
      <c r="M111" s="8">
        <v>11172</v>
      </c>
      <c r="N111">
        <f t="shared" si="10"/>
        <v>2353.1541991332779</v>
      </c>
      <c r="O111" s="3">
        <f t="shared" si="11"/>
        <v>5537334.6848985786</v>
      </c>
      <c r="T111">
        <f t="shared" si="12"/>
        <v>57053159.657564335</v>
      </c>
    </row>
    <row r="112" spans="1:20" x14ac:dyDescent="0.25">
      <c r="A112" s="8" t="s">
        <v>15</v>
      </c>
      <c r="B112" s="56">
        <v>3</v>
      </c>
      <c r="C112" s="8" t="s">
        <v>12</v>
      </c>
      <c r="D112" s="56">
        <v>204.68145018007201</v>
      </c>
      <c r="E112" s="8"/>
      <c r="F112" s="8"/>
      <c r="G112" s="8"/>
      <c r="H112" s="8"/>
      <c r="I112" s="8"/>
      <c r="J112" s="4">
        <v>13772.1</v>
      </c>
      <c r="K112" s="8"/>
      <c r="L112" s="8">
        <f t="shared" ref="L112:L137" si="13">D112*62.77</f>
        <v>12847.854627803121</v>
      </c>
      <c r="M112" s="8">
        <v>11172</v>
      </c>
      <c r="N112">
        <f t="shared" si="10"/>
        <v>-1675.8546278031208</v>
      </c>
      <c r="O112" s="3">
        <f t="shared" si="11"/>
        <v>2808488.7335291365</v>
      </c>
      <c r="T112">
        <f t="shared" si="12"/>
        <v>12421010.302525563</v>
      </c>
    </row>
    <row r="113" spans="1:20" x14ac:dyDescent="0.25">
      <c r="A113" s="8" t="s">
        <v>15</v>
      </c>
      <c r="B113" s="56">
        <v>4</v>
      </c>
      <c r="C113" s="8" t="s">
        <v>12</v>
      </c>
      <c r="D113" s="56">
        <v>182.26774717887201</v>
      </c>
      <c r="E113" s="8"/>
      <c r="F113" s="8"/>
      <c r="G113" s="8"/>
      <c r="H113" s="8"/>
      <c r="I113" s="8"/>
      <c r="J113" s="4">
        <v>13772.1</v>
      </c>
      <c r="K113" s="8"/>
      <c r="L113" s="8">
        <f t="shared" si="13"/>
        <v>11440.946490417797</v>
      </c>
      <c r="M113" s="8">
        <v>11172</v>
      </c>
      <c r="N113">
        <f t="shared" si="10"/>
        <v>-268.94649041779667</v>
      </c>
      <c r="O113" s="3">
        <f t="shared" si="11"/>
        <v>72332.21470805</v>
      </c>
      <c r="T113">
        <f t="shared" si="12"/>
        <v>24317261.175766803</v>
      </c>
    </row>
    <row r="114" spans="1:20" x14ac:dyDescent="0.25">
      <c r="A114" t="s">
        <v>39</v>
      </c>
      <c r="B114" s="9">
        <v>1</v>
      </c>
      <c r="C114" s="9" t="s">
        <v>12</v>
      </c>
      <c r="D114" s="9">
        <v>96.035022549323003</v>
      </c>
      <c r="F114">
        <v>1</v>
      </c>
      <c r="G114" t="s">
        <v>56</v>
      </c>
      <c r="I114" t="s">
        <v>57</v>
      </c>
      <c r="L114">
        <f t="shared" si="13"/>
        <v>6028.1183654210054</v>
      </c>
      <c r="N114" s="59"/>
      <c r="O114" s="59" t="s">
        <v>67</v>
      </c>
      <c r="P114" s="59">
        <f>SQRT(SUMSQ(N4:N113)*100/(COUNTA(N4:N113)*AVERAGE(L4:L113)))</f>
        <v>205.84998756189094</v>
      </c>
      <c r="Q114" s="59"/>
      <c r="R114" s="60">
        <f>1-(SUM(M4:M117)/SUM(L4:L117))</f>
        <v>0.14002451791203496</v>
      </c>
      <c r="S114" s="59"/>
      <c r="T114" s="59"/>
    </row>
    <row r="115" spans="1:20" x14ac:dyDescent="0.25">
      <c r="A115" t="s">
        <v>39</v>
      </c>
      <c r="B115" s="9">
        <v>2</v>
      </c>
      <c r="C115" s="9" t="s">
        <v>12</v>
      </c>
      <c r="D115" s="9">
        <v>105.052753112483</v>
      </c>
      <c r="F115">
        <v>3</v>
      </c>
      <c r="G115" t="s">
        <v>58</v>
      </c>
      <c r="I115" t="s">
        <v>41</v>
      </c>
      <c r="L115">
        <f t="shared" si="13"/>
        <v>6594.1613128705585</v>
      </c>
    </row>
    <row r="116" spans="1:20" x14ac:dyDescent="0.25">
      <c r="A116" t="s">
        <v>39</v>
      </c>
      <c r="B116" s="9">
        <v>3</v>
      </c>
      <c r="C116" s="9" t="s">
        <v>12</v>
      </c>
      <c r="D116" s="9">
        <v>126.706752489347</v>
      </c>
      <c r="F116">
        <v>4</v>
      </c>
      <c r="G116" t="s">
        <v>59</v>
      </c>
      <c r="I116" t="s">
        <v>43</v>
      </c>
      <c r="L116">
        <f t="shared" si="13"/>
        <v>7953.3828537563113</v>
      </c>
    </row>
    <row r="117" spans="1:20" x14ac:dyDescent="0.25">
      <c r="A117" t="s">
        <v>39</v>
      </c>
      <c r="B117" s="9">
        <v>4</v>
      </c>
      <c r="C117" s="9" t="s">
        <v>12</v>
      </c>
      <c r="D117" s="9">
        <v>139.69301614442401</v>
      </c>
      <c r="F117">
        <v>5</v>
      </c>
      <c r="G117" t="s">
        <v>60</v>
      </c>
      <c r="I117" t="s">
        <v>61</v>
      </c>
      <c r="L117">
        <f t="shared" si="13"/>
        <v>8768.5306233854953</v>
      </c>
    </row>
    <row r="118" spans="1:20" x14ac:dyDescent="0.25">
      <c r="A118" t="s">
        <v>39</v>
      </c>
      <c r="B118" s="9">
        <v>1</v>
      </c>
      <c r="C118" s="9" t="s">
        <v>58</v>
      </c>
      <c r="D118" s="9">
        <v>161.43030102393601</v>
      </c>
      <c r="F118">
        <v>8</v>
      </c>
      <c r="G118" t="s">
        <v>62</v>
      </c>
      <c r="I118" t="s">
        <v>45</v>
      </c>
      <c r="L118">
        <f t="shared" si="13"/>
        <v>10132.979995272464</v>
      </c>
    </row>
    <row r="119" spans="1:20" x14ac:dyDescent="0.25">
      <c r="A119" t="s">
        <v>39</v>
      </c>
      <c r="B119" s="9">
        <v>2</v>
      </c>
      <c r="C119" s="9" t="s">
        <v>58</v>
      </c>
      <c r="D119" s="9">
        <v>162.130553415495</v>
      </c>
      <c r="F119">
        <v>11</v>
      </c>
      <c r="G119" t="s">
        <v>63</v>
      </c>
      <c r="I119" t="s">
        <v>47</v>
      </c>
      <c r="L119">
        <f t="shared" si="13"/>
        <v>10176.934837890622</v>
      </c>
    </row>
    <row r="120" spans="1:20" x14ac:dyDescent="0.25">
      <c r="A120" t="s">
        <v>39</v>
      </c>
      <c r="B120" s="9">
        <v>3</v>
      </c>
      <c r="C120" s="9" t="s">
        <v>58</v>
      </c>
      <c r="D120" s="9">
        <v>138.75392597704499</v>
      </c>
      <c r="L120">
        <f t="shared" si="13"/>
        <v>8709.5839335791134</v>
      </c>
    </row>
    <row r="121" spans="1:20" x14ac:dyDescent="0.25">
      <c r="A121" t="s">
        <v>39</v>
      </c>
      <c r="B121" s="9">
        <v>4</v>
      </c>
      <c r="C121" s="9" t="s">
        <v>58</v>
      </c>
      <c r="D121" s="9">
        <v>174.78398293134001</v>
      </c>
      <c r="L121">
        <f t="shared" si="13"/>
        <v>10971.190608600213</v>
      </c>
    </row>
    <row r="122" spans="1:20" x14ac:dyDescent="0.25">
      <c r="A122" t="s">
        <v>39</v>
      </c>
      <c r="B122" s="9">
        <v>1</v>
      </c>
      <c r="C122" s="9" t="s">
        <v>59</v>
      </c>
      <c r="D122" s="9">
        <v>172.06270072913199</v>
      </c>
      <c r="L122">
        <f t="shared" si="13"/>
        <v>10800.375724767615</v>
      </c>
    </row>
    <row r="123" spans="1:20" x14ac:dyDescent="0.25">
      <c r="A123" t="s">
        <v>39</v>
      </c>
      <c r="B123" s="9">
        <v>2</v>
      </c>
      <c r="C123" s="9" t="s">
        <v>59</v>
      </c>
      <c r="D123" s="9">
        <v>158.623438278923</v>
      </c>
      <c r="L123">
        <f t="shared" si="13"/>
        <v>9956.7932207679969</v>
      </c>
    </row>
    <row r="124" spans="1:20" x14ac:dyDescent="0.25">
      <c r="A124" t="s">
        <v>39</v>
      </c>
      <c r="B124" s="9">
        <v>3</v>
      </c>
      <c r="C124" s="9" t="s">
        <v>59</v>
      </c>
      <c r="D124" s="9">
        <v>158.19869456248301</v>
      </c>
      <c r="L124">
        <f t="shared" si="13"/>
        <v>9930.1320576870585</v>
      </c>
    </row>
    <row r="125" spans="1:20" x14ac:dyDescent="0.25">
      <c r="A125" t="s">
        <v>39</v>
      </c>
      <c r="B125" s="9">
        <v>4</v>
      </c>
      <c r="C125" s="9" t="s">
        <v>59</v>
      </c>
      <c r="D125" s="9">
        <v>186.193484535805</v>
      </c>
      <c r="L125">
        <f t="shared" si="13"/>
        <v>11687.365024312481</v>
      </c>
    </row>
    <row r="126" spans="1:20" x14ac:dyDescent="0.25">
      <c r="A126" t="s">
        <v>39</v>
      </c>
      <c r="B126" s="9">
        <v>1</v>
      </c>
      <c r="C126" s="9" t="s">
        <v>60</v>
      </c>
      <c r="D126" s="9">
        <v>190.529763091788</v>
      </c>
      <c r="L126">
        <f t="shared" si="13"/>
        <v>11959.553229271532</v>
      </c>
    </row>
    <row r="127" spans="1:20" x14ac:dyDescent="0.25">
      <c r="A127" t="s">
        <v>39</v>
      </c>
      <c r="B127" s="9">
        <v>2</v>
      </c>
      <c r="C127" s="9" t="s">
        <v>60</v>
      </c>
      <c r="D127" s="9">
        <v>154.79946185834899</v>
      </c>
      <c r="L127">
        <f t="shared" si="13"/>
        <v>9716.7622208485664</v>
      </c>
    </row>
    <row r="128" spans="1:20" x14ac:dyDescent="0.25">
      <c r="A128" t="s">
        <v>39</v>
      </c>
      <c r="B128" s="9">
        <v>3</v>
      </c>
      <c r="C128" s="9" t="s">
        <v>60</v>
      </c>
      <c r="D128" s="9" t="s">
        <v>37</v>
      </c>
      <c r="L128" t="e">
        <f t="shared" si="13"/>
        <v>#VALUE!</v>
      </c>
    </row>
    <row r="129" spans="1:12" x14ac:dyDescent="0.25">
      <c r="A129" t="s">
        <v>39</v>
      </c>
      <c r="B129" s="9">
        <v>4</v>
      </c>
      <c r="C129" s="9" t="s">
        <v>60</v>
      </c>
      <c r="D129" s="9">
        <v>180.480113446275</v>
      </c>
      <c r="L129">
        <f t="shared" si="13"/>
        <v>11328.736721022682</v>
      </c>
    </row>
    <row r="130" spans="1:12" x14ac:dyDescent="0.25">
      <c r="A130" t="s">
        <v>39</v>
      </c>
      <c r="B130" s="9">
        <v>1</v>
      </c>
      <c r="C130" s="9" t="s">
        <v>44</v>
      </c>
      <c r="D130" s="9">
        <v>193.59751716455801</v>
      </c>
      <c r="L130">
        <f t="shared" si="13"/>
        <v>12152.116152419307</v>
      </c>
    </row>
    <row r="131" spans="1:12" x14ac:dyDescent="0.25">
      <c r="A131" t="s">
        <v>39</v>
      </c>
      <c r="B131" s="9">
        <v>2</v>
      </c>
      <c r="C131" s="9" t="s">
        <v>44</v>
      </c>
      <c r="D131" s="9">
        <v>161.18105697304799</v>
      </c>
      <c r="L131">
        <f t="shared" si="13"/>
        <v>10117.334946198223</v>
      </c>
    </row>
    <row r="132" spans="1:12" x14ac:dyDescent="0.25">
      <c r="A132" t="s">
        <v>39</v>
      </c>
      <c r="B132" s="9">
        <v>3</v>
      </c>
      <c r="C132" s="9" t="s">
        <v>44</v>
      </c>
      <c r="D132" s="9">
        <v>191.555103343685</v>
      </c>
      <c r="L132">
        <f t="shared" si="13"/>
        <v>12023.913836883108</v>
      </c>
    </row>
    <row r="133" spans="1:12" x14ac:dyDescent="0.25">
      <c r="A133" t="s">
        <v>39</v>
      </c>
      <c r="B133" s="9">
        <v>4</v>
      </c>
      <c r="C133" s="9" t="s">
        <v>44</v>
      </c>
      <c r="D133" s="9">
        <v>171.61515097722099</v>
      </c>
      <c r="L133">
        <f t="shared" si="13"/>
        <v>10772.283026840163</v>
      </c>
    </row>
    <row r="134" spans="1:12" x14ac:dyDescent="0.25">
      <c r="A134" t="s">
        <v>39</v>
      </c>
      <c r="B134" s="9">
        <v>1</v>
      </c>
      <c r="C134" s="9" t="s">
        <v>46</v>
      </c>
      <c r="D134" s="9">
        <v>170.48809196043399</v>
      </c>
      <c r="L134">
        <f t="shared" si="13"/>
        <v>10701.537532356442</v>
      </c>
    </row>
    <row r="135" spans="1:12" x14ac:dyDescent="0.25">
      <c r="A135" t="s">
        <v>39</v>
      </c>
      <c r="B135" s="9">
        <v>2</v>
      </c>
      <c r="C135" s="9" t="s">
        <v>46</v>
      </c>
      <c r="D135" s="9">
        <v>136.33140037503901</v>
      </c>
      <c r="L135">
        <f t="shared" si="13"/>
        <v>8557.5220015411996</v>
      </c>
    </row>
    <row r="136" spans="1:12" x14ac:dyDescent="0.25">
      <c r="A136" t="s">
        <v>39</v>
      </c>
      <c r="B136" s="9">
        <v>3</v>
      </c>
      <c r="C136" s="9" t="s">
        <v>46</v>
      </c>
      <c r="D136" s="9">
        <v>146.35229150283701</v>
      </c>
      <c r="L136">
        <f t="shared" si="13"/>
        <v>9186.53333763308</v>
      </c>
    </row>
    <row r="137" spans="1:12" x14ac:dyDescent="0.25">
      <c r="A137" t="s">
        <v>39</v>
      </c>
      <c r="B137" s="9">
        <v>4</v>
      </c>
      <c r="C137" s="9" t="s">
        <v>46</v>
      </c>
      <c r="D137" s="9">
        <v>183.031716171808</v>
      </c>
      <c r="L137">
        <f t="shared" si="13"/>
        <v>11488.900824104388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47"/>
  <sheetViews>
    <sheetView tabSelected="1" topLeftCell="A109" zoomScaleNormal="100" workbookViewId="0">
      <selection activeCell="T124" sqref="N124:T124"/>
    </sheetView>
  </sheetViews>
  <sheetFormatPr defaultRowHeight="15" x14ac:dyDescent="0.25"/>
  <cols>
    <col min="1" max="1" width="10.42578125" customWidth="1"/>
    <col min="2" max="2" width="8.5703125" customWidth="1"/>
    <col min="3" max="3" width="16.7109375" customWidth="1"/>
    <col min="4" max="9" width="8.5703125" customWidth="1"/>
    <col min="10" max="10" width="8.42578125" customWidth="1"/>
    <col min="11" max="12" width="8.5703125" customWidth="1"/>
    <col min="13" max="13" width="10.7109375" customWidth="1"/>
    <col min="14" max="16" width="8.5703125" customWidth="1"/>
    <col min="17" max="17" width="10.42578125" customWidth="1"/>
    <col min="18" max="1025" width="8.57031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</row>
    <row r="2" spans="1:23" x14ac:dyDescent="0.25">
      <c r="D2" t="s">
        <v>5</v>
      </c>
    </row>
    <row r="4" spans="1:23" x14ac:dyDescent="0.25">
      <c r="A4" s="2" t="s">
        <v>7</v>
      </c>
      <c r="B4" s="2">
        <v>1</v>
      </c>
      <c r="C4" s="2" t="s">
        <v>48</v>
      </c>
      <c r="D4" s="2">
        <v>177.32776602641101</v>
      </c>
      <c r="E4" s="2"/>
      <c r="F4" s="2">
        <f>AVERAGE(L4:L123)</f>
        <v>13576.662320610674</v>
      </c>
      <c r="G4" s="2">
        <v>1</v>
      </c>
      <c r="H4" s="2" t="s">
        <v>9</v>
      </c>
      <c r="I4" s="2"/>
      <c r="J4" s="2">
        <f>AVERAGE(L4:L35)</f>
        <v>13253.808030290817</v>
      </c>
      <c r="K4" s="2">
        <f>AVERAGE(L4:L7)</f>
        <v>12935.06801369298</v>
      </c>
      <c r="L4" s="2">
        <f t="shared" ref="L4:L35" si="0">D4*62.77</f>
        <v>11130.86387347782</v>
      </c>
      <c r="M4" s="2">
        <f>6156*2</f>
        <v>12312</v>
      </c>
      <c r="N4" s="2">
        <f t="shared" ref="N4:N35" si="1">(M4-L4)</f>
        <v>1181.1361265221803</v>
      </c>
      <c r="O4">
        <f t="shared" ref="O4:O35" si="2">N4*N4</f>
        <v>1395082.54937582</v>
      </c>
      <c r="P4">
        <f>SQRT(SUMSQ(N4:N7)*100/(COUNTA(N4:N7)*AVERAGE(L4:L7)))</f>
        <v>117.32916847569268</v>
      </c>
      <c r="Q4">
        <f>SQRT(SUM(O4:O123)*100/((123-4+1-1)*F4))</f>
        <v>198.80218560292283</v>
      </c>
      <c r="R4">
        <f>1-(SUM(M4:M7)/SUM(L4:L7))</f>
        <v>4.8168901240674189E-2</v>
      </c>
      <c r="S4">
        <f>1-(SUM(M4:M123)/SUM(L4:L123))</f>
        <v>0.12220848466528011</v>
      </c>
      <c r="T4">
        <f t="shared" ref="T4:T35" si="3">(ABS(M4-J4)+ABS(L4-J4))^2</f>
        <v>9392705.9683576077</v>
      </c>
      <c r="U4" s="59">
        <f>1-((SUM(O4:O35))/(SUM(T4:T35)))</f>
        <v>0.66417084185894448</v>
      </c>
      <c r="V4" s="59">
        <f>1-((SUM(O4:O123))/(SUM(T4:T123)))</f>
        <v>0.65284075358161875</v>
      </c>
      <c r="W4" s="59"/>
    </row>
    <row r="5" spans="1:23" x14ac:dyDescent="0.25">
      <c r="A5" s="2" t="s">
        <v>7</v>
      </c>
      <c r="B5" s="2">
        <v>2</v>
      </c>
      <c r="C5" s="2" t="s">
        <v>48</v>
      </c>
      <c r="D5" s="2">
        <v>209.37944585834299</v>
      </c>
      <c r="E5" s="2"/>
      <c r="F5" s="2"/>
      <c r="G5" s="2">
        <v>2</v>
      </c>
      <c r="H5" s="2" t="s">
        <v>50</v>
      </c>
      <c r="I5" s="2"/>
      <c r="J5" s="2">
        <v>13253.8</v>
      </c>
      <c r="K5" s="2"/>
      <c r="L5" s="2">
        <f t="shared" si="0"/>
        <v>13142.74781652819</v>
      </c>
      <c r="M5" s="2">
        <f>6156*2</f>
        <v>12312</v>
      </c>
      <c r="N5" s="2">
        <f t="shared" si="1"/>
        <v>-830.74781652819001</v>
      </c>
      <c r="O5">
        <f t="shared" si="2"/>
        <v>690141.93466635526</v>
      </c>
      <c r="T5">
        <f t="shared" si="3"/>
        <v>1108497.7202413548</v>
      </c>
    </row>
    <row r="6" spans="1:23" x14ac:dyDescent="0.25">
      <c r="A6" s="2" t="s">
        <v>7</v>
      </c>
      <c r="B6" s="2">
        <v>3</v>
      </c>
      <c r="C6" s="2" t="s">
        <v>48</v>
      </c>
      <c r="D6" s="2">
        <v>230.03654261704699</v>
      </c>
      <c r="E6" s="2"/>
      <c r="F6" s="2"/>
      <c r="G6" s="2">
        <v>3</v>
      </c>
      <c r="H6" s="2" t="s">
        <v>30</v>
      </c>
      <c r="I6" s="2"/>
      <c r="J6" s="2">
        <v>13253.8</v>
      </c>
      <c r="K6" s="2"/>
      <c r="L6" s="2">
        <f t="shared" si="0"/>
        <v>14439.39378007204</v>
      </c>
      <c r="M6" s="2">
        <f>6156*2</f>
        <v>12312</v>
      </c>
      <c r="N6" s="2">
        <f t="shared" si="1"/>
        <v>-2127.3937800720396</v>
      </c>
      <c r="O6">
        <f t="shared" si="2"/>
        <v>4525804.2954892013</v>
      </c>
      <c r="T6">
        <f t="shared" si="3"/>
        <v>4525804.2954892013</v>
      </c>
    </row>
    <row r="7" spans="1:23" x14ac:dyDescent="0.25">
      <c r="A7" s="2" t="s">
        <v>7</v>
      </c>
      <c r="B7" s="2">
        <v>4</v>
      </c>
      <c r="C7" s="2" t="s">
        <v>48</v>
      </c>
      <c r="D7" s="2">
        <v>207.539693877551</v>
      </c>
      <c r="E7" s="2"/>
      <c r="F7" s="2"/>
      <c r="G7" s="2">
        <v>4</v>
      </c>
      <c r="H7" s="2" t="s">
        <v>10</v>
      </c>
      <c r="I7" s="2"/>
      <c r="J7" s="2">
        <v>13253.8</v>
      </c>
      <c r="K7" s="2"/>
      <c r="L7" s="2">
        <f t="shared" si="0"/>
        <v>13027.266584693876</v>
      </c>
      <c r="M7" s="2">
        <f>6156*2</f>
        <v>12312</v>
      </c>
      <c r="N7" s="2">
        <f t="shared" si="1"/>
        <v>-715.26658469387621</v>
      </c>
      <c r="O7">
        <f t="shared" si="2"/>
        <v>511606.28717964201</v>
      </c>
      <c r="T7">
        <f t="shared" si="3"/>
        <v>1365002.9693208681</v>
      </c>
    </row>
    <row r="8" spans="1:23" x14ac:dyDescent="0.25">
      <c r="A8" s="5" t="s">
        <v>7</v>
      </c>
      <c r="B8" s="5">
        <v>1</v>
      </c>
      <c r="C8" s="5" t="s">
        <v>9</v>
      </c>
      <c r="D8" s="5">
        <v>219.46779543817499</v>
      </c>
      <c r="E8" s="5"/>
      <c r="F8" s="5"/>
      <c r="G8" s="5">
        <v>5</v>
      </c>
      <c r="H8" s="5" t="s">
        <v>51</v>
      </c>
      <c r="I8" s="5"/>
      <c r="J8" s="2">
        <v>13253.8</v>
      </c>
      <c r="K8" s="5">
        <f>AVERAGE(L8:L11)</f>
        <v>14635.888714913273</v>
      </c>
      <c r="L8" s="5">
        <f t="shared" si="0"/>
        <v>13775.993519654245</v>
      </c>
      <c r="M8" s="5">
        <f>6197*2</f>
        <v>12394</v>
      </c>
      <c r="N8" s="2">
        <f t="shared" si="1"/>
        <v>-1381.9935196542447</v>
      </c>
      <c r="O8">
        <f t="shared" si="2"/>
        <v>1909906.0883663271</v>
      </c>
      <c r="P8">
        <f>SQRT(SUMSQ(N8:N11)*100/(COUNTA(N8:N11)*AVERAGE(L8:L11)))</f>
        <v>195.72298634858254</v>
      </c>
      <c r="R8">
        <f>1-(SUM(M8:M11)/SUM(L8:L11))</f>
        <v>0.15317749120549784</v>
      </c>
      <c r="T8">
        <f t="shared" si="3"/>
        <v>1909906.0883663271</v>
      </c>
    </row>
    <row r="9" spans="1:23" x14ac:dyDescent="0.25">
      <c r="A9" s="5" t="s">
        <v>7</v>
      </c>
      <c r="B9" s="5">
        <v>2</v>
      </c>
      <c r="C9" s="5" t="s">
        <v>9</v>
      </c>
      <c r="D9" s="5">
        <v>252.39594813925601</v>
      </c>
      <c r="E9" s="5"/>
      <c r="F9" s="5"/>
      <c r="G9" s="5">
        <v>6</v>
      </c>
      <c r="H9" s="5" t="s">
        <v>11</v>
      </c>
      <c r="I9" s="5"/>
      <c r="J9" s="2">
        <v>13253.8</v>
      </c>
      <c r="K9" s="5"/>
      <c r="L9" s="5">
        <f t="shared" si="0"/>
        <v>15842.8936647011</v>
      </c>
      <c r="M9" s="5">
        <f>6197*2</f>
        <v>12394</v>
      </c>
      <c r="N9" s="2">
        <f t="shared" si="1"/>
        <v>-3448.8936647010996</v>
      </c>
      <c r="O9">
        <f t="shared" si="2"/>
        <v>11894867.510415381</v>
      </c>
      <c r="T9">
        <f t="shared" si="3"/>
        <v>11894867.510415381</v>
      </c>
    </row>
    <row r="10" spans="1:23" x14ac:dyDescent="0.25">
      <c r="A10" s="5" t="s">
        <v>7</v>
      </c>
      <c r="B10" s="5">
        <v>3</v>
      </c>
      <c r="C10" s="5" t="s">
        <v>9</v>
      </c>
      <c r="D10" s="5">
        <v>233.29125378151301</v>
      </c>
      <c r="E10" s="5"/>
      <c r="F10" s="5"/>
      <c r="G10" s="5">
        <v>7</v>
      </c>
      <c r="H10" s="5" t="s">
        <v>12</v>
      </c>
      <c r="I10" s="5"/>
      <c r="J10" s="2">
        <v>13253.8</v>
      </c>
      <c r="K10" s="5"/>
      <c r="L10" s="5">
        <f t="shared" si="0"/>
        <v>14643.691999865572</v>
      </c>
      <c r="M10" s="5">
        <f>6197*2</f>
        <v>12394</v>
      </c>
      <c r="N10" s="2">
        <f t="shared" si="1"/>
        <v>-2249.6919998655721</v>
      </c>
      <c r="O10">
        <f t="shared" si="2"/>
        <v>5061114.0942591578</v>
      </c>
      <c r="T10">
        <f t="shared" si="3"/>
        <v>5061114.0942591578</v>
      </c>
    </row>
    <row r="11" spans="1:23" x14ac:dyDescent="0.25">
      <c r="A11" s="5" t="s">
        <v>7</v>
      </c>
      <c r="B11" s="5">
        <v>4</v>
      </c>
      <c r="C11" s="5" t="s">
        <v>9</v>
      </c>
      <c r="D11" s="5">
        <v>227.512755702281</v>
      </c>
      <c r="E11" s="5"/>
      <c r="F11" s="5"/>
      <c r="G11" s="5">
        <v>8</v>
      </c>
      <c r="H11" s="5" t="s">
        <v>48</v>
      </c>
      <c r="I11" s="5"/>
      <c r="J11" s="2">
        <v>13253.8</v>
      </c>
      <c r="K11" s="5"/>
      <c r="L11" s="5">
        <f t="shared" si="0"/>
        <v>14280.975675432179</v>
      </c>
      <c r="M11" s="5">
        <f>6197*2</f>
        <v>12394</v>
      </c>
      <c r="N11" s="2">
        <f t="shared" si="1"/>
        <v>-1886.9756754321788</v>
      </c>
      <c r="O11">
        <f t="shared" si="2"/>
        <v>3560677.1996727274</v>
      </c>
      <c r="T11">
        <f t="shared" si="3"/>
        <v>3560677.1996727274</v>
      </c>
    </row>
    <row r="12" spans="1:23" x14ac:dyDescent="0.25">
      <c r="A12" s="13" t="s">
        <v>7</v>
      </c>
      <c r="B12" s="13">
        <v>1</v>
      </c>
      <c r="C12" s="13" t="s">
        <v>52</v>
      </c>
      <c r="D12" s="13">
        <v>240.45520912364901</v>
      </c>
      <c r="E12" s="13"/>
      <c r="F12" s="13"/>
      <c r="G12" s="13"/>
      <c r="H12" s="13"/>
      <c r="I12" s="13"/>
      <c r="J12" s="2">
        <v>13253.8</v>
      </c>
      <c r="K12" s="13">
        <f>AVERAGE(L12:L15)</f>
        <v>14442.665948900059</v>
      </c>
      <c r="L12" s="13">
        <f t="shared" si="0"/>
        <v>15093.373476691449</v>
      </c>
      <c r="M12" s="13">
        <v>12394</v>
      </c>
      <c r="N12" s="2">
        <f t="shared" si="1"/>
        <v>-2699.3734766914495</v>
      </c>
      <c r="O12">
        <f t="shared" si="2"/>
        <v>7286617.166665283</v>
      </c>
      <c r="P12">
        <f>SQRT(SUMSQ(N12:N15)*100/(COUNTA(N12:N15)*AVERAGE(L12:L15)))</f>
        <v>173.6424245582682</v>
      </c>
      <c r="R12">
        <f>1-(SUM(M12:M15)/SUM(L12:L15))</f>
        <v>0.14184818482602124</v>
      </c>
      <c r="T12">
        <f t="shared" si="3"/>
        <v>7286617.166665283</v>
      </c>
    </row>
    <row r="13" spans="1:23" x14ac:dyDescent="0.25">
      <c r="A13" s="13" t="s">
        <v>7</v>
      </c>
      <c r="B13" s="13">
        <v>2</v>
      </c>
      <c r="C13" s="13" t="s">
        <v>52</v>
      </c>
      <c r="D13" s="13">
        <v>224.82607635054001</v>
      </c>
      <c r="E13" s="13"/>
      <c r="F13" s="13"/>
      <c r="G13" s="13"/>
      <c r="H13" s="13"/>
      <c r="I13" s="13"/>
      <c r="J13" s="2">
        <v>13253.8</v>
      </c>
      <c r="K13" s="13"/>
      <c r="L13" s="13">
        <f t="shared" si="0"/>
        <v>14112.332812523397</v>
      </c>
      <c r="M13" s="13">
        <v>12394</v>
      </c>
      <c r="N13" s="2">
        <f t="shared" si="1"/>
        <v>-1718.3328125233966</v>
      </c>
      <c r="O13">
        <f t="shared" si="2"/>
        <v>2952667.6545945662</v>
      </c>
      <c r="T13">
        <f t="shared" si="3"/>
        <v>2952667.6545945662</v>
      </c>
    </row>
    <row r="14" spans="1:23" x14ac:dyDescent="0.25">
      <c r="A14" s="13" t="s">
        <v>7</v>
      </c>
      <c r="B14" s="13">
        <v>3</v>
      </c>
      <c r="C14" s="13" t="s">
        <v>52</v>
      </c>
      <c r="D14" s="13">
        <v>229.97483697479001</v>
      </c>
      <c r="E14" s="13"/>
      <c r="F14" s="13"/>
      <c r="G14" s="13"/>
      <c r="H14" s="13"/>
      <c r="I14" s="13"/>
      <c r="J14" s="2">
        <v>13253.8</v>
      </c>
      <c r="K14" s="13"/>
      <c r="L14" s="13">
        <f t="shared" si="0"/>
        <v>14435.520516907569</v>
      </c>
      <c r="M14" s="13">
        <v>12394</v>
      </c>
      <c r="N14" s="2">
        <f t="shared" si="1"/>
        <v>-2041.5205169075689</v>
      </c>
      <c r="O14">
        <f t="shared" si="2"/>
        <v>4167806.0209545474</v>
      </c>
      <c r="T14">
        <f t="shared" si="3"/>
        <v>4167806.0209545474</v>
      </c>
    </row>
    <row r="15" spans="1:23" x14ac:dyDescent="0.25">
      <c r="A15" s="13" t="s">
        <v>7</v>
      </c>
      <c r="B15" s="13">
        <v>4</v>
      </c>
      <c r="C15" s="13" t="s">
        <v>52</v>
      </c>
      <c r="D15" s="13">
        <v>225.09856602641099</v>
      </c>
      <c r="E15" s="13"/>
      <c r="F15" s="13"/>
      <c r="G15" s="13"/>
      <c r="H15" s="13"/>
      <c r="I15" s="13"/>
      <c r="J15" s="2">
        <v>13253.8</v>
      </c>
      <c r="K15" s="13"/>
      <c r="L15" s="13">
        <f t="shared" si="0"/>
        <v>14129.436989477819</v>
      </c>
      <c r="M15" s="13">
        <v>12394</v>
      </c>
      <c r="N15" s="2">
        <f t="shared" si="1"/>
        <v>-1735.4369894778192</v>
      </c>
      <c r="O15">
        <f t="shared" si="2"/>
        <v>3011741.5444478365</v>
      </c>
      <c r="T15">
        <f t="shared" si="3"/>
        <v>3011741.5444478365</v>
      </c>
    </row>
    <row r="16" spans="1:23" x14ac:dyDescent="0.25">
      <c r="A16" s="17" t="s">
        <v>7</v>
      </c>
      <c r="B16" s="17">
        <v>1</v>
      </c>
      <c r="C16" s="17" t="s">
        <v>51</v>
      </c>
      <c r="D16" s="17">
        <v>226.40645546218499</v>
      </c>
      <c r="E16" s="17"/>
      <c r="F16" s="17"/>
      <c r="G16" s="17"/>
      <c r="H16" s="17"/>
      <c r="I16" s="17"/>
      <c r="J16" s="2">
        <v>13253.8</v>
      </c>
      <c r="K16" s="17">
        <f>AVERAGE(L16:L19)</f>
        <v>14231.986145093344</v>
      </c>
      <c r="L16" s="17">
        <f t="shared" si="0"/>
        <v>14211.533209361352</v>
      </c>
      <c r="M16" s="17">
        <f t="shared" ref="M16:M23" si="4">6277*2</f>
        <v>12554</v>
      </c>
      <c r="N16" s="2">
        <f t="shared" si="1"/>
        <v>-1657.5332093613524</v>
      </c>
      <c r="O16">
        <f t="shared" si="2"/>
        <v>2747416.3401357448</v>
      </c>
      <c r="P16">
        <f>SQRT(SUMSQ(N16:N19)*100/(COUNTA(N16:N19)*AVERAGE(L16:L19)))</f>
        <v>153.31403838611098</v>
      </c>
      <c r="R16">
        <f>1-(SUM(M16:M19)/SUM(L16:L19))</f>
        <v>0.11790245774458197</v>
      </c>
      <c r="T16">
        <f t="shared" si="3"/>
        <v>2747416.3401357448</v>
      </c>
    </row>
    <row r="17" spans="1:20" x14ac:dyDescent="0.25">
      <c r="A17" s="17" t="s">
        <v>7</v>
      </c>
      <c r="B17" s="17">
        <v>2</v>
      </c>
      <c r="C17" s="17" t="s">
        <v>51</v>
      </c>
      <c r="D17" s="17">
        <v>235.672411764706</v>
      </c>
      <c r="E17" s="17"/>
      <c r="F17" s="17"/>
      <c r="G17" s="17"/>
      <c r="H17" s="17"/>
      <c r="I17" s="17"/>
      <c r="J17" s="2">
        <v>13253.8</v>
      </c>
      <c r="K17" s="17"/>
      <c r="L17" s="17">
        <f t="shared" si="0"/>
        <v>14793.157286470596</v>
      </c>
      <c r="M17" s="17">
        <f t="shared" si="4"/>
        <v>12554</v>
      </c>
      <c r="N17" s="2">
        <f t="shared" si="1"/>
        <v>-2239.1572864705959</v>
      </c>
      <c r="O17">
        <f t="shared" si="2"/>
        <v>5013825.3535543624</v>
      </c>
      <c r="T17">
        <f t="shared" si="3"/>
        <v>5013825.3535543624</v>
      </c>
    </row>
    <row r="18" spans="1:20" x14ac:dyDescent="0.25">
      <c r="A18" s="17" t="s">
        <v>7</v>
      </c>
      <c r="B18" s="17">
        <v>3</v>
      </c>
      <c r="C18" s="17" t="s">
        <v>51</v>
      </c>
      <c r="D18" s="17">
        <v>236.92582941176499</v>
      </c>
      <c r="E18" s="17"/>
      <c r="F18" s="17"/>
      <c r="G18" s="17"/>
      <c r="H18" s="17"/>
      <c r="I18" s="17"/>
      <c r="J18" s="2">
        <v>13253.8</v>
      </c>
      <c r="K18" s="17"/>
      <c r="L18" s="17">
        <f t="shared" si="0"/>
        <v>14871.83431217649</v>
      </c>
      <c r="M18" s="17">
        <f t="shared" si="4"/>
        <v>12554</v>
      </c>
      <c r="N18" s="2">
        <f t="shared" si="1"/>
        <v>-2317.8343121764901</v>
      </c>
      <c r="O18">
        <f t="shared" si="2"/>
        <v>5372355.8987026634</v>
      </c>
      <c r="T18">
        <f t="shared" si="3"/>
        <v>5372355.8987026634</v>
      </c>
    </row>
    <row r="19" spans="1:20" x14ac:dyDescent="0.25">
      <c r="A19" s="17" t="s">
        <v>7</v>
      </c>
      <c r="B19" s="17">
        <v>4</v>
      </c>
      <c r="C19" s="17" t="s">
        <v>51</v>
      </c>
      <c r="D19" s="17">
        <v>207.924482593037</v>
      </c>
      <c r="E19" s="17"/>
      <c r="F19" s="17"/>
      <c r="G19" s="17"/>
      <c r="H19" s="17"/>
      <c r="I19" s="17"/>
      <c r="J19" s="2">
        <v>13253.8</v>
      </c>
      <c r="K19" s="17"/>
      <c r="L19" s="17">
        <f t="shared" si="0"/>
        <v>13051.419772364932</v>
      </c>
      <c r="M19" s="17">
        <f t="shared" si="4"/>
        <v>12554</v>
      </c>
      <c r="N19" s="2">
        <f t="shared" si="1"/>
        <v>-497.41977236493221</v>
      </c>
      <c r="O19">
        <f t="shared" si="2"/>
        <v>247426.42993958099</v>
      </c>
      <c r="T19">
        <f t="shared" si="3"/>
        <v>813929.16313566011</v>
      </c>
    </row>
    <row r="20" spans="1:20" x14ac:dyDescent="0.25">
      <c r="A20" s="8" t="s">
        <v>7</v>
      </c>
      <c r="B20" s="8">
        <v>1</v>
      </c>
      <c r="C20" s="8" t="s">
        <v>54</v>
      </c>
      <c r="D20" s="8">
        <v>223.10197887154899</v>
      </c>
      <c r="E20" s="8"/>
      <c r="F20" s="8"/>
      <c r="G20" s="8"/>
      <c r="H20" s="8"/>
      <c r="I20" s="8"/>
      <c r="J20" s="2">
        <v>13253.8</v>
      </c>
      <c r="K20" s="8">
        <f>AVERAGE(L20:L23)</f>
        <v>14378.428180206487</v>
      </c>
      <c r="L20" s="8">
        <f t="shared" si="0"/>
        <v>14004.111213767132</v>
      </c>
      <c r="M20" s="8">
        <f t="shared" si="4"/>
        <v>12554</v>
      </c>
      <c r="N20" s="2">
        <f t="shared" si="1"/>
        <v>-1450.1112137671316</v>
      </c>
      <c r="O20">
        <f t="shared" si="2"/>
        <v>2102822.5322931837</v>
      </c>
      <c r="P20">
        <f>SQRT(SUMSQ(N20:N23)*100/(COUNTA(N20:N23)*AVERAGE(L20:L23)))</f>
        <v>155.91083750862603</v>
      </c>
      <c r="R20">
        <f>1-(SUM(M20:M23)/SUM(L20:L23))</f>
        <v>0.12688648281583492</v>
      </c>
      <c r="T20">
        <f t="shared" si="3"/>
        <v>2102822.5322931837</v>
      </c>
    </row>
    <row r="21" spans="1:20" x14ac:dyDescent="0.25">
      <c r="A21" s="8" t="s">
        <v>7</v>
      </c>
      <c r="B21" s="8">
        <v>2</v>
      </c>
      <c r="C21" s="8" t="s">
        <v>54</v>
      </c>
      <c r="D21" s="8">
        <v>226.18499495798301</v>
      </c>
      <c r="E21" s="8"/>
      <c r="F21" s="8"/>
      <c r="G21" s="8"/>
      <c r="H21" s="8"/>
      <c r="I21" s="8"/>
      <c r="J21" s="2">
        <v>13253.8</v>
      </c>
      <c r="K21" s="8"/>
      <c r="L21" s="8">
        <f t="shared" si="0"/>
        <v>14197.632133512594</v>
      </c>
      <c r="M21" s="8">
        <f t="shared" si="4"/>
        <v>12554</v>
      </c>
      <c r="N21" s="2">
        <f t="shared" si="1"/>
        <v>-1643.632133512594</v>
      </c>
      <c r="O21">
        <f t="shared" si="2"/>
        <v>2701526.5903151617</v>
      </c>
      <c r="T21">
        <f t="shared" si="3"/>
        <v>2701526.5903151617</v>
      </c>
    </row>
    <row r="22" spans="1:20" x14ac:dyDescent="0.25">
      <c r="A22" s="8" t="s">
        <v>7</v>
      </c>
      <c r="B22" s="8">
        <v>3</v>
      </c>
      <c r="C22" s="8" t="s">
        <v>54</v>
      </c>
      <c r="D22" s="8">
        <v>226.92319663865501</v>
      </c>
      <c r="E22" s="8"/>
      <c r="F22" s="8"/>
      <c r="G22" s="8"/>
      <c r="H22" s="8"/>
      <c r="I22" s="8"/>
      <c r="J22" s="2">
        <v>13253.8</v>
      </c>
      <c r="K22" s="8"/>
      <c r="L22" s="8">
        <f t="shared" si="0"/>
        <v>14243.969053008375</v>
      </c>
      <c r="M22" s="8">
        <f t="shared" si="4"/>
        <v>12554</v>
      </c>
      <c r="N22" s="2">
        <f t="shared" si="1"/>
        <v>-1689.9690530083753</v>
      </c>
      <c r="O22">
        <f t="shared" si="2"/>
        <v>2855995.4001260251</v>
      </c>
      <c r="T22">
        <f t="shared" si="3"/>
        <v>2855995.4001260251</v>
      </c>
    </row>
    <row r="23" spans="1:20" x14ac:dyDescent="0.25">
      <c r="A23" s="8" t="s">
        <v>7</v>
      </c>
      <c r="B23" s="8">
        <v>4</v>
      </c>
      <c r="C23" s="8" t="s">
        <v>54</v>
      </c>
      <c r="D23" s="8">
        <v>240.05098487395</v>
      </c>
      <c r="E23" s="8"/>
      <c r="F23" s="8"/>
      <c r="G23" s="8"/>
      <c r="H23" s="8"/>
      <c r="I23" s="8"/>
      <c r="J23" s="2">
        <v>13253.8</v>
      </c>
      <c r="K23" s="8"/>
      <c r="L23" s="8">
        <f t="shared" si="0"/>
        <v>15068.000320537842</v>
      </c>
      <c r="M23" s="8">
        <f t="shared" si="4"/>
        <v>12554</v>
      </c>
      <c r="N23" s="2">
        <f t="shared" si="1"/>
        <v>-2514.0003205378416</v>
      </c>
      <c r="O23">
        <f t="shared" si="2"/>
        <v>6320197.6116643706</v>
      </c>
      <c r="T23">
        <f t="shared" si="3"/>
        <v>6320197.6116643706</v>
      </c>
    </row>
    <row r="24" spans="1:20" x14ac:dyDescent="0.25">
      <c r="A24" s="36" t="s">
        <v>7</v>
      </c>
      <c r="B24" s="36">
        <v>1</v>
      </c>
      <c r="C24" s="36" t="s">
        <v>11</v>
      </c>
      <c r="D24" s="36">
        <v>193.05159255702301</v>
      </c>
      <c r="E24" s="36"/>
      <c r="F24" s="36"/>
      <c r="G24" s="36"/>
      <c r="H24" s="36"/>
      <c r="I24" s="36"/>
      <c r="J24" s="2">
        <v>13253.8</v>
      </c>
      <c r="K24" s="36">
        <f>AVERAGE(L24:L27)</f>
        <v>13424.568742073239</v>
      </c>
      <c r="L24" s="36">
        <f t="shared" si="0"/>
        <v>12117.848464804336</v>
      </c>
      <c r="M24" s="36">
        <f>6294*2</f>
        <v>12588</v>
      </c>
      <c r="N24" s="2">
        <f t="shared" si="1"/>
        <v>470.15153519566411</v>
      </c>
      <c r="O24">
        <f t="shared" si="2"/>
        <v>221042.46604683978</v>
      </c>
      <c r="P24">
        <f>SQRT(SUMSQ(N24:N27)*100/(COUNTA(N24:N27)*AVERAGE(L24:L27)))</f>
        <v>97.914835945538982</v>
      </c>
      <c r="R24">
        <f>1-(SUM(M24:M27)/SUM(L24:L27))</f>
        <v>6.231624703528782E-2</v>
      </c>
      <c r="T24">
        <f t="shared" si="3"/>
        <v>3246308.5945799272</v>
      </c>
    </row>
    <row r="25" spans="1:20" x14ac:dyDescent="0.25">
      <c r="A25" s="36" t="s">
        <v>7</v>
      </c>
      <c r="B25" s="36">
        <v>2</v>
      </c>
      <c r="C25" s="36" t="s">
        <v>11</v>
      </c>
      <c r="D25" s="36">
        <v>220.50084201680701</v>
      </c>
      <c r="E25" s="36"/>
      <c r="F25" s="36"/>
      <c r="G25" s="36"/>
      <c r="H25" s="36"/>
      <c r="I25" s="36"/>
      <c r="J25" s="2">
        <v>13253.8</v>
      </c>
      <c r="K25" s="36"/>
      <c r="L25" s="36">
        <f t="shared" si="0"/>
        <v>13840.837853394976</v>
      </c>
      <c r="M25" s="36">
        <f>6294*2</f>
        <v>12588</v>
      </c>
      <c r="N25" s="2">
        <f t="shared" si="1"/>
        <v>-1252.8378533949763</v>
      </c>
      <c r="O25">
        <f t="shared" si="2"/>
        <v>1569602.6868993321</v>
      </c>
      <c r="T25">
        <f t="shared" si="3"/>
        <v>1569602.6868993321</v>
      </c>
    </row>
    <row r="26" spans="1:20" x14ac:dyDescent="0.25">
      <c r="A26" s="36" t="s">
        <v>7</v>
      </c>
      <c r="B26" s="36">
        <v>3</v>
      </c>
      <c r="C26" s="36" t="s">
        <v>11</v>
      </c>
      <c r="D26" s="36">
        <v>223.976142136855</v>
      </c>
      <c r="E26" s="36"/>
      <c r="F26" s="36"/>
      <c r="G26" s="36"/>
      <c r="H26" s="36"/>
      <c r="I26" s="36"/>
      <c r="J26" s="2">
        <v>13253.8</v>
      </c>
      <c r="K26" s="36"/>
      <c r="L26" s="36">
        <f t="shared" si="0"/>
        <v>14058.98244193039</v>
      </c>
      <c r="M26" s="36">
        <f>6294*2</f>
        <v>12588</v>
      </c>
      <c r="N26" s="2">
        <f t="shared" si="1"/>
        <v>-1470.9824419303895</v>
      </c>
      <c r="O26">
        <f t="shared" si="2"/>
        <v>2163789.3444674918</v>
      </c>
      <c r="T26">
        <f t="shared" si="3"/>
        <v>2163789.3444674918</v>
      </c>
    </row>
    <row r="27" spans="1:20" x14ac:dyDescent="0.25">
      <c r="A27" s="36" t="s">
        <v>7</v>
      </c>
      <c r="B27" s="36">
        <v>4</v>
      </c>
      <c r="C27" s="36" t="s">
        <v>11</v>
      </c>
      <c r="D27" s="36">
        <v>217.94816326530599</v>
      </c>
      <c r="E27" s="36"/>
      <c r="F27" s="36"/>
      <c r="G27" s="36"/>
      <c r="H27" s="36"/>
      <c r="I27" s="36"/>
      <c r="J27" s="2">
        <v>13253.8</v>
      </c>
      <c r="K27" s="36"/>
      <c r="L27" s="36">
        <f t="shared" si="0"/>
        <v>13680.606208163257</v>
      </c>
      <c r="M27" s="36">
        <f>6294*2</f>
        <v>12588</v>
      </c>
      <c r="N27" s="2">
        <f t="shared" si="1"/>
        <v>-1092.6062081632572</v>
      </c>
      <c r="O27">
        <f t="shared" si="2"/>
        <v>1193788.3261168909</v>
      </c>
      <c r="T27">
        <f t="shared" si="3"/>
        <v>1193788.3261168909</v>
      </c>
    </row>
    <row r="28" spans="1:20" x14ac:dyDescent="0.25">
      <c r="A28" s="52" t="s">
        <v>7</v>
      </c>
      <c r="B28" s="52">
        <v>1</v>
      </c>
      <c r="C28" s="52" t="s">
        <v>30</v>
      </c>
      <c r="D28" s="52">
        <v>231.26974033613399</v>
      </c>
      <c r="E28" s="52"/>
      <c r="F28" s="52"/>
      <c r="G28" s="52"/>
      <c r="H28" s="52"/>
      <c r="I28" s="52"/>
      <c r="J28" s="2">
        <v>13253.8</v>
      </c>
      <c r="K28" s="52">
        <f>AVERAGE(L28:L31)</f>
        <v>13770.258163340626</v>
      </c>
      <c r="L28" s="52">
        <f t="shared" si="0"/>
        <v>14516.801600899131</v>
      </c>
      <c r="M28" s="52">
        <f>6265*2</f>
        <v>12530</v>
      </c>
      <c r="N28" s="2">
        <f t="shared" si="1"/>
        <v>-1986.8016008991308</v>
      </c>
      <c r="O28">
        <f t="shared" si="2"/>
        <v>3947380.601335349</v>
      </c>
      <c r="P28">
        <f>SQRT(SUMSQ(N28:N31)*100/(COUNTA(N28:N31)*AVERAGE(L28:L31)))</f>
        <v>122.28174202452134</v>
      </c>
      <c r="R28">
        <f>1-(SUM(M28:M31)/SUM(L28:L31))</f>
        <v>9.0067894779377378E-2</v>
      </c>
      <c r="T28">
        <f t="shared" si="3"/>
        <v>3947380.601335349</v>
      </c>
    </row>
    <row r="29" spans="1:20" x14ac:dyDescent="0.25">
      <c r="A29" s="52" t="s">
        <v>7</v>
      </c>
      <c r="B29" s="52">
        <v>2</v>
      </c>
      <c r="C29" s="52" t="s">
        <v>30</v>
      </c>
      <c r="D29" s="52">
        <v>202.76142857142901</v>
      </c>
      <c r="E29" s="52"/>
      <c r="F29" s="52"/>
      <c r="G29" s="52"/>
      <c r="H29" s="52"/>
      <c r="I29" s="52"/>
      <c r="J29" s="2">
        <v>13253.8</v>
      </c>
      <c r="K29" s="52"/>
      <c r="L29" s="52">
        <f t="shared" si="0"/>
        <v>12727.3348714286</v>
      </c>
      <c r="M29" s="52">
        <f>6265*2</f>
        <v>12530</v>
      </c>
      <c r="N29" s="2">
        <f t="shared" si="1"/>
        <v>-197.33487142860031</v>
      </c>
      <c r="O29">
        <f t="shared" si="2"/>
        <v>38941.051481742215</v>
      </c>
      <c r="T29">
        <f t="shared" si="3"/>
        <v>1563162.8917216549</v>
      </c>
    </row>
    <row r="30" spans="1:20" x14ac:dyDescent="0.25">
      <c r="A30" s="52" t="s">
        <v>7</v>
      </c>
      <c r="B30" s="52">
        <v>3</v>
      </c>
      <c r="C30" s="52" t="s">
        <v>30</v>
      </c>
      <c r="D30" s="52">
        <v>228.810709483793</v>
      </c>
      <c r="E30" s="52"/>
      <c r="F30" s="52"/>
      <c r="G30" s="52"/>
      <c r="H30" s="52"/>
      <c r="I30" s="52"/>
      <c r="J30" s="2">
        <v>13253.8</v>
      </c>
      <c r="K30" s="52"/>
      <c r="L30" s="52">
        <f t="shared" si="0"/>
        <v>14362.448234297688</v>
      </c>
      <c r="M30" s="52">
        <f>6265*2</f>
        <v>12530</v>
      </c>
      <c r="N30" s="2">
        <f t="shared" si="1"/>
        <v>-1832.448234297688</v>
      </c>
      <c r="O30">
        <f t="shared" si="2"/>
        <v>3357866.5313807144</v>
      </c>
      <c r="T30">
        <f t="shared" si="3"/>
        <v>3357866.5313807144</v>
      </c>
    </row>
    <row r="31" spans="1:20" x14ac:dyDescent="0.25">
      <c r="A31" s="52" t="s">
        <v>7</v>
      </c>
      <c r="B31" s="52">
        <v>4</v>
      </c>
      <c r="C31" s="52" t="s">
        <v>30</v>
      </c>
      <c r="D31" s="52">
        <v>214.66381944777899</v>
      </c>
      <c r="E31" s="52"/>
      <c r="F31" s="52"/>
      <c r="G31" s="52"/>
      <c r="H31" s="52"/>
      <c r="I31" s="52"/>
      <c r="J31" s="2">
        <v>13253.8</v>
      </c>
      <c r="K31" s="52"/>
      <c r="L31" s="52">
        <f t="shared" si="0"/>
        <v>13474.447946737087</v>
      </c>
      <c r="M31" s="52">
        <f>6265*2</f>
        <v>12530</v>
      </c>
      <c r="N31" s="2">
        <f t="shared" si="1"/>
        <v>-944.44794673708748</v>
      </c>
      <c r="O31">
        <f t="shared" si="2"/>
        <v>891981.92409590038</v>
      </c>
      <c r="T31">
        <f t="shared" si="3"/>
        <v>891981.92409590038</v>
      </c>
    </row>
    <row r="32" spans="1:20" x14ac:dyDescent="0.25">
      <c r="A32" s="3" t="s">
        <v>7</v>
      </c>
      <c r="B32" s="3">
        <v>1</v>
      </c>
      <c r="C32" s="3" t="s">
        <v>12</v>
      </c>
      <c r="D32" s="3">
        <v>128.26942725090001</v>
      </c>
      <c r="E32" s="3"/>
      <c r="F32" s="3"/>
      <c r="G32" s="3"/>
      <c r="H32" s="3"/>
      <c r="I32" s="3"/>
      <c r="J32" s="2">
        <v>13253.8</v>
      </c>
      <c r="K32" s="3">
        <f>AVERAGE(L32:L35)</f>
        <v>8211.600334106528</v>
      </c>
      <c r="L32" s="3">
        <f t="shared" si="0"/>
        <v>8051.4719485389942</v>
      </c>
      <c r="M32" s="3">
        <f>5324*2</f>
        <v>10648</v>
      </c>
      <c r="N32" s="2">
        <f t="shared" si="1"/>
        <v>2596.5280514610058</v>
      </c>
      <c r="O32">
        <f t="shared" si="2"/>
        <v>6741957.9220238877</v>
      </c>
      <c r="P32">
        <f>SQRT(SUMSQ(N32:N35)*100/(COUNTA(N32:N35)*AVERAGE(L32:L35)))</f>
        <v>280.56959900704567</v>
      </c>
      <c r="R32">
        <f>1-(SUM(M32:M35)/SUM(L32:L35))</f>
        <v>-0.29670217336004412</v>
      </c>
      <c r="T32">
        <f t="shared" si="3"/>
        <v>60966863.668012224</v>
      </c>
    </row>
    <row r="33" spans="1:21" x14ac:dyDescent="0.25">
      <c r="A33" s="3" t="s">
        <v>7</v>
      </c>
      <c r="B33" s="3">
        <v>2</v>
      </c>
      <c r="C33" s="3" t="s">
        <v>12</v>
      </c>
      <c r="D33" s="3">
        <v>146.428796398559</v>
      </c>
      <c r="E33" s="3"/>
      <c r="F33" s="3"/>
      <c r="G33" s="3"/>
      <c r="H33" s="3"/>
      <c r="I33" s="3"/>
      <c r="J33" s="2">
        <v>13253.8</v>
      </c>
      <c r="K33" s="3"/>
      <c r="L33" s="3">
        <f t="shared" si="0"/>
        <v>9191.3355499375484</v>
      </c>
      <c r="M33" s="3">
        <f>5324*2</f>
        <v>10648</v>
      </c>
      <c r="N33" s="2">
        <f t="shared" si="1"/>
        <v>1456.6644500624516</v>
      </c>
      <c r="O33">
        <f t="shared" si="2"/>
        <v>2121871.3200757443</v>
      </c>
      <c r="T33">
        <f t="shared" si="3"/>
        <v>44465750.775966674</v>
      </c>
    </row>
    <row r="34" spans="1:21" x14ac:dyDescent="0.25">
      <c r="A34" s="3" t="s">
        <v>7</v>
      </c>
      <c r="B34" s="3">
        <v>3</v>
      </c>
      <c r="C34" s="3" t="s">
        <v>12</v>
      </c>
      <c r="D34" s="3">
        <v>114.273620168067</v>
      </c>
      <c r="E34" s="3"/>
      <c r="F34" s="3"/>
      <c r="G34" s="3"/>
      <c r="H34" s="3"/>
      <c r="I34" s="3"/>
      <c r="J34" s="2">
        <v>13253.8</v>
      </c>
      <c r="K34" s="3"/>
      <c r="L34" s="3">
        <f t="shared" si="0"/>
        <v>7172.9551379495661</v>
      </c>
      <c r="M34" s="3">
        <f>5324*2</f>
        <v>10648</v>
      </c>
      <c r="N34" s="2">
        <f t="shared" si="1"/>
        <v>3475.0448620504339</v>
      </c>
      <c r="O34">
        <f t="shared" si="2"/>
        <v>12075936.793263119</v>
      </c>
      <c r="T34">
        <f t="shared" si="3"/>
        <v>75457798.959387183</v>
      </c>
    </row>
    <row r="35" spans="1:21" x14ac:dyDescent="0.25">
      <c r="A35" s="3" t="s">
        <v>7</v>
      </c>
      <c r="B35" s="3">
        <v>4</v>
      </c>
      <c r="C35" s="3" t="s">
        <v>12</v>
      </c>
      <c r="D35" s="3">
        <v>134.31</v>
      </c>
      <c r="E35" s="3"/>
      <c r="F35" s="3"/>
      <c r="G35" s="3"/>
      <c r="H35" s="3"/>
      <c r="I35" s="3"/>
      <c r="J35" s="2">
        <v>13253.8</v>
      </c>
      <c r="K35" s="3"/>
      <c r="L35" s="3">
        <f t="shared" si="0"/>
        <v>8430.6387000000013</v>
      </c>
      <c r="M35" s="3">
        <f>5324*2</f>
        <v>10648</v>
      </c>
      <c r="N35" s="2">
        <f t="shared" si="1"/>
        <v>2217.3612999999987</v>
      </c>
      <c r="O35">
        <f t="shared" si="2"/>
        <v>4916691.1347376844</v>
      </c>
      <c r="T35">
        <f t="shared" si="3"/>
        <v>55189465.996897645</v>
      </c>
    </row>
    <row r="36" spans="1:21" x14ac:dyDescent="0.25">
      <c r="A36" s="2" t="s">
        <v>13</v>
      </c>
      <c r="B36" s="2">
        <v>1</v>
      </c>
      <c r="C36" s="2" t="s">
        <v>48</v>
      </c>
      <c r="D36" s="2">
        <v>230.713628710107</v>
      </c>
      <c r="E36" s="2"/>
      <c r="F36" s="2"/>
      <c r="G36" s="2"/>
      <c r="H36" s="2"/>
      <c r="I36" s="2"/>
      <c r="J36" s="2">
        <f>AVERAGE(L36:L67)</f>
        <v>14954.255013174647</v>
      </c>
      <c r="K36" s="2">
        <f>AVERAGE(L36:L39)</f>
        <v>14317.025087328871</v>
      </c>
      <c r="L36" s="2">
        <f t="shared" ref="L36:L58" si="5">D36*62.77</f>
        <v>14481.894474133418</v>
      </c>
      <c r="M36" s="2">
        <f>6169*2</f>
        <v>12338</v>
      </c>
      <c r="N36" s="2">
        <f t="shared" ref="N36:N67" si="6">(M36-L36)</f>
        <v>-2143.894474133418</v>
      </c>
      <c r="O36">
        <f t="shared" ref="O36:O67" si="7">N36*N36</f>
        <v>4596283.516219805</v>
      </c>
      <c r="P36">
        <f>SQRT(SUMSQ(N36:N39)*100/(COUNTA(N36:N39)*AVERAGE(L36:L39)))</f>
        <v>168.77080655159378</v>
      </c>
      <c r="R36">
        <f>1-(SUM(M36:M39)/SUM(L36:L39))</f>
        <v>0.13822879231247465</v>
      </c>
      <c r="T36">
        <f t="shared" ref="T36:T58" si="8">(ABS(M36-J36)+ABS(L36-J36))^2</f>
        <v>9539546.0293897744</v>
      </c>
      <c r="U36">
        <f>1-((SUM(O36:O67))/(SUM(T36:T67)))</f>
        <v>0.53517310015855091</v>
      </c>
    </row>
    <row r="37" spans="1:21" x14ac:dyDescent="0.25">
      <c r="A37" s="2" t="s">
        <v>13</v>
      </c>
      <c r="B37" s="2">
        <v>2</v>
      </c>
      <c r="C37" s="2" t="s">
        <v>48</v>
      </c>
      <c r="D37" s="2">
        <v>219.737400114232</v>
      </c>
      <c r="E37" s="2"/>
      <c r="F37" s="2"/>
      <c r="G37" s="2"/>
      <c r="H37" s="2"/>
      <c r="I37" s="2"/>
      <c r="J37" s="2">
        <v>14954.3</v>
      </c>
      <c r="K37" s="2"/>
      <c r="L37" s="2">
        <f t="shared" si="5"/>
        <v>13792.916605170343</v>
      </c>
      <c r="M37" s="2">
        <v>12338</v>
      </c>
      <c r="N37" s="2">
        <f t="shared" si="6"/>
        <v>-1454.9166051703432</v>
      </c>
      <c r="O37">
        <f t="shared" si="7"/>
        <v>2116782.3280003965</v>
      </c>
      <c r="T37">
        <f t="shared" si="8"/>
        <v>14270891.831571709</v>
      </c>
    </row>
    <row r="38" spans="1:21" x14ac:dyDescent="0.25">
      <c r="A38" s="2" t="s">
        <v>13</v>
      </c>
      <c r="B38" s="2">
        <v>3</v>
      </c>
      <c r="C38" s="2" t="s">
        <v>48</v>
      </c>
      <c r="D38" s="2">
        <v>236.90364843714099</v>
      </c>
      <c r="E38" s="2"/>
      <c r="F38" s="2"/>
      <c r="G38" s="2"/>
      <c r="H38" s="2"/>
      <c r="I38" s="2"/>
      <c r="J38" s="2">
        <v>14954.3</v>
      </c>
      <c r="K38" s="2"/>
      <c r="L38" s="2">
        <f t="shared" si="5"/>
        <v>14870.44201239934</v>
      </c>
      <c r="M38" s="2">
        <v>12338</v>
      </c>
      <c r="N38" s="2">
        <f t="shared" si="6"/>
        <v>-2532.4420123993405</v>
      </c>
      <c r="O38">
        <f t="shared" si="7"/>
        <v>6413262.5461652214</v>
      </c>
      <c r="T38">
        <f t="shared" si="8"/>
        <v>7290853.1580036357</v>
      </c>
    </row>
    <row r="39" spans="1:21" x14ac:dyDescent="0.25">
      <c r="A39" s="2" t="s">
        <v>13</v>
      </c>
      <c r="B39" s="2">
        <v>4</v>
      </c>
      <c r="C39" s="2" t="s">
        <v>48</v>
      </c>
      <c r="D39" s="2">
        <v>224.99358383961101</v>
      </c>
      <c r="E39" s="2"/>
      <c r="F39" s="2"/>
      <c r="G39" s="2"/>
      <c r="H39" s="2"/>
      <c r="I39" s="2"/>
      <c r="J39" s="2">
        <v>14954.3</v>
      </c>
      <c r="K39" s="2"/>
      <c r="L39" s="2">
        <f t="shared" si="5"/>
        <v>14122.847257612384</v>
      </c>
      <c r="M39" s="2">
        <v>12338</v>
      </c>
      <c r="N39" s="2">
        <f t="shared" si="6"/>
        <v>-1784.8472576123841</v>
      </c>
      <c r="O39">
        <f t="shared" si="7"/>
        <v>3185679.733006448</v>
      </c>
      <c r="T39">
        <f t="shared" si="8"/>
        <v>11886998.972641317</v>
      </c>
    </row>
    <row r="40" spans="1:21" x14ac:dyDescent="0.25">
      <c r="A40" s="5" t="s">
        <v>13</v>
      </c>
      <c r="B40" s="5">
        <v>1</v>
      </c>
      <c r="C40" s="5" t="s">
        <v>9</v>
      </c>
      <c r="D40" s="5">
        <v>249.05271898976201</v>
      </c>
      <c r="E40" s="5"/>
      <c r="F40" s="5"/>
      <c r="G40" s="5"/>
      <c r="H40" s="5"/>
      <c r="I40" s="5"/>
      <c r="J40" s="2">
        <v>14954.3</v>
      </c>
      <c r="K40" s="5">
        <f>AVERAGE(L40:L43)</f>
        <v>16192.458742898938</v>
      </c>
      <c r="L40" s="5">
        <f t="shared" si="5"/>
        <v>15633.039170987362</v>
      </c>
      <c r="M40" s="5">
        <v>12340</v>
      </c>
      <c r="N40" s="2">
        <f t="shared" si="6"/>
        <v>-3293.039170987362</v>
      </c>
      <c r="O40">
        <f t="shared" si="7"/>
        <v>10844106.981657133</v>
      </c>
      <c r="P40">
        <f>SQRT(SUMSQ(N40:N43)*100/(COUNTA(N40:N43)*AVERAGE(L40:L43)))</f>
        <v>304.46851615913891</v>
      </c>
      <c r="R40">
        <f>1-(SUM(M40:M43)/SUM(L40:L43))</f>
        <v>0.23791684784056655</v>
      </c>
      <c r="T40">
        <f t="shared" si="8"/>
        <v>10844106.981657133</v>
      </c>
    </row>
    <row r="41" spans="1:21" x14ac:dyDescent="0.25">
      <c r="A41" s="5" t="s">
        <v>13</v>
      </c>
      <c r="B41" s="5">
        <v>2</v>
      </c>
      <c r="C41" s="5" t="s">
        <v>9</v>
      </c>
      <c r="D41" s="5">
        <v>258.45661504558598</v>
      </c>
      <c r="E41" s="5"/>
      <c r="F41" s="5"/>
      <c r="G41" s="5"/>
      <c r="H41" s="5"/>
      <c r="I41" s="5"/>
      <c r="J41" s="2">
        <v>14954.3</v>
      </c>
      <c r="K41" s="5"/>
      <c r="L41" s="5">
        <f t="shared" si="5"/>
        <v>16223.321726411432</v>
      </c>
      <c r="M41" s="5">
        <f>6170*2</f>
        <v>12340</v>
      </c>
      <c r="N41" s="2">
        <f t="shared" si="6"/>
        <v>-3883.3217264114319</v>
      </c>
      <c r="O41">
        <f t="shared" si="7"/>
        <v>15080187.630819064</v>
      </c>
      <c r="T41">
        <f t="shared" si="8"/>
        <v>15080187.630819064</v>
      </c>
    </row>
    <row r="42" spans="1:21" x14ac:dyDescent="0.25">
      <c r="A42" s="5" t="s">
        <v>13</v>
      </c>
      <c r="B42" s="5">
        <v>3</v>
      </c>
      <c r="C42" s="5" t="s">
        <v>9</v>
      </c>
      <c r="D42" s="5">
        <v>267.494784122721</v>
      </c>
      <c r="E42" s="5"/>
      <c r="F42" s="5"/>
      <c r="G42" s="5"/>
      <c r="H42" s="5"/>
      <c r="I42" s="5"/>
      <c r="J42" s="2">
        <v>14954.3</v>
      </c>
      <c r="K42" s="5"/>
      <c r="L42" s="5">
        <f t="shared" si="5"/>
        <v>16790.647599383199</v>
      </c>
      <c r="M42" s="5">
        <v>12340</v>
      </c>
      <c r="N42" s="2">
        <f t="shared" si="6"/>
        <v>-4450.6475993831991</v>
      </c>
      <c r="O42">
        <f t="shared" si="7"/>
        <v>19808264.053895433</v>
      </c>
      <c r="T42">
        <f t="shared" si="8"/>
        <v>19808264.053895433</v>
      </c>
    </row>
    <row r="43" spans="1:21" x14ac:dyDescent="0.25">
      <c r="A43" s="5" t="s">
        <v>13</v>
      </c>
      <c r="B43" s="5">
        <v>4</v>
      </c>
      <c r="C43" s="5" t="s">
        <v>9</v>
      </c>
      <c r="D43" s="5">
        <v>256.85560737316803</v>
      </c>
      <c r="E43" s="5"/>
      <c r="F43" s="5"/>
      <c r="G43" s="5"/>
      <c r="H43" s="5"/>
      <c r="I43" s="5"/>
      <c r="J43" s="2">
        <v>14954.3</v>
      </c>
      <c r="K43" s="5"/>
      <c r="L43" s="5">
        <f t="shared" si="5"/>
        <v>16122.826474813757</v>
      </c>
      <c r="M43" s="5">
        <v>12340</v>
      </c>
      <c r="N43" s="2">
        <f t="shared" si="6"/>
        <v>-3782.8264748137572</v>
      </c>
      <c r="O43">
        <f t="shared" si="7"/>
        <v>14309776.138551878</v>
      </c>
      <c r="T43">
        <f t="shared" si="8"/>
        <v>14309776.138551878</v>
      </c>
    </row>
    <row r="44" spans="1:21" x14ac:dyDescent="0.25">
      <c r="A44" s="13" t="s">
        <v>13</v>
      </c>
      <c r="B44" s="13">
        <v>1</v>
      </c>
      <c r="C44" s="13" t="s">
        <v>52</v>
      </c>
      <c r="D44" s="13">
        <v>250.540517508639</v>
      </c>
      <c r="E44" s="13"/>
      <c r="F44" s="13"/>
      <c r="G44" s="13"/>
      <c r="H44" s="13"/>
      <c r="I44" s="13"/>
      <c r="J44" s="2">
        <v>14954.3</v>
      </c>
      <c r="K44" s="13">
        <f>AVERAGE(L44:L47)</f>
        <v>15956.934367420543</v>
      </c>
      <c r="L44" s="13">
        <f t="shared" si="5"/>
        <v>15726.428284017271</v>
      </c>
      <c r="M44" s="13">
        <v>12340</v>
      </c>
      <c r="N44" s="2">
        <f t="shared" si="6"/>
        <v>-3386.4282840172709</v>
      </c>
      <c r="O44">
        <f t="shared" si="7"/>
        <v>11467896.522792159</v>
      </c>
      <c r="P44">
        <f>SQRT(SUMSQ(N44:N47)*100/(COUNTA(N44:N47)*AVERAGE(L44:L47)))</f>
        <v>295.0564088998409</v>
      </c>
      <c r="R44">
        <f>1-(SUM(M44:M47)/SUM(L44:L47))</f>
        <v>0.22666849935820255</v>
      </c>
      <c r="T44">
        <f t="shared" si="8"/>
        <v>11467896.522792159</v>
      </c>
    </row>
    <row r="45" spans="1:21" x14ac:dyDescent="0.25">
      <c r="A45" s="13" t="s">
        <v>13</v>
      </c>
      <c r="B45" s="13">
        <v>2</v>
      </c>
      <c r="C45" s="13" t="s">
        <v>52</v>
      </c>
      <c r="D45" s="13">
        <v>252.504046183231</v>
      </c>
      <c r="E45" s="13"/>
      <c r="F45" s="13"/>
      <c r="G45" s="13"/>
      <c r="H45" s="13"/>
      <c r="I45" s="13"/>
      <c r="J45" s="2">
        <v>14954.3</v>
      </c>
      <c r="K45" s="13"/>
      <c r="L45" s="13">
        <f t="shared" si="5"/>
        <v>15849.678978921411</v>
      </c>
      <c r="M45" s="13">
        <v>12340</v>
      </c>
      <c r="N45" s="2">
        <f t="shared" si="6"/>
        <v>-3509.6789789214108</v>
      </c>
      <c r="O45">
        <f t="shared" si="7"/>
        <v>12317846.535082838</v>
      </c>
      <c r="T45">
        <f t="shared" si="8"/>
        <v>12317846.535082838</v>
      </c>
    </row>
    <row r="46" spans="1:21" x14ac:dyDescent="0.25">
      <c r="A46" s="13" t="s">
        <v>13</v>
      </c>
      <c r="B46" s="13">
        <v>3</v>
      </c>
      <c r="C46" s="13" t="s">
        <v>52</v>
      </c>
      <c r="D46" s="13">
        <v>276.79104129332597</v>
      </c>
      <c r="E46" s="13"/>
      <c r="F46" s="13"/>
      <c r="G46" s="13"/>
      <c r="H46" s="13"/>
      <c r="I46" s="13"/>
      <c r="J46" s="2">
        <v>14954.3</v>
      </c>
      <c r="K46" s="13"/>
      <c r="L46" s="13">
        <f t="shared" si="5"/>
        <v>17374.173661982073</v>
      </c>
      <c r="M46" s="13">
        <v>12340</v>
      </c>
      <c r="N46" s="2">
        <f t="shared" si="6"/>
        <v>-5034.1736619820731</v>
      </c>
      <c r="O46">
        <f t="shared" si="7"/>
        <v>25342904.458993997</v>
      </c>
      <c r="T46">
        <f t="shared" si="8"/>
        <v>25342904.458993997</v>
      </c>
    </row>
    <row r="47" spans="1:21" x14ac:dyDescent="0.25">
      <c r="A47" s="13" t="s">
        <v>13</v>
      </c>
      <c r="B47" s="13">
        <v>4</v>
      </c>
      <c r="C47" s="13" t="s">
        <v>52</v>
      </c>
      <c r="D47" s="13">
        <v>237.01539819597599</v>
      </c>
      <c r="E47" s="13"/>
      <c r="F47" s="13"/>
      <c r="G47" s="13"/>
      <c r="H47" s="13"/>
      <c r="I47" s="13"/>
      <c r="J47" s="2">
        <v>14954.3</v>
      </c>
      <c r="K47" s="13"/>
      <c r="L47" s="13">
        <f t="shared" si="5"/>
        <v>14877.456544761413</v>
      </c>
      <c r="M47" s="13">
        <v>12340</v>
      </c>
      <c r="N47" s="2">
        <f t="shared" si="6"/>
        <v>-2537.4565447614132</v>
      </c>
      <c r="O47">
        <f t="shared" si="7"/>
        <v>6438685.7165525295</v>
      </c>
      <c r="T47">
        <f t="shared" si="8"/>
        <v>7242253.0966734719</v>
      </c>
    </row>
    <row r="48" spans="1:21" x14ac:dyDescent="0.25">
      <c r="A48" s="17" t="s">
        <v>13</v>
      </c>
      <c r="B48" s="17">
        <v>1</v>
      </c>
      <c r="C48" s="17" t="s">
        <v>51</v>
      </c>
      <c r="D48" s="17">
        <v>241.32808692125801</v>
      </c>
      <c r="E48" s="17"/>
      <c r="F48" s="17"/>
      <c r="G48" s="17"/>
      <c r="H48" s="17"/>
      <c r="I48" s="17"/>
      <c r="J48" s="2">
        <v>14954.3</v>
      </c>
      <c r="K48" s="17">
        <f>AVERAGE(L48:L51)</f>
        <v>15624.052789604004</v>
      </c>
      <c r="L48" s="17">
        <f t="shared" si="5"/>
        <v>15148.164016047365</v>
      </c>
      <c r="M48" s="17">
        <f>6461*2</f>
        <v>12922</v>
      </c>
      <c r="N48" s="2">
        <f t="shared" si="6"/>
        <v>-2226.1640160473653</v>
      </c>
      <c r="O48">
        <f t="shared" si="7"/>
        <v>4955806.2263441337</v>
      </c>
      <c r="P48">
        <f>SQRT(SUMSQ(N48:N51)*100/(COUNTA(N48:N51)*AVERAGE(L48:L51)))</f>
        <v>219.11395650040956</v>
      </c>
      <c r="R48">
        <f>1-(SUM(M48:M51)/SUM(L48:L51))</f>
        <v>0.17294186252378174</v>
      </c>
      <c r="T48">
        <f t="shared" si="8"/>
        <v>4955806.2263441337</v>
      </c>
    </row>
    <row r="49" spans="1:20" x14ac:dyDescent="0.25">
      <c r="A49" s="17" t="s">
        <v>13</v>
      </c>
      <c r="B49" s="17">
        <v>2</v>
      </c>
      <c r="C49" s="17" t="s">
        <v>51</v>
      </c>
      <c r="D49" s="17">
        <v>252.358749305912</v>
      </c>
      <c r="E49" s="17"/>
      <c r="F49" s="17"/>
      <c r="G49" s="17"/>
      <c r="H49" s="17"/>
      <c r="I49" s="17"/>
      <c r="J49" s="2">
        <v>14954.3</v>
      </c>
      <c r="K49" s="17"/>
      <c r="L49" s="17">
        <f t="shared" si="5"/>
        <v>15840.558693932097</v>
      </c>
      <c r="M49" s="17">
        <v>12922</v>
      </c>
      <c r="N49" s="2">
        <f t="shared" si="6"/>
        <v>-2918.5586939320965</v>
      </c>
      <c r="O49">
        <f t="shared" si="7"/>
        <v>8517984.8499266244</v>
      </c>
      <c r="T49">
        <f t="shared" si="8"/>
        <v>8517984.8499266244</v>
      </c>
    </row>
    <row r="50" spans="1:20" x14ac:dyDescent="0.25">
      <c r="A50" s="17" t="s">
        <v>13</v>
      </c>
      <c r="B50" s="17">
        <v>3</v>
      </c>
      <c r="C50" s="17" t="s">
        <v>51</v>
      </c>
      <c r="D50" s="17">
        <v>258.89068140716</v>
      </c>
      <c r="E50" s="17"/>
      <c r="F50" s="17"/>
      <c r="G50" s="17"/>
      <c r="H50" s="17"/>
      <c r="I50" s="17"/>
      <c r="J50" s="2">
        <v>14954.3</v>
      </c>
      <c r="K50" s="17"/>
      <c r="L50" s="17">
        <f t="shared" si="5"/>
        <v>16250.568071927433</v>
      </c>
      <c r="M50" s="17">
        <v>12922</v>
      </c>
      <c r="N50" s="2">
        <f t="shared" si="6"/>
        <v>-3328.5680719274333</v>
      </c>
      <c r="O50">
        <f t="shared" si="7"/>
        <v>11079365.409454711</v>
      </c>
      <c r="T50">
        <f t="shared" si="8"/>
        <v>11079365.409454711</v>
      </c>
    </row>
    <row r="51" spans="1:20" x14ac:dyDescent="0.25">
      <c r="A51" s="17" t="s">
        <v>13</v>
      </c>
      <c r="B51" s="17">
        <v>4</v>
      </c>
      <c r="C51" s="17" t="s">
        <v>51</v>
      </c>
      <c r="D51" s="17">
        <v>243.06070378379999</v>
      </c>
      <c r="E51" s="17"/>
      <c r="F51" s="17"/>
      <c r="G51" s="17"/>
      <c r="H51" s="17"/>
      <c r="I51" s="17"/>
      <c r="J51" s="2">
        <v>14954.3</v>
      </c>
      <c r="K51" s="17"/>
      <c r="L51" s="17">
        <f t="shared" si="5"/>
        <v>15256.920376509126</v>
      </c>
      <c r="M51" s="17">
        <v>12922</v>
      </c>
      <c r="N51" s="2">
        <f t="shared" si="6"/>
        <v>-2334.9203765091261</v>
      </c>
      <c r="O51">
        <f t="shared" si="7"/>
        <v>5451853.164637519</v>
      </c>
      <c r="T51">
        <f t="shared" si="8"/>
        <v>5451853.164637519</v>
      </c>
    </row>
    <row r="52" spans="1:20" x14ac:dyDescent="0.25">
      <c r="A52" s="8" t="s">
        <v>13</v>
      </c>
      <c r="B52" s="8">
        <v>1</v>
      </c>
      <c r="C52" s="8" t="s">
        <v>54</v>
      </c>
      <c r="D52" s="8">
        <v>240.53260833483901</v>
      </c>
      <c r="E52" s="8"/>
      <c r="F52" s="8"/>
      <c r="G52" s="8"/>
      <c r="H52" s="8"/>
      <c r="I52" s="8"/>
      <c r="J52" s="2">
        <v>14954.3</v>
      </c>
      <c r="K52" s="8">
        <f>AVERAGE(L52:L55)</f>
        <v>15795.525744096658</v>
      </c>
      <c r="L52" s="8">
        <f t="shared" si="5"/>
        <v>15098.231825177845</v>
      </c>
      <c r="M52" s="8">
        <v>12922</v>
      </c>
      <c r="N52" s="2">
        <f t="shared" si="6"/>
        <v>-2176.2318251778452</v>
      </c>
      <c r="O52">
        <f t="shared" si="7"/>
        <v>4735984.9569168957</v>
      </c>
      <c r="P52">
        <f>SQRT(SUMSQ(N52:N55)*100/(COUNTA(N52:N55)*AVERAGE(L52:L55)))</f>
        <v>232.82322417928927</v>
      </c>
      <c r="R52">
        <f>1-(SUM(M52:M55)/SUM(L52:L55))</f>
        <v>0.18192023428980164</v>
      </c>
      <c r="T52">
        <f t="shared" si="8"/>
        <v>4735984.9569168957</v>
      </c>
    </row>
    <row r="53" spans="1:20" x14ac:dyDescent="0.25">
      <c r="A53" s="8" t="s">
        <v>13</v>
      </c>
      <c r="B53" s="8">
        <v>2</v>
      </c>
      <c r="C53" s="8" t="s">
        <v>54</v>
      </c>
      <c r="D53" s="8">
        <v>245.75364850852</v>
      </c>
      <c r="E53" s="8"/>
      <c r="F53" s="8"/>
      <c r="G53" s="8"/>
      <c r="H53" s="8"/>
      <c r="I53" s="8"/>
      <c r="J53" s="2">
        <v>14954.3</v>
      </c>
      <c r="K53" s="8"/>
      <c r="L53" s="8">
        <f t="shared" si="5"/>
        <v>15425.956516879802</v>
      </c>
      <c r="M53" s="8">
        <v>12922</v>
      </c>
      <c r="N53" s="2">
        <f t="shared" si="6"/>
        <v>-2503.9565168798017</v>
      </c>
      <c r="O53">
        <f t="shared" si="7"/>
        <v>6269798.2384248283</v>
      </c>
      <c r="T53">
        <f t="shared" si="8"/>
        <v>6269798.2384248283</v>
      </c>
    </row>
    <row r="54" spans="1:20" x14ac:dyDescent="0.25">
      <c r="A54" s="8" t="s">
        <v>13</v>
      </c>
      <c r="B54" s="8">
        <v>3</v>
      </c>
      <c r="C54" s="8" t="s">
        <v>54</v>
      </c>
      <c r="D54" s="8">
        <v>262.038075437185</v>
      </c>
      <c r="E54" s="8"/>
      <c r="F54" s="8"/>
      <c r="G54" s="8"/>
      <c r="H54" s="8"/>
      <c r="I54" s="8"/>
      <c r="J54" s="2">
        <v>14954.3</v>
      </c>
      <c r="K54" s="8"/>
      <c r="L54" s="8">
        <f t="shared" si="5"/>
        <v>16448.129995192103</v>
      </c>
      <c r="M54" s="8">
        <v>12922</v>
      </c>
      <c r="N54" s="2">
        <f t="shared" si="6"/>
        <v>-3526.1299951921028</v>
      </c>
      <c r="O54">
        <f t="shared" si="7"/>
        <v>12433592.742993459</v>
      </c>
      <c r="T54">
        <f t="shared" si="8"/>
        <v>12433592.742993459</v>
      </c>
    </row>
    <row r="55" spans="1:20" x14ac:dyDescent="0.25">
      <c r="A55" s="8" t="s">
        <v>13</v>
      </c>
      <c r="B55" s="8">
        <v>4</v>
      </c>
      <c r="C55" s="8" t="s">
        <v>54</v>
      </c>
      <c r="D55" s="8">
        <v>258.24095330789999</v>
      </c>
      <c r="E55" s="8"/>
      <c r="F55" s="8"/>
      <c r="G55" s="8"/>
      <c r="H55" s="8"/>
      <c r="I55" s="8"/>
      <c r="J55" s="2">
        <v>14954.3</v>
      </c>
      <c r="K55" s="8"/>
      <c r="L55" s="8">
        <f t="shared" si="5"/>
        <v>16209.784639136882</v>
      </c>
      <c r="M55" s="8">
        <v>12922</v>
      </c>
      <c r="N55" s="2">
        <f t="shared" si="6"/>
        <v>-3287.7846391368821</v>
      </c>
      <c r="O55">
        <f t="shared" si="7"/>
        <v>10809527.833344437</v>
      </c>
      <c r="T55">
        <f t="shared" si="8"/>
        <v>10809527.833344437</v>
      </c>
    </row>
    <row r="56" spans="1:20" x14ac:dyDescent="0.25">
      <c r="A56" s="39" t="s">
        <v>13</v>
      </c>
      <c r="B56" s="39">
        <v>1</v>
      </c>
      <c r="C56" s="39" t="s">
        <v>11</v>
      </c>
      <c r="D56" s="39">
        <v>239.50776870345601</v>
      </c>
      <c r="E56" s="39"/>
      <c r="F56" s="39"/>
      <c r="G56" s="39"/>
      <c r="H56" s="39"/>
      <c r="I56" s="39"/>
      <c r="J56" s="2">
        <v>14954.3</v>
      </c>
      <c r="K56" s="39">
        <f>AVERAGE(L56:L58)</f>
        <v>15483.711513156142</v>
      </c>
      <c r="L56" s="39">
        <f t="shared" si="5"/>
        <v>15033.902641515935</v>
      </c>
      <c r="M56" s="39">
        <f>6063*2</f>
        <v>12126</v>
      </c>
      <c r="N56" s="2">
        <f t="shared" si="6"/>
        <v>-2907.9026415159351</v>
      </c>
      <c r="O56">
        <f t="shared" si="7"/>
        <v>8455897.7725353539</v>
      </c>
      <c r="P56">
        <f>SQRT(SUMSQ(N56:N59)*100/(COUNTA(N56:N59)*AVERAGE(L56:L59)))</f>
        <v>271.2744806146822</v>
      </c>
      <c r="R56">
        <f>1-(SUM(M56:M59)/SUM(L56:L59))</f>
        <v>0.2168544350818713</v>
      </c>
      <c r="T56">
        <f t="shared" si="8"/>
        <v>8455897.7725353539</v>
      </c>
    </row>
    <row r="57" spans="1:20" x14ac:dyDescent="0.25">
      <c r="A57" s="39" t="s">
        <v>13</v>
      </c>
      <c r="B57" s="39">
        <v>2</v>
      </c>
      <c r="C57" s="39" t="s">
        <v>11</v>
      </c>
      <c r="D57" s="39">
        <v>247.563822889584</v>
      </c>
      <c r="E57" s="39"/>
      <c r="F57" s="39"/>
      <c r="G57" s="39"/>
      <c r="H57" s="39"/>
      <c r="I57" s="39"/>
      <c r="J57" s="2">
        <v>14954.3</v>
      </c>
      <c r="K57" s="39"/>
      <c r="L57" s="39">
        <f t="shared" si="5"/>
        <v>15539.581162779188</v>
      </c>
      <c r="M57" s="39">
        <v>12126</v>
      </c>
      <c r="N57" s="2">
        <f t="shared" si="6"/>
        <v>-3413.5811627791882</v>
      </c>
      <c r="O57">
        <f t="shared" si="7"/>
        <v>11652536.354880914</v>
      </c>
      <c r="T57">
        <f t="shared" si="8"/>
        <v>11652536.354880914</v>
      </c>
    </row>
    <row r="58" spans="1:20" x14ac:dyDescent="0.25">
      <c r="A58" s="39" t="s">
        <v>13</v>
      </c>
      <c r="B58" s="39">
        <v>3</v>
      </c>
      <c r="C58" s="39" t="s">
        <v>11</v>
      </c>
      <c r="D58" s="39">
        <v>252.94966919186399</v>
      </c>
      <c r="E58" s="39"/>
      <c r="F58" s="39"/>
      <c r="G58" s="39"/>
      <c r="H58" s="39"/>
      <c r="I58" s="39"/>
      <c r="J58" s="2">
        <v>14954.3</v>
      </c>
      <c r="K58" s="39"/>
      <c r="L58" s="39">
        <f t="shared" si="5"/>
        <v>15877.650735173303</v>
      </c>
      <c r="M58" s="39">
        <v>12126</v>
      </c>
      <c r="N58" s="2">
        <f t="shared" si="6"/>
        <v>-3751.6507351733035</v>
      </c>
      <c r="O58">
        <f t="shared" si="7"/>
        <v>14074883.238726389</v>
      </c>
      <c r="T58">
        <f t="shared" si="8"/>
        <v>14074883.238726389</v>
      </c>
    </row>
    <row r="59" spans="1:20" x14ac:dyDescent="0.25">
      <c r="A59" s="39" t="s">
        <v>13</v>
      </c>
      <c r="B59" s="39">
        <v>4</v>
      </c>
      <c r="C59" s="39" t="s">
        <v>11</v>
      </c>
      <c r="D59" s="39" t="s">
        <v>37</v>
      </c>
      <c r="E59" s="39"/>
      <c r="F59" s="39"/>
      <c r="G59" s="39"/>
      <c r="H59" s="39"/>
      <c r="I59" s="39"/>
      <c r="J59" s="2"/>
      <c r="K59" s="39"/>
      <c r="L59" s="39"/>
      <c r="M59" s="39"/>
      <c r="N59" s="2"/>
    </row>
    <row r="60" spans="1:20" x14ac:dyDescent="0.25">
      <c r="A60" s="36" t="s">
        <v>13</v>
      </c>
      <c r="B60" s="36">
        <v>1</v>
      </c>
      <c r="C60" s="36" t="s">
        <v>30</v>
      </c>
      <c r="D60" s="36">
        <v>252.03790340133199</v>
      </c>
      <c r="E60" s="36"/>
      <c r="F60" s="36"/>
      <c r="G60" s="36"/>
      <c r="H60" s="36"/>
      <c r="I60" s="36"/>
      <c r="J60" s="2">
        <v>14954.3</v>
      </c>
      <c r="K60" s="36">
        <f>AVERAGE(L60:L63)</f>
        <v>15842.813524334753</v>
      </c>
      <c r="L60" s="36">
        <f t="shared" ref="L60:L91" si="9">D60*62.77</f>
        <v>15820.419196501609</v>
      </c>
      <c r="M60" s="36">
        <f>6492*2</f>
        <v>12984</v>
      </c>
      <c r="N60" s="2">
        <f t="shared" ref="N60:N91" si="10">(M60-L60)</f>
        <v>-2836.4191965016089</v>
      </c>
      <c r="O60">
        <f t="shared" ref="O60:O91" si="11">N60*N60</f>
        <v>8045273.8582828324</v>
      </c>
      <c r="P60">
        <f>SQRT(SUMSQ(N60:N63)*100/(COUNTA(N60:N63)*AVERAGE(L60:L63)))</f>
        <v>228.51025685412966</v>
      </c>
      <c r="R60">
        <f>1-(SUM(M60:M63)/SUM(L60:L63))</f>
        <v>0.1804486002403286</v>
      </c>
      <c r="T60">
        <f t="shared" ref="T60:T91" si="12">(ABS(M60-J60)+ABS(L60-J60))^2</f>
        <v>8045273.8582828324</v>
      </c>
    </row>
    <row r="61" spans="1:20" x14ac:dyDescent="0.25">
      <c r="A61" s="36" t="s">
        <v>13</v>
      </c>
      <c r="B61" s="36">
        <v>2</v>
      </c>
      <c r="C61" s="36" t="s">
        <v>30</v>
      </c>
      <c r="D61" s="36">
        <v>253.55738159297999</v>
      </c>
      <c r="E61" s="36"/>
      <c r="F61" s="36"/>
      <c r="G61" s="36"/>
      <c r="H61" s="36"/>
      <c r="I61" s="36"/>
      <c r="J61" s="2">
        <v>14954.3</v>
      </c>
      <c r="K61" s="36"/>
      <c r="L61" s="36">
        <f t="shared" si="9"/>
        <v>15915.796842591355</v>
      </c>
      <c r="M61" s="36">
        <v>12984</v>
      </c>
      <c r="N61" s="2">
        <f t="shared" si="10"/>
        <v>-2931.796842591355</v>
      </c>
      <c r="O61">
        <f t="shared" si="11"/>
        <v>8595432.7262286376</v>
      </c>
      <c r="T61">
        <f t="shared" si="12"/>
        <v>8595432.7262286376</v>
      </c>
    </row>
    <row r="62" spans="1:20" x14ac:dyDescent="0.25">
      <c r="A62" s="36" t="s">
        <v>13</v>
      </c>
      <c r="B62" s="36">
        <v>3</v>
      </c>
      <c r="C62" s="36" t="s">
        <v>30</v>
      </c>
      <c r="D62" s="36">
        <v>259.04618479914598</v>
      </c>
      <c r="E62" s="36"/>
      <c r="F62" s="36"/>
      <c r="G62" s="36"/>
      <c r="H62" s="36"/>
      <c r="I62" s="36"/>
      <c r="J62" s="2">
        <v>14954.3</v>
      </c>
      <c r="K62" s="36"/>
      <c r="L62" s="36">
        <f t="shared" si="9"/>
        <v>16260.329019842393</v>
      </c>
      <c r="M62" s="36">
        <v>12984</v>
      </c>
      <c r="N62" s="2">
        <f t="shared" si="10"/>
        <v>-3276.3290198423929</v>
      </c>
      <c r="O62">
        <f t="shared" si="11"/>
        <v>10734331.846261416</v>
      </c>
      <c r="T62">
        <f t="shared" si="12"/>
        <v>10734331.846261416</v>
      </c>
    </row>
    <row r="63" spans="1:20" x14ac:dyDescent="0.25">
      <c r="A63" s="36" t="s">
        <v>13</v>
      </c>
      <c r="B63" s="36">
        <v>4</v>
      </c>
      <c r="C63" s="36" t="s">
        <v>30</v>
      </c>
      <c r="D63" s="36">
        <v>244.937215842021</v>
      </c>
      <c r="E63" s="36"/>
      <c r="F63" s="36"/>
      <c r="G63" s="36"/>
      <c r="H63" s="36"/>
      <c r="I63" s="36"/>
      <c r="J63" s="2">
        <v>14954.3</v>
      </c>
      <c r="K63" s="36"/>
      <c r="L63" s="36">
        <f t="shared" si="9"/>
        <v>15374.70903840366</v>
      </c>
      <c r="M63" s="36">
        <v>12984</v>
      </c>
      <c r="N63" s="2">
        <f t="shared" si="10"/>
        <v>-2390.7090384036601</v>
      </c>
      <c r="O63">
        <f t="shared" si="11"/>
        <v>5715489.7063049534</v>
      </c>
      <c r="T63">
        <f t="shared" si="12"/>
        <v>5715489.7063049534</v>
      </c>
    </row>
    <row r="64" spans="1:20" x14ac:dyDescent="0.25">
      <c r="A64" s="3" t="s">
        <v>13</v>
      </c>
      <c r="B64" s="3">
        <v>1</v>
      </c>
      <c r="C64" s="3" t="s">
        <v>12</v>
      </c>
      <c r="D64" s="3">
        <v>161.40710340353999</v>
      </c>
      <c r="E64" s="3"/>
      <c r="F64" s="3"/>
      <c r="G64" s="3"/>
      <c r="H64" s="3"/>
      <c r="I64" s="3"/>
      <c r="J64" s="2">
        <v>14954.3</v>
      </c>
      <c r="K64" s="3">
        <f>AVERAGE(L64:L67)</f>
        <v>10553.882461552632</v>
      </c>
      <c r="L64" s="3">
        <f t="shared" si="9"/>
        <v>10131.523880640207</v>
      </c>
      <c r="M64" s="3">
        <f>5494*2</f>
        <v>10988</v>
      </c>
      <c r="N64" s="2">
        <f t="shared" si="10"/>
        <v>856.4761193597933</v>
      </c>
      <c r="O64">
        <f t="shared" si="11"/>
        <v>733551.34303361096</v>
      </c>
      <c r="P64">
        <f>SQRT(SUMSQ(N64:N67)*100/(COUNTA(N64:N67)*AVERAGE(L64:L67)))</f>
        <v>83.814483353279272</v>
      </c>
      <c r="R64">
        <f>1-(SUM(M64:M67)/SUM(L64:L67))</f>
        <v>-4.1133444495790039E-2</v>
      </c>
      <c r="T64">
        <f t="shared" si="12"/>
        <v>77247859.031900585</v>
      </c>
    </row>
    <row r="65" spans="1:21" x14ac:dyDescent="0.25">
      <c r="A65" s="3" t="s">
        <v>13</v>
      </c>
      <c r="B65" s="3">
        <v>2</v>
      </c>
      <c r="C65" s="3" t="s">
        <v>12</v>
      </c>
      <c r="D65" s="3">
        <v>177.827479616766</v>
      </c>
      <c r="E65" s="3"/>
      <c r="F65" s="3"/>
      <c r="G65" s="3"/>
      <c r="H65" s="3"/>
      <c r="I65" s="3"/>
      <c r="J65" s="2">
        <v>14954.3</v>
      </c>
      <c r="K65" s="3"/>
      <c r="L65" s="3">
        <f t="shared" si="9"/>
        <v>11162.230895544402</v>
      </c>
      <c r="M65" s="3">
        <v>10988</v>
      </c>
      <c r="N65" s="2">
        <f t="shared" si="10"/>
        <v>-174.2308955444023</v>
      </c>
      <c r="O65">
        <f t="shared" si="11"/>
        <v>30356.404962204426</v>
      </c>
      <c r="T65">
        <f t="shared" si="12"/>
        <v>60192291.160971127</v>
      </c>
    </row>
    <row r="66" spans="1:21" x14ac:dyDescent="0.25">
      <c r="A66" s="3" t="s">
        <v>13</v>
      </c>
      <c r="B66" s="3">
        <v>3</v>
      </c>
      <c r="C66" s="3" t="s">
        <v>12</v>
      </c>
      <c r="D66" s="3">
        <v>181.10683629784899</v>
      </c>
      <c r="E66" s="3"/>
      <c r="F66" s="3"/>
      <c r="G66" s="3"/>
      <c r="H66" s="3"/>
      <c r="I66" s="3"/>
      <c r="J66" s="2">
        <v>14954.3</v>
      </c>
      <c r="K66" s="3"/>
      <c r="L66" s="3">
        <f t="shared" si="9"/>
        <v>11368.076114415981</v>
      </c>
      <c r="M66" s="3">
        <v>10988</v>
      </c>
      <c r="N66" s="2">
        <f t="shared" si="10"/>
        <v>-380.07611441598056</v>
      </c>
      <c r="O66">
        <f t="shared" si="11"/>
        <v>144457.85274954955</v>
      </c>
      <c r="T66">
        <f t="shared" si="12"/>
        <v>57040617.042317115</v>
      </c>
    </row>
    <row r="67" spans="1:21" x14ac:dyDescent="0.25">
      <c r="A67" s="3" t="s">
        <v>13</v>
      </c>
      <c r="B67" s="3">
        <v>4</v>
      </c>
      <c r="C67" s="3" t="s">
        <v>12</v>
      </c>
      <c r="D67" s="3">
        <v>152.201672066432</v>
      </c>
      <c r="E67" s="3"/>
      <c r="F67" s="3"/>
      <c r="G67" s="3"/>
      <c r="H67" s="3"/>
      <c r="I67" s="3"/>
      <c r="J67" s="2">
        <v>14954.3</v>
      </c>
      <c r="K67" s="3"/>
      <c r="L67" s="3">
        <f t="shared" si="9"/>
        <v>9553.6989556099361</v>
      </c>
      <c r="M67" s="3">
        <v>10988</v>
      </c>
      <c r="N67" s="2">
        <f t="shared" si="10"/>
        <v>1434.3010443900639</v>
      </c>
      <c r="O67">
        <f t="shared" si="11"/>
        <v>2057219.485938428</v>
      </c>
      <c r="T67">
        <f t="shared" si="12"/>
        <v>87738835.175395638</v>
      </c>
    </row>
    <row r="68" spans="1:21" x14ac:dyDescent="0.25">
      <c r="A68" s="1" t="s">
        <v>14</v>
      </c>
      <c r="B68" s="1">
        <v>1</v>
      </c>
      <c r="C68" s="1" t="s">
        <v>48</v>
      </c>
      <c r="D68" s="1">
        <v>185.513328</v>
      </c>
      <c r="E68" s="1"/>
      <c r="F68" s="1"/>
      <c r="G68" s="1"/>
      <c r="H68" s="1"/>
      <c r="I68" s="1"/>
      <c r="J68" s="2">
        <f>AVERAGE(L68:L91)</f>
        <v>12092.670818173743</v>
      </c>
      <c r="K68" s="1">
        <f>AVERAGE(L68:L70)</f>
        <v>11987.189512075964</v>
      </c>
      <c r="L68" s="1">
        <f t="shared" si="9"/>
        <v>11644.67159856</v>
      </c>
      <c r="M68" s="1">
        <v>11290</v>
      </c>
      <c r="N68" s="2">
        <f t="shared" si="10"/>
        <v>-354.67159856000035</v>
      </c>
      <c r="O68">
        <f t="shared" si="11"/>
        <v>125791.94282510605</v>
      </c>
      <c r="P68">
        <f>SQRT(SUMSQ(N68:N70)*100/(COUNTA(N68:N70)*AVERAGE(L68:L70)))</f>
        <v>67.506135434672075</v>
      </c>
      <c r="R68">
        <f>1-(SUM(M68:M70)/SUM(L68:L70))</f>
        <v>5.816121546869768E-2</v>
      </c>
      <c r="T68">
        <f t="shared" si="12"/>
        <v>1564175.5434193513</v>
      </c>
      <c r="U68">
        <f>1-((SUM(O68:O91))/(SUM(T68:T91)))</f>
        <v>0.47625110638966994</v>
      </c>
    </row>
    <row r="69" spans="1:21" x14ac:dyDescent="0.25">
      <c r="A69" s="1" t="s">
        <v>14</v>
      </c>
      <c r="B69" s="1">
        <v>2</v>
      </c>
      <c r="C69" s="1" t="s">
        <v>48</v>
      </c>
      <c r="D69" s="1">
        <v>194.46238225210101</v>
      </c>
      <c r="E69" s="1"/>
      <c r="F69" s="1"/>
      <c r="G69" s="1"/>
      <c r="H69" s="1"/>
      <c r="I69" s="1"/>
      <c r="J69" s="1">
        <v>12092.7</v>
      </c>
      <c r="K69" s="1"/>
      <c r="L69" s="1">
        <f t="shared" si="9"/>
        <v>12206.40373396438</v>
      </c>
      <c r="M69" s="1">
        <v>11290</v>
      </c>
      <c r="N69" s="2">
        <f t="shared" si="10"/>
        <v>-916.40373396438008</v>
      </c>
      <c r="O69">
        <f t="shared" si="11"/>
        <v>839795.80362385826</v>
      </c>
      <c r="T69">
        <f t="shared" si="12"/>
        <v>839795.80362385826</v>
      </c>
    </row>
    <row r="70" spans="1:21" x14ac:dyDescent="0.25">
      <c r="A70" s="1" t="s">
        <v>14</v>
      </c>
      <c r="B70" s="1">
        <v>3</v>
      </c>
      <c r="C70" s="1" t="s">
        <v>48</v>
      </c>
      <c r="D70" s="1">
        <v>192.934414588235</v>
      </c>
      <c r="E70" s="1"/>
      <c r="F70" s="1"/>
      <c r="G70" s="1"/>
      <c r="H70" s="1"/>
      <c r="I70" s="1"/>
      <c r="J70" s="1">
        <v>12092.7</v>
      </c>
      <c r="K70" s="1"/>
      <c r="L70" s="1">
        <f t="shared" si="9"/>
        <v>12110.493203703512</v>
      </c>
      <c r="M70" s="1">
        <v>11290</v>
      </c>
      <c r="N70" s="2">
        <f t="shared" si="10"/>
        <v>-820.49320370351234</v>
      </c>
      <c r="O70">
        <f t="shared" si="11"/>
        <v>673209.0973236534</v>
      </c>
      <c r="T70">
        <f t="shared" si="12"/>
        <v>673209.0973236534</v>
      </c>
    </row>
    <row r="71" spans="1:21" x14ac:dyDescent="0.25">
      <c r="A71" s="4" t="s">
        <v>14</v>
      </c>
      <c r="B71" s="4">
        <v>1</v>
      </c>
      <c r="C71" s="4" t="s">
        <v>9</v>
      </c>
      <c r="D71" s="4">
        <v>218.57921152941199</v>
      </c>
      <c r="E71" s="4"/>
      <c r="F71" s="4"/>
      <c r="G71" s="4"/>
      <c r="H71" s="4"/>
      <c r="I71" s="4"/>
      <c r="J71" s="1">
        <v>12092.7</v>
      </c>
      <c r="K71" s="4">
        <f>AVERAGE(L71:L76)</f>
        <v>12852.409322690415</v>
      </c>
      <c r="L71" s="4">
        <f t="shared" si="9"/>
        <v>13720.217107701192</v>
      </c>
      <c r="M71" s="4">
        <f>5932*2</f>
        <v>11864</v>
      </c>
      <c r="N71" s="2">
        <f t="shared" si="10"/>
        <v>-1856.2171077011917</v>
      </c>
      <c r="O71">
        <f t="shared" si="11"/>
        <v>3445541.9509225776</v>
      </c>
      <c r="P71">
        <f>SQRT(SUMSQ(N71:N76)*100/(COUNTA(N71:N76)*AVERAGE(L71:L76)))</f>
        <v>95.089367654399751</v>
      </c>
      <c r="R71">
        <f>1-(SUM(M71:M76)/SUM(L71:L76))</f>
        <v>7.6904594140603466E-2</v>
      </c>
      <c r="T71">
        <f t="shared" si="12"/>
        <v>3445541.9509225776</v>
      </c>
    </row>
    <row r="72" spans="1:21" x14ac:dyDescent="0.25">
      <c r="A72" s="4" t="s">
        <v>14</v>
      </c>
      <c r="B72" s="4">
        <v>2</v>
      </c>
      <c r="C72" s="4" t="s">
        <v>9</v>
      </c>
      <c r="D72" s="4">
        <v>204.388681310924</v>
      </c>
      <c r="E72" s="4"/>
      <c r="F72" s="4"/>
      <c r="G72" s="4"/>
      <c r="H72" s="4"/>
      <c r="I72" s="4"/>
      <c r="J72" s="1">
        <v>12092.7</v>
      </c>
      <c r="K72" s="4"/>
      <c r="L72" s="4">
        <f t="shared" si="9"/>
        <v>12829.477525886699</v>
      </c>
      <c r="M72" s="4">
        <v>11864</v>
      </c>
      <c r="N72" s="2">
        <f t="shared" si="10"/>
        <v>-965.47752588669937</v>
      </c>
      <c r="O72">
        <f t="shared" si="11"/>
        <v>932146.85299230227</v>
      </c>
      <c r="T72">
        <f t="shared" si="12"/>
        <v>932146.85299230227</v>
      </c>
    </row>
    <row r="73" spans="1:21" x14ac:dyDescent="0.25">
      <c r="A73" s="4" t="s">
        <v>14</v>
      </c>
      <c r="B73" s="4">
        <v>3</v>
      </c>
      <c r="C73" s="4" t="s">
        <v>9</v>
      </c>
      <c r="D73" s="4">
        <v>196.992083495798</v>
      </c>
      <c r="E73" s="4"/>
      <c r="F73" s="4"/>
      <c r="G73" s="4"/>
      <c r="H73" s="4"/>
      <c r="I73" s="4"/>
      <c r="J73" s="1">
        <v>12092.7</v>
      </c>
      <c r="K73" s="4"/>
      <c r="L73" s="4">
        <f t="shared" si="9"/>
        <v>12365.193081031241</v>
      </c>
      <c r="M73" s="4">
        <v>11864</v>
      </c>
      <c r="N73" s="2">
        <f t="shared" si="10"/>
        <v>-501.19308103124058</v>
      </c>
      <c r="O73">
        <f t="shared" si="11"/>
        <v>251194.50447358767</v>
      </c>
      <c r="T73">
        <f t="shared" si="12"/>
        <v>251194.50447358767</v>
      </c>
    </row>
    <row r="74" spans="1:21" x14ac:dyDescent="0.25">
      <c r="A74" s="4" t="s">
        <v>14</v>
      </c>
      <c r="B74" s="4">
        <v>1</v>
      </c>
      <c r="C74" s="4" t="s">
        <v>52</v>
      </c>
      <c r="D74" s="4">
        <v>205.139999798319</v>
      </c>
      <c r="E74" s="4"/>
      <c r="F74" s="4"/>
      <c r="G74" s="4"/>
      <c r="H74" s="4"/>
      <c r="I74" s="4"/>
      <c r="J74" s="1">
        <v>12092.7</v>
      </c>
      <c r="K74" s="4"/>
      <c r="L74" s="4">
        <f t="shared" si="9"/>
        <v>12876.637787340484</v>
      </c>
      <c r="M74" s="4">
        <v>11864</v>
      </c>
      <c r="N74" s="2">
        <f t="shared" si="10"/>
        <v>-1012.6377873404836</v>
      </c>
      <c r="O74">
        <f t="shared" si="11"/>
        <v>1025435.2883498304</v>
      </c>
      <c r="T74">
        <f t="shared" si="12"/>
        <v>1025435.2883498304</v>
      </c>
    </row>
    <row r="75" spans="1:21" x14ac:dyDescent="0.25">
      <c r="A75" s="4" t="s">
        <v>14</v>
      </c>
      <c r="B75" s="4">
        <v>2</v>
      </c>
      <c r="C75" s="4" t="s">
        <v>52</v>
      </c>
      <c r="D75" s="4">
        <v>199.283925176471</v>
      </c>
      <c r="E75" s="4"/>
      <c r="F75" s="4"/>
      <c r="G75" s="4"/>
      <c r="H75" s="4"/>
      <c r="I75" s="4"/>
      <c r="J75" s="1">
        <v>12092.7</v>
      </c>
      <c r="K75" s="4"/>
      <c r="L75" s="4">
        <f t="shared" si="9"/>
        <v>12509.051983327085</v>
      </c>
      <c r="M75" s="4">
        <v>11864</v>
      </c>
      <c r="N75" s="2">
        <f t="shared" si="10"/>
        <v>-645.0519833270846</v>
      </c>
      <c r="O75">
        <f t="shared" si="11"/>
        <v>416092.06119420542</v>
      </c>
      <c r="T75">
        <f t="shared" si="12"/>
        <v>416092.06119420542</v>
      </c>
    </row>
    <row r="76" spans="1:21" x14ac:dyDescent="0.25">
      <c r="A76" s="4" t="s">
        <v>14</v>
      </c>
      <c r="B76" s="4">
        <v>3</v>
      </c>
      <c r="C76" s="4" t="s">
        <v>52</v>
      </c>
      <c r="D76" s="4">
        <v>204.14016968067199</v>
      </c>
      <c r="E76" s="4"/>
      <c r="F76" s="4"/>
      <c r="G76" s="4"/>
      <c r="H76" s="4"/>
      <c r="I76" s="4"/>
      <c r="J76" s="1">
        <v>12092.7</v>
      </c>
      <c r="K76" s="4"/>
      <c r="L76" s="4">
        <f t="shared" si="9"/>
        <v>12813.878450855782</v>
      </c>
      <c r="M76" s="4">
        <v>11864</v>
      </c>
      <c r="N76" s="2">
        <f t="shared" si="10"/>
        <v>-949.87845085578192</v>
      </c>
      <c r="O76">
        <f t="shared" si="11"/>
        <v>902269.07140018011</v>
      </c>
      <c r="T76">
        <f t="shared" si="12"/>
        <v>902269.07140018011</v>
      </c>
    </row>
    <row r="77" spans="1:21" x14ac:dyDescent="0.25">
      <c r="A77" s="50" t="s">
        <v>14</v>
      </c>
      <c r="B77" s="50">
        <v>1</v>
      </c>
      <c r="C77" s="50" t="s">
        <v>51</v>
      </c>
      <c r="D77" s="50">
        <v>195.789132</v>
      </c>
      <c r="E77" s="50"/>
      <c r="F77" s="50"/>
      <c r="G77" s="50"/>
      <c r="H77" s="50"/>
      <c r="I77" s="50"/>
      <c r="J77" s="1">
        <v>12092.7</v>
      </c>
      <c r="K77" s="50">
        <f>AVERAGE(L77:L82)</f>
        <v>12498.792759580849</v>
      </c>
      <c r="L77" s="50">
        <f t="shared" si="9"/>
        <v>12289.683815640001</v>
      </c>
      <c r="M77" s="50">
        <f>5915*2</f>
        <v>11830</v>
      </c>
      <c r="N77" s="2">
        <f t="shared" si="10"/>
        <v>-459.68381564000083</v>
      </c>
      <c r="O77">
        <f t="shared" si="11"/>
        <v>211309.21036135027</v>
      </c>
      <c r="P77">
        <f>SQRT(SUMSQ(N77:N82)*100/(COUNTA(N77:N82)*AVERAGE(L77:L82)))</f>
        <v>62.386945772993116</v>
      </c>
      <c r="R77">
        <f>1-(SUM(M77:M82)/SUM(L77:L82))</f>
        <v>5.3508588584940786E-2</v>
      </c>
      <c r="T77">
        <f t="shared" si="12"/>
        <v>211309.21036135027</v>
      </c>
    </row>
    <row r="78" spans="1:21" x14ac:dyDescent="0.25">
      <c r="A78" s="50" t="s">
        <v>14</v>
      </c>
      <c r="B78" s="50">
        <v>2</v>
      </c>
      <c r="C78" s="50" t="s">
        <v>51</v>
      </c>
      <c r="D78" s="50">
        <v>198.98028635294099</v>
      </c>
      <c r="E78" s="50"/>
      <c r="F78" s="50"/>
      <c r="G78" s="50"/>
      <c r="H78" s="50"/>
      <c r="I78" s="50"/>
      <c r="J78" s="1">
        <v>12092.7</v>
      </c>
      <c r="K78" s="50"/>
      <c r="L78" s="50">
        <f t="shared" si="9"/>
        <v>12489.992574374106</v>
      </c>
      <c r="M78" s="50">
        <v>11830</v>
      </c>
      <c r="N78" s="2">
        <f t="shared" si="10"/>
        <v>-659.99257437410597</v>
      </c>
      <c r="O78">
        <f t="shared" si="11"/>
        <v>435590.19822895981</v>
      </c>
      <c r="T78">
        <f t="shared" si="12"/>
        <v>435590.19822895981</v>
      </c>
    </row>
    <row r="79" spans="1:21" x14ac:dyDescent="0.25">
      <c r="A79" s="50" t="s">
        <v>14</v>
      </c>
      <c r="B79" s="50">
        <v>3</v>
      </c>
      <c r="C79" s="50" t="s">
        <v>51</v>
      </c>
      <c r="D79" s="50">
        <v>196.79108521008399</v>
      </c>
      <c r="E79" s="50"/>
      <c r="F79" s="50"/>
      <c r="G79" s="50"/>
      <c r="H79" s="50"/>
      <c r="I79" s="50"/>
      <c r="J79" s="1">
        <v>12092.7</v>
      </c>
      <c r="K79" s="50"/>
      <c r="L79" s="50">
        <f t="shared" si="9"/>
        <v>12352.576418636972</v>
      </c>
      <c r="M79" s="50">
        <v>11830</v>
      </c>
      <c r="N79" s="2">
        <f t="shared" si="10"/>
        <v>-522.57641863697245</v>
      </c>
      <c r="O79">
        <f t="shared" si="11"/>
        <v>273086.11331544427</v>
      </c>
      <c r="T79">
        <f t="shared" si="12"/>
        <v>273086.11331544427</v>
      </c>
    </row>
    <row r="80" spans="1:21" x14ac:dyDescent="0.25">
      <c r="A80" s="50" t="s">
        <v>14</v>
      </c>
      <c r="B80" s="50">
        <v>1</v>
      </c>
      <c r="C80" s="50" t="s">
        <v>54</v>
      </c>
      <c r="D80" s="50">
        <v>203.381127529412</v>
      </c>
      <c r="E80" s="50"/>
      <c r="F80" s="50"/>
      <c r="G80" s="50"/>
      <c r="H80" s="50"/>
      <c r="I80" s="50"/>
      <c r="J80" s="1">
        <v>12092.7</v>
      </c>
      <c r="K80" s="50"/>
      <c r="L80" s="50">
        <f t="shared" si="9"/>
        <v>12766.233375021191</v>
      </c>
      <c r="M80" s="50">
        <v>11830</v>
      </c>
      <c r="N80" s="2">
        <f t="shared" si="10"/>
        <v>-936.23337502119102</v>
      </c>
      <c r="O80">
        <f t="shared" si="11"/>
        <v>876532.9325035701</v>
      </c>
      <c r="T80">
        <f t="shared" si="12"/>
        <v>876532.9325035701</v>
      </c>
    </row>
    <row r="81" spans="1:21" x14ac:dyDescent="0.25">
      <c r="A81" s="50" t="s">
        <v>14</v>
      </c>
      <c r="B81" s="50">
        <v>2</v>
      </c>
      <c r="C81" s="50" t="s">
        <v>54</v>
      </c>
      <c r="D81" s="50">
        <v>203.33950759663901</v>
      </c>
      <c r="E81" s="50"/>
      <c r="F81" s="50"/>
      <c r="G81" s="50"/>
      <c r="H81" s="50"/>
      <c r="I81" s="50"/>
      <c r="J81" s="1">
        <v>12092.7</v>
      </c>
      <c r="K81" s="50"/>
      <c r="L81" s="50">
        <f t="shared" si="9"/>
        <v>12763.620891841032</v>
      </c>
      <c r="M81" s="50">
        <v>11830</v>
      </c>
      <c r="N81" s="2">
        <f t="shared" si="10"/>
        <v>-933.62089184103206</v>
      </c>
      <c r="O81">
        <f t="shared" si="11"/>
        <v>871647.96968204412</v>
      </c>
      <c r="T81">
        <f t="shared" si="12"/>
        <v>871647.96968204412</v>
      </c>
    </row>
    <row r="82" spans="1:21" x14ac:dyDescent="0.25">
      <c r="A82" s="50" t="s">
        <v>14</v>
      </c>
      <c r="B82" s="50">
        <v>3</v>
      </c>
      <c r="C82" s="50" t="s">
        <v>54</v>
      </c>
      <c r="D82" s="50">
        <v>196.441763294118</v>
      </c>
      <c r="E82" s="50"/>
      <c r="F82" s="50"/>
      <c r="G82" s="50"/>
      <c r="H82" s="50"/>
      <c r="I82" s="50"/>
      <c r="J82" s="1">
        <v>12092.7</v>
      </c>
      <c r="K82" s="50"/>
      <c r="L82" s="50">
        <f t="shared" si="9"/>
        <v>12330.649481971788</v>
      </c>
      <c r="M82" s="50">
        <v>11830</v>
      </c>
      <c r="N82" s="2">
        <f t="shared" si="10"/>
        <v>-500.64948197178819</v>
      </c>
      <c r="O82">
        <f t="shared" si="11"/>
        <v>250649.90379861987</v>
      </c>
      <c r="T82">
        <f t="shared" si="12"/>
        <v>250649.90379861987</v>
      </c>
    </row>
    <row r="83" spans="1:21" x14ac:dyDescent="0.25">
      <c r="A83" s="7" t="s">
        <v>14</v>
      </c>
      <c r="B83" s="7">
        <v>1</v>
      </c>
      <c r="C83" s="7" t="s">
        <v>11</v>
      </c>
      <c r="D83" s="7">
        <v>195.625397647059</v>
      </c>
      <c r="E83" s="7"/>
      <c r="F83" s="7"/>
      <c r="G83" s="7"/>
      <c r="H83" s="7"/>
      <c r="I83" s="7"/>
      <c r="J83" s="1">
        <v>12092.7</v>
      </c>
      <c r="K83" s="7">
        <f>AVERAGE(L83:L85)</f>
        <v>12113.140152361011</v>
      </c>
      <c r="L83" s="7">
        <f t="shared" si="9"/>
        <v>12279.406210305895</v>
      </c>
      <c r="M83" s="7">
        <f>5645*2</f>
        <v>11290</v>
      </c>
      <c r="N83" s="2">
        <f t="shared" si="10"/>
        <v>-989.406210305895</v>
      </c>
      <c r="O83">
        <f t="shared" si="11"/>
        <v>978924.64899187291</v>
      </c>
      <c r="P83">
        <f>SQRT(SUMSQ(N83:N85)*100/(COUNTA(N83:N85)*AVERAGE(L83:L85)))</f>
        <v>75.640089320211601</v>
      </c>
      <c r="R83">
        <f>1-(SUM(M83:M85)/SUM(L83:L85))</f>
        <v>6.7954315892280848E-2</v>
      </c>
      <c r="T83">
        <f t="shared" si="12"/>
        <v>978924.64899187291</v>
      </c>
    </row>
    <row r="84" spans="1:21" x14ac:dyDescent="0.25">
      <c r="A84" s="7" t="s">
        <v>14</v>
      </c>
      <c r="B84" s="7">
        <v>2</v>
      </c>
      <c r="C84" s="7" t="s">
        <v>11</v>
      </c>
      <c r="D84" s="7">
        <v>190.856712403361</v>
      </c>
      <c r="E84" s="7"/>
      <c r="F84" s="7"/>
      <c r="G84" s="7"/>
      <c r="H84" s="7"/>
      <c r="I84" s="7"/>
      <c r="J84" s="1">
        <v>12092.7</v>
      </c>
      <c r="K84" s="7"/>
      <c r="L84" s="7">
        <f t="shared" si="9"/>
        <v>11980.07583755897</v>
      </c>
      <c r="M84" s="7">
        <v>11290</v>
      </c>
      <c r="N84" s="2">
        <f t="shared" si="10"/>
        <v>-690.07583755897031</v>
      </c>
      <c r="O84">
        <f t="shared" si="11"/>
        <v>476204.66158271435</v>
      </c>
      <c r="T84">
        <f t="shared" si="12"/>
        <v>837818.32234837522</v>
      </c>
    </row>
    <row r="85" spans="1:21" x14ac:dyDescent="0.25">
      <c r="A85" s="7" t="s">
        <v>14</v>
      </c>
      <c r="B85" s="7">
        <v>3</v>
      </c>
      <c r="C85" s="7" t="s">
        <v>11</v>
      </c>
      <c r="D85" s="7">
        <v>192.44764073949599</v>
      </c>
      <c r="E85" s="7"/>
      <c r="F85" s="7"/>
      <c r="G85" s="7"/>
      <c r="H85" s="7"/>
      <c r="I85" s="7"/>
      <c r="J85" s="1">
        <v>12092.7</v>
      </c>
      <c r="K85" s="7"/>
      <c r="L85" s="7">
        <f t="shared" si="9"/>
        <v>12079.938409218164</v>
      </c>
      <c r="M85" s="7">
        <v>11290</v>
      </c>
      <c r="N85" s="2">
        <f t="shared" si="10"/>
        <v>-789.93840921816445</v>
      </c>
      <c r="O85">
        <f t="shared" si="11"/>
        <v>624002.69035812421</v>
      </c>
      <c r="T85">
        <f t="shared" si="12"/>
        <v>664977.60604044423</v>
      </c>
    </row>
    <row r="86" spans="1:21" x14ac:dyDescent="0.25">
      <c r="A86" s="57" t="s">
        <v>14</v>
      </c>
      <c r="B86" s="57">
        <v>1</v>
      </c>
      <c r="C86" s="57" t="s">
        <v>30</v>
      </c>
      <c r="D86" s="57">
        <v>209.94455798319299</v>
      </c>
      <c r="E86" s="57"/>
      <c r="F86" s="57"/>
      <c r="G86" s="57"/>
      <c r="H86" s="57"/>
      <c r="I86" s="57"/>
      <c r="J86" s="1">
        <v>12092.7</v>
      </c>
      <c r="K86" s="57">
        <f>AVERAGE(L86:L88)</f>
        <v>12971.594772729062</v>
      </c>
      <c r="L86" s="57">
        <f t="shared" si="9"/>
        <v>13178.219904605025</v>
      </c>
      <c r="M86" s="57">
        <f>5599*2</f>
        <v>11198</v>
      </c>
      <c r="N86" s="2">
        <f t="shared" si="10"/>
        <v>-1980.2199046050246</v>
      </c>
      <c r="O86">
        <f t="shared" si="11"/>
        <v>3921270.8705939325</v>
      </c>
      <c r="P86">
        <f>SQRT(SUMSQ(N86:N88)*100/(COUNTA(N86:N88)*AVERAGE(L86:L88)))</f>
        <v>156.26470342372735</v>
      </c>
      <c r="R86">
        <f>1-(SUM(M86:M88)/SUM(L86:L88))</f>
        <v>0.13672912265635939</v>
      </c>
      <c r="T86">
        <f t="shared" si="12"/>
        <v>3921270.8705939325</v>
      </c>
    </row>
    <row r="87" spans="1:21" x14ac:dyDescent="0.25">
      <c r="A87" s="57" t="s">
        <v>14</v>
      </c>
      <c r="B87" s="57">
        <v>2</v>
      </c>
      <c r="C87" s="57" t="s">
        <v>30</v>
      </c>
      <c r="D87" s="57">
        <v>205.44488319327701</v>
      </c>
      <c r="E87" s="57"/>
      <c r="F87" s="57"/>
      <c r="G87" s="57"/>
      <c r="H87" s="57"/>
      <c r="I87" s="57"/>
      <c r="J87" s="1">
        <v>12092.7</v>
      </c>
      <c r="K87" s="57"/>
      <c r="L87" s="57">
        <f t="shared" si="9"/>
        <v>12895.775318041999</v>
      </c>
      <c r="M87" s="57">
        <v>11198</v>
      </c>
      <c r="N87" s="2">
        <f t="shared" si="10"/>
        <v>-1697.7753180419986</v>
      </c>
      <c r="O87">
        <f t="shared" si="11"/>
        <v>2882441.0305526094</v>
      </c>
      <c r="T87">
        <f t="shared" si="12"/>
        <v>2882441.0305526094</v>
      </c>
    </row>
    <row r="88" spans="1:21" x14ac:dyDescent="0.25">
      <c r="A88" s="57" t="s">
        <v>14</v>
      </c>
      <c r="B88" s="57">
        <v>3</v>
      </c>
      <c r="C88" s="57" t="s">
        <v>30</v>
      </c>
      <c r="D88" s="57">
        <v>204.56888793277301</v>
      </c>
      <c r="E88" s="57"/>
      <c r="F88" s="57"/>
      <c r="G88" s="57"/>
      <c r="H88" s="57"/>
      <c r="I88" s="57"/>
      <c r="J88" s="1">
        <v>12092.7</v>
      </c>
      <c r="K88" s="57"/>
      <c r="L88" s="57">
        <f t="shared" si="9"/>
        <v>12840.789095540162</v>
      </c>
      <c r="M88" s="57">
        <v>11198</v>
      </c>
      <c r="N88" s="2">
        <f t="shared" si="10"/>
        <v>-1642.7890955401617</v>
      </c>
      <c r="O88">
        <f t="shared" si="11"/>
        <v>2698756.0124256625</v>
      </c>
      <c r="T88">
        <f t="shared" si="12"/>
        <v>2698756.0124256625</v>
      </c>
    </row>
    <row r="89" spans="1:21" x14ac:dyDescent="0.25">
      <c r="A89" s="5" t="s">
        <v>14</v>
      </c>
      <c r="B89" s="5">
        <v>1</v>
      </c>
      <c r="C89" s="5" t="s">
        <v>12</v>
      </c>
      <c r="D89" s="5">
        <v>139.66668423529401</v>
      </c>
      <c r="E89" s="5"/>
      <c r="F89" s="5"/>
      <c r="G89" s="5"/>
      <c r="H89" s="5"/>
      <c r="I89" s="5"/>
      <c r="J89" s="1">
        <v>12092.7</v>
      </c>
      <c r="K89" s="5">
        <f>AVERAGE(L89:L91)</f>
        <v>8967.0379436813528</v>
      </c>
      <c r="L89" s="5">
        <f t="shared" si="9"/>
        <v>8766.8777694494056</v>
      </c>
      <c r="M89" s="5">
        <f>5600*2</f>
        <v>11200</v>
      </c>
      <c r="N89" s="2">
        <f t="shared" si="10"/>
        <v>2433.1222305505944</v>
      </c>
      <c r="O89">
        <f t="shared" si="11"/>
        <v>5920083.7887995001</v>
      </c>
      <c r="P89">
        <f>SQRT(SUMSQ(N89:N91)*100/(COUNTA(N89:N91)*AVERAGE(L89:L91)))</f>
        <v>241.85434270395024</v>
      </c>
      <c r="R89">
        <f>1-(SUM(M89:M91)/SUM(L89:L91))</f>
        <v>-0.24901891464528814</v>
      </c>
      <c r="T89">
        <f t="shared" si="12"/>
        <v>17795929.809649576</v>
      </c>
    </row>
    <row r="90" spans="1:21" x14ac:dyDescent="0.25">
      <c r="A90" s="5" t="s">
        <v>14</v>
      </c>
      <c r="B90" s="5">
        <v>2</v>
      </c>
      <c r="C90" s="5" t="s">
        <v>12</v>
      </c>
      <c r="D90" s="5">
        <v>153.988333714286</v>
      </c>
      <c r="E90" s="5"/>
      <c r="F90" s="5"/>
      <c r="G90" s="5"/>
      <c r="H90" s="5"/>
      <c r="I90" s="5"/>
      <c r="J90" s="1">
        <v>12092.7</v>
      </c>
      <c r="K90" s="5"/>
      <c r="L90" s="5">
        <f t="shared" si="9"/>
        <v>9665.8477072457335</v>
      </c>
      <c r="M90" s="5">
        <v>11200</v>
      </c>
      <c r="N90" s="2">
        <f t="shared" si="10"/>
        <v>1534.1522927542665</v>
      </c>
      <c r="O90">
        <f t="shared" si="11"/>
        <v>2353623.2573631727</v>
      </c>
      <c r="T90">
        <f t="shared" si="12"/>
        <v>11019427.424330117</v>
      </c>
    </row>
    <row r="91" spans="1:21" x14ac:dyDescent="0.25">
      <c r="A91" s="5" t="s">
        <v>14</v>
      </c>
      <c r="B91" s="5">
        <v>3</v>
      </c>
      <c r="C91" s="5" t="s">
        <v>12</v>
      </c>
      <c r="D91" s="5">
        <v>134.911396436975</v>
      </c>
      <c r="E91" s="5"/>
      <c r="F91" s="5"/>
      <c r="G91" s="5"/>
      <c r="H91" s="5"/>
      <c r="I91" s="5"/>
      <c r="J91" s="1">
        <v>12092.7</v>
      </c>
      <c r="K91" s="5"/>
      <c r="L91" s="5">
        <f t="shared" si="9"/>
        <v>8468.388354348921</v>
      </c>
      <c r="M91" s="5">
        <v>11200</v>
      </c>
      <c r="N91" s="2">
        <f t="shared" si="10"/>
        <v>2731.611645651079</v>
      </c>
      <c r="O91">
        <f t="shared" si="11"/>
        <v>7461702.1826565964</v>
      </c>
      <c r="T91">
        <f t="shared" si="12"/>
        <v>20403394.206947483</v>
      </c>
    </row>
    <row r="92" spans="1:21" x14ac:dyDescent="0.25">
      <c r="A92" s="1" t="s">
        <v>15</v>
      </c>
      <c r="B92" s="1">
        <v>1</v>
      </c>
      <c r="C92" s="1" t="s">
        <v>48</v>
      </c>
      <c r="D92" s="1">
        <v>194.34592941176501</v>
      </c>
      <c r="E92" s="1"/>
      <c r="F92" s="1"/>
      <c r="G92" s="1"/>
      <c r="H92" s="1"/>
      <c r="I92" s="1"/>
      <c r="J92" s="2">
        <f>AVERAGE(L92:L123)</f>
        <v>13677.967316836875</v>
      </c>
      <c r="K92" s="1">
        <f>AVERAGE(L92:L95)</f>
        <v>13299.514450380273</v>
      </c>
      <c r="L92" s="1">
        <f t="shared" ref="L92:L123" si="13">D92*62.77</f>
        <v>12199.09398917649</v>
      </c>
      <c r="M92" s="1">
        <f>5659*2</f>
        <v>11318</v>
      </c>
      <c r="N92" s="2">
        <f t="shared" ref="N92:N123" si="14">(M92-L92)</f>
        <v>-881.09398917649014</v>
      </c>
      <c r="O92">
        <f t="shared" ref="O92:O123" si="15">N92*N92</f>
        <v>776326.61776294094</v>
      </c>
      <c r="P92">
        <f>SQRT(SUMSQ(N92:N95)*100/(COUNTA(N92:N95)*AVERAGE(L92:L95)))</f>
        <v>226.14556405991343</v>
      </c>
      <c r="R92">
        <f>1-(SUM(M92:M95)/SUM(L92:L95))</f>
        <v>0.14899148820606878</v>
      </c>
      <c r="T92">
        <f t="shared" ref="T92:T123" si="16">(ABS(M92-J92)+ABS(L92-J92))^2</f>
        <v>14736697.493844144</v>
      </c>
      <c r="U92">
        <f>1-((SUM(O92:O123))/(SUM(T92:T123)))</f>
        <v>0.74268266928877469</v>
      </c>
    </row>
    <row r="93" spans="1:21" x14ac:dyDescent="0.25">
      <c r="A93" s="1" t="s">
        <v>15</v>
      </c>
      <c r="B93" s="1">
        <v>2</v>
      </c>
      <c r="C93" s="1" t="s">
        <v>48</v>
      </c>
      <c r="D93" s="1">
        <v>176.82431596638699</v>
      </c>
      <c r="E93" s="1"/>
      <c r="F93" s="1"/>
      <c r="G93" s="1"/>
      <c r="H93" s="1"/>
      <c r="I93" s="1"/>
      <c r="J93" s="1">
        <v>13678</v>
      </c>
      <c r="K93" s="1"/>
      <c r="L93" s="1">
        <f t="shared" si="13"/>
        <v>11099.262313210113</v>
      </c>
      <c r="M93" s="1">
        <f>5659*2</f>
        <v>11318</v>
      </c>
      <c r="N93" s="2">
        <f t="shared" si="14"/>
        <v>218.73768678988745</v>
      </c>
      <c r="O93">
        <f t="shared" si="15"/>
        <v>47846.175622190902</v>
      </c>
      <c r="T93">
        <f t="shared" si="16"/>
        <v>24391129.938918728</v>
      </c>
    </row>
    <row r="94" spans="1:21" x14ac:dyDescent="0.25">
      <c r="A94" s="1" t="s">
        <v>15</v>
      </c>
      <c r="B94" s="1">
        <v>3</v>
      </c>
      <c r="C94" s="1" t="s">
        <v>48</v>
      </c>
      <c r="D94" s="1">
        <v>237.71806710684299</v>
      </c>
      <c r="E94" s="1"/>
      <c r="F94" s="1"/>
      <c r="G94" s="1"/>
      <c r="H94" s="1"/>
      <c r="I94" s="1"/>
      <c r="J94" s="1">
        <v>13678</v>
      </c>
      <c r="K94" s="1"/>
      <c r="L94" s="1">
        <f t="shared" si="13"/>
        <v>14921.563072296536</v>
      </c>
      <c r="M94" s="1">
        <f>5659*2</f>
        <v>11318</v>
      </c>
      <c r="N94" s="2">
        <f t="shared" si="14"/>
        <v>-3603.5630722965361</v>
      </c>
      <c r="O94">
        <f t="shared" si="15"/>
        <v>12985666.81601925</v>
      </c>
      <c r="T94">
        <f t="shared" si="16"/>
        <v>12985666.81601925</v>
      </c>
    </row>
    <row r="95" spans="1:21" x14ac:dyDescent="0.25">
      <c r="A95" s="1" t="s">
        <v>15</v>
      </c>
      <c r="B95" s="1">
        <v>4</v>
      </c>
      <c r="C95" s="1" t="s">
        <v>48</v>
      </c>
      <c r="D95" s="1">
        <v>238.619379111645</v>
      </c>
      <c r="E95" s="1"/>
      <c r="F95" s="1"/>
      <c r="G95" s="1"/>
      <c r="H95" s="1"/>
      <c r="I95" s="1"/>
      <c r="J95" s="1">
        <v>13678</v>
      </c>
      <c r="K95" s="1"/>
      <c r="L95" s="1">
        <f t="shared" si="13"/>
        <v>14978.138426837957</v>
      </c>
      <c r="M95" s="1">
        <f>5659*2</f>
        <v>11318</v>
      </c>
      <c r="N95" s="2">
        <f t="shared" si="14"/>
        <v>-3660.138426837957</v>
      </c>
      <c r="O95">
        <f t="shared" si="15"/>
        <v>13396613.303615835</v>
      </c>
      <c r="T95">
        <f t="shared" si="16"/>
        <v>13396613.303615835</v>
      </c>
    </row>
    <row r="96" spans="1:21" x14ac:dyDescent="0.25">
      <c r="A96" s="4" t="s">
        <v>15</v>
      </c>
      <c r="B96" s="4">
        <v>1</v>
      </c>
      <c r="C96" s="4" t="s">
        <v>9</v>
      </c>
      <c r="D96" s="4">
        <v>240.84548859543801</v>
      </c>
      <c r="E96" s="4"/>
      <c r="F96" s="4"/>
      <c r="G96" s="4"/>
      <c r="H96" s="4"/>
      <c r="I96" s="4"/>
      <c r="J96" s="1">
        <v>13678</v>
      </c>
      <c r="K96" s="4">
        <f>AVERAGE(L96:L103)</f>
        <v>14627.672733223737</v>
      </c>
      <c r="L96" s="4">
        <f t="shared" si="13"/>
        <v>15117.871319135646</v>
      </c>
      <c r="M96" s="4">
        <v>11944</v>
      </c>
      <c r="N96" s="2">
        <f t="shared" si="14"/>
        <v>-3173.8713191356455</v>
      </c>
      <c r="O96">
        <f t="shared" si="15"/>
        <v>10073459.150431843</v>
      </c>
      <c r="P96">
        <f>SQRT(SUMSQ(N96:N103)*100/(COUNTA(N96:N103)*AVERAGE(L96:L103)))</f>
        <v>233.22322490368612</v>
      </c>
      <c r="R96">
        <f>1-(SUM(M96:M103)/SUM(L96:L103))</f>
        <v>0.18346546181118262</v>
      </c>
      <c r="T96">
        <f t="shared" si="16"/>
        <v>10073459.150431843</v>
      </c>
    </row>
    <row r="97" spans="1:20" x14ac:dyDescent="0.25">
      <c r="A97" s="4" t="s">
        <v>15</v>
      </c>
      <c r="B97" s="4">
        <v>2</v>
      </c>
      <c r="C97" s="4" t="s">
        <v>9</v>
      </c>
      <c r="D97" s="4">
        <v>236.965005522209</v>
      </c>
      <c r="E97" s="4"/>
      <c r="F97" s="4"/>
      <c r="G97" s="4"/>
      <c r="H97" s="4"/>
      <c r="I97" s="4"/>
      <c r="J97" s="1">
        <v>13678</v>
      </c>
      <c r="K97" s="4"/>
      <c r="L97" s="4">
        <f t="shared" si="13"/>
        <v>14874.29339662906</v>
      </c>
      <c r="M97" s="4">
        <v>11944</v>
      </c>
      <c r="N97" s="2">
        <f t="shared" si="14"/>
        <v>-2930.2933966290602</v>
      </c>
      <c r="O97">
        <f t="shared" si="15"/>
        <v>8586619.3903278746</v>
      </c>
      <c r="T97">
        <f t="shared" si="16"/>
        <v>8586619.3903278746</v>
      </c>
    </row>
    <row r="98" spans="1:20" x14ac:dyDescent="0.25">
      <c r="A98" s="4" t="s">
        <v>15</v>
      </c>
      <c r="B98" s="4">
        <v>3</v>
      </c>
      <c r="C98" s="4" t="s">
        <v>9</v>
      </c>
      <c r="D98" s="4">
        <v>247.43239159663901</v>
      </c>
      <c r="E98" s="4"/>
      <c r="F98" s="4"/>
      <c r="G98" s="4"/>
      <c r="H98" s="4"/>
      <c r="I98" s="4"/>
      <c r="J98" s="1">
        <v>13678</v>
      </c>
      <c r="K98" s="4"/>
      <c r="L98" s="4">
        <f t="shared" si="13"/>
        <v>15531.331220521031</v>
      </c>
      <c r="M98" s="4">
        <v>11944</v>
      </c>
      <c r="N98" s="2">
        <f t="shared" si="14"/>
        <v>-3587.3312205210314</v>
      </c>
      <c r="O98">
        <f t="shared" si="15"/>
        <v>12868945.285724912</v>
      </c>
      <c r="T98">
        <f t="shared" si="16"/>
        <v>12868945.285724912</v>
      </c>
    </row>
    <row r="99" spans="1:20" x14ac:dyDescent="0.25">
      <c r="A99" s="4" t="s">
        <v>15</v>
      </c>
      <c r="B99" s="4">
        <v>4</v>
      </c>
      <c r="C99" s="4" t="s">
        <v>9</v>
      </c>
      <c r="D99" s="4">
        <v>244.071525810324</v>
      </c>
      <c r="E99" s="4"/>
      <c r="F99" s="4"/>
      <c r="G99" s="4"/>
      <c r="H99" s="4"/>
      <c r="I99" s="4"/>
      <c r="J99" s="1">
        <v>13678</v>
      </c>
      <c r="K99" s="4"/>
      <c r="L99" s="4">
        <f t="shared" si="13"/>
        <v>15320.369675114038</v>
      </c>
      <c r="M99" s="4">
        <v>11944</v>
      </c>
      <c r="N99" s="2">
        <f t="shared" si="14"/>
        <v>-3376.3696751140378</v>
      </c>
      <c r="O99">
        <f t="shared" si="15"/>
        <v>11399872.183029674</v>
      </c>
      <c r="T99">
        <f t="shared" si="16"/>
        <v>11399872.183029674</v>
      </c>
    </row>
    <row r="100" spans="1:20" x14ac:dyDescent="0.25">
      <c r="A100" s="4" t="s">
        <v>15</v>
      </c>
      <c r="B100" s="4">
        <v>1</v>
      </c>
      <c r="C100" s="4" t="s">
        <v>52</v>
      </c>
      <c r="D100" s="4">
        <v>220.348931092437</v>
      </c>
      <c r="E100" s="4"/>
      <c r="F100" s="4"/>
      <c r="G100" s="4"/>
      <c r="H100" s="4"/>
      <c r="I100" s="4"/>
      <c r="J100" s="1">
        <v>13678</v>
      </c>
      <c r="K100" s="4"/>
      <c r="L100" s="4">
        <f t="shared" si="13"/>
        <v>13831.302404672271</v>
      </c>
      <c r="M100" s="4">
        <v>11944</v>
      </c>
      <c r="N100" s="2">
        <f t="shared" si="14"/>
        <v>-1887.3024046722712</v>
      </c>
      <c r="O100">
        <f t="shared" si="15"/>
        <v>3561910.3666817374</v>
      </c>
      <c r="T100">
        <f t="shared" si="16"/>
        <v>3561910.3666817374</v>
      </c>
    </row>
    <row r="101" spans="1:20" x14ac:dyDescent="0.25">
      <c r="A101" s="4" t="s">
        <v>15</v>
      </c>
      <c r="B101" s="4">
        <v>2</v>
      </c>
      <c r="C101" s="4" t="s">
        <v>52</v>
      </c>
      <c r="D101" s="4">
        <v>209.529352220888</v>
      </c>
      <c r="E101" s="4"/>
      <c r="F101" s="4"/>
      <c r="G101" s="4"/>
      <c r="H101" s="4"/>
      <c r="I101" s="4"/>
      <c r="J101" s="1">
        <v>13678</v>
      </c>
      <c r="K101" s="4"/>
      <c r="L101" s="4">
        <f t="shared" si="13"/>
        <v>13152.15743890514</v>
      </c>
      <c r="M101" s="4">
        <v>11944</v>
      </c>
      <c r="N101" s="2">
        <f t="shared" si="14"/>
        <v>-1208.1574389051402</v>
      </c>
      <c r="O101">
        <f t="shared" si="15"/>
        <v>1459644.3971818276</v>
      </c>
      <c r="T101">
        <f t="shared" si="16"/>
        <v>5106888.4009357747</v>
      </c>
    </row>
    <row r="102" spans="1:20" x14ac:dyDescent="0.25">
      <c r="A102" s="4" t="s">
        <v>15</v>
      </c>
      <c r="B102" s="4">
        <v>3</v>
      </c>
      <c r="C102" s="4" t="s">
        <v>52</v>
      </c>
      <c r="D102" s="4">
        <v>218.19228403361299</v>
      </c>
      <c r="E102" s="4"/>
      <c r="F102" s="4"/>
      <c r="G102" s="4"/>
      <c r="H102" s="4"/>
      <c r="I102" s="4"/>
      <c r="J102" s="1">
        <v>13678</v>
      </c>
      <c r="K102" s="4"/>
      <c r="L102" s="4">
        <f t="shared" si="13"/>
        <v>13695.929668789888</v>
      </c>
      <c r="M102" s="4">
        <v>11944</v>
      </c>
      <c r="N102" s="2">
        <f t="shared" si="14"/>
        <v>-1751.9296687898877</v>
      </c>
      <c r="O102">
        <f t="shared" si="15"/>
        <v>3069257.5643862458</v>
      </c>
      <c r="T102">
        <f t="shared" si="16"/>
        <v>3069257.5643862458</v>
      </c>
    </row>
    <row r="103" spans="1:20" x14ac:dyDescent="0.25">
      <c r="A103" s="4" t="s">
        <v>15</v>
      </c>
      <c r="B103" s="4">
        <v>4</v>
      </c>
      <c r="C103" s="4" t="s">
        <v>52</v>
      </c>
      <c r="D103" s="4">
        <v>246.90340516206501</v>
      </c>
      <c r="E103" s="4"/>
      <c r="F103" s="4"/>
      <c r="G103" s="4"/>
      <c r="H103" s="4"/>
      <c r="I103" s="4"/>
      <c r="J103" s="1">
        <v>13678</v>
      </c>
      <c r="K103" s="4"/>
      <c r="L103" s="4">
        <f t="shared" si="13"/>
        <v>15498.126742022821</v>
      </c>
      <c r="M103" s="4">
        <v>11944</v>
      </c>
      <c r="N103" s="2">
        <f t="shared" si="14"/>
        <v>-3554.1267420228214</v>
      </c>
      <c r="O103">
        <f t="shared" si="15"/>
        <v>12631816.898361756</v>
      </c>
      <c r="T103">
        <f t="shared" si="16"/>
        <v>12631816.898361756</v>
      </c>
    </row>
    <row r="104" spans="1:20" x14ac:dyDescent="0.25">
      <c r="A104" s="50" t="s">
        <v>15</v>
      </c>
      <c r="B104" s="50">
        <v>1</v>
      </c>
      <c r="C104" s="50" t="s">
        <v>51</v>
      </c>
      <c r="D104" s="50">
        <v>235.27280672268901</v>
      </c>
      <c r="E104" s="50"/>
      <c r="F104" s="50"/>
      <c r="G104" s="50"/>
      <c r="H104" s="50"/>
      <c r="I104" s="50"/>
      <c r="J104" s="1">
        <v>13678</v>
      </c>
      <c r="K104" s="50">
        <f>AVERAGE(L104:L111)</f>
        <v>15000.299591981104</v>
      </c>
      <c r="L104" s="50">
        <f t="shared" si="13"/>
        <v>14768.07407798319</v>
      </c>
      <c r="M104" s="50">
        <f>6085*2</f>
        <v>12170</v>
      </c>
      <c r="N104" s="2">
        <f t="shared" si="14"/>
        <v>-2598.0740779831904</v>
      </c>
      <c r="O104">
        <f t="shared" si="15"/>
        <v>6749988.9146882044</v>
      </c>
      <c r="P104">
        <f>SQRT(SUMSQ(N104:N111)*100/(COUNTA(N104:N111)*AVERAGE(L104:L111)))</f>
        <v>234.03155425438496</v>
      </c>
      <c r="R104">
        <f>1-(SUM(M104:M111)/SUM(L104:L111))</f>
        <v>0.18868287094039993</v>
      </c>
      <c r="T104">
        <f t="shared" si="16"/>
        <v>6749988.9146882044</v>
      </c>
    </row>
    <row r="105" spans="1:20" x14ac:dyDescent="0.25">
      <c r="A105" s="50" t="s">
        <v>15</v>
      </c>
      <c r="B105" s="50">
        <v>2</v>
      </c>
      <c r="C105" s="50" t="s">
        <v>51</v>
      </c>
      <c r="D105" s="50">
        <v>239.55864705882399</v>
      </c>
      <c r="E105" s="50"/>
      <c r="F105" s="50"/>
      <c r="G105" s="50"/>
      <c r="H105" s="50"/>
      <c r="I105" s="50"/>
      <c r="J105" s="1">
        <v>13678</v>
      </c>
      <c r="K105" s="50"/>
      <c r="L105" s="50">
        <f t="shared" si="13"/>
        <v>15037.096275882383</v>
      </c>
      <c r="M105" s="50">
        <v>12170</v>
      </c>
      <c r="N105" s="2">
        <f t="shared" si="14"/>
        <v>-2867.0962758823825</v>
      </c>
      <c r="O105">
        <f t="shared" si="15"/>
        <v>8220241.0551786274</v>
      </c>
      <c r="T105">
        <f t="shared" si="16"/>
        <v>8220241.0551786274</v>
      </c>
    </row>
    <row r="106" spans="1:20" x14ac:dyDescent="0.25">
      <c r="A106" s="50" t="s">
        <v>15</v>
      </c>
      <c r="B106" s="50">
        <v>3</v>
      </c>
      <c r="C106" s="50" t="s">
        <v>51</v>
      </c>
      <c r="D106" s="50">
        <v>237.211348739496</v>
      </c>
      <c r="E106" s="50"/>
      <c r="F106" s="50"/>
      <c r="G106" s="50"/>
      <c r="H106" s="50"/>
      <c r="I106" s="50"/>
      <c r="J106" s="1">
        <v>13678</v>
      </c>
      <c r="K106" s="50"/>
      <c r="L106" s="50">
        <f t="shared" si="13"/>
        <v>14889.756360378165</v>
      </c>
      <c r="M106" s="50">
        <v>12170</v>
      </c>
      <c r="N106" s="2">
        <f t="shared" si="14"/>
        <v>-2719.7563603781655</v>
      </c>
      <c r="O106">
        <f t="shared" si="15"/>
        <v>7397074.6598174851</v>
      </c>
      <c r="T106">
        <f t="shared" si="16"/>
        <v>7397074.6598174851</v>
      </c>
    </row>
    <row r="107" spans="1:20" x14ac:dyDescent="0.25">
      <c r="A107" s="50" t="s">
        <v>15</v>
      </c>
      <c r="B107" s="50">
        <v>4</v>
      </c>
      <c r="C107" s="50" t="s">
        <v>51</v>
      </c>
      <c r="D107" s="50">
        <v>248.646545978391</v>
      </c>
      <c r="E107" s="50"/>
      <c r="F107" s="50"/>
      <c r="G107" s="50"/>
      <c r="H107" s="50"/>
      <c r="I107" s="50"/>
      <c r="J107" s="1">
        <v>13678</v>
      </c>
      <c r="K107" s="50"/>
      <c r="L107" s="50">
        <f t="shared" si="13"/>
        <v>15607.543691063604</v>
      </c>
      <c r="M107" s="50">
        <v>12170</v>
      </c>
      <c r="N107" s="2">
        <f t="shared" si="14"/>
        <v>-3437.5436910636035</v>
      </c>
      <c r="O107">
        <f t="shared" si="15"/>
        <v>11816706.627971184</v>
      </c>
      <c r="T107">
        <f t="shared" si="16"/>
        <v>11816706.627971184</v>
      </c>
    </row>
    <row r="108" spans="1:20" x14ac:dyDescent="0.25">
      <c r="A108" s="50" t="s">
        <v>15</v>
      </c>
      <c r="B108" s="50">
        <v>1</v>
      </c>
      <c r="C108" s="50" t="s">
        <v>54</v>
      </c>
      <c r="D108" s="50">
        <v>225.03202328931599</v>
      </c>
      <c r="E108" s="50"/>
      <c r="F108" s="50"/>
      <c r="G108" s="50"/>
      <c r="H108" s="50"/>
      <c r="I108" s="50"/>
      <c r="J108" s="1">
        <v>13678</v>
      </c>
      <c r="K108" s="50"/>
      <c r="L108" s="50">
        <f t="shared" si="13"/>
        <v>14125.260101870364</v>
      </c>
      <c r="M108" s="50">
        <v>12170</v>
      </c>
      <c r="N108" s="2">
        <f t="shared" si="14"/>
        <v>-1955.2601018703645</v>
      </c>
      <c r="O108">
        <f t="shared" si="15"/>
        <v>3823042.0659661079</v>
      </c>
      <c r="T108">
        <f t="shared" si="16"/>
        <v>3823042.0659661079</v>
      </c>
    </row>
    <row r="109" spans="1:20" x14ac:dyDescent="0.25">
      <c r="A109" s="50" t="s">
        <v>15</v>
      </c>
      <c r="B109" s="50">
        <v>2</v>
      </c>
      <c r="C109" s="50" t="s">
        <v>54</v>
      </c>
      <c r="D109" s="50">
        <v>235.18356014405799</v>
      </c>
      <c r="E109" s="50"/>
      <c r="F109" s="50"/>
      <c r="G109" s="50"/>
      <c r="H109" s="50"/>
      <c r="I109" s="50"/>
      <c r="J109" s="1">
        <v>13678</v>
      </c>
      <c r="K109" s="50"/>
      <c r="L109" s="50">
        <f t="shared" si="13"/>
        <v>14762.47207024252</v>
      </c>
      <c r="M109" s="50">
        <v>12170</v>
      </c>
      <c r="N109" s="2">
        <f t="shared" si="14"/>
        <v>-2592.4720702425202</v>
      </c>
      <c r="O109">
        <f t="shared" si="15"/>
        <v>6720911.4349875385</v>
      </c>
      <c r="T109">
        <f t="shared" si="16"/>
        <v>6720911.4349875385</v>
      </c>
    </row>
    <row r="110" spans="1:20" x14ac:dyDescent="0.25">
      <c r="A110" s="50" t="s">
        <v>15</v>
      </c>
      <c r="B110" s="50">
        <v>3</v>
      </c>
      <c r="C110" s="50" t="s">
        <v>54</v>
      </c>
      <c r="D110" s="50">
        <v>242.82869747899201</v>
      </c>
      <c r="E110" s="50"/>
      <c r="F110" s="50"/>
      <c r="G110" s="50"/>
      <c r="H110" s="50"/>
      <c r="I110" s="50"/>
      <c r="J110" s="1">
        <v>13678</v>
      </c>
      <c r="K110" s="50"/>
      <c r="L110" s="50">
        <f t="shared" si="13"/>
        <v>15242.357340756329</v>
      </c>
      <c r="M110" s="50">
        <v>12170</v>
      </c>
      <c r="N110" s="2">
        <f t="shared" si="14"/>
        <v>-3072.357340756329</v>
      </c>
      <c r="O110">
        <f t="shared" si="15"/>
        <v>9439379.6292993017</v>
      </c>
      <c r="T110">
        <f t="shared" si="16"/>
        <v>9439379.6292993017</v>
      </c>
    </row>
    <row r="111" spans="1:20" x14ac:dyDescent="0.25">
      <c r="A111" s="50" t="s">
        <v>15</v>
      </c>
      <c r="B111" s="50">
        <v>4</v>
      </c>
      <c r="C111" s="50" t="s">
        <v>54</v>
      </c>
      <c r="D111" s="50">
        <v>248.045831092437</v>
      </c>
      <c r="E111" s="50"/>
      <c r="F111" s="50"/>
      <c r="G111" s="50"/>
      <c r="H111" s="50"/>
      <c r="I111" s="50"/>
      <c r="J111" s="1">
        <v>13678</v>
      </c>
      <c r="K111" s="50"/>
      <c r="L111" s="50">
        <f t="shared" si="13"/>
        <v>15569.836817672271</v>
      </c>
      <c r="M111" s="50">
        <v>12170</v>
      </c>
      <c r="N111" s="2">
        <f t="shared" si="14"/>
        <v>-3399.8368176722706</v>
      </c>
      <c r="O111">
        <f t="shared" si="15"/>
        <v>11558890.386799913</v>
      </c>
      <c r="T111">
        <f t="shared" si="16"/>
        <v>11558890.386799913</v>
      </c>
    </row>
    <row r="112" spans="1:20" x14ac:dyDescent="0.25">
      <c r="A112" s="36" t="s">
        <v>15</v>
      </c>
      <c r="B112" s="36">
        <v>1</v>
      </c>
      <c r="C112" s="36" t="s">
        <v>11</v>
      </c>
      <c r="D112" s="36">
        <v>229.626631512605</v>
      </c>
      <c r="E112" s="36"/>
      <c r="F112" s="36"/>
      <c r="G112" s="36"/>
      <c r="H112" s="36"/>
      <c r="I112" s="36"/>
      <c r="J112" s="1">
        <v>13678</v>
      </c>
      <c r="K112" s="36">
        <f>AVERAGE(L112:L115)</f>
        <v>13928.813377667029</v>
      </c>
      <c r="L112" s="36">
        <f t="shared" si="13"/>
        <v>14413.663660046217</v>
      </c>
      <c r="M112" s="36">
        <f>6090*2</f>
        <v>12180</v>
      </c>
      <c r="N112" s="2">
        <f t="shared" si="14"/>
        <v>-2233.663660046217</v>
      </c>
      <c r="O112">
        <f t="shared" si="15"/>
        <v>4989253.3462110618</v>
      </c>
      <c r="P112">
        <f>SQRT(SUMSQ(N112:N115)*100/(COUNTA(N112:N115)*AVERAGE(L112:L115)))</f>
        <v>160.49618407841797</v>
      </c>
      <c r="R112">
        <f>1-(SUM(M112:M115)/SUM(L112:L115))</f>
        <v>0.12555365128741081</v>
      </c>
      <c r="T112">
        <f t="shared" si="16"/>
        <v>4989253.3462110618</v>
      </c>
    </row>
    <row r="113" spans="1:20" x14ac:dyDescent="0.25">
      <c r="A113" s="36" t="s">
        <v>15</v>
      </c>
      <c r="B113" s="36">
        <v>2</v>
      </c>
      <c r="C113" s="36" t="s">
        <v>11</v>
      </c>
      <c r="D113" s="36">
        <v>204.15808523409399</v>
      </c>
      <c r="E113" s="36"/>
      <c r="F113" s="36"/>
      <c r="G113" s="36"/>
      <c r="H113" s="36"/>
      <c r="I113" s="36"/>
      <c r="J113" s="1">
        <v>13678</v>
      </c>
      <c r="K113" s="36"/>
      <c r="L113" s="36">
        <f t="shared" si="13"/>
        <v>12815.003010144081</v>
      </c>
      <c r="M113" s="36">
        <v>12180</v>
      </c>
      <c r="N113" s="2">
        <f t="shared" si="14"/>
        <v>-635.00301014408069</v>
      </c>
      <c r="O113">
        <f t="shared" si="15"/>
        <v>403228.82289204345</v>
      </c>
      <c r="T113">
        <f t="shared" si="16"/>
        <v>5574306.7861087117</v>
      </c>
    </row>
    <row r="114" spans="1:20" x14ac:dyDescent="0.25">
      <c r="A114" s="36" t="s">
        <v>15</v>
      </c>
      <c r="B114" s="36">
        <v>3</v>
      </c>
      <c r="C114" s="36" t="s">
        <v>11</v>
      </c>
      <c r="D114" s="36">
        <v>219.398855942377</v>
      </c>
      <c r="E114" s="36"/>
      <c r="F114" s="36"/>
      <c r="G114" s="36"/>
      <c r="H114" s="36"/>
      <c r="I114" s="36"/>
      <c r="J114" s="1">
        <v>13678</v>
      </c>
      <c r="K114" s="36"/>
      <c r="L114" s="36">
        <f t="shared" si="13"/>
        <v>13771.666187503004</v>
      </c>
      <c r="M114" s="36">
        <v>12180</v>
      </c>
      <c r="N114" s="2">
        <f t="shared" si="14"/>
        <v>-1591.666187503004</v>
      </c>
      <c r="O114">
        <f t="shared" si="15"/>
        <v>2533401.2524403478</v>
      </c>
      <c r="T114">
        <f t="shared" si="16"/>
        <v>2533401.2524403478</v>
      </c>
    </row>
    <row r="115" spans="1:20" x14ac:dyDescent="0.25">
      <c r="A115" s="36" t="s">
        <v>15</v>
      </c>
      <c r="B115" s="36">
        <v>4</v>
      </c>
      <c r="C115" s="36" t="s">
        <v>11</v>
      </c>
      <c r="D115" s="36">
        <v>234.426010084034</v>
      </c>
      <c r="E115" s="36"/>
      <c r="F115" s="36"/>
      <c r="G115" s="36"/>
      <c r="H115" s="36"/>
      <c r="I115" s="36"/>
      <c r="J115" s="1">
        <v>13678</v>
      </c>
      <c r="K115" s="36"/>
      <c r="L115" s="36">
        <f t="shared" si="13"/>
        <v>14714.920652974815</v>
      </c>
      <c r="M115" s="36">
        <v>12180</v>
      </c>
      <c r="N115" s="2">
        <f t="shared" si="14"/>
        <v>-2534.9206529748153</v>
      </c>
      <c r="O115">
        <f t="shared" si="15"/>
        <v>6425822.7168782642</v>
      </c>
      <c r="T115">
        <f t="shared" si="16"/>
        <v>6425822.7168782642</v>
      </c>
    </row>
    <row r="116" spans="1:20" x14ac:dyDescent="0.25">
      <c r="A116" s="5" t="s">
        <v>15</v>
      </c>
      <c r="B116" s="5">
        <v>1</v>
      </c>
      <c r="C116" s="5" t="s">
        <v>30</v>
      </c>
      <c r="D116" s="5">
        <v>243.918612605042</v>
      </c>
      <c r="E116" s="5"/>
      <c r="F116" s="5"/>
      <c r="G116" s="5"/>
      <c r="H116" s="5"/>
      <c r="I116" s="5"/>
      <c r="J116" s="1">
        <v>13678</v>
      </c>
      <c r="K116" s="5">
        <f>AVERAGE(L116:L119)</f>
        <v>15339.412535167159</v>
      </c>
      <c r="L116" s="5">
        <f t="shared" si="13"/>
        <v>15310.771313218487</v>
      </c>
      <c r="M116" s="5">
        <f>6000*2</f>
        <v>12000</v>
      </c>
      <c r="N116" s="2">
        <f t="shared" si="14"/>
        <v>-3310.7713132184872</v>
      </c>
      <c r="O116">
        <f t="shared" si="15"/>
        <v>10961206.688430466</v>
      </c>
      <c r="P116">
        <f>SQRT(SUMSQ(N116:N119)*100/(COUNTA(N116:N119)*AVERAGE(L116:L119)))</f>
        <v>272.71213750613663</v>
      </c>
      <c r="R116">
        <f>1-(SUM(M116:M119)/SUM(L116:L119))</f>
        <v>0.21770146200261697</v>
      </c>
      <c r="T116">
        <f t="shared" si="16"/>
        <v>10961206.688430466</v>
      </c>
    </row>
    <row r="117" spans="1:20" x14ac:dyDescent="0.25">
      <c r="A117" s="5" t="s">
        <v>15</v>
      </c>
      <c r="B117" s="5">
        <v>2</v>
      </c>
      <c r="C117" s="5" t="s">
        <v>30</v>
      </c>
      <c r="D117" s="5">
        <v>231.71723697479001</v>
      </c>
      <c r="E117" s="5"/>
      <c r="F117" s="5"/>
      <c r="G117" s="5"/>
      <c r="H117" s="5"/>
      <c r="I117" s="5"/>
      <c r="J117" s="1">
        <v>13678</v>
      </c>
      <c r="K117" s="5"/>
      <c r="L117" s="5">
        <f t="shared" si="13"/>
        <v>14544.89096490757</v>
      </c>
      <c r="M117" s="5">
        <v>12000</v>
      </c>
      <c r="N117" s="2">
        <f t="shared" si="14"/>
        <v>-2544.8909649075704</v>
      </c>
      <c r="O117">
        <f t="shared" si="15"/>
        <v>6476470.0232681846</v>
      </c>
      <c r="T117">
        <f t="shared" si="16"/>
        <v>6476470.0232681846</v>
      </c>
    </row>
    <row r="118" spans="1:20" x14ac:dyDescent="0.25">
      <c r="A118" s="5" t="s">
        <v>15</v>
      </c>
      <c r="B118" s="5">
        <v>3</v>
      </c>
      <c r="C118" s="5" t="s">
        <v>30</v>
      </c>
      <c r="D118" s="5">
        <v>253.58020840336101</v>
      </c>
      <c r="E118" s="5"/>
      <c r="F118" s="5"/>
      <c r="G118" s="5"/>
      <c r="H118" s="5"/>
      <c r="I118" s="5"/>
      <c r="J118" s="1">
        <v>13678</v>
      </c>
      <c r="K118" s="5"/>
      <c r="L118" s="5">
        <f t="shared" si="13"/>
        <v>15917.229681478972</v>
      </c>
      <c r="M118" s="5">
        <v>12000</v>
      </c>
      <c r="N118" s="2">
        <f t="shared" si="14"/>
        <v>-3917.2296814789715</v>
      </c>
      <c r="O118">
        <f t="shared" si="15"/>
        <v>15344688.377459845</v>
      </c>
      <c r="T118">
        <f t="shared" si="16"/>
        <v>15344688.377459845</v>
      </c>
    </row>
    <row r="119" spans="1:20" x14ac:dyDescent="0.25">
      <c r="A119" s="5" t="s">
        <v>15</v>
      </c>
      <c r="B119" s="5">
        <v>4</v>
      </c>
      <c r="C119" s="5" t="s">
        <v>30</v>
      </c>
      <c r="D119" s="5">
        <v>248.283545978391</v>
      </c>
      <c r="E119" s="5"/>
      <c r="F119" s="5"/>
      <c r="G119" s="5"/>
      <c r="H119" s="5"/>
      <c r="I119" s="5"/>
      <c r="J119" s="1">
        <v>13678</v>
      </c>
      <c r="K119" s="5"/>
      <c r="L119" s="5">
        <f t="shared" si="13"/>
        <v>15584.758181063604</v>
      </c>
      <c r="M119" s="5">
        <v>12000</v>
      </c>
      <c r="N119" s="2">
        <f t="shared" si="14"/>
        <v>-3584.7581810636038</v>
      </c>
      <c r="O119">
        <f t="shared" si="15"/>
        <v>12850491.216702437</v>
      </c>
      <c r="T119">
        <f t="shared" si="16"/>
        <v>12850491.216702437</v>
      </c>
    </row>
    <row r="120" spans="1:20" x14ac:dyDescent="0.25">
      <c r="A120" s="3" t="s">
        <v>15</v>
      </c>
      <c r="B120" s="3">
        <v>1</v>
      </c>
      <c r="C120" s="3" t="s">
        <v>12</v>
      </c>
      <c r="D120" s="3">
        <v>122.76703577431</v>
      </c>
      <c r="E120" s="3"/>
      <c r="F120" s="58" t="s">
        <v>64</v>
      </c>
      <c r="G120" s="3"/>
      <c r="H120" s="3"/>
      <c r="I120" s="3"/>
      <c r="J120" s="1">
        <v>13678</v>
      </c>
      <c r="K120" s="3">
        <f>AVERAGE(L120:L123)</f>
        <v>7600.0535210708313</v>
      </c>
      <c r="L120" s="3">
        <f t="shared" si="13"/>
        <v>7706.0868355534394</v>
      </c>
      <c r="M120" s="3">
        <f>3821*2</f>
        <v>7642</v>
      </c>
      <c r="N120" s="2">
        <f t="shared" si="14"/>
        <v>-64.086835553439414</v>
      </c>
      <c r="O120">
        <f t="shared" si="15"/>
        <v>4107.1224912535863</v>
      </c>
      <c r="P120">
        <f>SQRT(SUMSQ(N120:N123)*100/(COUNTA(N120:N123)*AVERAGE(L120:L123)))</f>
        <v>101.46741520971526</v>
      </c>
      <c r="R120">
        <f>1-(SUM(M120:M123)/SUM(L120:L123))</f>
        <v>-5.5192346755024158E-3</v>
      </c>
      <c r="T120">
        <f t="shared" si="16"/>
        <v>144189978.56488898</v>
      </c>
    </row>
    <row r="121" spans="1:20" x14ac:dyDescent="0.25">
      <c r="A121" s="3" t="s">
        <v>15</v>
      </c>
      <c r="B121" s="3">
        <v>2</v>
      </c>
      <c r="C121" s="3" t="s">
        <v>12</v>
      </c>
      <c r="D121" s="3">
        <v>98.269895798319297</v>
      </c>
      <c r="E121" s="3"/>
      <c r="F121" s="58" t="s">
        <v>65</v>
      </c>
      <c r="G121" s="3"/>
      <c r="H121" s="3"/>
      <c r="I121" s="3"/>
      <c r="J121" s="1">
        <v>13678</v>
      </c>
      <c r="K121" s="3"/>
      <c r="L121" s="3">
        <f t="shared" si="13"/>
        <v>6168.4013592605024</v>
      </c>
      <c r="M121" s="3">
        <v>7642</v>
      </c>
      <c r="N121" s="2">
        <f t="shared" si="14"/>
        <v>1473.5986407394976</v>
      </c>
      <c r="O121">
        <f t="shared" si="15"/>
        <v>2171492.9539892948</v>
      </c>
      <c r="T121">
        <f t="shared" si="16"/>
        <v>183483242.53600374</v>
      </c>
    </row>
    <row r="122" spans="1:20" x14ac:dyDescent="0.25">
      <c r="A122" s="3" t="s">
        <v>15</v>
      </c>
      <c r="B122" s="3">
        <v>3</v>
      </c>
      <c r="C122" s="3" t="s">
        <v>12</v>
      </c>
      <c r="D122" s="3">
        <v>126.813461704682</v>
      </c>
      <c r="E122" s="3"/>
      <c r="F122" s="3"/>
      <c r="G122" s="3"/>
      <c r="H122" s="3"/>
      <c r="I122" s="3"/>
      <c r="J122" s="1">
        <v>13678</v>
      </c>
      <c r="K122" s="3"/>
      <c r="L122" s="3">
        <f t="shared" si="13"/>
        <v>7960.080991202889</v>
      </c>
      <c r="M122" s="3">
        <v>7642</v>
      </c>
      <c r="N122" s="2">
        <f t="shared" si="14"/>
        <v>-318.08099120288898</v>
      </c>
      <c r="O122">
        <f t="shared" si="15"/>
        <v>101175.51696461234</v>
      </c>
      <c r="T122">
        <f t="shared" si="16"/>
        <v>138154612.06536207</v>
      </c>
    </row>
    <row r="123" spans="1:20" x14ac:dyDescent="0.25">
      <c r="A123" s="3" t="s">
        <v>15</v>
      </c>
      <c r="B123" s="3">
        <v>4</v>
      </c>
      <c r="C123" s="3" t="s">
        <v>12</v>
      </c>
      <c r="D123" s="3">
        <v>136.460807683073</v>
      </c>
      <c r="E123" s="3"/>
      <c r="F123" s="3"/>
      <c r="G123" s="3"/>
      <c r="H123" s="3"/>
      <c r="I123" s="3"/>
      <c r="J123" s="1">
        <v>13678</v>
      </c>
      <c r="K123" s="3"/>
      <c r="L123" s="3">
        <f t="shared" si="13"/>
        <v>8565.6448982664933</v>
      </c>
      <c r="M123" s="3">
        <v>7642</v>
      </c>
      <c r="N123" s="2">
        <f t="shared" si="14"/>
        <v>-923.64489826649333</v>
      </c>
      <c r="O123">
        <f t="shared" si="15"/>
        <v>853119.89809372078</v>
      </c>
      <c r="T123">
        <f t="shared" si="16"/>
        <v>124285821.4743475</v>
      </c>
    </row>
    <row r="124" spans="1:20" x14ac:dyDescent="0.25">
      <c r="A124" t="s">
        <v>39</v>
      </c>
      <c r="B124">
        <v>1</v>
      </c>
      <c r="C124" t="s">
        <v>12</v>
      </c>
      <c r="D124">
        <v>132.056661112104</v>
      </c>
      <c r="F124" t="s">
        <v>66</v>
      </c>
      <c r="L124">
        <f t="shared" ref="L124:L147" si="17">D124*62.77</f>
        <v>8289.1966180067684</v>
      </c>
      <c r="N124" s="59"/>
      <c r="O124" s="59" t="s">
        <v>67</v>
      </c>
      <c r="P124" s="59">
        <f>SQRT(SUMSQ(N4:N123)*100/(COUNTA(N4:N123)*AVERAGE(L4:L123)))</f>
        <v>198.80218560292283</v>
      </c>
      <c r="Q124" s="59"/>
      <c r="R124" s="59">
        <f>1-(SUM(M4:M123)/SUM(L14:L123))</f>
        <v>3.9260196635666156E-2</v>
      </c>
      <c r="S124" s="59"/>
      <c r="T124" s="59"/>
    </row>
    <row r="125" spans="1:20" x14ac:dyDescent="0.25">
      <c r="A125" t="s">
        <v>39</v>
      </c>
      <c r="B125">
        <v>2</v>
      </c>
      <c r="C125" t="s">
        <v>12</v>
      </c>
      <c r="D125">
        <v>112.96970184158801</v>
      </c>
      <c r="L125">
        <f t="shared" si="17"/>
        <v>7091.1081845964791</v>
      </c>
    </row>
    <row r="126" spans="1:20" x14ac:dyDescent="0.25">
      <c r="A126" t="s">
        <v>39</v>
      </c>
      <c r="B126">
        <v>3</v>
      </c>
      <c r="C126" t="s">
        <v>12</v>
      </c>
      <c r="D126">
        <v>104.166656534954</v>
      </c>
      <c r="L126">
        <f t="shared" si="17"/>
        <v>6538.5410306990625</v>
      </c>
    </row>
    <row r="127" spans="1:20" x14ac:dyDescent="0.25">
      <c r="A127" t="s">
        <v>39</v>
      </c>
      <c r="B127">
        <v>4</v>
      </c>
      <c r="C127" t="s">
        <v>12</v>
      </c>
      <c r="D127">
        <v>110.39188911138901</v>
      </c>
      <c r="L127">
        <f t="shared" si="17"/>
        <v>6929.298879521888</v>
      </c>
    </row>
    <row r="128" spans="1:20" x14ac:dyDescent="0.25">
      <c r="A128" t="s">
        <v>39</v>
      </c>
      <c r="B128">
        <v>1</v>
      </c>
      <c r="C128" t="s">
        <v>58</v>
      </c>
      <c r="D128">
        <v>234.074445914536</v>
      </c>
      <c r="L128">
        <f t="shared" si="17"/>
        <v>14692.852970055426</v>
      </c>
    </row>
    <row r="129" spans="1:12" x14ac:dyDescent="0.25">
      <c r="A129" t="s">
        <v>39</v>
      </c>
      <c r="B129">
        <v>2</v>
      </c>
      <c r="C129" t="s">
        <v>58</v>
      </c>
      <c r="D129">
        <v>237.61201169318801</v>
      </c>
      <c r="L129">
        <f t="shared" si="17"/>
        <v>14914.905973981413</v>
      </c>
    </row>
    <row r="130" spans="1:12" x14ac:dyDescent="0.25">
      <c r="A130" t="s">
        <v>39</v>
      </c>
      <c r="B130">
        <v>3</v>
      </c>
      <c r="C130" t="s">
        <v>58</v>
      </c>
      <c r="D130">
        <v>233.73269501162201</v>
      </c>
      <c r="L130">
        <f t="shared" si="17"/>
        <v>14671.401265879515</v>
      </c>
    </row>
    <row r="131" spans="1:12" x14ac:dyDescent="0.25">
      <c r="A131" t="s">
        <v>39</v>
      </c>
      <c r="B131">
        <v>4</v>
      </c>
      <c r="C131" t="s">
        <v>58</v>
      </c>
      <c r="D131">
        <v>236.81304823887001</v>
      </c>
      <c r="L131">
        <f t="shared" si="17"/>
        <v>14864.755037953872</v>
      </c>
    </row>
    <row r="132" spans="1:12" x14ac:dyDescent="0.25">
      <c r="A132" t="s">
        <v>39</v>
      </c>
      <c r="B132">
        <v>1</v>
      </c>
      <c r="C132" t="s">
        <v>59</v>
      </c>
      <c r="D132">
        <v>246.188689862328</v>
      </c>
      <c r="L132">
        <f t="shared" si="17"/>
        <v>15453.264062658329</v>
      </c>
    </row>
    <row r="133" spans="1:12" x14ac:dyDescent="0.25">
      <c r="A133" t="s">
        <v>39</v>
      </c>
      <c r="B133">
        <v>2</v>
      </c>
      <c r="C133" t="s">
        <v>59</v>
      </c>
      <c r="D133">
        <v>247.76184995530099</v>
      </c>
      <c r="L133">
        <f t="shared" si="17"/>
        <v>15552.011321694245</v>
      </c>
    </row>
    <row r="134" spans="1:12" x14ac:dyDescent="0.25">
      <c r="A134" t="s">
        <v>39</v>
      </c>
      <c r="B134">
        <v>3</v>
      </c>
      <c r="C134" t="s">
        <v>59</v>
      </c>
      <c r="D134">
        <v>248.09744809583401</v>
      </c>
      <c r="L134">
        <f t="shared" si="17"/>
        <v>15573.076816975501</v>
      </c>
    </row>
    <row r="135" spans="1:12" x14ac:dyDescent="0.25">
      <c r="A135" t="s">
        <v>39</v>
      </c>
      <c r="B135">
        <v>4</v>
      </c>
      <c r="C135" t="s">
        <v>59</v>
      </c>
      <c r="D135">
        <v>261.58149944573597</v>
      </c>
      <c r="L135">
        <f t="shared" si="17"/>
        <v>16419.470720208847</v>
      </c>
    </row>
    <row r="136" spans="1:12" x14ac:dyDescent="0.25">
      <c r="A136" t="s">
        <v>39</v>
      </c>
      <c r="B136">
        <v>1</v>
      </c>
      <c r="C136" t="s">
        <v>60</v>
      </c>
      <c r="D136">
        <v>246.28121494725599</v>
      </c>
      <c r="L136">
        <f t="shared" si="17"/>
        <v>15459.07186223926</v>
      </c>
    </row>
    <row r="137" spans="1:12" x14ac:dyDescent="0.25">
      <c r="A137" t="s">
        <v>39</v>
      </c>
      <c r="B137">
        <v>2</v>
      </c>
      <c r="C137" t="s">
        <v>60</v>
      </c>
      <c r="D137">
        <v>248.55018237082101</v>
      </c>
      <c r="L137">
        <f t="shared" si="17"/>
        <v>15601.494947416435</v>
      </c>
    </row>
    <row r="138" spans="1:12" x14ac:dyDescent="0.25">
      <c r="A138" t="s">
        <v>39</v>
      </c>
      <c r="B138">
        <v>3</v>
      </c>
      <c r="C138" t="s">
        <v>60</v>
      </c>
      <c r="D138">
        <v>248.22953777936701</v>
      </c>
      <c r="L138">
        <f t="shared" si="17"/>
        <v>15581.368086410868</v>
      </c>
    </row>
    <row r="139" spans="1:12" x14ac:dyDescent="0.25">
      <c r="A139" t="s">
        <v>39</v>
      </c>
      <c r="B139">
        <v>4</v>
      </c>
      <c r="C139" t="s">
        <v>60</v>
      </c>
      <c r="D139">
        <v>247.85507598784201</v>
      </c>
      <c r="L139">
        <f t="shared" si="17"/>
        <v>15557.863119756845</v>
      </c>
    </row>
    <row r="140" spans="1:12" x14ac:dyDescent="0.25">
      <c r="A140" t="s">
        <v>39</v>
      </c>
      <c r="B140">
        <v>1</v>
      </c>
      <c r="C140" t="s">
        <v>44</v>
      </c>
      <c r="D140">
        <v>228.878399141784</v>
      </c>
      <c r="L140">
        <f t="shared" si="17"/>
        <v>14366.697114129782</v>
      </c>
    </row>
    <row r="141" spans="1:12" x14ac:dyDescent="0.25">
      <c r="A141" t="s">
        <v>39</v>
      </c>
      <c r="B141">
        <v>2</v>
      </c>
      <c r="C141" t="s">
        <v>44</v>
      </c>
      <c r="D141">
        <v>242.94595043804799</v>
      </c>
      <c r="L141">
        <f t="shared" si="17"/>
        <v>15249.717308996273</v>
      </c>
    </row>
    <row r="142" spans="1:12" x14ac:dyDescent="0.25">
      <c r="A142" t="s">
        <v>39</v>
      </c>
      <c r="B142">
        <v>3</v>
      </c>
      <c r="C142" t="s">
        <v>44</v>
      </c>
      <c r="D142">
        <v>240.885086572501</v>
      </c>
      <c r="L142">
        <f t="shared" si="17"/>
        <v>15120.356884155888</v>
      </c>
    </row>
    <row r="143" spans="1:12" x14ac:dyDescent="0.25">
      <c r="A143" t="s">
        <v>39</v>
      </c>
      <c r="B143">
        <v>4</v>
      </c>
      <c r="C143" t="s">
        <v>44</v>
      </c>
      <c r="D143">
        <v>246.795866261398</v>
      </c>
      <c r="L143">
        <f t="shared" si="17"/>
        <v>15491.376525227954</v>
      </c>
    </row>
    <row r="144" spans="1:12" x14ac:dyDescent="0.25">
      <c r="A144" t="s">
        <v>39</v>
      </c>
      <c r="B144">
        <v>1</v>
      </c>
      <c r="C144" t="s">
        <v>46</v>
      </c>
      <c r="D144">
        <v>244.50653241551899</v>
      </c>
      <c r="L144">
        <f t="shared" si="17"/>
        <v>15347.675039722128</v>
      </c>
    </row>
    <row r="145" spans="1:12" x14ac:dyDescent="0.25">
      <c r="A145" t="s">
        <v>39</v>
      </c>
      <c r="B145">
        <v>2</v>
      </c>
      <c r="C145" t="s">
        <v>46</v>
      </c>
      <c r="D145">
        <v>244.30454267834801</v>
      </c>
      <c r="L145">
        <f t="shared" si="17"/>
        <v>15334.996143919905</v>
      </c>
    </row>
    <row r="146" spans="1:12" x14ac:dyDescent="0.25">
      <c r="A146" t="s">
        <v>39</v>
      </c>
      <c r="B146">
        <v>3</v>
      </c>
      <c r="C146" t="s">
        <v>46</v>
      </c>
      <c r="D146">
        <v>249.745882174146</v>
      </c>
      <c r="L146">
        <f t="shared" si="17"/>
        <v>15676.549024071146</v>
      </c>
    </row>
    <row r="147" spans="1:12" x14ac:dyDescent="0.25">
      <c r="A147" t="s">
        <v>39</v>
      </c>
      <c r="B147">
        <v>4</v>
      </c>
      <c r="C147" t="s">
        <v>46</v>
      </c>
      <c r="D147">
        <v>246.39422327909901</v>
      </c>
      <c r="L147">
        <f t="shared" si="17"/>
        <v>15466.165395229045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2016</vt:lpstr>
      <vt:lpstr>2017</vt:lpstr>
      <vt:lpstr>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Nafziger, Emerson D</dc:creator>
  <dc:description/>
  <cp:lastModifiedBy>wzhang77</cp:lastModifiedBy>
  <cp:revision>3</cp:revision>
  <dcterms:created xsi:type="dcterms:W3CDTF">2019-04-12T15:54:26Z</dcterms:created>
  <dcterms:modified xsi:type="dcterms:W3CDTF">2019-08-02T22:07:06Z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