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ções" sheetId="1" r:id="rId4"/>
    <sheet state="hidden" name="Simula Preço - Antiga" sheetId="2" r:id="rId5"/>
    <sheet state="hidden" name="Simula Preço 1.0" sheetId="3" r:id="rId6"/>
    <sheet state="hidden" name="Simula Margem 1.0" sheetId="4" r:id="rId7"/>
    <sheet state="hidden" name="MGL" sheetId="5" r:id="rId8"/>
    <sheet state="hidden" name="Simula Margem - antiga" sheetId="6" r:id="rId9"/>
    <sheet state="hidden" name="Grupos B2W" sheetId="7" r:id="rId10"/>
    <sheet state="visible" name=" Simula Preço Sul e Sudeste" sheetId="8" r:id="rId11"/>
    <sheet state="visible" name="Simula Preço Centro,Norte e Nor" sheetId="9" r:id="rId12"/>
    <sheet state="visible" name=" Simula Margem Sul e Sudeste" sheetId="10" r:id="rId13"/>
    <sheet state="visible" name="Simula Margem Centro, Norte e N" sheetId="11" r:id="rId14"/>
    <sheet state="hidden" name="categorias" sheetId="12" r:id="rId15"/>
  </sheets>
  <definedNames/>
  <calcPr/>
  <extLst>
    <ext uri="GoogleSheetsCustomDataVersion1">
      <go:sheetsCustomData xmlns:go="http://customooxmlschemas.google.com/" r:id="rId16" roundtripDataSignature="AMtx7mg6QhYna1Rf0upagyWBUFoTwGYkxA=="/>
    </ext>
  </extLst>
</workbook>
</file>

<file path=xl/sharedStrings.xml><?xml version="1.0" encoding="utf-8"?>
<sst xmlns="http://schemas.openxmlformats.org/spreadsheetml/2006/main" count="1023" uniqueCount="176">
  <si>
    <t>Esta planilha tem duas abas: Simula Preço e Simula Margem.</t>
  </si>
  <si>
    <t>Como faço para calcular os custos do produto?</t>
  </si>
  <si>
    <t xml:space="preserve">Os campos que você deve preencher para a simulação, varia de acordo com o objetivo e as células estão sinalizadas em cada uma das abas. </t>
  </si>
  <si>
    <t>Nas páginas de simulação desta planilha, você encontra um quadro pra preencher os custos envolvidos: valor de compra do produto; custos de embalagem e emissão de NFe; comissão do funcionário que ajuda na separação, embalagem e expedição (se houver); impostos; e outros custos que você possa ter. Ao preencher essas informações, o custo total do produto é calculado e preenchido automaticamente nos quadros de simulação.</t>
  </si>
  <si>
    <t>Para MAGALU e MESMO DIA, você tem apenas um quadro simples de simulação, pois a taxa efetiva não varia de acordo com o preço do produto, já que o empreendedor não tem qualquer participação no frete (que é cobrado integralmente do consumidor final).</t>
  </si>
  <si>
    <t>Já para a Americanas S.A, você tem três quadros, pois os valores de frete ou taxa fixa variam de acordo com o preço e volume do produto, conforme detalhado a seguir:</t>
  </si>
  <si>
    <t>Como calcular os impostos sobre produtos?</t>
  </si>
  <si>
    <r>
      <rPr>
        <rFont val="Roboto"/>
        <sz val="12.0"/>
      </rPr>
      <t xml:space="preserve">A alíquota interestadual de ICMS varia entre os estados, por isso, é necessário se atentar a esses números. Eles vairam de 7% a 12%. No entanto, se você for optante do Simples Nacional, não precisa se preocupar com a variação do ICMS, apenas confira o valor de tributação na tabela do Simples Nacional </t>
    </r>
    <r>
      <rPr>
        <rFont val="Roboto"/>
        <color rgb="FF1155CC"/>
        <sz val="12.0"/>
        <u/>
      </rPr>
      <t>neste link</t>
    </r>
    <r>
      <rPr>
        <rFont val="Roboto"/>
        <sz val="12.0"/>
      </rPr>
      <t>. Ao emitir a NF, você pode informar no campo de Dados Adicionais: “O recolhimento do ICMS DIFAL suspenso, conforme medida cautelar na ADI 5.464/DF”.</t>
    </r>
  </si>
  <si>
    <t>Por que na Americanas S.A eu pago o frete (total ou em parte) se o produto custar mais de R$ 80?</t>
  </si>
  <si>
    <t>Porque a Americanas S.A oferece frete grátis ao consumidor final. O frete grátis é um dos benefícios que os compradores mais valorizam (pesquisas apontam que 63% dos consumidores abandonam o carrinho de compras por conta do valor do frete, então o frete grátis aumenta a conversão de venda!).</t>
  </si>
  <si>
    <t>O que são esses grupos e como sei em que grupo minha loja está?</t>
  </si>
  <si>
    <t>Os grupos são uma forma de simplificar a classificação do seller de acordo com sua pontuação no seller index. Assim, se sua loja tem entre 0 e 119 pontos, ela está no Grupo 1; se tem entre 120 e 149 pontos, está no Grupo 2; e se tem mais de 150 pontos, está no Grupo 3.</t>
  </si>
  <si>
    <t>Todos os varejistas novos, com menos de 10 vendas por mês ou menos de 30 dias desde a primeira venda, estão automaticamente inclusos no grupo 1.</t>
  </si>
  <si>
    <t>O Seller Index é uma nota calculada com base nos indicadores operacionais das suas vendas dos últimos 30 dias. Para que seja contabilizada a nota, é necessário que o seller tenha no mínimo 10 pedidos nos últimos 30 dias. Então a pontuação não é por venda e sim o somatório das notas diárias nos últimos 30 dias.</t>
  </si>
  <si>
    <r>
      <rPr>
        <rFont val="Roboto, sans-serif"/>
        <color rgb="FF000000"/>
        <sz val="12.0"/>
      </rPr>
      <t xml:space="preserve">Cada dia é a oportunidade de uma nova nota, pois o indicador contempla o cálculo dos pedidos dos últimos 30 dias. Ele leva em consideração 3 indicadores: </t>
    </r>
    <r>
      <rPr>
        <rFont val="Roboto, sans-serif"/>
        <b/>
        <color rgb="FF000000"/>
        <sz val="12.0"/>
      </rPr>
      <t>Pedidos com atraso de expedição; pedidos cancelados e pedidos mediados pelo SAC.</t>
    </r>
  </si>
  <si>
    <t>Hoje a Americanas S.A vai avaliar os pedidos dos últimos 30 dias e com base nisso dá uma nota de 1-5. E isso se repete todos os dias e o seller recebe a nota relativa a um grupo de pedidos diferentes.</t>
  </si>
  <si>
    <t>O período de avaliação dura 1 mês e acaba 15 dias antes do início do próximo período de vigência, ou seja: para as vendas de agosto (período de vigência agosto) o período de avaliação foi entre os dias 16/06 e 16/07. A soma de todas as notas obtidas em cada um desses dias indica a sua pontuação. Abaixo algumas imagens ilustram a forma de cálculo das notas:</t>
  </si>
  <si>
    <t>A pontuação máxima é sempre 5. Para realizar o cálculo da nota final do Seller Index, você deve considerar sempre a menor nota entre os três indicadores. Exemplo:</t>
  </si>
  <si>
    <t>Pedidos com atraso de expedição: 12% &gt; NOTA 3</t>
  </si>
  <si>
    <t>Pedidos cancelados: 1,2% &gt; NOTA 5</t>
  </si>
  <si>
    <t>Pedidos mediados pelo SAC: 0% &gt; NOTA 5</t>
  </si>
  <si>
    <t>Nota final Seller Index: Nota 3.</t>
  </si>
  <si>
    <t>A seguir um exemplo do cálculo da pontuação para o período de vigência maio:</t>
  </si>
  <si>
    <t>125 pontos nos últimos 30 dias</t>
  </si>
  <si>
    <t>Grupo correspondente: Grupo 2</t>
  </si>
  <si>
    <r>
      <rPr>
        <rFont val="Roboto, Arial"/>
        <b/>
        <color theme="1"/>
        <sz val="12.0"/>
      </rPr>
      <t xml:space="preserve">Para a MAGALU: </t>
    </r>
    <r>
      <rPr>
        <rFont val="Roboto, Arial"/>
        <b val="0"/>
        <color theme="1"/>
        <sz val="12.0"/>
      </rPr>
      <t>você tem dois quadros. Para produtos com valor abaixo de R$ 79, a taxa é apenas a porcentagem sobre o valor do produto. Já para produtos acima de R$ 79, a Magalu oferece frete grátis ao cliente final para aumentar a conversão de venda. Dependendo da sua porcentagem de expedição dentro do prazo, você pode pagar de 0% a 100% desse frete, conforme explicado a seguir:</t>
    </r>
  </si>
  <si>
    <r>
      <rPr>
        <rFont val="Roboto, Arial"/>
        <color rgb="FF000000"/>
        <sz val="12.0"/>
      </rPr>
      <t xml:space="preserve">- A sua participação no frete vai depender da % de pedidos que você envia dentro do prazo (no período de avaliação especificado na cartilha em anexo).
- Dentro dos periodos de avaliação, se você tiver menos de 87% dos pedidos expedidos no prazo, você vai pagar 100% do frete. Se seu cumprimento do prazo for entre 87% e 97%, você vai pagar 50% do frete. E se você tiver mais de 97% dos pedidos expedidos no prazo, o frete é 100% por conta da Magalu. Você pode ver mais detalhes na </t>
    </r>
    <r>
      <rPr>
        <rFont val="Roboto, Arial"/>
        <color theme="4"/>
        <sz val="12.0"/>
        <u/>
      </rPr>
      <t>cartilha</t>
    </r>
    <r>
      <rPr>
        <rFont val="Roboto, Arial"/>
        <color rgb="FF000000"/>
        <sz val="12.0"/>
      </rPr>
      <t xml:space="preserve"> que preparamos pra você.</t>
    </r>
  </si>
  <si>
    <t>B2W</t>
  </si>
  <si>
    <t>MAGALU</t>
  </si>
  <si>
    <t>MESMO DIA</t>
  </si>
  <si>
    <t>Abaixo de R$ 40,00</t>
  </si>
  <si>
    <t>Qualquer valor</t>
  </si>
  <si>
    <t>Custos do produto</t>
  </si>
  <si>
    <t>Valor de compra</t>
  </si>
  <si>
    <t>Preço Produto</t>
  </si>
  <si>
    <t>Embalagem e NFe</t>
  </si>
  <si>
    <t>Custo de emissão da Nota Fiscal Eletrônica (NFe) e impressão de etiquetas, custo de impressora, papel e embalagem (considerando caixa, fita e saquinho para a nota).</t>
  </si>
  <si>
    <t>Frete ou taxa única</t>
  </si>
  <si>
    <t>não tem</t>
  </si>
  <si>
    <t>Comissão funcionário</t>
  </si>
  <si>
    <t>Taxa B2W (16%)</t>
  </si>
  <si>
    <t>Taxa (12,8%)</t>
  </si>
  <si>
    <t>Taxa (9%)</t>
  </si>
  <si>
    <t>Impostos</t>
  </si>
  <si>
    <t>Taxa Nodis (3%)</t>
  </si>
  <si>
    <t>Outros</t>
  </si>
  <si>
    <t>Taxa efetiva</t>
  </si>
  <si>
    <t>Custo total:</t>
  </si>
  <si>
    <t>A receber</t>
  </si>
  <si>
    <r>
      <rPr>
        <rFont val="Roboto"/>
        <color theme="1"/>
        <sz val="11.0"/>
      </rPr>
      <t xml:space="preserve">A alíquota interestadual de ICMS varia entre os estados, por isso, é necessário se atentar a esses números. Eles vairam de 7% a 12%. No entanto, se você for optante do Simples Nacional, não precisa se preocupar com a variação do ICMS, apenas confira o valor de tributação na tabela do Simples Nacional </t>
    </r>
    <r>
      <rPr>
        <rFont val="Roboto"/>
        <color rgb="FF1155CC"/>
        <sz val="11.0"/>
        <u/>
      </rPr>
      <t>neste link</t>
    </r>
    <r>
      <rPr>
        <rFont val="Roboto"/>
        <color theme="1"/>
        <sz val="11.0"/>
      </rPr>
      <t>. Ao emitir a NF, você pode informar no campo de Dados Adicionais: “O recolhimento do ICMS DIFAL suspenso, conforme medida cautelar na ADI 5.464/DF”.</t>
    </r>
  </si>
  <si>
    <t>Lucro</t>
  </si>
  <si>
    <t>Margem de Lucro</t>
  </si>
  <si>
    <t>Grupo 1</t>
  </si>
  <si>
    <t>R$ 40,00 - R$ 79,99</t>
  </si>
  <si>
    <r>
      <rPr>
        <rFont val="Roboto"/>
        <b/>
        <color theme="1"/>
        <sz val="11.0"/>
      </rPr>
      <t>IMPORTANTE:</t>
    </r>
    <r>
      <rPr>
        <rFont val="Roboto"/>
        <color theme="1"/>
        <sz val="11.0"/>
      </rPr>
      <t xml:space="preserve"> 
1- Os campos que estiverem em AMARELO deverão ser preenchidos por você!
2- No caso da B2W, se a célula de preço ficar em cor rosa, significa que o preço não se enquadra naquele intervalo.</t>
    </r>
  </si>
  <si>
    <t>Observação</t>
  </si>
  <si>
    <t>Peso cúbico menor ou igual a 5kg, será cobrado de acordo com o peso real do produto. Para itens com o peso cúbico maior do que 5kg, será cobrado o maior dos dois, entre o peso cubado e o peso real do item.</t>
  </si>
  <si>
    <t>Tabela Frete Grátis acima de R$80,00</t>
  </si>
  <si>
    <t>acima de R$ 80,00</t>
  </si>
  <si>
    <t>Preço do frete de acordo com preço do produto; participação de acordo com reputação. Confira as dimensões, pois um erro pode trazer transtornos na expedição e na precificação do produto.</t>
  </si>
  <si>
    <t>Faixa (kg)</t>
  </si>
  <si>
    <t>Frete Grupo 1 (R$)</t>
  </si>
  <si>
    <t>Frete Grupo 2 (R$)</t>
  </si>
  <si>
    <t>Frete Grupo 3 (R$)</t>
  </si>
  <si>
    <t>até 499g</t>
  </si>
  <si>
    <t>---&gt;</t>
  </si>
  <si>
    <t>de 500 a 900g</t>
  </si>
  <si>
    <t>de 1 a 1,999kg</t>
  </si>
  <si>
    <t>Cálculo do peso cubado</t>
  </si>
  <si>
    <t>de 2 a 4,999kg</t>
  </si>
  <si>
    <t>Altura (cm)</t>
  </si>
  <si>
    <t>de 5 a 8,999kg</t>
  </si>
  <si>
    <t>Comprimento (cm)</t>
  </si>
  <si>
    <t>de 9 a 12,999kg</t>
  </si>
  <si>
    <t>Largura (cm)</t>
  </si>
  <si>
    <t>de 13 a 16,999kg</t>
  </si>
  <si>
    <t>Peso cubado (kg)</t>
  </si>
  <si>
    <t>de 17 a 22,999kg</t>
  </si>
  <si>
    <t>Peso real (kg)</t>
  </si>
  <si>
    <t>de 23 a 28,999kg</t>
  </si>
  <si>
    <t>Peso para a tabela (kg)</t>
  </si>
  <si>
    <t>acima de 30kg</t>
  </si>
  <si>
    <t>Não permitido</t>
  </si>
  <si>
    <t>Grupo 2</t>
  </si>
  <si>
    <t>Grupo 3</t>
  </si>
  <si>
    <r>
      <rPr>
        <rFont val="Roboto"/>
        <color theme="1"/>
        <sz val="11.0"/>
      </rPr>
      <t xml:space="preserve">A alíquota interestadual de ICMS varia entre os estados, por isso, é necessário se atentar a esses números. Eles vairam de 7% a 12%. No entanto, se você for optante do Simples Nacional, não precisa se preocupar com a variação do ICMS, apenas confira o valor de tributação na tabela do Simples Nacional </t>
    </r>
    <r>
      <rPr>
        <rFont val="Roboto"/>
        <color rgb="FF1155CC"/>
        <sz val="11.0"/>
        <u/>
      </rPr>
      <t>neste link</t>
    </r>
    <r>
      <rPr>
        <rFont val="Roboto"/>
        <color theme="1"/>
        <sz val="11.0"/>
      </rPr>
      <t>. Ao emitir a NF, você pode informar no campo de Dados Adicionais: “O recolhimento do ICMS DIFAL suspenso, conforme medida cautelar na ADI 5.464/DF”.</t>
    </r>
  </si>
  <si>
    <t>IMPORTANTE</t>
  </si>
  <si>
    <t>OBSERVAÇÃO</t>
  </si>
  <si>
    <t>1- Os campos que estiverem em AMARELO deverão ser preenchidos por você!
2- No caso da B2W, se a célula de preço ficar em cor rosa, significa que o preço não se enquadra naquele intervalo.
3- Também no caso da B2W, é importante você selecionar o seu grupo, pois influencia na precificação. Se tiver dúvidas sobre o seu grupo, entre em contato conosco.</t>
  </si>
  <si>
    <t>Preço do frete de acordo com pesoo do produto; participação de acordo com reputação. Confira as dimensões, pois um erro pode trazer transtornos na expedição e na precificação do produto.</t>
  </si>
  <si>
    <t>Embalagem</t>
  </si>
  <si>
    <r>
      <rPr>
        <rFont val="Roboto"/>
        <color theme="1"/>
        <sz val="11.0"/>
      </rPr>
      <t xml:space="preserve">A alíquota interestadual de ICMS varia entre os estados, por isso, é necessário se atentar a esses números. Eles vairam de 7% a 12%. No entanto, se você for optante do Simples Nacional, não precisa se preocupar com a variação do ICMS, apenas confira o valor de tributação na tabela do Simples Nacional </t>
    </r>
    <r>
      <rPr>
        <rFont val="Roboto"/>
        <color rgb="FF1155CC"/>
        <sz val="11.0"/>
        <u/>
      </rPr>
      <t>neste link</t>
    </r>
    <r>
      <rPr>
        <rFont val="Roboto"/>
        <color theme="1"/>
        <sz val="11.0"/>
      </rPr>
      <t>. Ao emitir a NF, você pode informar no campo de Dados Adicionais: “O recolhimento do ICMS DIFAL suspenso, conforme medida cautelar na ADI 5.464/DF”.</t>
    </r>
  </si>
  <si>
    <t>R$ 40,00 - R$ 80,00</t>
  </si>
  <si>
    <r>
      <rPr>
        <rFont val="Roboto"/>
        <color theme="1"/>
        <sz val="11.0"/>
      </rPr>
      <t xml:space="preserve">A alíquota interestadual de ICMS varia entre os estados, por isso, é necessário se atentar a esses números. Eles vairam de 7% a 12%. No entanto, se você for optante do Simples Nacional, não precisa se preocupar com a variação do ICMS, apenas confira o valor de tributação na tabela do Simples Nacional </t>
    </r>
    <r>
      <rPr>
        <rFont val="Roboto"/>
        <color rgb="FF1155CC"/>
        <sz val="11.0"/>
        <u/>
      </rPr>
      <t>neste link</t>
    </r>
    <r>
      <rPr>
        <rFont val="Roboto"/>
        <color theme="1"/>
        <sz val="11.0"/>
      </rPr>
      <t>. Ao emitir a NF, você pode informar no campo de Dados Adicionais: “O recolhimento do ICMS DIFAL suspenso, conforme medida cautelar na ADI 5.464/DF”.</t>
    </r>
  </si>
  <si>
    <r>
      <rPr>
        <rFont val="Roboto"/>
        <b/>
        <color theme="1"/>
        <sz val="11.0"/>
      </rPr>
      <t>IMPORTANTE:</t>
    </r>
    <r>
      <rPr>
        <rFont val="Roboto"/>
        <color theme="1"/>
        <sz val="11.0"/>
      </rPr>
      <t xml:space="preserve"> 
1- Os campos que estiverem em AMARELO deverão ser preenchidos por você!
2- No caso da B2W, se a célula de preço ficar em cor rosa, significa que o preço não se enquadra naquele intervalo.</t>
    </r>
  </si>
  <si>
    <t xml:space="preserve">Taxa Fixa Sul e Sudeste </t>
  </si>
  <si>
    <t xml:space="preserve">Taxa Fixa Centro, Norte e Nordeste </t>
  </si>
  <si>
    <t>Valor do Produto                               R$ 40,00 - R$ 80,00</t>
  </si>
  <si>
    <t>Valor do Produto                                        R$ 40,00 - R$ 80,00</t>
  </si>
  <si>
    <t>Participação no Frete</t>
  </si>
  <si>
    <t>Valor do Produto</t>
  </si>
  <si>
    <t>Categoria</t>
  </si>
  <si>
    <t>Taxa</t>
  </si>
  <si>
    <t>Eletrônicos</t>
  </si>
  <si>
    <t>Americanas S.A.</t>
  </si>
  <si>
    <t>Informações do produto</t>
  </si>
  <si>
    <t>Abaixo de R$ 79,00</t>
  </si>
  <si>
    <t xml:space="preserve">Taxa Americanas S.A.       </t>
  </si>
  <si>
    <r>
      <rPr>
        <rFont val="Roboto"/>
        <color theme="1"/>
        <sz val="11.0"/>
      </rPr>
      <t xml:space="preserve">A alíquota interestadual de ICMS varia entre os estados, por isso, é necessário se atentar a esses números. Eles vairam de 7% a 12%. No entanto, se você for optante do Simples Nacional, não precisa se preocupar com a variação do ICMS, apenas confira o valor de tributação na tabela do Simples Nacional </t>
    </r>
    <r>
      <rPr>
        <rFont val="Roboto"/>
        <color rgb="FF1155CC"/>
        <sz val="11.0"/>
        <u/>
      </rPr>
      <t>neste link</t>
    </r>
    <r>
      <rPr>
        <rFont val="Roboto"/>
        <color theme="1"/>
        <sz val="11.0"/>
      </rPr>
      <t>. Ao emitir a NF, você pode informar no campo de Dados Adicionais: “O recolhimento do ICMS DIFAL suspenso, conforme medida cautelar na ADI 5.464/DF”.</t>
    </r>
  </si>
  <si>
    <t>Medidas do produto</t>
  </si>
  <si>
    <t>Peso (kg)</t>
  </si>
  <si>
    <t>Taxa Americanas</t>
  </si>
  <si>
    <t>1- Os campos que estiverem em AMARELO deverão ser preenchidos por você!
2- No caso Da célula de preço ficar em cor rosa, significa que o preço não se enquadra naquele intervalo.
3- No caso da B2W e na MAGALU, é importante você selecionar o seu grupo, pois influencia na precificação. Se tiver dúvidas sobre o seu grupo, entre em contato conosco.</t>
  </si>
  <si>
    <t>A partir de R$ 79,00</t>
  </si>
  <si>
    <t>Preço do frete de acordo com peso do produto; participação de acordo com reputação. Confira as dimensões, pois um erro pode trazer transtornos na expedição e na precificação do produto.</t>
  </si>
  <si>
    <t>Americanas S.A| Tabela Frete Grátis acima de R$80,00</t>
  </si>
  <si>
    <t>Taxa Americanas S.A.</t>
  </si>
  <si>
    <t>Taxa Magalu (12,8%)</t>
  </si>
  <si>
    <t>Cálculo do peso cubado Americanas S.A</t>
  </si>
  <si>
    <t>Cálculo do peso cubado Magalu</t>
  </si>
  <si>
    <t>Altura (m)</t>
  </si>
  <si>
    <t>MAGALU | Tabela Frete Grátis acima de R$79,00</t>
  </si>
  <si>
    <t>Comprimento (m)</t>
  </si>
  <si>
    <t>Largura (m)</t>
  </si>
  <si>
    <t>A partir de 29kg</t>
  </si>
  <si>
    <r>
      <rPr>
        <rFont val="Roboto"/>
        <color theme="1"/>
        <sz val="11.0"/>
      </rPr>
      <t xml:space="preserve">A alíquota interestadual de ICMS varia entre os estados, por isso, é necessário se atentar a esses números. Eles vairam de 7% a 12%. No entanto, se você for optante do Simples Nacional, não precisa se preocupar com a variação do ICMS, apenas confira o valor de tributação na tabela do Simples Nacional </t>
    </r>
    <r>
      <rPr>
        <rFont val="Roboto"/>
        <color rgb="FF1155CC"/>
        <sz val="11.0"/>
        <u/>
      </rPr>
      <t>neste link</t>
    </r>
    <r>
      <rPr>
        <rFont val="Roboto"/>
        <color theme="1"/>
        <sz val="11.0"/>
      </rPr>
      <t>. Ao emitir a NF, você pode informar no campo de Dados Adicionais: “O recolhimento do ICMS DIFAL suspenso, conforme medida cautelar na ADI 5.464/DF”.</t>
    </r>
  </si>
  <si>
    <t>B2W | Tabela Frete Grátis acima de R$80,00</t>
  </si>
  <si>
    <t>Cálculo do peso cubado B2W</t>
  </si>
  <si>
    <t>Pet shop</t>
  </si>
  <si>
    <t>Taxa Americanas S.A</t>
  </si>
  <si>
    <r>
      <rPr>
        <rFont val="Roboto"/>
        <color theme="1"/>
        <sz val="11.0"/>
      </rPr>
      <t xml:space="preserve">A alíquota interestadual de ICMS varia entre os estados, por isso, é necessário se atentar a esses números. Eles vairam de 7% a 12%. No entanto, se você for optante do Simples Nacional, não precisa se preocupar com a variação do ICMS, apenas confira o valor de tributação na tabela do Simples Nacional </t>
    </r>
    <r>
      <rPr>
        <rFont val="Roboto"/>
        <color rgb="FF1155CC"/>
        <sz val="11.0"/>
        <u/>
      </rPr>
      <t>neste link</t>
    </r>
    <r>
      <rPr>
        <rFont val="Roboto"/>
        <color theme="1"/>
        <sz val="11.0"/>
      </rPr>
      <t>. Ao emitir a NF, você pode informar no campo de Dados Adicionais: “O recolhimento do ICMS DIFAL suspenso, conforme medida cautelar na ADI 5.464/DF”.</t>
    </r>
  </si>
  <si>
    <t>a partir de R$ 80,00</t>
  </si>
  <si>
    <t>a partir de R$ 79,00</t>
  </si>
  <si>
    <r>
      <rPr>
        <rFont val="Roboto"/>
        <color theme="1"/>
        <sz val="11.0"/>
      </rPr>
      <t xml:space="preserve">A alíquota interestadual de ICMS varia entre os estados, por isso, é necessário se atentar a esses números. Eles vairam de 7% a 12%. No entanto, se você for optante do Simples Nacional, não precisa se preocupar com a variação do ICMS, apenas confira o valor de tributação na tabela do Simples Nacional </t>
    </r>
    <r>
      <rPr>
        <rFont val="Roboto"/>
        <color rgb="FF1155CC"/>
        <sz val="11.0"/>
        <u/>
      </rPr>
      <t>neste link</t>
    </r>
    <r>
      <rPr>
        <rFont val="Roboto"/>
        <color theme="1"/>
        <sz val="11.0"/>
      </rPr>
      <t>. Ao emitir a NF, você pode informar no campo de Dados Adicionais: “O recolhimento do ICMS DIFAL suspenso, conforme medida cautelar na ADI 5.464/DF”.</t>
    </r>
  </si>
  <si>
    <t>Categorias</t>
  </si>
  <si>
    <t>Mercado</t>
  </si>
  <si>
    <t>Bebidas</t>
  </si>
  <si>
    <t>Alimentos</t>
  </si>
  <si>
    <t>Telefonia fixa</t>
  </si>
  <si>
    <t>Telefonia</t>
  </si>
  <si>
    <t>Eletrodomésticos</t>
  </si>
  <si>
    <t>Eletroportáteis</t>
  </si>
  <si>
    <t>DVDs e Blu-Ray</t>
  </si>
  <si>
    <t>Páscoa</t>
  </si>
  <si>
    <t>Câmeras e Drones</t>
  </si>
  <si>
    <t>Consoles &amp; Games</t>
  </si>
  <si>
    <t>Climatização</t>
  </si>
  <si>
    <t>Wearable</t>
  </si>
  <si>
    <t>Tablets</t>
  </si>
  <si>
    <t>Áudio</t>
  </si>
  <si>
    <t>PCs</t>
  </si>
  <si>
    <t xml:space="preserve">Infomática &amp; Acessórios </t>
  </si>
  <si>
    <t>PC Gamer</t>
  </si>
  <si>
    <t>Utilidades Domésticas</t>
  </si>
  <si>
    <t>Papelaria</t>
  </si>
  <si>
    <t>Móveis</t>
  </si>
  <si>
    <t>Instrumentos Musicais</t>
  </si>
  <si>
    <t>Música</t>
  </si>
  <si>
    <t>Casa e Hobby</t>
  </si>
  <si>
    <t>Cama mesa &amp; banho</t>
  </si>
  <si>
    <t>Brinquedos</t>
  </si>
  <si>
    <t>Bebês</t>
  </si>
  <si>
    <t>Automotivo</t>
  </si>
  <si>
    <t>Artes e artesanatos</t>
  </si>
  <si>
    <t>Artigos de festas</t>
  </si>
  <si>
    <t>Artigos de natal</t>
  </si>
  <si>
    <t>Suplementos e vitaminas</t>
  </si>
  <si>
    <t>Saúde e bem estar</t>
  </si>
  <si>
    <t>Livros</t>
  </si>
  <si>
    <t>Esporte &amp; Lazer</t>
  </si>
  <si>
    <t>Construção &amp; ferramentas</t>
  </si>
  <si>
    <t>Beleza e perfumaria</t>
  </si>
  <si>
    <t xml:space="preserve">Agro, indústria e Comércio </t>
  </si>
  <si>
    <t xml:space="preserve">Relógios </t>
  </si>
  <si>
    <t>Moda</t>
  </si>
  <si>
    <t>Malas, mochilas e acessórios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</si>
</sst>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6">
    <font>
      <sz val="10.0"/>
      <color rgb="FF000000"/>
      <name val="Arial"/>
    </font>
    <font>
      <sz val="12.0"/>
      <color theme="1"/>
      <name val="Roboto"/>
    </font>
    <font>
      <b/>
      <sz val="12.0"/>
      <color theme="1"/>
      <name val="Roboto"/>
    </font>
    <font>
      <u/>
      <sz val="12.0"/>
      <color rgb="FF0000FF"/>
      <name val="Roboto"/>
    </font>
    <font>
      <b/>
      <sz val="12.0"/>
      <color rgb="FF000000"/>
      <name val="Roboto"/>
    </font>
    <font>
      <sz val="12.0"/>
      <color rgb="FF000000"/>
      <name val="Roboto"/>
    </font>
    <font>
      <color theme="1"/>
      <name val="Arial"/>
    </font>
    <font>
      <u/>
      <sz val="12.0"/>
      <color rgb="FF000000"/>
      <name val="Roboto"/>
    </font>
    <font/>
    <font>
      <sz val="8.0"/>
      <color theme="1"/>
      <name val="Roboto"/>
    </font>
    <font>
      <u/>
      <sz val="11.0"/>
      <color theme="1"/>
      <name val="Roboto"/>
    </font>
    <font>
      <sz val="11.0"/>
      <color theme="1"/>
      <name val="Roboto"/>
    </font>
    <font>
      <sz val="11.0"/>
      <color rgb="FF000000"/>
      <name val="Roboto"/>
    </font>
    <font>
      <sz val="10.0"/>
      <color theme="1"/>
      <name val="Roboto"/>
    </font>
    <font>
      <sz val="11.0"/>
      <color rgb="FF000000"/>
      <name val="Inconsolata"/>
    </font>
    <font>
      <b/>
      <sz val="12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</fills>
  <borders count="42">
    <border/>
    <border>
      <left style="medium">
        <color rgb="FF34A853"/>
      </left>
      <top style="medium">
        <color rgb="FF34A853"/>
      </top>
    </border>
    <border>
      <right style="medium">
        <color rgb="FF34A853"/>
      </right>
      <top style="medium">
        <color rgb="FF34A853"/>
      </top>
    </border>
    <border>
      <left style="medium">
        <color rgb="FF34A853"/>
      </left>
    </border>
    <border>
      <right style="medium">
        <color rgb="FF34A853"/>
      </right>
    </border>
    <border>
      <left style="dotted">
        <color rgb="FF4285F4"/>
      </left>
      <top style="dotted">
        <color rgb="FF4285F4"/>
      </top>
    </border>
    <border>
      <top style="dotted">
        <color rgb="FF4285F4"/>
      </top>
    </border>
    <border>
      <right style="dotted">
        <color rgb="FF4285F4"/>
      </right>
      <top style="dotted">
        <color rgb="FF4285F4"/>
      </top>
    </border>
    <border>
      <left style="dotted">
        <color rgb="FF4285F4"/>
      </left>
      <bottom style="dotted">
        <color rgb="FF4285F4"/>
      </bottom>
    </border>
    <border>
      <bottom style="dotted">
        <color rgb="FF4285F4"/>
      </bottom>
    </border>
    <border>
      <right style="dotted">
        <color rgb="FF4285F4"/>
      </right>
      <bottom style="dotted">
        <color rgb="FF4285F4"/>
      </bottom>
    </border>
    <border>
      <left style="medium">
        <color rgb="FF34A853"/>
      </left>
      <bottom style="medium">
        <color rgb="FF34A853"/>
      </bottom>
    </border>
    <border>
      <right style="medium">
        <color rgb="FF34A853"/>
      </right>
      <bottom style="medium">
        <color rgb="FF34A853"/>
      </bottom>
    </border>
    <border>
      <left style="thick">
        <color rgb="FF34A853"/>
      </left>
      <top style="thick">
        <color rgb="FF34A853"/>
      </top>
    </border>
    <border>
      <right style="thick">
        <color rgb="FF34A853"/>
      </right>
      <top style="thick">
        <color rgb="FF34A853"/>
      </top>
    </border>
    <border>
      <left style="medium">
        <color rgb="FF34A853"/>
      </left>
      <top style="medium">
        <color rgb="FF34A853"/>
      </top>
      <bottom style="medium">
        <color rgb="FF34A853"/>
      </bottom>
    </border>
    <border>
      <right style="medium">
        <color rgb="FF34A853"/>
      </right>
      <top style="medium">
        <color rgb="FF34A853"/>
      </top>
      <bottom style="medium">
        <color rgb="FF34A853"/>
      </bottom>
    </border>
    <border>
      <left style="thick">
        <color rgb="FF34A853"/>
      </left>
    </border>
    <border>
      <right style="thick">
        <color rgb="FF34A853"/>
      </right>
    </border>
    <border>
      <left style="thick">
        <color rgb="FF34A853"/>
      </left>
      <bottom style="thick">
        <color rgb="FF34A853"/>
      </bottom>
    </border>
    <border>
      <right style="thick">
        <color rgb="FF34A853"/>
      </right>
      <bottom style="thick">
        <color rgb="FF34A853"/>
      </bottom>
    </border>
    <border>
      <left style="hair">
        <color rgb="FFFF0000"/>
      </left>
      <top style="hair">
        <color rgb="FFFF0000"/>
      </top>
    </border>
    <border>
      <right style="hair">
        <color rgb="FFFF0000"/>
      </right>
      <top style="hair">
        <color rgb="FFFF0000"/>
      </top>
    </border>
    <border>
      <left style="hair">
        <color rgb="FFFF0000"/>
      </left>
    </border>
    <border>
      <right style="hair">
        <color rgb="FFFF0000"/>
      </right>
    </border>
    <border>
      <top style="medium">
        <color rgb="FF34A853"/>
      </top>
    </border>
    <border>
      <left style="hair">
        <color rgb="FFFF0000"/>
      </left>
      <bottom style="hair">
        <color rgb="FFFF0000"/>
      </bottom>
    </border>
    <border>
      <right style="hair">
        <color rgb="FFFF0000"/>
      </right>
      <bottom style="hair">
        <color rgb="FFFF0000"/>
      </bottom>
    </border>
    <border>
      <left style="thin">
        <color rgb="FF34A853"/>
      </left>
      <bottom style="thin">
        <color rgb="FF34A853"/>
      </bottom>
    </border>
    <border>
      <right style="thin">
        <color rgb="FF34A853"/>
      </right>
      <bottom style="thin">
        <color rgb="FF34A853"/>
      </bottom>
    </border>
    <border>
      <bottom style="medium">
        <color rgb="FF34A853"/>
      </bottom>
    </border>
    <border>
      <left style="thin">
        <color rgb="FF34A853"/>
      </left>
      <top style="thin">
        <color rgb="FF34A853"/>
      </top>
      <bottom style="thin">
        <color rgb="FF34A853"/>
      </bottom>
    </border>
    <border>
      <right style="thin">
        <color rgb="FF34A853"/>
      </right>
      <top style="thin">
        <color rgb="FF34A853"/>
      </top>
      <bottom style="thin">
        <color rgb="FF34A853"/>
      </bottom>
    </border>
    <border>
      <top style="medium">
        <color rgb="FF34A853"/>
      </top>
      <bottom style="medium">
        <color rgb="FF34A853"/>
      </bottom>
    </border>
    <border>
      <left style="medium">
        <color rgb="FF34A853"/>
      </left>
      <right style="medium">
        <color rgb="FF34A853"/>
      </right>
      <top style="medium">
        <color rgb="FF34A853"/>
      </top>
    </border>
    <border>
      <left style="medium">
        <color rgb="FF34A853"/>
      </left>
      <right style="medium">
        <color rgb="FF34A853"/>
      </right>
      <bottom style="medium">
        <color rgb="FF34A853"/>
      </bottom>
    </border>
    <border>
      <left style="dotted">
        <color rgb="FF34A853"/>
      </left>
      <top style="dotted">
        <color rgb="FF34A853"/>
      </top>
    </border>
    <border>
      <top style="dotted">
        <color rgb="FF34A853"/>
      </top>
    </border>
    <border>
      <right style="dotted">
        <color rgb="FF34A853"/>
      </right>
      <top style="dotted">
        <color rgb="FF34A853"/>
      </top>
    </border>
    <border>
      <left style="dotted">
        <color rgb="FF34A853"/>
      </left>
      <bottom style="dotted">
        <color rgb="FF34A853"/>
      </bottom>
    </border>
    <border>
      <bottom style="dotted">
        <color rgb="FF34A853"/>
      </bottom>
    </border>
    <border>
      <right style="dotted">
        <color rgb="FF34A853"/>
      </right>
      <bottom style="dotted">
        <color rgb="FF34A853"/>
      </bottom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2" fontId="2" numFmtId="0" xfId="0" applyAlignment="1" applyFill="1" applyFont="1">
      <alignment shrinkToFit="0" wrapText="1"/>
    </xf>
    <xf borderId="0" fillId="2" fontId="1" numFmtId="0" xfId="0" applyAlignment="1" applyFont="1">
      <alignment shrinkToFit="0" wrapText="1"/>
    </xf>
    <xf borderId="0" fillId="2" fontId="1" numFmtId="0" xfId="0" applyAlignment="1" applyFont="1">
      <alignment shrinkToFit="0" vertical="top" wrapText="1"/>
    </xf>
    <xf borderId="0" fillId="2" fontId="1" numFmtId="0" xfId="0" applyAlignment="1" applyFont="1">
      <alignment readingOrder="0" shrinkToFit="0" wrapText="1"/>
    </xf>
    <xf borderId="0" fillId="2" fontId="2" numFmtId="0" xfId="0" applyAlignment="1" applyFont="1">
      <alignment shrinkToFit="0" vertical="center" wrapText="1"/>
    </xf>
    <xf borderId="0" fillId="2" fontId="3" numFmtId="0" xfId="0" applyAlignment="1" applyFont="1">
      <alignment shrinkToFit="0" vertical="top" wrapText="1"/>
    </xf>
    <xf borderId="0" fillId="2" fontId="1" numFmtId="0" xfId="0" applyFont="1"/>
    <xf borderId="0" fillId="2" fontId="4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2" fontId="5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shrinkToFit="0" wrapText="1"/>
    </xf>
    <xf borderId="0" fillId="2" fontId="4" numFmtId="0" xfId="0" applyFont="1"/>
    <xf borderId="0" fillId="2" fontId="5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5" numFmtId="0" xfId="0" applyAlignment="1" applyFont="1">
      <alignment shrinkToFit="0" wrapText="1"/>
    </xf>
    <xf borderId="0" fillId="2" fontId="5" numFmtId="0" xfId="0" applyAlignment="1" applyFont="1">
      <alignment readingOrder="0" shrinkToFit="0" wrapText="1"/>
    </xf>
    <xf borderId="0" fillId="3" fontId="5" numFmtId="0" xfId="0" applyAlignment="1" applyFill="1" applyFont="1">
      <alignment shrinkToFit="0" wrapText="1"/>
    </xf>
    <xf borderId="0" fillId="2" fontId="6" numFmtId="0" xfId="0" applyFont="1"/>
    <xf borderId="0" fillId="2" fontId="5" numFmtId="0" xfId="0" applyFont="1"/>
    <xf borderId="0" fillId="2" fontId="2" numFmtId="0" xfId="0" applyAlignment="1" applyFont="1">
      <alignment shrinkToFit="0" vertical="bottom" wrapText="1"/>
    </xf>
    <xf borderId="0" fillId="2" fontId="7" numFmtId="0" xfId="0" applyAlignment="1" applyFont="1">
      <alignment shrinkToFit="0" vertical="bottom" wrapText="1"/>
    </xf>
    <xf borderId="0" fillId="0" fontId="1" numFmtId="0" xfId="0" applyAlignment="1" applyFont="1">
      <alignment vertical="center"/>
    </xf>
    <xf borderId="0" fillId="4" fontId="2" numFmtId="0" xfId="0" applyAlignment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8" numFmtId="0" xfId="0" applyBorder="1" applyFont="1"/>
    <xf borderId="3" fillId="0" fontId="1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4" fillId="5" fontId="1" numFmtId="164" xfId="0" applyAlignment="1" applyBorder="1" applyFill="1" applyFont="1" applyNumberFormat="1">
      <alignment vertical="center"/>
    </xf>
    <xf borderId="0" fillId="0" fontId="2" numFmtId="0" xfId="0" applyAlignment="1" applyFont="1">
      <alignment vertical="center"/>
    </xf>
    <xf borderId="3" fillId="0" fontId="2" numFmtId="0" xfId="0" applyAlignment="1" applyBorder="1" applyFont="1">
      <alignment vertical="center"/>
    </xf>
    <xf borderId="4" fillId="6" fontId="1" numFmtId="164" xfId="0" applyAlignment="1" applyBorder="1" applyFill="1" applyFont="1" applyNumberFormat="1">
      <alignment vertical="center"/>
    </xf>
    <xf borderId="0" fillId="0" fontId="6" numFmtId="0" xfId="0" applyFont="1"/>
    <xf borderId="5" fillId="0" fontId="9" numFmtId="0" xfId="0" applyAlignment="1" applyBorder="1" applyFont="1">
      <alignment horizontal="center" shrinkToFit="0" vertical="center" wrapText="1"/>
    </xf>
    <xf borderId="6" fillId="0" fontId="8" numFmtId="0" xfId="0" applyBorder="1" applyFont="1"/>
    <xf borderId="7" fillId="0" fontId="8" numFmtId="0" xfId="0" applyBorder="1" applyFont="1"/>
    <xf borderId="4" fillId="0" fontId="1" numFmtId="164" xfId="0" applyAlignment="1" applyBorder="1" applyFont="1" applyNumberFormat="1">
      <alignment vertical="center"/>
    </xf>
    <xf borderId="4" fillId="0" fontId="1" numFmtId="164" xfId="0" applyAlignment="1" applyBorder="1" applyFont="1" applyNumberFormat="1">
      <alignment horizontal="right" vertical="center"/>
    </xf>
    <xf borderId="4" fillId="5" fontId="1" numFmtId="10" xfId="0" applyAlignment="1" applyBorder="1" applyFont="1" applyNumberFormat="1">
      <alignment vertical="center"/>
    </xf>
    <xf borderId="8" fillId="0" fontId="8" numFmtId="0" xfId="0" applyBorder="1" applyFont="1"/>
    <xf borderId="9" fillId="0" fontId="8" numFmtId="0" xfId="0" applyBorder="1" applyFont="1"/>
    <xf borderId="10" fillId="0" fontId="8" numFmtId="0" xfId="0" applyBorder="1" applyFont="1"/>
    <xf borderId="4" fillId="0" fontId="1" numFmtId="10" xfId="0" applyAlignment="1" applyBorder="1" applyFont="1" applyNumberFormat="1">
      <alignment vertical="center"/>
    </xf>
    <xf borderId="11" fillId="0" fontId="1" numFmtId="0" xfId="0" applyAlignment="1" applyBorder="1" applyFont="1">
      <alignment vertical="center"/>
    </xf>
    <xf borderId="12" fillId="0" fontId="1" numFmtId="164" xfId="0" applyAlignment="1" applyBorder="1" applyFont="1" applyNumberFormat="1">
      <alignment vertical="center"/>
    </xf>
    <xf borderId="1" fillId="0" fontId="10" numFmtId="0" xfId="0" applyAlignment="1" applyBorder="1" applyFont="1">
      <alignment horizontal="center" shrinkToFit="0" vertical="center" wrapText="1"/>
    </xf>
    <xf borderId="3" fillId="0" fontId="8" numFmtId="0" xfId="0" applyBorder="1" applyFont="1"/>
    <xf borderId="4" fillId="0" fontId="8" numFmtId="0" xfId="0" applyBorder="1" applyFont="1"/>
    <xf borderId="11" fillId="0" fontId="2" numFmtId="0" xfId="0" applyAlignment="1" applyBorder="1" applyFont="1">
      <alignment vertical="center"/>
    </xf>
    <xf borderId="12" fillId="0" fontId="1" numFmtId="10" xfId="0" applyAlignment="1" applyBorder="1" applyFont="1" applyNumberFormat="1">
      <alignment vertical="center"/>
    </xf>
    <xf borderId="4" fillId="6" fontId="1" numFmtId="164" xfId="0" applyAlignment="1" applyBorder="1" applyFont="1" applyNumberFormat="1">
      <alignment horizontal="right" vertical="center"/>
    </xf>
    <xf borderId="13" fillId="6" fontId="11" numFmtId="0" xfId="0" applyAlignment="1" applyBorder="1" applyFont="1">
      <alignment horizontal="center" shrinkToFit="0" vertical="center" wrapText="1"/>
    </xf>
    <xf borderId="14" fillId="0" fontId="8" numFmtId="0" xfId="0" applyBorder="1" applyFont="1"/>
    <xf borderId="15" fillId="7" fontId="1" numFmtId="0" xfId="0" applyAlignment="1" applyBorder="1" applyFill="1" applyFont="1">
      <alignment horizontal="center" vertical="center"/>
    </xf>
    <xf borderId="16" fillId="0" fontId="8" numFmtId="0" xfId="0" applyBorder="1" applyFont="1"/>
    <xf borderId="17" fillId="0" fontId="8" numFmtId="0" xfId="0" applyBorder="1" applyFont="1"/>
    <xf borderId="18" fillId="0" fontId="8" numFmtId="0" xfId="0" applyBorder="1" applyFont="1"/>
    <xf borderId="3" fillId="7" fontId="1" numFmtId="0" xfId="0" applyAlignment="1" applyBorder="1" applyFont="1">
      <alignment horizontal="center" shrinkToFit="0" vertical="center" wrapText="1"/>
    </xf>
    <xf borderId="4" fillId="0" fontId="1" numFmtId="10" xfId="0" applyAlignment="1" applyBorder="1" applyFont="1" applyNumberFormat="1">
      <alignment horizontal="right" vertical="center"/>
    </xf>
    <xf borderId="11" fillId="0" fontId="8" numFmtId="0" xfId="0" applyBorder="1" applyFont="1"/>
    <xf borderId="12" fillId="0" fontId="8" numFmtId="0" xfId="0" applyBorder="1" applyFont="1"/>
    <xf borderId="19" fillId="0" fontId="8" numFmtId="0" xfId="0" applyBorder="1" applyFont="1"/>
    <xf borderId="20" fillId="0" fontId="8" numFmtId="0" xfId="0" applyBorder="1" applyFont="1"/>
    <xf borderId="12" fillId="0" fontId="1" numFmtId="10" xfId="0" applyAlignment="1" applyBorder="1" applyFont="1" applyNumberFormat="1">
      <alignment horizontal="right" vertical="center"/>
    </xf>
    <xf borderId="1" fillId="8" fontId="2" numFmtId="0" xfId="0" applyAlignment="1" applyBorder="1" applyFill="1" applyFont="1">
      <alignment horizontal="center" vertical="center"/>
    </xf>
    <xf borderId="21" fillId="0" fontId="12" numFmtId="0" xfId="0" applyAlignment="1" applyBorder="1" applyFont="1">
      <alignment shrinkToFit="0" vertical="center" wrapText="1"/>
    </xf>
    <xf borderId="22" fillId="0" fontId="8" numFmtId="0" xfId="0" applyBorder="1" applyFont="1"/>
    <xf borderId="2" fillId="8" fontId="2" numFmtId="0" xfId="0" applyAlignment="1" applyBorder="1" applyFont="1">
      <alignment horizontal="center" vertical="center"/>
    </xf>
    <xf borderId="23" fillId="0" fontId="8" numFmtId="0" xfId="0" applyBorder="1" applyFont="1"/>
    <xf borderId="24" fillId="0" fontId="8" numFmtId="0" xfId="0" applyBorder="1" applyFont="1"/>
    <xf borderId="1" fillId="0" fontId="1" numFmtId="0" xfId="0" applyAlignment="1" applyBorder="1" applyFont="1">
      <alignment horizontal="center" vertical="center"/>
    </xf>
    <xf borderId="25" fillId="0" fontId="1" numFmtId="164" xfId="0" applyAlignment="1" applyBorder="1" applyFont="1" applyNumberFormat="1">
      <alignment horizontal="center" vertical="center"/>
    </xf>
    <xf borderId="2" fillId="0" fontId="1" numFmtId="164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4" fillId="0" fontId="1" numFmtId="164" xfId="0" applyAlignment="1" applyBorder="1" applyFont="1" applyNumberFormat="1">
      <alignment horizontal="center" vertical="center"/>
    </xf>
    <xf borderId="26" fillId="0" fontId="8" numFmtId="0" xfId="0" applyBorder="1" applyFont="1"/>
    <xf borderId="27" fillId="0" fontId="8" numFmtId="0" xfId="0" applyBorder="1" applyFont="1"/>
    <xf borderId="28" fillId="8" fontId="2" numFmtId="0" xfId="0" applyAlignment="1" applyBorder="1" applyFont="1">
      <alignment horizontal="center" vertical="center"/>
    </xf>
    <xf borderId="29" fillId="0" fontId="8" numFmtId="0" xfId="0" applyBorder="1" applyFont="1"/>
    <xf borderId="4" fillId="6" fontId="1" numFmtId="3" xfId="0" applyAlignment="1" applyBorder="1" applyFont="1" applyNumberFormat="1">
      <alignment horizontal="right" vertical="center"/>
    </xf>
    <xf borderId="4" fillId="6" fontId="1" numFmtId="0" xfId="0" applyAlignment="1" applyBorder="1" applyFont="1">
      <alignment vertical="center"/>
    </xf>
    <xf borderId="4" fillId="0" fontId="1" numFmtId="2" xfId="0" applyAlignment="1" applyBorder="1" applyFont="1" applyNumberFormat="1">
      <alignment vertical="center"/>
    </xf>
    <xf borderId="12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center"/>
    </xf>
    <xf borderId="30" fillId="0" fontId="1" numFmtId="164" xfId="0" applyAlignment="1" applyBorder="1" applyFont="1" applyNumberFormat="1">
      <alignment horizontal="center"/>
    </xf>
    <xf borderId="12" fillId="0" fontId="1" numFmtId="164" xfId="0" applyAlignment="1" applyBorder="1" applyFont="1" applyNumberFormat="1">
      <alignment horizontal="center"/>
    </xf>
    <xf borderId="0" fillId="3" fontId="1" numFmtId="0" xfId="0" applyAlignment="1" applyFont="1">
      <alignment vertical="center"/>
    </xf>
    <xf borderId="0" fillId="3" fontId="5" numFmtId="0" xfId="0" applyAlignment="1" applyFont="1">
      <alignment horizontal="left"/>
    </xf>
    <xf borderId="1" fillId="6" fontId="1" numFmtId="0" xfId="0" applyAlignment="1" applyBorder="1" applyFont="1">
      <alignment vertical="center"/>
    </xf>
    <xf borderId="15" fillId="7" fontId="2" numFmtId="0" xfId="0" applyAlignment="1" applyBorder="1" applyFont="1">
      <alignment horizontal="center" vertical="center"/>
    </xf>
    <xf borderId="13" fillId="6" fontId="13" numFmtId="0" xfId="0" applyAlignment="1" applyBorder="1" applyFont="1">
      <alignment horizontal="center" shrinkToFit="0" vertical="center" wrapText="1"/>
    </xf>
    <xf borderId="25" fillId="0" fontId="2" numFmtId="0" xfId="0" applyAlignment="1" applyBorder="1" applyFont="1">
      <alignment horizontal="center" shrinkToFit="0" wrapText="0"/>
    </xf>
    <xf borderId="0" fillId="0" fontId="1" numFmtId="0" xfId="0" applyAlignment="1" applyFont="1">
      <alignment horizontal="right"/>
    </xf>
    <xf borderId="4" fillId="3" fontId="1" numFmtId="164" xfId="0" applyAlignment="1" applyBorder="1" applyFont="1" applyNumberFormat="1">
      <alignment vertical="center"/>
    </xf>
    <xf borderId="4" fillId="0" fontId="11" numFmtId="164" xfId="0" applyAlignment="1" applyBorder="1" applyFont="1" applyNumberFormat="1">
      <alignment vertical="center"/>
    </xf>
    <xf borderId="0" fillId="0" fontId="1" numFmtId="0" xfId="0" applyAlignment="1" applyFont="1">
      <alignment horizontal="center" shrinkToFit="0" vertical="center" wrapText="1"/>
    </xf>
    <xf borderId="12" fillId="6" fontId="1" numFmtId="10" xfId="0" applyAlignment="1" applyBorder="1" applyFont="1" applyNumberFormat="1">
      <alignment vertical="center"/>
    </xf>
    <xf borderId="12" fillId="6" fontId="1" numFmtId="10" xfId="0" applyAlignment="1" applyBorder="1" applyFont="1" applyNumberFormat="1">
      <alignment horizontal="right" vertical="center"/>
    </xf>
    <xf borderId="31" fillId="8" fontId="2" numFmtId="0" xfId="0" applyAlignment="1" applyBorder="1" applyFont="1">
      <alignment horizontal="center" vertical="center"/>
    </xf>
    <xf borderId="32" fillId="0" fontId="8" numFmtId="0" xfId="0" applyBorder="1" applyFont="1"/>
    <xf borderId="15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/>
    </xf>
    <xf borderId="15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/>
    </xf>
    <xf borderId="2" fillId="0" fontId="1" numFmtId="164" xfId="0" applyAlignment="1" applyBorder="1" applyFont="1" applyNumberFormat="1">
      <alignment horizontal="center"/>
    </xf>
    <xf borderId="3" fillId="0" fontId="2" numFmtId="0" xfId="0" applyAlignment="1" applyBorder="1" applyFont="1">
      <alignment horizontal="center"/>
    </xf>
    <xf borderId="4" fillId="0" fontId="1" numFmtId="164" xfId="0" applyAlignment="1" applyBorder="1" applyFont="1" applyNumberFormat="1">
      <alignment horizontal="center" readingOrder="0"/>
    </xf>
    <xf borderId="4" fillId="0" fontId="1" numFmtId="164" xfId="0" applyAlignment="1" applyBorder="1" applyFont="1" applyNumberFormat="1">
      <alignment horizontal="center"/>
    </xf>
    <xf borderId="11" fillId="0" fontId="2" numFmtId="0" xfId="0" applyAlignment="1" applyBorder="1" applyFont="1">
      <alignment horizontal="center"/>
    </xf>
    <xf borderId="12" fillId="0" fontId="1" numFmtId="164" xfId="0" applyAlignment="1" applyBorder="1" applyFont="1" applyNumberFormat="1">
      <alignment horizontal="center" readingOrder="0"/>
    </xf>
    <xf borderId="15" fillId="0" fontId="2" numFmtId="0" xfId="0" applyAlignment="1" applyBorder="1" applyFont="1">
      <alignment horizontal="center"/>
    </xf>
    <xf borderId="33" fillId="0" fontId="8" numFmtId="0" xfId="0" applyBorder="1" applyFont="1"/>
    <xf borderId="34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5" fillId="0" fontId="2" numFmtId="0" xfId="0" applyAlignment="1" applyBorder="1" applyFont="1">
      <alignment horizontal="center"/>
    </xf>
    <xf borderId="15" fillId="0" fontId="1" numFmtId="9" xfId="0" applyAlignment="1" applyBorder="1" applyFont="1" applyNumberFormat="1">
      <alignment horizontal="center"/>
    </xf>
    <xf borderId="33" fillId="0" fontId="1" numFmtId="9" xfId="0" applyAlignment="1" applyBorder="1" applyFont="1" applyNumberFormat="1">
      <alignment horizontal="center"/>
    </xf>
    <xf borderId="16" fillId="0" fontId="1" numFmtId="9" xfId="0" applyAlignment="1" applyBorder="1" applyFont="1" applyNumberFormat="1">
      <alignment horizontal="center"/>
    </xf>
    <xf borderId="0" fillId="9" fontId="1" numFmtId="0" xfId="0" applyAlignment="1" applyFill="1" applyFont="1">
      <alignment vertical="center"/>
    </xf>
    <xf borderId="0" fillId="9" fontId="2" numFmtId="0" xfId="0" applyAlignment="1" applyFont="1">
      <alignment horizontal="center" readingOrder="0" vertical="center"/>
    </xf>
    <xf borderId="0" fillId="9" fontId="2" numFmtId="0" xfId="0" applyAlignment="1" applyFont="1">
      <alignment horizontal="center" vertical="center"/>
    </xf>
    <xf borderId="0" fillId="9" fontId="6" numFmtId="0" xfId="0" applyFont="1"/>
    <xf borderId="0" fillId="6" fontId="1" numFmtId="0" xfId="0" applyAlignment="1" applyFont="1">
      <alignment horizontal="center" readingOrder="0" vertical="center"/>
    </xf>
    <xf borderId="0" fillId="9" fontId="1" numFmtId="9" xfId="0" applyAlignment="1" applyFont="1" applyNumberFormat="1">
      <alignment horizontal="center" vertical="center"/>
    </xf>
    <xf borderId="0" fillId="3" fontId="14" numFmtId="0" xfId="0" applyAlignment="1" applyFont="1">
      <alignment readingOrder="0"/>
    </xf>
    <xf borderId="0" fillId="4" fontId="2" numFmtId="0" xfId="0" applyAlignment="1" applyFont="1">
      <alignment horizontal="center" readingOrder="0" vertical="center"/>
    </xf>
    <xf borderId="1" fillId="6" fontId="1" numFmtId="0" xfId="0" applyAlignment="1" applyBorder="1" applyFont="1">
      <alignment readingOrder="0" vertical="center"/>
    </xf>
    <xf borderId="15" fillId="0" fontId="2" numFmtId="0" xfId="0" applyAlignment="1" applyBorder="1" applyFont="1">
      <alignment horizontal="center" vertical="center"/>
    </xf>
    <xf borderId="4" fillId="10" fontId="1" numFmtId="164" xfId="0" applyAlignment="1" applyBorder="1" applyFill="1" applyFont="1" applyNumberFormat="1">
      <alignment vertical="center"/>
    </xf>
    <xf borderId="36" fillId="0" fontId="9" numFmtId="0" xfId="0" applyAlignment="1" applyBorder="1" applyFont="1">
      <alignment horizontal="center" shrinkToFit="0" vertical="center" wrapText="1"/>
    </xf>
    <xf borderId="37" fillId="0" fontId="8" numFmtId="0" xfId="0" applyBorder="1" applyFont="1"/>
    <xf borderId="38" fillId="0" fontId="8" numFmtId="0" xfId="0" applyBorder="1" applyFont="1"/>
    <xf borderId="0" fillId="9" fontId="2" numFmtId="0" xfId="0" applyAlignment="1" applyFont="1">
      <alignment vertical="center"/>
    </xf>
    <xf borderId="3" fillId="9" fontId="2" numFmtId="0" xfId="0" applyAlignment="1" applyBorder="1" applyFont="1">
      <alignment readingOrder="0" vertical="center"/>
    </xf>
    <xf borderId="4" fillId="9" fontId="1" numFmtId="164" xfId="0" applyAlignment="1" applyBorder="1" applyFont="1" applyNumberFormat="1">
      <alignment vertical="center"/>
    </xf>
    <xf borderId="3" fillId="9" fontId="2" numFmtId="0" xfId="0" applyAlignment="1" applyBorder="1" applyFont="1">
      <alignment vertical="center"/>
    </xf>
    <xf borderId="0" fillId="9" fontId="1" numFmtId="164" xfId="0" applyAlignment="1" applyFont="1" applyNumberFormat="1">
      <alignment horizontal="right" vertical="center"/>
    </xf>
    <xf borderId="3" fillId="9" fontId="1" numFmtId="0" xfId="0" applyAlignment="1" applyBorder="1" applyFont="1">
      <alignment vertical="center"/>
    </xf>
    <xf borderId="4" fillId="9" fontId="1" numFmtId="10" xfId="0" applyAlignment="1" applyBorder="1" applyFont="1" applyNumberFormat="1">
      <alignment vertical="center"/>
    </xf>
    <xf borderId="39" fillId="0" fontId="8" numFmtId="0" xfId="0" applyBorder="1" applyFont="1"/>
    <xf borderId="40" fillId="0" fontId="8" numFmtId="0" xfId="0" applyBorder="1" applyFont="1"/>
    <xf borderId="41" fillId="0" fontId="8" numFmtId="0" xfId="0" applyBorder="1" applyFont="1"/>
    <xf borderId="0" fillId="0" fontId="1" numFmtId="164" xfId="0" applyAlignment="1" applyFont="1" applyNumberFormat="1">
      <alignment vertical="center"/>
    </xf>
    <xf borderId="4" fillId="10" fontId="1" numFmtId="10" xfId="0" applyAlignment="1" applyBorder="1" applyFont="1" applyNumberFormat="1">
      <alignment vertical="center"/>
    </xf>
    <xf borderId="25" fillId="0" fontId="8" numFmtId="0" xfId="0" applyBorder="1" applyFont="1"/>
    <xf borderId="0" fillId="0" fontId="1" numFmtId="10" xfId="0" applyAlignment="1" applyFont="1" applyNumberFormat="1">
      <alignment vertical="center"/>
    </xf>
    <xf borderId="12" fillId="6" fontId="1" numFmtId="0" xfId="0" applyAlignment="1" applyBorder="1" applyFont="1">
      <alignment vertical="center"/>
    </xf>
    <xf borderId="30" fillId="0" fontId="8" numFmtId="0" xfId="0" applyBorder="1" applyFont="1"/>
    <xf borderId="4" fillId="0" fontId="1" numFmtId="164" xfId="0" applyAlignment="1" applyBorder="1" applyFont="1" applyNumberFormat="1">
      <alignment horizontal="right" readingOrder="0" vertical="center"/>
    </xf>
    <xf borderId="3" fillId="0" fontId="2" numFmtId="0" xfId="0" applyAlignment="1" applyBorder="1" applyFont="1">
      <alignment readingOrder="0" vertical="center"/>
    </xf>
    <xf borderId="17" fillId="6" fontId="13" numFmtId="0" xfId="0" applyAlignment="1" applyBorder="1" applyFont="1">
      <alignment horizontal="center" shrinkToFit="0" vertical="center" wrapText="1"/>
    </xf>
    <xf borderId="1" fillId="8" fontId="2" numFmtId="0" xfId="0" applyAlignment="1" applyBorder="1" applyFont="1">
      <alignment horizontal="center" readingOrder="0" vertical="center"/>
    </xf>
    <xf borderId="28" fillId="8" fontId="2" numFmtId="0" xfId="0" applyAlignment="1" applyBorder="1" applyFont="1">
      <alignment horizontal="center" readingOrder="0" vertical="center"/>
    </xf>
    <xf borderId="4" fillId="0" fontId="1" numFmtId="3" xfId="0" applyAlignment="1" applyBorder="1" applyFont="1" applyNumberFormat="1">
      <alignment horizontal="right" vertical="center"/>
    </xf>
    <xf borderId="12" fillId="0" fontId="1" numFmtId="2" xfId="0" applyAlignment="1" applyBorder="1" applyFont="1" applyNumberFormat="1">
      <alignment vertical="center"/>
    </xf>
    <xf borderId="4" fillId="0" fontId="1" numFmtId="4" xfId="0" applyAlignment="1" applyBorder="1" applyFont="1" applyNumberFormat="1">
      <alignment horizontal="right" vertical="center"/>
    </xf>
    <xf borderId="25" fillId="0" fontId="1" numFmtId="164" xfId="0" applyAlignment="1" applyBorder="1" applyFont="1" applyNumberForma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9" fontId="2" numFmtId="0" xfId="0" applyAlignment="1" applyFont="1">
      <alignment horizontal="center" shrinkToFit="0" wrapText="0"/>
    </xf>
    <xf borderId="0" fillId="9" fontId="6" numFmtId="0" xfId="0" applyFont="1"/>
    <xf borderId="3" fillId="0" fontId="2" numFmtId="0" xfId="0" applyAlignment="1" applyBorder="1" applyFont="1">
      <alignment horizontal="center" vertical="center"/>
    </xf>
    <xf borderId="0" fillId="0" fontId="15" numFmtId="0" xfId="0" applyAlignment="1" applyFont="1">
      <alignment horizontal="center" readingOrder="0"/>
    </xf>
    <xf borderId="0" fillId="7" fontId="6" numFmtId="0" xfId="0" applyAlignment="1" applyFont="1">
      <alignment readingOrder="0"/>
    </xf>
    <xf borderId="0" fillId="0" fontId="6" numFmtId="9" xfId="0" applyAlignment="1" applyFont="1" applyNumberFormat="1">
      <alignment horizontal="center" readingOrder="0" vertical="center"/>
    </xf>
    <xf borderId="0" fillId="11" fontId="6" numFmtId="0" xfId="0" applyAlignment="1" applyFill="1" applyFont="1">
      <alignment readingOrder="0"/>
    </xf>
    <xf borderId="0" fillId="12" fontId="6" numFmtId="0" xfId="0" applyAlignment="1" applyFill="1" applyFont="1">
      <alignment readingOrder="0"/>
    </xf>
    <xf borderId="0" fillId="0" fontId="6" numFmtId="10" xfId="0" applyAlignment="1" applyFont="1" applyNumberFormat="1">
      <alignment horizontal="center" readingOrder="0" vertical="center"/>
    </xf>
    <xf borderId="0" fillId="13" fontId="6" numFmtId="0" xfId="0" applyAlignment="1" applyFill="1" applyFont="1">
      <alignment readingOrder="0"/>
    </xf>
    <xf borderId="0" fillId="14" fontId="6" numFmtId="0" xfId="0" applyAlignment="1" applyFill="1" applyFont="1">
      <alignment readingOrder="0"/>
    </xf>
  </cellXfs>
  <cellStyles count="1">
    <cellStyle xfId="0" name="Normal" builtinId="0"/>
  </cellStyles>
  <dxfs count="3">
    <dxf>
      <font>
        <color rgb="FFEFEFEF"/>
      </font>
      <fill>
        <patternFill patternType="none"/>
      </fill>
      <border/>
    </dxf>
    <dxf>
      <font>
        <color rgb="FFFFFFFF"/>
      </font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6.png"/><Relationship Id="rId3" Type="http://schemas.openxmlformats.org/officeDocument/2006/relationships/image" Target="../media/image8.png"/><Relationship Id="rId4" Type="http://schemas.openxmlformats.org/officeDocument/2006/relationships/image" Target="../media/image5.png"/><Relationship Id="rId5" Type="http://schemas.openxmlformats.org/officeDocument/2006/relationships/image" Target="../media/image1.png"/><Relationship Id="rId6" Type="http://schemas.openxmlformats.org/officeDocument/2006/relationships/image" Target="../media/image3.png"/><Relationship Id="rId7" Type="http://schemas.openxmlformats.org/officeDocument/2006/relationships/image" Target="../media/image7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447675</xdr:colOff>
      <xdr:row>29</xdr:row>
      <xdr:rowOff>66675</xdr:rowOff>
    </xdr:from>
    <xdr:ext cx="6057900" cy="2514600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50</xdr:row>
      <xdr:rowOff>47625</xdr:rowOff>
    </xdr:from>
    <xdr:ext cx="6915150" cy="5572125"/>
    <xdr:pic>
      <xdr:nvPicPr>
        <xdr:cNvPr id="0" name="image6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2762250</xdr:colOff>
      <xdr:row>78</xdr:row>
      <xdr:rowOff>19050</xdr:rowOff>
    </xdr:from>
    <xdr:ext cx="4086225" cy="733425"/>
    <xdr:pic>
      <xdr:nvPicPr>
        <xdr:cNvPr id="0" name="image8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1057275</xdr:colOff>
      <xdr:row>12</xdr:row>
      <xdr:rowOff>85725</xdr:rowOff>
    </xdr:from>
    <xdr:ext cx="5476875" cy="3581400"/>
    <xdr:pic>
      <xdr:nvPicPr>
        <xdr:cNvPr id="0" name="image5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228600</xdr:colOff>
      <xdr:row>6</xdr:row>
      <xdr:rowOff>66675</xdr:rowOff>
    </xdr:from>
    <xdr:ext cx="2533650" cy="1247775"/>
    <xdr:pic>
      <xdr:nvPicPr>
        <xdr:cNvPr id="0" name="image1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3409950</xdr:colOff>
      <xdr:row>6</xdr:row>
      <xdr:rowOff>47625</xdr:rowOff>
    </xdr:from>
    <xdr:ext cx="2790825" cy="1295400"/>
    <xdr:pic>
      <xdr:nvPicPr>
        <xdr:cNvPr id="0" name="image3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809625</xdr:colOff>
      <xdr:row>13</xdr:row>
      <xdr:rowOff>114300</xdr:rowOff>
    </xdr:from>
    <xdr:ext cx="4419600" cy="742950"/>
    <xdr:pic>
      <xdr:nvPicPr>
        <xdr:cNvPr id="0" name="image7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8</xdr:row>
      <xdr:rowOff>0</xdr:rowOff>
    </xdr:from>
    <xdr:ext cx="400050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8</xdr:row>
      <xdr:rowOff>0</xdr:rowOff>
    </xdr:from>
    <xdr:ext cx="400050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4</xdr:row>
      <xdr:rowOff>0</xdr:rowOff>
    </xdr:from>
    <xdr:ext cx="333375" cy="1619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4</xdr:row>
      <xdr:rowOff>0</xdr:rowOff>
    </xdr:from>
    <xdr:ext cx="333375" cy="1619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4</xdr:row>
      <xdr:rowOff>0</xdr:rowOff>
    </xdr:from>
    <xdr:ext cx="400050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4</xdr:row>
      <xdr:rowOff>0</xdr:rowOff>
    </xdr:from>
    <xdr:ext cx="400050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8</xdr:row>
      <xdr:rowOff>0</xdr:rowOff>
    </xdr:from>
    <xdr:ext cx="400050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8</xdr:row>
      <xdr:rowOff>0</xdr:rowOff>
    </xdr:from>
    <xdr:ext cx="400050" cy="2000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log.contaazul.com/o-que-e-simples-nacional/" TargetMode="External"/><Relationship Id="rId2" Type="http://schemas.openxmlformats.org/officeDocument/2006/relationships/hyperlink" Target="https://drive.google.com/file/d/1j7GduTqBnyUd7dzPXgRaluSDeaKY72Os/view?usp=sharing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blog.contaazul.com/o-que-e-simples-nacional/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blog.contaazul.com/o-que-e-simples-nacional/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log.contaazul.com/o-que-e-simples-nacional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log.contaazul.com/o-que-e-simples-nacional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blog.contaazul.com/o-que-e-simples-nacional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blog.contaazul.com/o-que-e-simples-nacional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blog.contaazul.com/o-que-e-simples-nacional/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blog.contaazul.com/o-que-e-simples-nacional/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104.71"/>
    <col customWidth="1" min="3" max="3" width="5.29"/>
    <col customWidth="1" min="4" max="4" width="114.0"/>
    <col customWidth="1" min="5" max="5" width="5.29"/>
    <col customWidth="1" min="6" max="6" width="14.43"/>
  </cols>
  <sheetData>
    <row r="1" ht="15.75" customHeight="1">
      <c r="A1" s="1"/>
      <c r="B1" s="2"/>
      <c r="C1" s="1"/>
      <c r="D1" s="1"/>
      <c r="E1" s="1"/>
    </row>
    <row r="2" ht="15.75" customHeight="1">
      <c r="A2" s="1"/>
      <c r="B2" s="3" t="s">
        <v>0</v>
      </c>
      <c r="C2" s="1"/>
      <c r="D2" s="3" t="s">
        <v>1</v>
      </c>
      <c r="E2" s="1"/>
    </row>
    <row r="3" ht="15.75" customHeight="1">
      <c r="A3" s="1"/>
      <c r="B3" s="4" t="s">
        <v>2</v>
      </c>
      <c r="C3" s="1"/>
      <c r="D3" s="5" t="s">
        <v>3</v>
      </c>
      <c r="E3" s="1"/>
    </row>
    <row r="4" ht="15.75" customHeight="1">
      <c r="A4" s="1"/>
      <c r="B4" s="4"/>
      <c r="C4" s="1"/>
      <c r="E4" s="1"/>
    </row>
    <row r="5" ht="15.75" customHeight="1">
      <c r="A5" s="1"/>
      <c r="B5" s="4" t="s">
        <v>4</v>
      </c>
      <c r="C5" s="1"/>
      <c r="E5" s="1"/>
    </row>
    <row r="6" ht="15.75" customHeight="1">
      <c r="A6" s="1"/>
      <c r="B6" s="6" t="s">
        <v>5</v>
      </c>
      <c r="C6" s="1"/>
      <c r="D6" s="7" t="s">
        <v>6</v>
      </c>
      <c r="E6" s="1"/>
    </row>
    <row r="7" ht="15.75" customHeight="1">
      <c r="A7" s="1"/>
      <c r="B7" s="4"/>
      <c r="C7" s="1"/>
      <c r="D7" s="8" t="s">
        <v>7</v>
      </c>
      <c r="E7" s="1"/>
    </row>
    <row r="8" ht="15.75" customHeight="1">
      <c r="A8" s="1"/>
      <c r="B8" s="4"/>
      <c r="C8" s="1"/>
      <c r="E8" s="1"/>
    </row>
    <row r="9" ht="15.75" customHeight="1">
      <c r="A9" s="1"/>
      <c r="B9" s="4"/>
      <c r="C9" s="1"/>
      <c r="E9" s="1"/>
    </row>
    <row r="10" ht="15.75" customHeight="1">
      <c r="A10" s="1"/>
      <c r="B10" s="4"/>
      <c r="C10" s="1"/>
      <c r="E10" s="1"/>
    </row>
    <row r="11" ht="15.75" customHeight="1">
      <c r="A11" s="1"/>
      <c r="B11" s="4"/>
      <c r="C11" s="1"/>
      <c r="E11" s="1"/>
    </row>
    <row r="12" ht="15.75" customHeight="1">
      <c r="A12" s="1"/>
      <c r="B12" s="4"/>
      <c r="D12" s="9"/>
      <c r="E12" s="1"/>
    </row>
    <row r="13" ht="15.75" customHeight="1">
      <c r="A13" s="1"/>
      <c r="B13" s="4"/>
      <c r="E13" s="1"/>
    </row>
    <row r="14" ht="15.75" customHeight="1">
      <c r="A14" s="1"/>
      <c r="B14" s="4"/>
      <c r="E14" s="1"/>
    </row>
    <row r="15" ht="15.75" customHeight="1">
      <c r="A15" s="1"/>
      <c r="B15" s="4"/>
      <c r="E15" s="1"/>
    </row>
    <row r="16" ht="15.75" customHeight="1">
      <c r="A16" s="1"/>
      <c r="B16" s="4"/>
      <c r="E16" s="1"/>
    </row>
    <row r="17" ht="15.75" customHeight="1">
      <c r="A17" s="1"/>
      <c r="B17" s="4"/>
      <c r="E17" s="1"/>
    </row>
    <row r="18" ht="15.75" customHeight="1">
      <c r="A18" s="1"/>
      <c r="B18" s="4"/>
      <c r="E18" s="1"/>
    </row>
    <row r="19" ht="15.75" customHeight="1">
      <c r="A19" s="1"/>
      <c r="B19" s="4"/>
      <c r="E19" s="1"/>
    </row>
    <row r="20" ht="15.75" customHeight="1">
      <c r="A20" s="1"/>
      <c r="B20" s="10" t="s">
        <v>8</v>
      </c>
      <c r="E20" s="11"/>
    </row>
    <row r="21" ht="15.75" customHeight="1">
      <c r="A21" s="1"/>
      <c r="B21" s="12" t="s">
        <v>9</v>
      </c>
      <c r="E21" s="13"/>
    </row>
    <row r="22" ht="15.75" customHeight="1">
      <c r="A22" s="1"/>
      <c r="B22" s="4"/>
      <c r="E22" s="1"/>
    </row>
    <row r="23" ht="15.75" customHeight="1">
      <c r="A23" s="1"/>
      <c r="B23" s="14" t="s">
        <v>10</v>
      </c>
      <c r="E23" s="11"/>
    </row>
    <row r="24" ht="15.75" customHeight="1">
      <c r="A24" s="1"/>
      <c r="B24" s="15" t="s">
        <v>11</v>
      </c>
      <c r="E24" s="16"/>
    </row>
    <row r="25" ht="15.75" customHeight="1">
      <c r="A25" s="1"/>
      <c r="B25" s="15" t="s">
        <v>12</v>
      </c>
      <c r="E25" s="16"/>
    </row>
    <row r="26" ht="15.75" customHeight="1">
      <c r="A26" s="1"/>
      <c r="B26" s="15" t="s">
        <v>13</v>
      </c>
      <c r="E26" s="16"/>
    </row>
    <row r="27" ht="15.75" customHeight="1">
      <c r="A27" s="1"/>
      <c r="B27" s="15" t="s">
        <v>14</v>
      </c>
      <c r="E27" s="17"/>
    </row>
    <row r="28" ht="15.75" customHeight="1">
      <c r="A28" s="1"/>
      <c r="B28" s="18" t="s">
        <v>15</v>
      </c>
      <c r="E28" s="17"/>
    </row>
    <row r="29" ht="15.75" customHeight="1">
      <c r="A29" s="1"/>
      <c r="B29" s="15" t="s">
        <v>16</v>
      </c>
      <c r="E29" s="19"/>
    </row>
    <row r="30" ht="15.75" customHeight="1">
      <c r="A30" s="1"/>
      <c r="B30" s="20"/>
      <c r="C30" s="19"/>
      <c r="E30" s="19"/>
    </row>
    <row r="31" ht="15.75" customHeight="1">
      <c r="A31" s="1"/>
      <c r="B31" s="4"/>
      <c r="C31" s="1"/>
      <c r="E31" s="1"/>
    </row>
    <row r="32" ht="15.75" customHeight="1">
      <c r="A32" s="1"/>
      <c r="B32" s="4"/>
      <c r="C32" s="1"/>
      <c r="E32" s="1"/>
    </row>
    <row r="33" ht="15.75" customHeight="1">
      <c r="A33" s="1"/>
      <c r="B33" s="4"/>
      <c r="C33" s="1"/>
      <c r="E33" s="1"/>
    </row>
    <row r="34" ht="15.75" customHeight="1">
      <c r="A34" s="1"/>
      <c r="B34" s="4"/>
      <c r="C34" s="1"/>
      <c r="E34" s="1"/>
    </row>
    <row r="35" ht="15.75" customHeight="1">
      <c r="A35" s="1"/>
      <c r="B35" s="4"/>
      <c r="C35" s="1"/>
      <c r="E35" s="1"/>
    </row>
    <row r="36" ht="15.75" customHeight="1">
      <c r="A36" s="1"/>
      <c r="B36" s="4"/>
      <c r="C36" s="1"/>
      <c r="E36" s="1"/>
    </row>
    <row r="37" ht="15.75" customHeight="1">
      <c r="A37" s="1"/>
      <c r="B37" s="4"/>
      <c r="C37" s="1"/>
      <c r="E37" s="1"/>
    </row>
    <row r="38" ht="15.75" customHeight="1">
      <c r="A38" s="1"/>
      <c r="B38" s="4"/>
      <c r="C38" s="1"/>
      <c r="E38" s="1"/>
    </row>
    <row r="39" ht="15.75" customHeight="1">
      <c r="A39" s="1"/>
      <c r="B39" s="4"/>
      <c r="C39" s="1"/>
      <c r="E39" s="1"/>
    </row>
    <row r="40" ht="15.75" customHeight="1">
      <c r="A40" s="1"/>
      <c r="B40" s="4"/>
      <c r="C40" s="1"/>
      <c r="E40" s="1"/>
    </row>
    <row r="41" ht="15.75" customHeight="1">
      <c r="A41" s="1"/>
      <c r="B41" s="4"/>
      <c r="C41" s="1"/>
      <c r="E41" s="1"/>
    </row>
    <row r="42" ht="15.75" customHeight="1">
      <c r="A42" s="1"/>
      <c r="B42" s="4"/>
      <c r="C42" s="1"/>
      <c r="E42" s="1"/>
    </row>
    <row r="43" ht="15.75" customHeight="1">
      <c r="A43" s="1"/>
      <c r="B43" s="4"/>
      <c r="C43" s="1"/>
      <c r="E43" s="1"/>
    </row>
    <row r="44" ht="15.75" customHeight="1">
      <c r="A44" s="1"/>
      <c r="B44" s="15" t="s">
        <v>17</v>
      </c>
      <c r="C44" s="1"/>
      <c r="D44" s="1"/>
      <c r="E44" s="1"/>
    </row>
    <row r="45" ht="15.75" customHeight="1">
      <c r="A45" s="1"/>
      <c r="B45" s="21" t="s">
        <v>18</v>
      </c>
      <c r="C45" s="1"/>
      <c r="D45" s="1"/>
      <c r="E45" s="1"/>
    </row>
    <row r="46" ht="15.75" customHeight="1">
      <c r="A46" s="1"/>
      <c r="B46" s="21" t="s">
        <v>19</v>
      </c>
      <c r="C46" s="1"/>
      <c r="D46" s="1"/>
      <c r="E46" s="1"/>
    </row>
    <row r="47" ht="15.75" customHeight="1">
      <c r="A47" s="1"/>
      <c r="B47" s="21" t="s">
        <v>20</v>
      </c>
      <c r="C47" s="1"/>
      <c r="D47" s="1"/>
      <c r="E47" s="1"/>
    </row>
    <row r="48" ht="15.75" customHeight="1">
      <c r="A48" s="1"/>
      <c r="B48" s="14" t="s">
        <v>21</v>
      </c>
      <c r="C48" s="1"/>
      <c r="D48" s="1"/>
      <c r="E48" s="1"/>
    </row>
    <row r="49" ht="15.75" customHeight="1">
      <c r="A49" s="1"/>
      <c r="B49" s="20"/>
      <c r="C49" s="1"/>
      <c r="D49" s="1"/>
      <c r="E49" s="1"/>
    </row>
    <row r="50" ht="15.75" customHeight="1">
      <c r="A50" s="1"/>
      <c r="B50" s="14" t="s">
        <v>22</v>
      </c>
      <c r="C50" s="1"/>
      <c r="D50" s="1"/>
      <c r="E50" s="1"/>
    </row>
    <row r="51" ht="15.75" customHeight="1">
      <c r="A51" s="1"/>
      <c r="B51" s="14"/>
      <c r="C51" s="1"/>
      <c r="D51" s="1"/>
      <c r="E51" s="1"/>
    </row>
    <row r="52" ht="15.75" customHeight="1">
      <c r="A52" s="1"/>
      <c r="B52" s="4"/>
      <c r="C52" s="1"/>
      <c r="D52" s="1"/>
      <c r="E52" s="1"/>
    </row>
    <row r="53" ht="15.75" customHeight="1">
      <c r="A53" s="1"/>
      <c r="B53" s="21"/>
      <c r="C53" s="1"/>
      <c r="D53" s="1"/>
      <c r="E53" s="1"/>
    </row>
    <row r="54" ht="15.75" customHeight="1">
      <c r="A54" s="1"/>
      <c r="B54" s="21"/>
      <c r="C54" s="1"/>
      <c r="D54" s="1"/>
      <c r="E54" s="1"/>
    </row>
    <row r="55" ht="15.75" customHeight="1">
      <c r="A55" s="1"/>
      <c r="B55" s="4"/>
      <c r="C55" s="1"/>
      <c r="D55" s="1"/>
      <c r="E55" s="1"/>
    </row>
    <row r="56" ht="15.75" customHeight="1">
      <c r="A56" s="1"/>
      <c r="B56" s="4"/>
      <c r="C56" s="1"/>
      <c r="D56" s="1"/>
      <c r="E56" s="1"/>
    </row>
    <row r="57" ht="15.75" customHeight="1">
      <c r="A57" s="1"/>
      <c r="B57" s="4"/>
      <c r="C57" s="1"/>
      <c r="D57" s="1"/>
      <c r="E57" s="1"/>
    </row>
    <row r="58" ht="15.75" customHeight="1">
      <c r="A58" s="1"/>
      <c r="B58" s="4"/>
      <c r="C58" s="1"/>
      <c r="D58" s="1"/>
      <c r="E58" s="1"/>
    </row>
    <row r="59" ht="15.75" customHeight="1">
      <c r="A59" s="1"/>
      <c r="B59" s="4"/>
      <c r="C59" s="1"/>
      <c r="D59" s="1"/>
      <c r="E59" s="1"/>
    </row>
    <row r="60" ht="15.75" customHeight="1">
      <c r="A60" s="1"/>
      <c r="B60" s="4"/>
      <c r="C60" s="1"/>
      <c r="D60" s="1"/>
      <c r="E60" s="1"/>
    </row>
    <row r="61" ht="15.75" customHeight="1">
      <c r="A61" s="1"/>
      <c r="B61" s="4"/>
      <c r="C61" s="1"/>
      <c r="D61" s="1"/>
      <c r="E61" s="1"/>
    </row>
    <row r="62" ht="15.75" customHeight="1">
      <c r="A62" s="1"/>
      <c r="B62" s="4"/>
      <c r="C62" s="1"/>
      <c r="D62" s="1"/>
      <c r="E62" s="1"/>
    </row>
    <row r="63" ht="15.75" customHeight="1">
      <c r="A63" s="1"/>
      <c r="B63" s="4"/>
      <c r="C63" s="1"/>
      <c r="D63" s="1"/>
      <c r="E63" s="1"/>
    </row>
    <row r="64" ht="15.75" customHeight="1">
      <c r="A64" s="1"/>
      <c r="B64" s="4"/>
      <c r="C64" s="1"/>
      <c r="D64" s="1"/>
      <c r="E64" s="1"/>
    </row>
    <row r="65" ht="15.75" customHeight="1">
      <c r="A65" s="1"/>
      <c r="B65" s="4"/>
      <c r="C65" s="1"/>
      <c r="D65" s="1"/>
      <c r="E65" s="1"/>
    </row>
    <row r="66" ht="15.75" customHeight="1">
      <c r="A66" s="1"/>
      <c r="B66" s="4"/>
      <c r="C66" s="1"/>
      <c r="D66" s="1"/>
      <c r="E66" s="1"/>
    </row>
    <row r="67" ht="15.75" customHeight="1">
      <c r="A67" s="1"/>
      <c r="B67" s="4"/>
      <c r="C67" s="1"/>
      <c r="D67" s="1"/>
      <c r="E67" s="1"/>
    </row>
    <row r="68" ht="15.75" customHeight="1">
      <c r="A68" s="1"/>
      <c r="B68" s="4"/>
      <c r="C68" s="1"/>
      <c r="D68" s="1"/>
      <c r="E68" s="1"/>
    </row>
    <row r="69" ht="15.75" customHeight="1">
      <c r="A69" s="1"/>
      <c r="B69" s="4"/>
      <c r="C69" s="1"/>
      <c r="D69" s="1"/>
      <c r="E69" s="1"/>
    </row>
    <row r="70" ht="15.75" customHeight="1">
      <c r="A70" s="1"/>
      <c r="B70" s="4"/>
      <c r="C70" s="1"/>
      <c r="D70" s="1"/>
      <c r="E70" s="1"/>
    </row>
    <row r="71" ht="15.75" customHeight="1">
      <c r="A71" s="1"/>
      <c r="B71" s="4"/>
      <c r="C71" s="1"/>
      <c r="D71" s="1"/>
      <c r="E71" s="1"/>
    </row>
    <row r="72" ht="15.75" customHeight="1">
      <c r="A72" s="1"/>
      <c r="B72" s="4"/>
      <c r="C72" s="1"/>
      <c r="D72" s="1"/>
      <c r="E72" s="1"/>
    </row>
    <row r="73" ht="15.75" customHeight="1">
      <c r="A73" s="1"/>
      <c r="B73" s="4"/>
      <c r="C73" s="1"/>
      <c r="D73" s="1"/>
      <c r="E73" s="1"/>
    </row>
    <row r="74" ht="15.75" customHeight="1">
      <c r="A74" s="1"/>
      <c r="B74" s="4"/>
      <c r="C74" s="1"/>
      <c r="D74" s="1"/>
      <c r="E74" s="1"/>
    </row>
    <row r="75" ht="15.75" customHeight="1">
      <c r="A75" s="1"/>
      <c r="B75" s="4"/>
      <c r="C75" s="1"/>
      <c r="D75" s="1"/>
      <c r="E75" s="1"/>
    </row>
    <row r="76" ht="15.75" customHeight="1">
      <c r="A76" s="1"/>
      <c r="B76" s="4"/>
      <c r="C76" s="1"/>
      <c r="D76" s="1"/>
      <c r="E76" s="1"/>
    </row>
    <row r="77" ht="15.75" customHeight="1">
      <c r="A77" s="1"/>
      <c r="B77" s="4"/>
      <c r="C77" s="1"/>
      <c r="D77" s="1"/>
      <c r="E77" s="1"/>
    </row>
    <row r="78" ht="15.75" customHeight="1">
      <c r="A78" s="1"/>
      <c r="B78" s="4"/>
      <c r="C78" s="1"/>
      <c r="D78" s="1"/>
      <c r="E78" s="1"/>
    </row>
    <row r="79" ht="15.75" customHeight="1">
      <c r="A79" s="1"/>
      <c r="B79" s="4"/>
      <c r="C79" s="1"/>
      <c r="D79" s="1"/>
      <c r="E79" s="1"/>
    </row>
    <row r="80" ht="15.75" customHeight="1">
      <c r="A80" s="1"/>
      <c r="B80" s="4" t="s">
        <v>23</v>
      </c>
      <c r="C80" s="1"/>
      <c r="D80" s="1"/>
      <c r="E80" s="1"/>
    </row>
    <row r="81" ht="15.75" customHeight="1">
      <c r="A81" s="1"/>
      <c r="B81" s="4" t="s">
        <v>24</v>
      </c>
      <c r="C81" s="1"/>
      <c r="D81" s="1"/>
      <c r="E81" s="1"/>
    </row>
    <row r="82" ht="15.75" customHeight="1">
      <c r="A82" s="1"/>
      <c r="B82" s="4"/>
      <c r="C82" s="1"/>
      <c r="D82" s="1"/>
      <c r="E82" s="1"/>
    </row>
    <row r="83" ht="15.75" customHeight="1">
      <c r="A83" s="1"/>
      <c r="B83" s="22" t="s">
        <v>25</v>
      </c>
      <c r="C83" s="1"/>
      <c r="D83" s="1"/>
      <c r="E83" s="1"/>
    </row>
    <row r="84" ht="15.75" customHeight="1">
      <c r="A84" s="1"/>
      <c r="B84" s="23" t="s">
        <v>26</v>
      </c>
      <c r="C84" s="1"/>
      <c r="D84" s="1"/>
      <c r="E84" s="1"/>
    </row>
    <row r="85" ht="15.75" customHeight="1">
      <c r="A85" s="1"/>
      <c r="B85" s="2"/>
      <c r="C85" s="1"/>
      <c r="D85" s="1"/>
      <c r="E85" s="1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3">
    <mergeCell ref="D3:D5"/>
    <mergeCell ref="D7:D11"/>
    <mergeCell ref="D12:D26"/>
  </mergeCells>
  <hyperlinks>
    <hyperlink r:id="rId1" ref="D7"/>
    <hyperlink r:id="rId2" ref="B84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23.57"/>
    <col customWidth="1" min="3" max="3" width="21.57"/>
    <col customWidth="1" min="4" max="4" width="4.29"/>
    <col customWidth="1" min="5" max="5" width="22.57"/>
    <col customWidth="1" min="6" max="6" width="21.43"/>
    <col customWidth="1" min="7" max="7" width="4.29"/>
    <col customWidth="1" min="8" max="8" width="21.86"/>
    <col customWidth="1" min="9" max="10" width="20.14"/>
    <col customWidth="1" min="11" max="11" width="25.0"/>
    <col customWidth="1" min="12" max="13" width="20.14"/>
    <col customWidth="1" min="14" max="14" width="20.71"/>
  </cols>
  <sheetData>
    <row r="1" ht="15.75" customHeight="1">
      <c r="A1" s="127"/>
      <c r="B1" s="128" t="s">
        <v>101</v>
      </c>
      <c r="C1" s="128" t="s">
        <v>102</v>
      </c>
      <c r="D1" s="127"/>
      <c r="E1" s="129"/>
      <c r="F1" s="129"/>
      <c r="G1" s="127"/>
      <c r="H1" s="129"/>
      <c r="I1" s="129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67"/>
      <c r="Z1" s="168"/>
    </row>
    <row r="2" ht="15.75" customHeight="1">
      <c r="A2" s="127"/>
      <c r="B2" s="131" t="s">
        <v>128</v>
      </c>
      <c r="C2" s="132">
        <f>VLOOKUP(B2,categorias!A2:B44,2,FALSE)</f>
        <v>0.12</v>
      </c>
      <c r="D2" s="127"/>
      <c r="E2" s="129"/>
      <c r="F2" s="129"/>
      <c r="G2" s="127"/>
      <c r="H2" s="129"/>
      <c r="I2" s="129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67"/>
      <c r="Z2" s="168"/>
    </row>
    <row r="3" ht="15.75" customHeight="1">
      <c r="A3" s="127"/>
      <c r="B3" s="129"/>
      <c r="C3" s="129"/>
      <c r="D3" s="127"/>
      <c r="E3" s="129"/>
      <c r="F3" s="129"/>
      <c r="G3" s="127"/>
      <c r="H3" s="129"/>
      <c r="I3" s="129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67"/>
      <c r="Z3" s="168"/>
    </row>
    <row r="4" ht="15.75" customHeight="1">
      <c r="A4" s="127"/>
      <c r="B4" s="129"/>
      <c r="C4" s="129"/>
      <c r="D4" s="127"/>
      <c r="E4" s="129"/>
      <c r="F4" s="129"/>
      <c r="G4" s="127"/>
      <c r="H4" s="129"/>
      <c r="I4" s="129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67"/>
      <c r="Z4" s="168"/>
    </row>
    <row r="5" ht="15.75" customHeight="1">
      <c r="A5" s="24"/>
      <c r="B5" s="25" t="s">
        <v>27</v>
      </c>
      <c r="D5" s="24"/>
      <c r="E5" s="25" t="s">
        <v>28</v>
      </c>
      <c r="G5" s="24"/>
      <c r="H5" s="25" t="s">
        <v>29</v>
      </c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97" t="s">
        <v>53</v>
      </c>
      <c r="Z5" s="37"/>
    </row>
    <row r="6" ht="15.75" customHeight="1">
      <c r="A6" s="24"/>
      <c r="B6" s="24"/>
      <c r="C6" s="26"/>
      <c r="D6" s="24"/>
      <c r="E6" s="24"/>
      <c r="F6" s="26"/>
      <c r="G6" s="24"/>
      <c r="H6" s="24"/>
      <c r="I6" s="26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1" t="s">
        <v>52</v>
      </c>
      <c r="Z6" s="98">
        <v>12.9</v>
      </c>
    </row>
    <row r="7" ht="15.75" customHeight="1">
      <c r="A7" s="24"/>
      <c r="B7" s="135" t="s">
        <v>83</v>
      </c>
      <c r="C7" s="28" t="s">
        <v>30</v>
      </c>
      <c r="D7" s="24"/>
      <c r="E7" s="94" t="s">
        <v>83</v>
      </c>
      <c r="F7" s="28" t="s">
        <v>106</v>
      </c>
      <c r="G7" s="24"/>
      <c r="H7" s="27"/>
      <c r="I7" s="28" t="s">
        <v>31</v>
      </c>
      <c r="J7" s="24"/>
      <c r="K7" s="29" t="s">
        <v>32</v>
      </c>
      <c r="L7" s="30"/>
      <c r="M7" s="24"/>
      <c r="N7" s="24"/>
      <c r="O7" s="24"/>
      <c r="P7" s="24"/>
      <c r="U7" s="24"/>
      <c r="V7" s="24"/>
      <c r="W7" s="24"/>
      <c r="X7" s="24"/>
      <c r="Y7" s="1" t="s">
        <v>83</v>
      </c>
      <c r="Z7" s="98">
        <v>7.74</v>
      </c>
    </row>
    <row r="8" ht="15.75" customHeight="1">
      <c r="A8" s="24"/>
      <c r="B8" s="31"/>
      <c r="C8" s="32"/>
      <c r="D8" s="24"/>
      <c r="E8" s="31"/>
      <c r="F8" s="32"/>
      <c r="G8" s="24"/>
      <c r="H8" s="31"/>
      <c r="I8" s="32"/>
      <c r="J8" s="24"/>
      <c r="K8" s="31" t="s">
        <v>33</v>
      </c>
      <c r="L8" s="137">
        <v>20.2</v>
      </c>
      <c r="M8" s="24"/>
      <c r="N8" s="24"/>
      <c r="O8" s="24"/>
      <c r="P8" s="24"/>
      <c r="U8" s="24"/>
      <c r="V8" s="24"/>
      <c r="W8" s="24"/>
      <c r="X8" s="24"/>
      <c r="Y8" s="1" t="s">
        <v>84</v>
      </c>
      <c r="Z8" s="98">
        <v>6.45</v>
      </c>
    </row>
    <row r="9" ht="15.75" customHeight="1">
      <c r="A9" s="34"/>
      <c r="B9" s="35" t="s">
        <v>34</v>
      </c>
      <c r="C9" s="99">
        <f>(C13+5)/0.81</f>
        <v>38.7762963</v>
      </c>
      <c r="D9" s="24"/>
      <c r="E9" s="35" t="s">
        <v>34</v>
      </c>
      <c r="F9" s="41">
        <f>F13/0.842</f>
        <v>35.64133017</v>
      </c>
      <c r="G9" s="24"/>
      <c r="H9" s="35" t="s">
        <v>34</v>
      </c>
      <c r="I9" s="100">
        <f>I13/0.88</f>
        <v>35.46636364</v>
      </c>
      <c r="J9" s="24"/>
      <c r="K9" s="31" t="s">
        <v>90</v>
      </c>
      <c r="L9" s="137">
        <v>3.0</v>
      </c>
      <c r="M9" s="37"/>
      <c r="N9" s="38" t="s">
        <v>36</v>
      </c>
      <c r="O9" s="39"/>
      <c r="P9" s="40"/>
      <c r="U9" s="24"/>
      <c r="V9" s="24"/>
      <c r="W9" s="24"/>
      <c r="X9" s="24"/>
      <c r="Y9" s="24"/>
      <c r="Z9" s="24"/>
    </row>
    <row r="10" ht="15.75" customHeight="1">
      <c r="A10" s="34"/>
      <c r="B10" s="158" t="s">
        <v>129</v>
      </c>
      <c r="C10" s="41">
        <f>C9*C2</f>
        <v>4.653155556</v>
      </c>
      <c r="D10" s="127"/>
      <c r="E10" s="35" t="s">
        <v>41</v>
      </c>
      <c r="F10" s="41">
        <f>F9*12.8%</f>
        <v>4.562090261</v>
      </c>
      <c r="G10" s="127"/>
      <c r="H10" s="35" t="s">
        <v>42</v>
      </c>
      <c r="I10" s="41">
        <f>I9*9%</f>
        <v>3.191972727</v>
      </c>
      <c r="J10" s="24"/>
      <c r="K10" s="31" t="s">
        <v>39</v>
      </c>
      <c r="L10" s="152">
        <v>0.0</v>
      </c>
      <c r="N10" s="44"/>
      <c r="O10" s="45"/>
      <c r="P10" s="46"/>
      <c r="U10" s="24"/>
      <c r="V10" s="24"/>
      <c r="W10" s="24"/>
      <c r="X10" s="24"/>
      <c r="Y10" s="24"/>
      <c r="Z10" s="24"/>
    </row>
    <row r="11" ht="15.75" customHeight="1">
      <c r="A11" s="34"/>
      <c r="B11" s="35" t="s">
        <v>44</v>
      </c>
      <c r="C11" s="41">
        <f>3%*C9</f>
        <v>1.163288889</v>
      </c>
      <c r="D11" s="24"/>
      <c r="E11" s="35" t="s">
        <v>44</v>
      </c>
      <c r="F11" s="41">
        <f>3%*F9</f>
        <v>1.069239905</v>
      </c>
      <c r="G11" s="24"/>
      <c r="H11" s="35" t="s">
        <v>44</v>
      </c>
      <c r="I11" s="41">
        <f>3%*I9</f>
        <v>1.063990909</v>
      </c>
      <c r="J11" s="24"/>
      <c r="K11" s="31" t="s">
        <v>43</v>
      </c>
      <c r="L11" s="152">
        <v>0.04</v>
      </c>
      <c r="M11" s="24"/>
      <c r="N11" s="24"/>
      <c r="O11" s="24"/>
      <c r="P11" s="24"/>
      <c r="U11" s="24"/>
      <c r="V11" s="24"/>
      <c r="W11" s="24"/>
      <c r="X11" s="24"/>
      <c r="Y11" s="24"/>
      <c r="Z11" s="24"/>
    </row>
    <row r="12" ht="15.75" customHeight="1">
      <c r="A12" s="34"/>
      <c r="B12" s="35" t="s">
        <v>46</v>
      </c>
      <c r="C12" s="47">
        <f>(C11+C10)/C9</f>
        <v>0.15</v>
      </c>
      <c r="D12" s="24"/>
      <c r="E12" s="35" t="s">
        <v>46</v>
      </c>
      <c r="F12" s="47">
        <f>(F11+F10)/F9</f>
        <v>0.158</v>
      </c>
      <c r="G12" s="24"/>
      <c r="H12" s="35" t="s">
        <v>46</v>
      </c>
      <c r="I12" s="47">
        <f>(I11+I10)/I9</f>
        <v>0.12</v>
      </c>
      <c r="J12" s="24"/>
      <c r="K12" s="31" t="s">
        <v>45</v>
      </c>
      <c r="L12" s="137">
        <v>0.0</v>
      </c>
      <c r="M12" s="24"/>
      <c r="N12" s="50" t="s">
        <v>130</v>
      </c>
      <c r="O12" s="30"/>
      <c r="U12" s="24"/>
      <c r="V12" s="24"/>
      <c r="W12" s="24"/>
      <c r="X12" s="24"/>
      <c r="Y12" s="24"/>
      <c r="Z12" s="24"/>
    </row>
    <row r="13" ht="15.75" customHeight="1">
      <c r="A13" s="34"/>
      <c r="B13" s="35" t="s">
        <v>48</v>
      </c>
      <c r="C13" s="41">
        <f>C15+C15*C17</f>
        <v>26.4088</v>
      </c>
      <c r="D13" s="24"/>
      <c r="E13" s="35" t="s">
        <v>48</v>
      </c>
      <c r="F13" s="41">
        <f>F15+F15*F17</f>
        <v>30.01</v>
      </c>
      <c r="G13" s="24"/>
      <c r="H13" s="35" t="s">
        <v>48</v>
      </c>
      <c r="I13" s="41">
        <f>I15+I15*I17</f>
        <v>31.2104</v>
      </c>
      <c r="J13" s="24"/>
      <c r="K13" s="48" t="s">
        <v>47</v>
      </c>
      <c r="L13" s="49">
        <f>L8+L9+L8*L10+L8*L11</f>
        <v>24.008</v>
      </c>
      <c r="N13" s="51"/>
      <c r="O13" s="52"/>
      <c r="U13" s="24"/>
      <c r="V13" s="24"/>
      <c r="W13" s="24"/>
      <c r="X13" s="24"/>
      <c r="Y13" s="24"/>
      <c r="Z13" s="24"/>
    </row>
    <row r="14" ht="15.75" customHeight="1">
      <c r="A14" s="34"/>
      <c r="B14" s="31"/>
      <c r="C14" s="32"/>
      <c r="D14" s="24"/>
      <c r="E14" s="31"/>
      <c r="F14" s="32"/>
      <c r="G14" s="24"/>
      <c r="H14" s="31"/>
      <c r="I14" s="32"/>
      <c r="J14" s="24"/>
      <c r="K14" s="169" t="s">
        <v>109</v>
      </c>
      <c r="L14" s="52"/>
      <c r="N14" s="51"/>
      <c r="O14" s="52"/>
      <c r="Q14" s="101"/>
      <c r="R14" s="24"/>
      <c r="S14" s="24"/>
      <c r="T14" s="24"/>
      <c r="U14" s="24"/>
      <c r="V14" s="24"/>
      <c r="W14" s="24"/>
      <c r="X14" s="24"/>
      <c r="Y14" s="24"/>
      <c r="Z14" s="24"/>
    </row>
    <row r="15" ht="15.75" customHeight="1">
      <c r="A15" s="24"/>
      <c r="B15" s="35" t="s">
        <v>32</v>
      </c>
      <c r="C15" s="41">
        <f>L13</f>
        <v>24.008</v>
      </c>
      <c r="D15" s="24"/>
      <c r="E15" s="35" t="s">
        <v>32</v>
      </c>
      <c r="F15" s="41">
        <f>L13</f>
        <v>24.008</v>
      </c>
      <c r="G15" s="24"/>
      <c r="H15" s="35" t="s">
        <v>32</v>
      </c>
      <c r="I15" s="41">
        <f>L13</f>
        <v>24.008</v>
      </c>
      <c r="J15" s="24"/>
      <c r="K15" s="31" t="s">
        <v>70</v>
      </c>
      <c r="L15" s="85">
        <v>15.0</v>
      </c>
      <c r="N15" s="51"/>
      <c r="O15" s="52"/>
      <c r="Q15" s="101"/>
      <c r="R15" s="24"/>
      <c r="S15" s="24"/>
      <c r="T15" s="24"/>
      <c r="U15" s="24"/>
      <c r="V15" s="24"/>
      <c r="W15" s="24"/>
      <c r="X15" s="24"/>
      <c r="Y15" s="24"/>
      <c r="Z15" s="24"/>
    </row>
    <row r="16" ht="15.75" customHeight="1">
      <c r="A16" s="34"/>
      <c r="B16" s="35" t="s">
        <v>50</v>
      </c>
      <c r="C16" s="41">
        <f>C13-C15</f>
        <v>2.4008</v>
      </c>
      <c r="D16" s="24"/>
      <c r="E16" s="35" t="s">
        <v>50</v>
      </c>
      <c r="F16" s="41">
        <f>F13-F15</f>
        <v>6.002</v>
      </c>
      <c r="G16" s="24"/>
      <c r="H16" s="35" t="s">
        <v>50</v>
      </c>
      <c r="I16" s="41">
        <f>I13-I15</f>
        <v>7.2024</v>
      </c>
      <c r="J16" s="24"/>
      <c r="K16" s="31" t="s">
        <v>72</v>
      </c>
      <c r="L16" s="86">
        <v>20.0</v>
      </c>
      <c r="N16" s="51"/>
      <c r="O16" s="52"/>
      <c r="Q16" s="101"/>
      <c r="R16" s="24"/>
      <c r="S16" s="24"/>
      <c r="T16" s="24"/>
      <c r="U16" s="24"/>
      <c r="V16" s="24"/>
      <c r="W16" s="24"/>
      <c r="X16" s="24"/>
      <c r="Y16" s="24"/>
      <c r="Z16" s="24"/>
    </row>
    <row r="17" ht="15.75" customHeight="1">
      <c r="A17" s="34"/>
      <c r="B17" s="53" t="s">
        <v>51</v>
      </c>
      <c r="C17" s="102">
        <v>0.1</v>
      </c>
      <c r="D17" s="24"/>
      <c r="E17" s="53" t="s">
        <v>51</v>
      </c>
      <c r="F17" s="102">
        <v>0.25</v>
      </c>
      <c r="G17" s="24"/>
      <c r="H17" s="53" t="s">
        <v>51</v>
      </c>
      <c r="I17" s="102">
        <v>0.3</v>
      </c>
      <c r="J17" s="24"/>
      <c r="K17" s="31" t="s">
        <v>74</v>
      </c>
      <c r="L17" s="86">
        <v>4.0</v>
      </c>
      <c r="N17" s="51"/>
      <c r="O17" s="52"/>
      <c r="Q17" s="101"/>
      <c r="R17" s="24"/>
      <c r="S17" s="24"/>
      <c r="T17" s="24"/>
      <c r="U17" s="24"/>
      <c r="V17" s="24"/>
      <c r="W17" s="24"/>
      <c r="X17" s="24"/>
      <c r="Y17" s="24"/>
      <c r="Z17" s="24"/>
    </row>
    <row r="18" ht="15.75" customHeight="1">
      <c r="A18" s="34"/>
      <c r="B18" s="24"/>
      <c r="C18" s="24"/>
      <c r="D18" s="24"/>
      <c r="E18" s="24"/>
      <c r="F18" s="24"/>
      <c r="G18" s="24"/>
      <c r="H18" s="24"/>
      <c r="I18" s="24"/>
      <c r="J18" s="24"/>
      <c r="K18" s="48" t="s">
        <v>110</v>
      </c>
      <c r="L18" s="155">
        <v>0.32</v>
      </c>
      <c r="N18" s="51"/>
      <c r="O18" s="52"/>
      <c r="Q18" s="101"/>
      <c r="R18" s="24"/>
      <c r="S18" s="24"/>
      <c r="T18" s="24"/>
      <c r="U18" s="24"/>
      <c r="V18" s="24"/>
      <c r="W18" s="24"/>
      <c r="X18" s="24"/>
      <c r="Y18" s="24"/>
      <c r="Z18" s="24"/>
    </row>
    <row r="19" ht="15.75" customHeight="1">
      <c r="A19" s="24"/>
      <c r="B19" s="27" t="str">
        <f>B7</f>
        <v>Grupo 2</v>
      </c>
      <c r="C19" s="28" t="s">
        <v>53</v>
      </c>
      <c r="D19" s="24"/>
      <c r="E19" s="24"/>
      <c r="F19" s="24"/>
      <c r="G19" s="24"/>
      <c r="H19" s="24"/>
      <c r="I19" s="24"/>
      <c r="J19" s="24"/>
      <c r="K19" s="24"/>
      <c r="N19" s="51"/>
      <c r="O19" s="52"/>
      <c r="Q19" s="101"/>
      <c r="R19" s="24"/>
      <c r="S19" s="24"/>
      <c r="T19" s="24"/>
      <c r="U19" s="24"/>
      <c r="V19" s="24"/>
      <c r="W19" s="24"/>
      <c r="X19" s="24"/>
      <c r="Y19" s="24"/>
      <c r="Z19" s="24"/>
    </row>
    <row r="20" ht="15.75" customHeight="1">
      <c r="A20" s="24"/>
      <c r="B20" s="35" t="s">
        <v>34</v>
      </c>
      <c r="C20" s="99">
        <f>(C25+12.9)/0.81</f>
        <v>46.15822222</v>
      </c>
      <c r="D20" s="24"/>
      <c r="G20" s="24"/>
      <c r="H20" s="24"/>
      <c r="I20" s="24"/>
      <c r="J20" s="24"/>
      <c r="K20" s="24"/>
      <c r="N20" s="51"/>
      <c r="O20" s="52"/>
      <c r="R20" s="24"/>
      <c r="S20" s="24"/>
      <c r="T20" s="24"/>
      <c r="U20" s="24"/>
      <c r="V20" s="24"/>
      <c r="W20" s="24"/>
      <c r="X20" s="24"/>
      <c r="Y20" s="24"/>
      <c r="Z20" s="24"/>
    </row>
    <row r="21" ht="15.75" customHeight="1">
      <c r="A21" s="24"/>
      <c r="B21" s="35" t="s">
        <v>37</v>
      </c>
      <c r="C21" s="41">
        <f>IF(B19="Grupo 1",Z6,IF(B19="Grupo 2",Z7,IF(B19="Grupo 3",Z8,"Insira o grupo referente a sua loja")))</f>
        <v>7.74</v>
      </c>
      <c r="D21" s="24"/>
      <c r="G21" s="24"/>
      <c r="H21" s="95" t="s">
        <v>86</v>
      </c>
      <c r="I21" s="59"/>
      <c r="J21" s="24"/>
      <c r="K21" s="24"/>
      <c r="N21" s="51"/>
      <c r="O21" s="52"/>
      <c r="R21" s="24"/>
      <c r="S21" s="24"/>
      <c r="T21" s="24"/>
      <c r="U21" s="24"/>
      <c r="V21" s="24"/>
      <c r="W21" s="24"/>
      <c r="X21" s="24"/>
      <c r="Y21" s="24"/>
      <c r="Z21" s="24"/>
    </row>
    <row r="22" ht="15.75" customHeight="1">
      <c r="A22" s="24"/>
      <c r="B22" s="158" t="s">
        <v>129</v>
      </c>
      <c r="C22" s="42">
        <f>C20*C2</f>
        <v>5.538986667</v>
      </c>
      <c r="D22" s="24"/>
      <c r="H22" s="159" t="s">
        <v>88</v>
      </c>
      <c r="I22" s="61"/>
      <c r="J22" s="24"/>
      <c r="K22" s="95" t="s">
        <v>87</v>
      </c>
      <c r="L22" s="59"/>
      <c r="M22" s="24"/>
      <c r="N22" s="64"/>
      <c r="O22" s="65"/>
      <c r="R22" s="24"/>
      <c r="S22" s="24"/>
      <c r="T22" s="24"/>
      <c r="U22" s="24"/>
      <c r="V22" s="24"/>
      <c r="W22" s="24"/>
      <c r="X22" s="24"/>
      <c r="Y22" s="24"/>
      <c r="Z22" s="24"/>
    </row>
    <row r="23" ht="15.75" customHeight="1">
      <c r="A23" s="24"/>
      <c r="B23" s="35" t="s">
        <v>44</v>
      </c>
      <c r="C23" s="42">
        <f>3%*C20</f>
        <v>1.384746667</v>
      </c>
      <c r="D23" s="24"/>
      <c r="H23" s="60"/>
      <c r="I23" s="61"/>
      <c r="J23" s="24"/>
      <c r="K23" s="62" t="s">
        <v>56</v>
      </c>
      <c r="L23" s="52"/>
      <c r="M23" s="24"/>
      <c r="N23" s="24"/>
      <c r="R23" s="24"/>
      <c r="S23" s="24"/>
      <c r="T23" s="24"/>
      <c r="U23" s="24"/>
      <c r="V23" s="24"/>
      <c r="W23" s="24"/>
      <c r="X23" s="24"/>
      <c r="Y23" s="24"/>
      <c r="Z23" s="24"/>
    </row>
    <row r="24" ht="15.75" customHeight="1">
      <c r="A24" s="24"/>
      <c r="B24" s="35" t="s">
        <v>46</v>
      </c>
      <c r="C24" s="63">
        <f>(C23+C22+C21)/C20</f>
        <v>0.3176841011</v>
      </c>
      <c r="D24" s="24"/>
      <c r="H24" s="60"/>
      <c r="I24" s="61"/>
      <c r="J24" s="24"/>
      <c r="K24" s="51"/>
      <c r="L24" s="52"/>
      <c r="M24" s="24"/>
      <c r="N24" s="24"/>
      <c r="R24" s="24"/>
      <c r="S24" s="24"/>
      <c r="T24" s="24"/>
      <c r="U24" s="24"/>
      <c r="V24" s="24"/>
      <c r="W24" s="24"/>
      <c r="X24" s="24"/>
      <c r="Y24" s="24"/>
      <c r="Z24" s="24"/>
    </row>
    <row r="25" ht="15.75" customHeight="1">
      <c r="A25" s="24"/>
      <c r="B25" s="35" t="s">
        <v>48</v>
      </c>
      <c r="C25" s="41">
        <f>C27+C27*C29</f>
        <v>24.48816</v>
      </c>
      <c r="D25" s="24"/>
      <c r="H25" s="60"/>
      <c r="I25" s="61"/>
      <c r="J25" s="24"/>
      <c r="K25" s="51"/>
      <c r="L25" s="52"/>
      <c r="M25" s="24"/>
      <c r="N25" s="24"/>
      <c r="R25" s="24"/>
      <c r="S25" s="24"/>
      <c r="T25" s="24"/>
      <c r="U25" s="24"/>
      <c r="V25" s="24"/>
      <c r="W25" s="24"/>
      <c r="X25" s="24"/>
      <c r="Y25" s="24"/>
      <c r="Z25" s="24"/>
    </row>
    <row r="26" ht="15.75" customHeight="1">
      <c r="A26" s="24"/>
      <c r="B26" s="31"/>
      <c r="C26" s="32"/>
      <c r="D26" s="24"/>
      <c r="H26" s="60"/>
      <c r="I26" s="61"/>
      <c r="J26" s="24"/>
      <c r="K26" s="51"/>
      <c r="L26" s="52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5.75" customHeight="1">
      <c r="A27" s="24"/>
      <c r="B27" s="35" t="s">
        <v>32</v>
      </c>
      <c r="C27" s="42">
        <f>L13</f>
        <v>24.008</v>
      </c>
      <c r="D27" s="24"/>
      <c r="H27" s="60"/>
      <c r="I27" s="61"/>
      <c r="J27" s="24"/>
      <c r="K27" s="51"/>
      <c r="L27" s="52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5.75" customHeight="1">
      <c r="A28" s="24"/>
      <c r="B28" s="35" t="s">
        <v>50</v>
      </c>
      <c r="C28" s="41">
        <f>C25-C27</f>
        <v>0.48016</v>
      </c>
      <c r="D28" s="24"/>
      <c r="H28" s="66"/>
      <c r="I28" s="67"/>
      <c r="J28" s="24"/>
      <c r="K28" s="51"/>
      <c r="L28" s="52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5.75" customHeight="1">
      <c r="A29" s="24"/>
      <c r="B29" s="53" t="s">
        <v>51</v>
      </c>
      <c r="C29" s="103">
        <v>0.02</v>
      </c>
      <c r="D29" s="24"/>
      <c r="J29" s="24"/>
      <c r="K29" s="64"/>
      <c r="L29" s="65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5.75" customHeight="1">
      <c r="A30" s="24"/>
      <c r="B30" s="24"/>
      <c r="C30" s="24"/>
      <c r="D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5.75" customHeight="1">
      <c r="A31" s="24"/>
      <c r="B31" s="27" t="str">
        <f>B7</f>
        <v>Grupo 2</v>
      </c>
      <c r="C31" s="28" t="s">
        <v>131</v>
      </c>
      <c r="D31" s="24"/>
      <c r="E31" s="27" t="str">
        <f>E7</f>
        <v>Grupo 2</v>
      </c>
      <c r="F31" s="28" t="s">
        <v>132</v>
      </c>
      <c r="H31" s="70" t="s">
        <v>59</v>
      </c>
      <c r="I31" s="71"/>
      <c r="J31" s="24"/>
      <c r="K31" s="69" t="s">
        <v>57</v>
      </c>
      <c r="L31" s="153"/>
      <c r="M31" s="153"/>
      <c r="N31" s="30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5.75" customHeight="1">
      <c r="A32" s="24"/>
      <c r="B32" s="35" t="s">
        <v>34</v>
      </c>
      <c r="C32" s="157">
        <v>172.0</v>
      </c>
      <c r="D32" s="24"/>
      <c r="E32" s="35" t="s">
        <v>34</v>
      </c>
      <c r="F32" s="42">
        <f>(F37+F33)/0.81</f>
        <v>130.8419753</v>
      </c>
      <c r="H32" s="73"/>
      <c r="I32" s="74"/>
      <c r="J32" s="24"/>
      <c r="K32" s="69" t="s">
        <v>60</v>
      </c>
      <c r="L32" s="72" t="s">
        <v>61</v>
      </c>
      <c r="M32" s="72" t="s">
        <v>62</v>
      </c>
      <c r="N32" s="72" t="s">
        <v>63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5.75" customHeight="1">
      <c r="A33" s="24"/>
      <c r="B33" s="35" t="s">
        <v>37</v>
      </c>
      <c r="C33" s="42">
        <f>IF(AND(I41&lt;=0.499,B31="Grupo 1"),L33,IF(AND(I41&lt;=0.999,B31="Grupo 1"),L34,IF(AND(I41&lt;=1.999,B31="Grupo 1"),L35,IF(AND(I41&lt;=4.999,B31="Grupo 1"),L36,IF(AND(I41&lt;=8.999,L37,B31="Grupo 1"),L37,IF(AND(I41&lt;=12.999,B31="Grupo 1"),L38,IF(AND(I41&lt;=16.999,B31="Grupo 1"),L39,IF(AND(I41&lt;=22.999,B31="Grupo 1"),L40,IF(AND(I41&lt;=28.999,B31="Grupo 1"),L41,IF(AND(I41&lt;=0.499,B31="Grupo 2"),M33,IF(AND(I41&lt;=0.999,B31="Grupo 2"),M34,IF(AND(I41&lt;=1.999,B31="Grupo 2"),M35,IF(AND(I41&lt;=4.999,B31="Grupo 2"),M36,IF(AND(I41&lt;=8.999,M37,B31="Grupo 2"),M37,IF(AND(I41&lt;=12.999,B31="Grupo 2"),M38,IF(AND(I41&lt;=16.999,B31="Grupo 2"),M39,IF(AND(I41&lt;=22.999,B31="Grupo 2"),M40,IF(AND(I41&lt;=28.999,B31="Grupo 2"),M41,IF(AND(I41&lt;=0.499,B31="Grupo 3"),N33,IF(AND(I41&lt;=0.999,B31="Grupo 3"),N34,IF(AND(I41&lt;=1.999,B31="Grupo 3"),N35,IF(AND(I41&lt;=4.999,B31="Grupo 3"),N36,IF(AND(I41&lt;=8.999,M37,B31="Grupo 3"),N37,IF(AND(I41&lt;=12.999,B31="Grupo 3"),N38,IF(AND(I41&lt;=16.999,B31="Grupo 3"),N39,IF(AND(I41&lt;=22.999,B31="Grupo 3"),M40,IF(AND(I41&lt;=28.999,B31="Grupo 3"),N41,N42)))))))))))))))))))))))))))</f>
        <v>19.74</v>
      </c>
      <c r="D33" s="24"/>
      <c r="E33" s="35" t="s">
        <v>37</v>
      </c>
      <c r="F33" s="42">
        <f>IF(AND(I49&lt;=0.499,E31="Grupo 1"),L46,IF(AND(I49&lt;=0.999,E31="Grupo 1"),L47,IF(AND(I49&lt;=1.999,E31="Grupo 1"),L48,IF(AND(I49&lt;=4.999,E31="Grupo 1"),L49,IF(AND(I49&lt;=8.999,L37,E31="Grupo 1"),L50,IF(AND(I49&lt;=12.999,E31="Grupo 1"),L51,IF(AND(I49&lt;=16.999,E31="Grupo 1"),L52,IF(AND(I49&lt;=22.999,E31="Grupo 1"),L53,IF(AND(I49&lt;=28.999,E31="Grupo 1"),L54,IF(AND(I49&lt;=30,E31="Grupo 1"),L55,IF(AND(I49&lt;=0.499,E31="Grupo 2"),M46,IF(AND(I49&lt;=0.999,E31="Grupo 2"),M47,IF(AND(I49&lt;=1.999,E31="Grupo 2"),M48,IF(AND(I49&lt;=4.999,E31="Grupo 2"),M49,IF(AND(I49&lt;=8.999,M37,E31="Grupo 2"),M50,IF(AND(I49&lt;=12.999,E31="Grupo 2"),M51,IF(AND(I49&lt;=16.999,E31="Grupo 2"),M52,IF(AND(I49&lt;=22.999,E31="Grupo 2"),M53,IF(AND(I49&lt;=28.999,E31="Grupo 2"),M54,IF(AND(I49&lt;=30,E31="Grupo 2"),M55,IF(AND(I49&lt;=0.499,E31="Grupo 3"),N46,IF(AND(I49&lt;=0.999,E31="Grupo 3"),N47,IF(AND(I49&lt;=1.999,E31="Grupo 3"),N48,IF(AND(I49&lt;=4.999,E31="Grupo 3"),N49,IF(AND(I49&lt;=8.999,M37,E31="Grupo 3"),N50,IF(AND(I49&lt;=12.999,E31="Grupo 3"),N51,IF(AND(I49&lt;=16.999,E31="Grupo 3"),N52,IF(AND(I49&lt;=22.999,E31="Grupo 3"),M53,IF(AND(I49&lt;=28.999,E31="Grupo 3"),N54,IF(AND(I49&lt;=30,E31="Grupo 3"),N55))))))))))))))))))))))))))))))</f>
        <v>9.95</v>
      </c>
      <c r="H33" s="73"/>
      <c r="I33" s="74"/>
      <c r="J33" s="24"/>
      <c r="K33" s="75" t="s">
        <v>64</v>
      </c>
      <c r="L33" s="76">
        <v>32.9</v>
      </c>
      <c r="M33" s="76">
        <f t="shared" ref="M33:M41" si="1">L33*0.6</f>
        <v>19.74</v>
      </c>
      <c r="N33" s="77">
        <f t="shared" ref="N33:N41" si="2">L33*0.5</f>
        <v>16.45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5.75" customHeight="1">
      <c r="A34" s="24"/>
      <c r="B34" s="158" t="s">
        <v>129</v>
      </c>
      <c r="C34" s="42">
        <f>C32*C2</f>
        <v>20.64</v>
      </c>
      <c r="D34" s="24" t="s">
        <v>65</v>
      </c>
      <c r="E34" s="35" t="s">
        <v>117</v>
      </c>
      <c r="F34" s="42">
        <f>F32*12.8%</f>
        <v>16.74777284</v>
      </c>
      <c r="H34" s="81"/>
      <c r="I34" s="82"/>
      <c r="J34" s="24"/>
      <c r="K34" s="78" t="s">
        <v>66</v>
      </c>
      <c r="L34" s="79">
        <v>35.9</v>
      </c>
      <c r="M34" s="79">
        <f t="shared" si="1"/>
        <v>21.54</v>
      </c>
      <c r="N34" s="80">
        <f t="shared" si="2"/>
        <v>17.95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5.75" customHeight="1">
      <c r="A35" s="24"/>
      <c r="B35" s="35" t="s">
        <v>44</v>
      </c>
      <c r="C35" s="42">
        <f>3%*C32</f>
        <v>5.16</v>
      </c>
      <c r="D35" s="24"/>
      <c r="E35" s="35" t="s">
        <v>44</v>
      </c>
      <c r="F35" s="42">
        <f>3%*F32</f>
        <v>3.925259259</v>
      </c>
      <c r="H35" s="83" t="s">
        <v>68</v>
      </c>
      <c r="I35" s="84"/>
      <c r="J35" s="24"/>
      <c r="K35" s="78" t="s">
        <v>67</v>
      </c>
      <c r="L35" s="79">
        <v>36.9</v>
      </c>
      <c r="M35" s="79">
        <f t="shared" si="1"/>
        <v>22.14</v>
      </c>
      <c r="N35" s="80">
        <f t="shared" si="2"/>
        <v>18.45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5.75" customHeight="1">
      <c r="A36" s="24"/>
      <c r="B36" s="35" t="s">
        <v>46</v>
      </c>
      <c r="C36" s="63">
        <f>(C35+C34+C33)/C32</f>
        <v>0.2647674419</v>
      </c>
      <c r="D36" s="24"/>
      <c r="E36" s="35" t="s">
        <v>46</v>
      </c>
      <c r="F36" s="63">
        <f>(F35+F34+F33)/F32</f>
        <v>0.2340459323</v>
      </c>
      <c r="H36" s="31" t="s">
        <v>70</v>
      </c>
      <c r="I36" s="162">
        <f t="shared" ref="I36:I38" si="3">L15</f>
        <v>15</v>
      </c>
      <c r="J36" s="24"/>
      <c r="K36" s="78" t="s">
        <v>69</v>
      </c>
      <c r="L36" s="79">
        <v>45.9</v>
      </c>
      <c r="M36" s="79">
        <f t="shared" si="1"/>
        <v>27.54</v>
      </c>
      <c r="N36" s="80">
        <f t="shared" si="2"/>
        <v>22.95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5.75" customHeight="1">
      <c r="A37" s="24"/>
      <c r="B37" s="35" t="s">
        <v>48</v>
      </c>
      <c r="C37" s="41">
        <f>C39+C39*C41</f>
        <v>32.4108</v>
      </c>
      <c r="D37" s="24"/>
      <c r="E37" s="35" t="s">
        <v>48</v>
      </c>
      <c r="F37" s="41">
        <f>F39+F39*F41</f>
        <v>96.032</v>
      </c>
      <c r="H37" s="31" t="s">
        <v>72</v>
      </c>
      <c r="I37" s="162">
        <f t="shared" si="3"/>
        <v>20</v>
      </c>
      <c r="J37" s="24"/>
      <c r="K37" s="78" t="s">
        <v>71</v>
      </c>
      <c r="L37" s="79">
        <v>67.9</v>
      </c>
      <c r="M37" s="79">
        <f t="shared" si="1"/>
        <v>40.74</v>
      </c>
      <c r="N37" s="80">
        <f t="shared" si="2"/>
        <v>33.95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5.75" customHeight="1">
      <c r="A38" s="24"/>
      <c r="B38" s="31"/>
      <c r="C38" s="32"/>
      <c r="D38" s="24"/>
      <c r="E38" s="31"/>
      <c r="F38" s="32"/>
      <c r="H38" s="31" t="s">
        <v>74</v>
      </c>
      <c r="I38" s="162">
        <f t="shared" si="3"/>
        <v>4</v>
      </c>
      <c r="J38" s="24"/>
      <c r="K38" s="78" t="s">
        <v>73</v>
      </c>
      <c r="L38" s="79">
        <v>91.9</v>
      </c>
      <c r="M38" s="79">
        <f t="shared" si="1"/>
        <v>55.14</v>
      </c>
      <c r="N38" s="80">
        <f t="shared" si="2"/>
        <v>45.95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5.75" customHeight="1">
      <c r="A39" s="24"/>
      <c r="B39" s="35" t="s">
        <v>32</v>
      </c>
      <c r="C39" s="42">
        <f>L13</f>
        <v>24.008</v>
      </c>
      <c r="D39" s="24"/>
      <c r="E39" s="35" t="s">
        <v>32</v>
      </c>
      <c r="F39" s="42">
        <f>L13</f>
        <v>24.008</v>
      </c>
      <c r="H39" s="31" t="s">
        <v>76</v>
      </c>
      <c r="I39" s="87">
        <f>(I36*I37*I38)/6000</f>
        <v>0.2</v>
      </c>
      <c r="J39" s="24"/>
      <c r="K39" s="78" t="s">
        <v>75</v>
      </c>
      <c r="L39" s="79">
        <v>104.9</v>
      </c>
      <c r="M39" s="79">
        <f t="shared" si="1"/>
        <v>62.94</v>
      </c>
      <c r="N39" s="80">
        <f t="shared" si="2"/>
        <v>52.45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5.75" customHeight="1">
      <c r="A40" s="24"/>
      <c r="B40" s="35" t="s">
        <v>50</v>
      </c>
      <c r="C40" s="41">
        <f>C37-C39</f>
        <v>8.4028</v>
      </c>
      <c r="D40" s="24"/>
      <c r="E40" s="35" t="s">
        <v>50</v>
      </c>
      <c r="F40" s="41">
        <f>F37-F39</f>
        <v>72.024</v>
      </c>
      <c r="H40" s="31" t="s">
        <v>78</v>
      </c>
      <c r="I40" s="32">
        <f>L18</f>
        <v>0.32</v>
      </c>
      <c r="J40" s="24"/>
      <c r="K40" s="78" t="s">
        <v>77</v>
      </c>
      <c r="L40" s="79">
        <v>112.9</v>
      </c>
      <c r="M40" s="79">
        <f t="shared" si="1"/>
        <v>67.74</v>
      </c>
      <c r="N40" s="80">
        <f t="shared" si="2"/>
        <v>56.45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5.75" customHeight="1">
      <c r="A41" s="24"/>
      <c r="B41" s="53" t="s">
        <v>51</v>
      </c>
      <c r="C41" s="103">
        <v>0.35</v>
      </c>
      <c r="D41" s="24"/>
      <c r="E41" s="53" t="s">
        <v>51</v>
      </c>
      <c r="F41" s="103">
        <v>3.0</v>
      </c>
      <c r="H41" s="48" t="s">
        <v>80</v>
      </c>
      <c r="I41" s="88">
        <f>IF(I39&lt;=5,I40,IF(I39&gt;=0.5,IF(I40&gt;I39,I40,I39),IF(I39&gt;I40,I39,I40)))
</f>
        <v>0.32</v>
      </c>
      <c r="J41" s="24"/>
      <c r="K41" s="78" t="s">
        <v>79</v>
      </c>
      <c r="L41" s="79">
        <v>119.9</v>
      </c>
      <c r="M41" s="79">
        <f t="shared" si="1"/>
        <v>71.94</v>
      </c>
      <c r="N41" s="80">
        <f t="shared" si="2"/>
        <v>59.95</v>
      </c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5.75" customHeight="1">
      <c r="A42" s="24"/>
      <c r="B42" s="24"/>
      <c r="C42" s="24"/>
      <c r="D42" s="24"/>
      <c r="E42" s="1"/>
      <c r="F42" s="1"/>
      <c r="H42" s="1"/>
      <c r="I42" s="1"/>
      <c r="J42" s="24"/>
      <c r="K42" s="89" t="s">
        <v>81</v>
      </c>
      <c r="L42" s="90" t="s">
        <v>82</v>
      </c>
      <c r="M42" s="90" t="s">
        <v>82</v>
      </c>
      <c r="N42" s="91" t="s">
        <v>82</v>
      </c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5.75" customHeight="1">
      <c r="A43" s="24"/>
      <c r="B43" s="24"/>
      <c r="C43" s="24"/>
      <c r="D43" s="24"/>
      <c r="E43" s="24"/>
      <c r="F43" s="24"/>
      <c r="G43" s="24"/>
      <c r="H43" s="83" t="s">
        <v>119</v>
      </c>
      <c r="I43" s="84"/>
      <c r="J43" s="1"/>
      <c r="K43" s="1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5.75" customHeight="1">
      <c r="A44" s="24"/>
      <c r="B44" s="24"/>
      <c r="C44" s="24"/>
      <c r="D44" s="24"/>
      <c r="E44" s="24"/>
      <c r="F44" s="24"/>
      <c r="G44" s="24"/>
      <c r="H44" s="31" t="s">
        <v>120</v>
      </c>
      <c r="I44" s="164">
        <f t="shared" ref="I44:I46" si="4">I36/100</f>
        <v>0.15</v>
      </c>
      <c r="J44" s="24"/>
      <c r="K44" s="69" t="s">
        <v>121</v>
      </c>
      <c r="L44" s="153"/>
      <c r="M44" s="153"/>
      <c r="N44" s="30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5.75" customHeight="1">
      <c r="A45" s="24"/>
      <c r="B45" s="24"/>
      <c r="C45" s="24"/>
      <c r="D45" s="24"/>
      <c r="E45" s="24"/>
      <c r="F45" s="24"/>
      <c r="G45" s="24"/>
      <c r="H45" s="31" t="s">
        <v>122</v>
      </c>
      <c r="I45" s="32">
        <f t="shared" si="4"/>
        <v>0.2</v>
      </c>
      <c r="J45" s="24"/>
      <c r="K45" s="69" t="s">
        <v>60</v>
      </c>
      <c r="L45" s="72" t="s">
        <v>61</v>
      </c>
      <c r="M45" s="72" t="s">
        <v>62</v>
      </c>
      <c r="N45" s="72" t="s">
        <v>63</v>
      </c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5.75" customHeight="1">
      <c r="A46" s="24"/>
      <c r="B46" s="24"/>
      <c r="C46" s="24"/>
      <c r="D46" s="24"/>
      <c r="E46" s="24"/>
      <c r="F46" s="24"/>
      <c r="G46" s="24"/>
      <c r="H46" s="31" t="s">
        <v>123</v>
      </c>
      <c r="I46" s="32">
        <f t="shared" si="4"/>
        <v>0.04</v>
      </c>
      <c r="J46" s="24"/>
      <c r="K46" s="75" t="s">
        <v>64</v>
      </c>
      <c r="L46" s="76">
        <v>19.9</v>
      </c>
      <c r="M46" s="76">
        <v>9.95</v>
      </c>
      <c r="N46" s="77">
        <v>0.0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5.75" customHeight="1">
      <c r="A47" s="24"/>
      <c r="B47" s="24"/>
      <c r="C47" s="24"/>
      <c r="D47" s="24"/>
      <c r="E47" s="24"/>
      <c r="F47" s="24"/>
      <c r="G47" s="24"/>
      <c r="H47" s="31" t="s">
        <v>76</v>
      </c>
      <c r="I47" s="87">
        <f>(I44*I45*I46)*300</f>
        <v>0.36</v>
      </c>
      <c r="J47" s="24"/>
      <c r="K47" s="78" t="s">
        <v>66</v>
      </c>
      <c r="L47" s="79">
        <v>25.9</v>
      </c>
      <c r="M47" s="79">
        <v>12.95</v>
      </c>
      <c r="N47" s="80">
        <v>0.0</v>
      </c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5.75" customHeight="1">
      <c r="A48" s="24"/>
      <c r="B48" s="24"/>
      <c r="C48" s="24"/>
      <c r="D48" s="24"/>
      <c r="E48" s="24"/>
      <c r="F48" s="24"/>
      <c r="G48" s="24"/>
      <c r="H48" s="31" t="s">
        <v>78</v>
      </c>
      <c r="I48" s="32">
        <f>I40</f>
        <v>0.32</v>
      </c>
      <c r="J48" s="24"/>
      <c r="K48" s="78" t="s">
        <v>67</v>
      </c>
      <c r="L48" s="79">
        <v>31.9</v>
      </c>
      <c r="M48" s="79">
        <v>15.95</v>
      </c>
      <c r="N48" s="80">
        <v>0.0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5.75" customHeight="1">
      <c r="A49" s="24"/>
      <c r="B49" s="24"/>
      <c r="C49" s="24"/>
      <c r="D49" s="24"/>
      <c r="E49" s="24"/>
      <c r="F49" s="24"/>
      <c r="G49" s="24"/>
      <c r="H49" s="48" t="s">
        <v>80</v>
      </c>
      <c r="I49" s="88">
        <f>I44*I46*I45*300</f>
        <v>0.36</v>
      </c>
      <c r="J49" s="24"/>
      <c r="K49" s="78" t="s">
        <v>69</v>
      </c>
      <c r="L49" s="79">
        <v>37.9</v>
      </c>
      <c r="M49" s="79">
        <v>18.95</v>
      </c>
      <c r="N49" s="80">
        <v>0.0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78" t="s">
        <v>71</v>
      </c>
      <c r="L50" s="79">
        <v>41.9</v>
      </c>
      <c r="M50" s="79">
        <v>20.95</v>
      </c>
      <c r="N50" s="80">
        <v>0.0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78" t="s">
        <v>73</v>
      </c>
      <c r="L51" s="79">
        <v>47.9</v>
      </c>
      <c r="M51" s="79">
        <v>23.95</v>
      </c>
      <c r="N51" s="80">
        <v>0.0</v>
      </c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78" t="s">
        <v>75</v>
      </c>
      <c r="L52" s="79">
        <v>53.9</v>
      </c>
      <c r="M52" s="79">
        <v>26.95</v>
      </c>
      <c r="N52" s="80">
        <v>0.0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78" t="s">
        <v>77</v>
      </c>
      <c r="L53" s="79">
        <v>59.9</v>
      </c>
      <c r="M53" s="79">
        <v>29.95</v>
      </c>
      <c r="N53" s="80">
        <v>0.0</v>
      </c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78" t="s">
        <v>79</v>
      </c>
      <c r="L54" s="79">
        <v>63.9</v>
      </c>
      <c r="M54" s="79">
        <v>31.95</v>
      </c>
      <c r="N54" s="80">
        <v>0.0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89" t="s">
        <v>124</v>
      </c>
      <c r="L55" s="90">
        <v>69.9</v>
      </c>
      <c r="M55" s="90">
        <v>34.95</v>
      </c>
      <c r="N55" s="91">
        <v>0.0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5.75" customHeight="1">
      <c r="A242" s="24"/>
      <c r="B242" s="1"/>
      <c r="C242" s="1"/>
      <c r="D242" s="24"/>
      <c r="E242" s="1"/>
      <c r="F242" s="1"/>
      <c r="G242" s="24"/>
      <c r="H242" s="1"/>
      <c r="I242" s="1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D255" s="1"/>
      <c r="G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6">
    <mergeCell ref="H21:I21"/>
    <mergeCell ref="H22:I28"/>
    <mergeCell ref="K23:L29"/>
    <mergeCell ref="H31:I34"/>
    <mergeCell ref="K31:N31"/>
    <mergeCell ref="H35:I35"/>
    <mergeCell ref="H43:I43"/>
    <mergeCell ref="K44:N44"/>
    <mergeCell ref="B5:C5"/>
    <mergeCell ref="E5:F5"/>
    <mergeCell ref="H5:I5"/>
    <mergeCell ref="K7:L7"/>
    <mergeCell ref="N9:P10"/>
    <mergeCell ref="N12:O22"/>
    <mergeCell ref="K14:L14"/>
    <mergeCell ref="K22:L22"/>
  </mergeCells>
  <conditionalFormatting sqref="C9">
    <cfRule type="cellIs" dxfId="1" priority="1" operator="greaterThan">
      <formula>40</formula>
    </cfRule>
  </conditionalFormatting>
  <conditionalFormatting sqref="C20:C22">
    <cfRule type="cellIs" dxfId="2" priority="2" operator="greaterThan">
      <formula>79.99</formula>
    </cfRule>
  </conditionalFormatting>
  <conditionalFormatting sqref="C20">
    <cfRule type="cellIs" dxfId="2" priority="3" operator="lessThan">
      <formula>40</formula>
    </cfRule>
  </conditionalFormatting>
  <conditionalFormatting sqref="C32 F32">
    <cfRule type="cellIs" dxfId="1" priority="4" operator="lessThan">
      <formula>80</formula>
    </cfRule>
  </conditionalFormatting>
  <dataValidations>
    <dataValidation type="list" allowBlank="1" sqref="B7 E7">
      <formula1>"Grupo 1,Grupo 2,Grupo 3"</formula1>
    </dataValidation>
    <dataValidation type="decimal" operator="greaterThanOrEqual" allowBlank="1" showDropDown="1" showInputMessage="1" prompt="Preço se encaixa em outra categoria" sqref="C32">
      <formula1>80.0</formula1>
    </dataValidation>
    <dataValidation type="decimal" allowBlank="1" showDropDown="1" showInputMessage="1" prompt="Preço se encaixa em outra categoria" sqref="C20">
      <formula1>40.0</formula1>
      <formula2>80.0</formula2>
    </dataValidation>
    <dataValidation type="list" allowBlank="1" sqref="B2">
      <formula1>categorias!$A$2:$A$44</formula1>
    </dataValidation>
    <dataValidation type="decimal" operator="greaterThanOrEqual" allowBlank="1" showDropDown="1" showInputMessage="1" prompt="Preço se encaixa em outra categoria" sqref="F32">
      <formula1>79.0</formula1>
    </dataValidation>
    <dataValidation type="decimal" operator="lessThan" allowBlank="1" showDropDown="1" showInputMessage="1" prompt="Preço se encaixa em outra categoria" sqref="C9">
      <formula1>40.0</formula1>
    </dataValidation>
  </dataValidations>
  <hyperlinks>
    <hyperlink r:id="rId1" ref="N12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23.57"/>
    <col customWidth="1" min="3" max="3" width="21.57"/>
    <col customWidth="1" min="4" max="4" width="4.29"/>
    <col customWidth="1" min="5" max="5" width="22.57"/>
    <col customWidth="1" min="6" max="6" width="21.43"/>
    <col customWidth="1" min="7" max="7" width="4.29"/>
    <col customWidth="1" min="8" max="8" width="21.86"/>
    <col customWidth="1" min="9" max="10" width="20.14"/>
    <col customWidth="1" min="11" max="11" width="25.0"/>
    <col customWidth="1" min="12" max="13" width="20.14"/>
    <col customWidth="1" min="14" max="14" width="20.71"/>
  </cols>
  <sheetData>
    <row r="1" ht="15.75" customHeight="1">
      <c r="A1" s="127"/>
      <c r="B1" s="128" t="s">
        <v>101</v>
      </c>
      <c r="C1" s="128" t="s">
        <v>102</v>
      </c>
      <c r="D1" s="127"/>
      <c r="E1" s="129"/>
      <c r="F1" s="129"/>
      <c r="G1" s="127"/>
      <c r="H1" s="129"/>
      <c r="I1" s="129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67"/>
      <c r="Z1" s="168"/>
    </row>
    <row r="2" ht="15.75" customHeight="1">
      <c r="A2" s="127"/>
      <c r="B2" s="131" t="s">
        <v>128</v>
      </c>
      <c r="C2" s="132">
        <f>VLOOKUP(B2,categorias!A2:B44,2,FALSE)</f>
        <v>0.12</v>
      </c>
      <c r="D2" s="127"/>
      <c r="E2" s="129"/>
      <c r="F2" s="129"/>
      <c r="G2" s="127"/>
      <c r="H2" s="129"/>
      <c r="I2" s="129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67"/>
      <c r="Z2" s="168"/>
    </row>
    <row r="3" ht="15.75" customHeight="1">
      <c r="A3" s="127"/>
      <c r="B3" s="129"/>
      <c r="C3" s="129"/>
      <c r="D3" s="127"/>
      <c r="E3" s="129"/>
      <c r="F3" s="129"/>
      <c r="G3" s="127"/>
      <c r="H3" s="129"/>
      <c r="I3" s="129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67"/>
      <c r="Z3" s="168"/>
    </row>
    <row r="4" ht="15.75" customHeight="1">
      <c r="A4" s="127"/>
      <c r="B4" s="129"/>
      <c r="C4" s="129"/>
      <c r="D4" s="127"/>
      <c r="E4" s="129"/>
      <c r="F4" s="129"/>
      <c r="G4" s="127"/>
      <c r="H4" s="129"/>
      <c r="I4" s="129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67"/>
      <c r="Z4" s="168"/>
    </row>
    <row r="5" ht="15.75" customHeight="1">
      <c r="A5" s="24"/>
      <c r="B5" s="25" t="s">
        <v>27</v>
      </c>
      <c r="D5" s="24"/>
      <c r="E5" s="25" t="s">
        <v>28</v>
      </c>
      <c r="G5" s="24"/>
      <c r="H5" s="25" t="s">
        <v>29</v>
      </c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97" t="s">
        <v>53</v>
      </c>
      <c r="Z5" s="37"/>
    </row>
    <row r="6" ht="15.75" customHeight="1">
      <c r="A6" s="24"/>
      <c r="B6" s="24"/>
      <c r="C6" s="26"/>
      <c r="D6" s="24"/>
      <c r="E6" s="24"/>
      <c r="F6" s="26"/>
      <c r="G6" s="24"/>
      <c r="H6" s="24"/>
      <c r="I6" s="26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1" t="s">
        <v>52</v>
      </c>
      <c r="Z6" s="98">
        <v>12.9</v>
      </c>
    </row>
    <row r="7" ht="15.75" customHeight="1">
      <c r="A7" s="24"/>
      <c r="B7" s="135" t="s">
        <v>83</v>
      </c>
      <c r="C7" s="28" t="s">
        <v>30</v>
      </c>
      <c r="D7" s="24"/>
      <c r="E7" s="94" t="s">
        <v>83</v>
      </c>
      <c r="F7" s="28" t="s">
        <v>106</v>
      </c>
      <c r="G7" s="24"/>
      <c r="H7" s="27"/>
      <c r="I7" s="28" t="s">
        <v>31</v>
      </c>
      <c r="J7" s="24"/>
      <c r="K7" s="29" t="s">
        <v>32</v>
      </c>
      <c r="L7" s="30"/>
      <c r="M7" s="24"/>
      <c r="N7" s="24"/>
      <c r="O7" s="24"/>
      <c r="P7" s="24"/>
      <c r="U7" s="24"/>
      <c r="V7" s="24"/>
      <c r="W7" s="24"/>
      <c r="X7" s="24"/>
      <c r="Y7" s="1" t="s">
        <v>83</v>
      </c>
      <c r="Z7" s="98">
        <v>7.74</v>
      </c>
    </row>
    <row r="8" ht="15.75" customHeight="1">
      <c r="A8" s="24"/>
      <c r="B8" s="31"/>
      <c r="C8" s="32"/>
      <c r="D8" s="24"/>
      <c r="E8" s="31"/>
      <c r="F8" s="32"/>
      <c r="G8" s="24"/>
      <c r="H8" s="31"/>
      <c r="I8" s="32"/>
      <c r="J8" s="24"/>
      <c r="K8" s="31" t="s">
        <v>33</v>
      </c>
      <c r="L8" s="137">
        <v>20.2</v>
      </c>
      <c r="M8" s="24"/>
      <c r="N8" s="24"/>
      <c r="O8" s="24"/>
      <c r="P8" s="24"/>
      <c r="U8" s="24"/>
      <c r="V8" s="24"/>
      <c r="W8" s="24"/>
      <c r="X8" s="24"/>
      <c r="Y8" s="1" t="s">
        <v>84</v>
      </c>
      <c r="Z8" s="98">
        <v>6.45</v>
      </c>
    </row>
    <row r="9" ht="15.75" customHeight="1">
      <c r="A9" s="34"/>
      <c r="B9" s="35" t="s">
        <v>34</v>
      </c>
      <c r="C9" s="99">
        <f>(C13+5)/0.81</f>
        <v>38.7762963</v>
      </c>
      <c r="D9" s="24"/>
      <c r="E9" s="35" t="s">
        <v>34</v>
      </c>
      <c r="F9" s="41">
        <f>F13/0.842</f>
        <v>35.64133017</v>
      </c>
      <c r="G9" s="24"/>
      <c r="H9" s="35" t="s">
        <v>34</v>
      </c>
      <c r="I9" s="100">
        <f>I13/0.88</f>
        <v>35.46636364</v>
      </c>
      <c r="J9" s="24"/>
      <c r="K9" s="31" t="s">
        <v>90</v>
      </c>
      <c r="L9" s="137">
        <v>3.0</v>
      </c>
      <c r="M9" s="37"/>
      <c r="N9" s="38" t="s">
        <v>36</v>
      </c>
      <c r="O9" s="39"/>
      <c r="P9" s="40"/>
      <c r="U9" s="24"/>
      <c r="V9" s="24"/>
      <c r="W9" s="24"/>
      <c r="X9" s="24"/>
      <c r="Y9" s="24"/>
      <c r="Z9" s="24"/>
    </row>
    <row r="10" ht="15.75" customHeight="1">
      <c r="A10" s="34"/>
      <c r="B10" s="158" t="s">
        <v>129</v>
      </c>
      <c r="C10" s="41">
        <f>C9*C2</f>
        <v>4.653155556</v>
      </c>
      <c r="D10" s="127"/>
      <c r="E10" s="35" t="s">
        <v>41</v>
      </c>
      <c r="F10" s="41">
        <f>F9*12.8%</f>
        <v>4.562090261</v>
      </c>
      <c r="G10" s="127"/>
      <c r="H10" s="35" t="s">
        <v>42</v>
      </c>
      <c r="I10" s="41">
        <f>I9*9%</f>
        <v>3.191972727</v>
      </c>
      <c r="J10" s="24"/>
      <c r="K10" s="31" t="s">
        <v>39</v>
      </c>
      <c r="L10" s="152">
        <v>0.0</v>
      </c>
      <c r="N10" s="44"/>
      <c r="O10" s="45"/>
      <c r="P10" s="46"/>
      <c r="U10" s="24"/>
      <c r="V10" s="24"/>
      <c r="W10" s="24"/>
      <c r="X10" s="24"/>
      <c r="Y10" s="24"/>
      <c r="Z10" s="24"/>
    </row>
    <row r="11" ht="15.75" customHeight="1">
      <c r="A11" s="34"/>
      <c r="B11" s="35" t="s">
        <v>44</v>
      </c>
      <c r="C11" s="41">
        <f>3%*C9</f>
        <v>1.163288889</v>
      </c>
      <c r="D11" s="24"/>
      <c r="E11" s="35" t="s">
        <v>44</v>
      </c>
      <c r="F11" s="41">
        <f>3%*F9</f>
        <v>1.069239905</v>
      </c>
      <c r="G11" s="24"/>
      <c r="H11" s="35" t="s">
        <v>44</v>
      </c>
      <c r="I11" s="41">
        <f>3%*I9</f>
        <v>1.063990909</v>
      </c>
      <c r="J11" s="24"/>
      <c r="K11" s="31" t="s">
        <v>43</v>
      </c>
      <c r="L11" s="152">
        <v>0.04</v>
      </c>
      <c r="M11" s="24"/>
      <c r="N11" s="24"/>
      <c r="O11" s="24"/>
      <c r="P11" s="24"/>
      <c r="U11" s="24"/>
      <c r="V11" s="24"/>
      <c r="W11" s="24"/>
      <c r="X11" s="24"/>
      <c r="Y11" s="24"/>
      <c r="Z11" s="24"/>
    </row>
    <row r="12" ht="15.75" customHeight="1">
      <c r="A12" s="34"/>
      <c r="B12" s="35" t="s">
        <v>46</v>
      </c>
      <c r="C12" s="47">
        <f>(C11+C10)/C9</f>
        <v>0.15</v>
      </c>
      <c r="D12" s="24"/>
      <c r="E12" s="35" t="s">
        <v>46</v>
      </c>
      <c r="F12" s="47">
        <f>(F11+F10)/F9</f>
        <v>0.158</v>
      </c>
      <c r="G12" s="24"/>
      <c r="H12" s="35" t="s">
        <v>46</v>
      </c>
      <c r="I12" s="47">
        <f>(I11+I10)/I9</f>
        <v>0.12</v>
      </c>
      <c r="J12" s="24"/>
      <c r="K12" s="31" t="s">
        <v>45</v>
      </c>
      <c r="L12" s="137">
        <v>0.0</v>
      </c>
      <c r="M12" s="24"/>
      <c r="N12" s="50" t="s">
        <v>133</v>
      </c>
      <c r="O12" s="30"/>
      <c r="U12" s="24"/>
      <c r="V12" s="24"/>
      <c r="W12" s="24"/>
      <c r="X12" s="24"/>
      <c r="Y12" s="24"/>
      <c r="Z12" s="24"/>
    </row>
    <row r="13" ht="15.75" customHeight="1">
      <c r="A13" s="34"/>
      <c r="B13" s="35" t="s">
        <v>48</v>
      </c>
      <c r="C13" s="41">
        <f>C15+C15*C17</f>
        <v>26.4088</v>
      </c>
      <c r="D13" s="24"/>
      <c r="E13" s="35" t="s">
        <v>48</v>
      </c>
      <c r="F13" s="41">
        <f>F15+F15*F17</f>
        <v>30.01</v>
      </c>
      <c r="G13" s="24"/>
      <c r="H13" s="35" t="s">
        <v>48</v>
      </c>
      <c r="I13" s="41">
        <f>I15+I15*I17</f>
        <v>31.2104</v>
      </c>
      <c r="J13" s="24"/>
      <c r="K13" s="48" t="s">
        <v>47</v>
      </c>
      <c r="L13" s="49">
        <f>L8+L9+L8*L10+L8*L11</f>
        <v>24.008</v>
      </c>
      <c r="N13" s="51"/>
      <c r="O13" s="52"/>
      <c r="U13" s="24"/>
      <c r="V13" s="24"/>
      <c r="W13" s="24"/>
      <c r="X13" s="24"/>
      <c r="Y13" s="24"/>
      <c r="Z13" s="24"/>
    </row>
    <row r="14" ht="15.75" customHeight="1">
      <c r="A14" s="34"/>
      <c r="B14" s="31"/>
      <c r="C14" s="32"/>
      <c r="D14" s="24"/>
      <c r="E14" s="31"/>
      <c r="F14" s="32"/>
      <c r="G14" s="24"/>
      <c r="H14" s="31"/>
      <c r="I14" s="32"/>
      <c r="J14" s="24"/>
      <c r="K14" s="169" t="s">
        <v>109</v>
      </c>
      <c r="L14" s="52"/>
      <c r="N14" s="51"/>
      <c r="O14" s="52"/>
      <c r="Q14" s="101"/>
      <c r="R14" s="24"/>
      <c r="S14" s="24"/>
      <c r="T14" s="24"/>
      <c r="U14" s="24"/>
      <c r="V14" s="24"/>
      <c r="W14" s="24"/>
      <c r="X14" s="24"/>
      <c r="Y14" s="24"/>
      <c r="Z14" s="24"/>
    </row>
    <row r="15" ht="15.75" customHeight="1">
      <c r="A15" s="24"/>
      <c r="B15" s="35" t="s">
        <v>32</v>
      </c>
      <c r="C15" s="41">
        <f>L13</f>
        <v>24.008</v>
      </c>
      <c r="D15" s="24"/>
      <c r="E15" s="35" t="s">
        <v>32</v>
      </c>
      <c r="F15" s="41">
        <f>L13</f>
        <v>24.008</v>
      </c>
      <c r="G15" s="24"/>
      <c r="H15" s="35" t="s">
        <v>32</v>
      </c>
      <c r="I15" s="41">
        <f>L13</f>
        <v>24.008</v>
      </c>
      <c r="J15" s="24"/>
      <c r="K15" s="31" t="s">
        <v>70</v>
      </c>
      <c r="L15" s="85">
        <v>15.0</v>
      </c>
      <c r="N15" s="51"/>
      <c r="O15" s="52"/>
      <c r="Q15" s="101"/>
      <c r="R15" s="24"/>
      <c r="S15" s="24"/>
      <c r="T15" s="24"/>
      <c r="U15" s="24"/>
      <c r="V15" s="24"/>
      <c r="W15" s="24"/>
      <c r="X15" s="24"/>
      <c r="Y15" s="24"/>
      <c r="Z15" s="24"/>
    </row>
    <row r="16" ht="15.75" customHeight="1">
      <c r="A16" s="34"/>
      <c r="B16" s="35" t="s">
        <v>50</v>
      </c>
      <c r="C16" s="41">
        <f>C13-C15</f>
        <v>2.4008</v>
      </c>
      <c r="D16" s="24"/>
      <c r="E16" s="35" t="s">
        <v>50</v>
      </c>
      <c r="F16" s="41">
        <f>F13-F15</f>
        <v>6.002</v>
      </c>
      <c r="G16" s="24"/>
      <c r="H16" s="35" t="s">
        <v>50</v>
      </c>
      <c r="I16" s="41">
        <f>I13-I15</f>
        <v>7.2024</v>
      </c>
      <c r="J16" s="24"/>
      <c r="K16" s="31" t="s">
        <v>72</v>
      </c>
      <c r="L16" s="86">
        <v>20.0</v>
      </c>
      <c r="N16" s="51"/>
      <c r="O16" s="52"/>
      <c r="Q16" s="101"/>
      <c r="R16" s="24"/>
      <c r="S16" s="24"/>
      <c r="T16" s="24"/>
      <c r="U16" s="24"/>
      <c r="V16" s="24"/>
      <c r="W16" s="24"/>
      <c r="X16" s="24"/>
      <c r="Y16" s="24"/>
      <c r="Z16" s="24"/>
    </row>
    <row r="17" ht="15.75" customHeight="1">
      <c r="A17" s="34"/>
      <c r="B17" s="53" t="s">
        <v>51</v>
      </c>
      <c r="C17" s="102">
        <v>0.1</v>
      </c>
      <c r="D17" s="24"/>
      <c r="E17" s="53" t="s">
        <v>51</v>
      </c>
      <c r="F17" s="102">
        <v>0.25</v>
      </c>
      <c r="G17" s="24"/>
      <c r="H17" s="53" t="s">
        <v>51</v>
      </c>
      <c r="I17" s="102">
        <v>0.3</v>
      </c>
      <c r="J17" s="24"/>
      <c r="K17" s="31" t="s">
        <v>74</v>
      </c>
      <c r="L17" s="86">
        <v>4.0</v>
      </c>
      <c r="N17" s="51"/>
      <c r="O17" s="52"/>
      <c r="Q17" s="101"/>
      <c r="R17" s="24"/>
      <c r="S17" s="24"/>
      <c r="T17" s="24"/>
      <c r="U17" s="24"/>
      <c r="V17" s="24"/>
      <c r="W17" s="24"/>
      <c r="X17" s="24"/>
      <c r="Y17" s="24"/>
      <c r="Z17" s="24"/>
    </row>
    <row r="18" ht="15.75" customHeight="1">
      <c r="A18" s="34"/>
      <c r="B18" s="24"/>
      <c r="C18" s="24"/>
      <c r="D18" s="24"/>
      <c r="E18" s="24"/>
      <c r="F18" s="24"/>
      <c r="G18" s="24"/>
      <c r="H18" s="24"/>
      <c r="I18" s="24"/>
      <c r="J18" s="24"/>
      <c r="K18" s="48" t="s">
        <v>110</v>
      </c>
      <c r="L18" s="155">
        <v>0.32</v>
      </c>
      <c r="N18" s="51"/>
      <c r="O18" s="52"/>
      <c r="Q18" s="101"/>
      <c r="R18" s="24"/>
      <c r="S18" s="24"/>
      <c r="T18" s="24"/>
      <c r="U18" s="24"/>
      <c r="V18" s="24"/>
      <c r="W18" s="24"/>
      <c r="X18" s="24"/>
      <c r="Y18" s="24"/>
      <c r="Z18" s="24"/>
    </row>
    <row r="19" ht="15.75" customHeight="1">
      <c r="A19" s="24"/>
      <c r="B19" s="27" t="str">
        <f>B7</f>
        <v>Grupo 2</v>
      </c>
      <c r="C19" s="28" t="s">
        <v>53</v>
      </c>
      <c r="D19" s="24"/>
      <c r="E19" s="24"/>
      <c r="F19" s="24"/>
      <c r="G19" s="24"/>
      <c r="H19" s="24"/>
      <c r="I19" s="24"/>
      <c r="J19" s="24"/>
      <c r="K19" s="24"/>
      <c r="N19" s="51"/>
      <c r="O19" s="52"/>
      <c r="Q19" s="101"/>
      <c r="R19" s="24"/>
      <c r="S19" s="24"/>
      <c r="T19" s="24"/>
      <c r="U19" s="24"/>
      <c r="V19" s="24"/>
      <c r="W19" s="24"/>
      <c r="X19" s="24"/>
      <c r="Y19" s="24"/>
      <c r="Z19" s="24"/>
    </row>
    <row r="20" ht="15.75" customHeight="1">
      <c r="A20" s="24"/>
      <c r="B20" s="35" t="s">
        <v>34</v>
      </c>
      <c r="C20" s="99">
        <f>(C25+12.9)/0.81</f>
        <v>46.15822222</v>
      </c>
      <c r="D20" s="24"/>
      <c r="G20" s="24"/>
      <c r="H20" s="24"/>
      <c r="I20" s="24"/>
      <c r="J20" s="24"/>
      <c r="K20" s="24"/>
      <c r="N20" s="51"/>
      <c r="O20" s="52"/>
      <c r="R20" s="24"/>
      <c r="S20" s="24"/>
      <c r="T20" s="24"/>
      <c r="U20" s="24"/>
      <c r="V20" s="24"/>
      <c r="W20" s="24"/>
      <c r="X20" s="24"/>
      <c r="Y20" s="24"/>
      <c r="Z20" s="24"/>
    </row>
    <row r="21" ht="15.75" customHeight="1">
      <c r="A21" s="24"/>
      <c r="B21" s="35" t="s">
        <v>37</v>
      </c>
      <c r="C21" s="41">
        <f>IF(B19="Grupo 1",Z6,IF(B19="Grupo 2",Z7,IF(B19="Grupo 3",Z8,"Insira o grupo referente a sua loja")))</f>
        <v>7.74</v>
      </c>
      <c r="D21" s="24"/>
      <c r="G21" s="24"/>
      <c r="H21" s="95" t="s">
        <v>86</v>
      </c>
      <c r="I21" s="59"/>
      <c r="J21" s="24"/>
      <c r="K21" s="24"/>
      <c r="N21" s="51"/>
      <c r="O21" s="52"/>
      <c r="R21" s="24"/>
      <c r="S21" s="24"/>
      <c r="T21" s="24"/>
      <c r="U21" s="24"/>
      <c r="V21" s="24"/>
      <c r="W21" s="24"/>
      <c r="X21" s="24"/>
      <c r="Y21" s="24"/>
      <c r="Z21" s="24"/>
    </row>
    <row r="22" ht="15.75" customHeight="1">
      <c r="A22" s="24"/>
      <c r="B22" s="158" t="s">
        <v>129</v>
      </c>
      <c r="C22" s="42">
        <f>C20*C2</f>
        <v>5.538986667</v>
      </c>
      <c r="D22" s="24"/>
      <c r="H22" s="159" t="s">
        <v>88</v>
      </c>
      <c r="I22" s="61"/>
      <c r="J22" s="24"/>
      <c r="K22" s="95" t="s">
        <v>87</v>
      </c>
      <c r="L22" s="59"/>
      <c r="M22" s="24"/>
      <c r="N22" s="64"/>
      <c r="O22" s="65"/>
      <c r="R22" s="24"/>
      <c r="S22" s="24"/>
      <c r="T22" s="24"/>
      <c r="U22" s="24"/>
      <c r="V22" s="24"/>
      <c r="W22" s="24"/>
      <c r="X22" s="24"/>
      <c r="Y22" s="24"/>
      <c r="Z22" s="24"/>
    </row>
    <row r="23" ht="15.75" customHeight="1">
      <c r="A23" s="24"/>
      <c r="B23" s="35" t="s">
        <v>44</v>
      </c>
      <c r="C23" s="42">
        <f>3%*C20</f>
        <v>1.384746667</v>
      </c>
      <c r="D23" s="24"/>
      <c r="H23" s="60"/>
      <c r="I23" s="61"/>
      <c r="J23" s="24"/>
      <c r="K23" s="62" t="s">
        <v>56</v>
      </c>
      <c r="L23" s="52"/>
      <c r="M23" s="24"/>
      <c r="N23" s="24"/>
      <c r="R23" s="24"/>
      <c r="S23" s="24"/>
      <c r="T23" s="24"/>
      <c r="U23" s="24"/>
      <c r="V23" s="24"/>
      <c r="W23" s="24"/>
      <c r="X23" s="24"/>
      <c r="Y23" s="24"/>
      <c r="Z23" s="24"/>
    </row>
    <row r="24" ht="15.75" customHeight="1">
      <c r="A24" s="24"/>
      <c r="B24" s="35" t="s">
        <v>46</v>
      </c>
      <c r="C24" s="63">
        <f>(C23+C22+C21)/C20</f>
        <v>0.3176841011</v>
      </c>
      <c r="D24" s="24"/>
      <c r="H24" s="60"/>
      <c r="I24" s="61"/>
      <c r="J24" s="24"/>
      <c r="K24" s="51"/>
      <c r="L24" s="52"/>
      <c r="M24" s="24"/>
      <c r="N24" s="24"/>
      <c r="R24" s="24"/>
      <c r="S24" s="24"/>
      <c r="T24" s="24"/>
      <c r="U24" s="24"/>
      <c r="V24" s="24"/>
      <c r="W24" s="24"/>
      <c r="X24" s="24"/>
      <c r="Y24" s="24"/>
      <c r="Z24" s="24"/>
    </row>
    <row r="25" ht="15.75" customHeight="1">
      <c r="A25" s="24"/>
      <c r="B25" s="35" t="s">
        <v>48</v>
      </c>
      <c r="C25" s="41">
        <f>C27+C27*C29</f>
        <v>24.48816</v>
      </c>
      <c r="D25" s="24"/>
      <c r="H25" s="60"/>
      <c r="I25" s="61"/>
      <c r="J25" s="24"/>
      <c r="K25" s="51"/>
      <c r="L25" s="52"/>
      <c r="M25" s="24"/>
      <c r="N25" s="24"/>
      <c r="R25" s="24"/>
      <c r="S25" s="24"/>
      <c r="T25" s="24"/>
      <c r="U25" s="24"/>
      <c r="V25" s="24"/>
      <c r="W25" s="24"/>
      <c r="X25" s="24"/>
      <c r="Y25" s="24"/>
      <c r="Z25" s="24"/>
    </row>
    <row r="26" ht="15.75" customHeight="1">
      <c r="A26" s="24"/>
      <c r="B26" s="31"/>
      <c r="C26" s="32"/>
      <c r="D26" s="24"/>
      <c r="H26" s="60"/>
      <c r="I26" s="61"/>
      <c r="J26" s="24"/>
      <c r="K26" s="51"/>
      <c r="L26" s="52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5.75" customHeight="1">
      <c r="A27" s="24"/>
      <c r="B27" s="35" t="s">
        <v>32</v>
      </c>
      <c r="C27" s="42">
        <f>L13</f>
        <v>24.008</v>
      </c>
      <c r="D27" s="24"/>
      <c r="H27" s="60"/>
      <c r="I27" s="61"/>
      <c r="J27" s="24"/>
      <c r="K27" s="51"/>
      <c r="L27" s="52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5.75" customHeight="1">
      <c r="A28" s="24"/>
      <c r="B28" s="35" t="s">
        <v>50</v>
      </c>
      <c r="C28" s="41">
        <f>C25-C27</f>
        <v>0.48016</v>
      </c>
      <c r="D28" s="24"/>
      <c r="H28" s="66"/>
      <c r="I28" s="67"/>
      <c r="J28" s="24"/>
      <c r="K28" s="51"/>
      <c r="L28" s="52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5.75" customHeight="1">
      <c r="A29" s="24"/>
      <c r="B29" s="53" t="s">
        <v>51</v>
      </c>
      <c r="C29" s="103">
        <v>0.02</v>
      </c>
      <c r="D29" s="24"/>
      <c r="J29" s="24"/>
      <c r="K29" s="64"/>
      <c r="L29" s="65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5.75" customHeight="1">
      <c r="A30" s="24"/>
      <c r="B30" s="24"/>
      <c r="C30" s="24"/>
      <c r="D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5.75" customHeight="1">
      <c r="A31" s="24"/>
      <c r="B31" s="27" t="str">
        <f>B7</f>
        <v>Grupo 2</v>
      </c>
      <c r="C31" s="28" t="s">
        <v>131</v>
      </c>
      <c r="D31" s="24"/>
      <c r="E31" s="27" t="str">
        <f>E7</f>
        <v>Grupo 2</v>
      </c>
      <c r="F31" s="28" t="s">
        <v>132</v>
      </c>
      <c r="H31" s="70" t="s">
        <v>59</v>
      </c>
      <c r="I31" s="71"/>
      <c r="J31" s="24"/>
      <c r="K31" s="69" t="s">
        <v>57</v>
      </c>
      <c r="L31" s="153"/>
      <c r="M31" s="153"/>
      <c r="N31" s="30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5.75" customHeight="1">
      <c r="A32" s="24"/>
      <c r="B32" s="35" t="s">
        <v>34</v>
      </c>
      <c r="C32" s="42">
        <f>(C37+C33)/0.81</f>
        <v>79.19851852</v>
      </c>
      <c r="D32" s="24"/>
      <c r="E32" s="35" t="s">
        <v>34</v>
      </c>
      <c r="F32" s="42">
        <f>(F37+F33)/0.81</f>
        <v>130.8419753</v>
      </c>
      <c r="H32" s="73"/>
      <c r="I32" s="74"/>
      <c r="J32" s="24"/>
      <c r="K32" s="69" t="s">
        <v>60</v>
      </c>
      <c r="L32" s="72" t="s">
        <v>61</v>
      </c>
      <c r="M32" s="72" t="s">
        <v>62</v>
      </c>
      <c r="N32" s="72" t="s">
        <v>63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5.75" customHeight="1">
      <c r="A33" s="24"/>
      <c r="B33" s="35" t="s">
        <v>37</v>
      </c>
      <c r="C33" s="42">
        <f>IF(AND(I41&lt;=0.499,B31="Grupo 1"),L33,IF(AND(I41&lt;=0.999,B31="Grupo 1"),L34,IF(AND(I41&lt;=1.999,B31="Grupo 1"),L35,IF(AND(I41&lt;=4.999,B31="Grupo 1"),L36,IF(AND(I41&lt;=8.999,L37,B31="Grupo 1"),L37,IF(AND(I41&lt;=12.999,B31="Grupo 1"),L38,IF(AND(I41&lt;=16.999,B31="Grupo 1"),L39,IF(AND(I41&lt;=22.999,B31="Grupo 1"),L40,IF(AND(I41&lt;=28.999,B31="Grupo 1"),L41,IF(AND(I41&lt;=0.499,B31="Grupo 2"),M33,IF(AND(I41&lt;=0.999,B31="Grupo 2"),M34,IF(AND(I41&lt;=1.999,B31="Grupo 2"),M35,IF(AND(I41&lt;=4.999,B31="Grupo 2"),M36,IF(AND(I41&lt;=8.999,M37,B31="Grupo 2"),M37,IF(AND(I41&lt;=12.999,B31="Grupo 2"),M38,IF(AND(I41&lt;=16.999,B31="Grupo 2"),M39,IF(AND(I41&lt;=22.999,B31="Grupo 2"),M40,IF(AND(I41&lt;=28.999,B31="Grupo 2"),M41,IF(AND(I41&lt;=0.499,B31="Grupo 3"),N33,IF(AND(I41&lt;=0.999,B31="Grupo 3"),N34,IF(AND(I41&lt;=1.999,B31="Grupo 3"),N35,IF(AND(I41&lt;=4.999,B31="Grupo 3"),N36,IF(AND(I41&lt;=8.999,M37,B31="Grupo 3"),N37,IF(AND(I41&lt;=12.999,B31="Grupo 3"),N38,IF(AND(I41&lt;=16.999,B31="Grupo 3"),N39,IF(AND(I41&lt;=22.999,B31="Grupo 3"),M40,IF(AND(I41&lt;=28.999,B31="Grupo 3"),N41,N42)))))))))))))))))))))))))))</f>
        <v>31.74</v>
      </c>
      <c r="D33" s="24"/>
      <c r="E33" s="35" t="s">
        <v>37</v>
      </c>
      <c r="F33" s="42">
        <f>IF(AND(I49&lt;=0.499,E31="Grupo 1"),L46,IF(AND(I49&lt;=0.999,E31="Grupo 1"),L47,IF(AND(I49&lt;=1.999,E31="Grupo 1"),L48,IF(AND(I49&lt;=4.999,E31="Grupo 1"),L49,IF(AND(I49&lt;=8.999,L37,E31="Grupo 1"),L50,IF(AND(I49&lt;=12.999,E31="Grupo 1"),L51,IF(AND(I49&lt;=16.999,E31="Grupo 1"),L52,IF(AND(I49&lt;=22.999,E31="Grupo 1"),L53,IF(AND(I49&lt;=28.999,E31="Grupo 1"),L54,IF(AND(I49&lt;=30,E31="Grupo 1"),L55,IF(AND(I49&lt;=0.499,E31="Grupo 2"),M46,IF(AND(I49&lt;=0.999,E31="Grupo 2"),M47,IF(AND(I49&lt;=1.999,E31="Grupo 2"),M48,IF(AND(I49&lt;=4.999,E31="Grupo 2"),M49,IF(AND(I49&lt;=8.999,M37,E31="Grupo 2"),M50,IF(AND(I49&lt;=12.999,E31="Grupo 2"),M51,IF(AND(I49&lt;=16.999,E31="Grupo 2"),M52,IF(AND(I49&lt;=22.999,E31="Grupo 2"),M53,IF(AND(I49&lt;=28.999,E31="Grupo 2"),M54,IF(AND(I49&lt;=30,E31="Grupo 2"),M55,IF(AND(I49&lt;=0.499,E31="Grupo 3"),N46,IF(AND(I49&lt;=0.999,E31="Grupo 3"),N47,IF(AND(I49&lt;=1.999,E31="Grupo 3"),N48,IF(AND(I49&lt;=4.999,E31="Grupo 3"),N49,IF(AND(I49&lt;=8.999,M37,E31="Grupo 3"),N50,IF(AND(I49&lt;=12.999,E31="Grupo 3"),N51,IF(AND(I49&lt;=16.999,E31="Grupo 3"),N52,IF(AND(I49&lt;=22.999,E31="Grupo 3"),M53,IF(AND(I49&lt;=28.999,E31="Grupo 3"),N54,IF(AND(I49&lt;=30,E31="Grupo 3"),N55))))))))))))))))))))))))))))))</f>
        <v>9.95</v>
      </c>
      <c r="H33" s="73"/>
      <c r="I33" s="74"/>
      <c r="J33" s="24"/>
      <c r="K33" s="75" t="s">
        <v>64</v>
      </c>
      <c r="L33" s="165">
        <v>52.9</v>
      </c>
      <c r="M33" s="76">
        <v>31.74</v>
      </c>
      <c r="N33" s="77">
        <v>26.45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5.75" customHeight="1">
      <c r="A34" s="24"/>
      <c r="B34" s="158" t="s">
        <v>129</v>
      </c>
      <c r="C34" s="42">
        <f>C32*C2</f>
        <v>9.503822222</v>
      </c>
      <c r="D34" s="24" t="s">
        <v>65</v>
      </c>
      <c r="E34" s="35" t="s">
        <v>117</v>
      </c>
      <c r="F34" s="42">
        <f>F32*12.8%</f>
        <v>16.74777284</v>
      </c>
      <c r="H34" s="81"/>
      <c r="I34" s="82"/>
      <c r="J34" s="24"/>
      <c r="K34" s="78" t="s">
        <v>66</v>
      </c>
      <c r="L34" s="166">
        <v>57.9</v>
      </c>
      <c r="M34" s="79">
        <v>34.739999999999995</v>
      </c>
      <c r="N34" s="80">
        <v>28.95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5.75" customHeight="1">
      <c r="A35" s="24"/>
      <c r="B35" s="35" t="s">
        <v>44</v>
      </c>
      <c r="C35" s="42">
        <f>3%*C32</f>
        <v>2.375955556</v>
      </c>
      <c r="D35" s="24"/>
      <c r="E35" s="35" t="s">
        <v>44</v>
      </c>
      <c r="F35" s="42">
        <f>3%*F32</f>
        <v>3.925259259</v>
      </c>
      <c r="H35" s="83" t="s">
        <v>68</v>
      </c>
      <c r="I35" s="84"/>
      <c r="J35" s="24"/>
      <c r="K35" s="78" t="s">
        <v>67</v>
      </c>
      <c r="L35" s="166">
        <v>67.9</v>
      </c>
      <c r="M35" s="79">
        <v>40.74</v>
      </c>
      <c r="N35" s="80">
        <v>33.95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5.75" customHeight="1">
      <c r="A36" s="24"/>
      <c r="B36" s="35" t="s">
        <v>46</v>
      </c>
      <c r="C36" s="63">
        <f>(C35+C34+C33)/C32</f>
        <v>0.5507650723</v>
      </c>
      <c r="D36" s="24"/>
      <c r="E36" s="35" t="s">
        <v>46</v>
      </c>
      <c r="F36" s="63">
        <f>(F35+F34+F33)/F32</f>
        <v>0.2340459323</v>
      </c>
      <c r="H36" s="31" t="s">
        <v>70</v>
      </c>
      <c r="I36" s="162">
        <f t="shared" ref="I36:I38" si="1">L15</f>
        <v>15</v>
      </c>
      <c r="J36" s="24"/>
      <c r="K36" s="78" t="s">
        <v>69</v>
      </c>
      <c r="L36" s="166">
        <v>82.9</v>
      </c>
      <c r="M36" s="79">
        <v>49.74</v>
      </c>
      <c r="N36" s="80">
        <v>41.45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5.75" customHeight="1">
      <c r="A37" s="24"/>
      <c r="B37" s="35" t="s">
        <v>48</v>
      </c>
      <c r="C37" s="41">
        <f>C39+C39*C41</f>
        <v>32.4108</v>
      </c>
      <c r="D37" s="24"/>
      <c r="E37" s="35" t="s">
        <v>48</v>
      </c>
      <c r="F37" s="41">
        <f>F39+F39*F41</f>
        <v>96.032</v>
      </c>
      <c r="H37" s="31" t="s">
        <v>72</v>
      </c>
      <c r="I37" s="162">
        <f t="shared" si="1"/>
        <v>20</v>
      </c>
      <c r="J37" s="24"/>
      <c r="K37" s="78" t="s">
        <v>71</v>
      </c>
      <c r="L37" s="166">
        <v>107.9</v>
      </c>
      <c r="M37" s="79">
        <v>64.74</v>
      </c>
      <c r="N37" s="80">
        <v>53.95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5.75" customHeight="1">
      <c r="A38" s="24"/>
      <c r="B38" s="31"/>
      <c r="C38" s="32"/>
      <c r="D38" s="24"/>
      <c r="E38" s="31"/>
      <c r="F38" s="32"/>
      <c r="H38" s="31" t="s">
        <v>74</v>
      </c>
      <c r="I38" s="162">
        <f t="shared" si="1"/>
        <v>4</v>
      </c>
      <c r="J38" s="24"/>
      <c r="K38" s="78" t="s">
        <v>73</v>
      </c>
      <c r="L38" s="166">
        <v>154.9</v>
      </c>
      <c r="M38" s="79">
        <v>92.94</v>
      </c>
      <c r="N38" s="80">
        <v>77.45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5.75" customHeight="1">
      <c r="A39" s="24"/>
      <c r="B39" s="35" t="s">
        <v>32</v>
      </c>
      <c r="C39" s="42">
        <f>L13</f>
        <v>24.008</v>
      </c>
      <c r="D39" s="24"/>
      <c r="E39" s="35" t="s">
        <v>32</v>
      </c>
      <c r="F39" s="42">
        <f>L13</f>
        <v>24.008</v>
      </c>
      <c r="H39" s="31" t="s">
        <v>76</v>
      </c>
      <c r="I39" s="87">
        <f>(I36*I37*I38)/6000</f>
        <v>0.2</v>
      </c>
      <c r="J39" s="24"/>
      <c r="K39" s="78" t="s">
        <v>75</v>
      </c>
      <c r="L39" s="166">
        <v>206.9</v>
      </c>
      <c r="M39" s="79">
        <v>124.14</v>
      </c>
      <c r="N39" s="80">
        <v>103.45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5.75" customHeight="1">
      <c r="A40" s="24"/>
      <c r="B40" s="35" t="s">
        <v>50</v>
      </c>
      <c r="C40" s="41">
        <f>C37-C39</f>
        <v>8.4028</v>
      </c>
      <c r="D40" s="24"/>
      <c r="E40" s="35" t="s">
        <v>50</v>
      </c>
      <c r="F40" s="41">
        <f>F37-F39</f>
        <v>72.024</v>
      </c>
      <c r="H40" s="31" t="s">
        <v>78</v>
      </c>
      <c r="I40" s="32">
        <f>L18</f>
        <v>0.32</v>
      </c>
      <c r="J40" s="24"/>
      <c r="K40" s="78" t="s">
        <v>77</v>
      </c>
      <c r="L40" s="166">
        <v>230.9</v>
      </c>
      <c r="M40" s="79">
        <v>138.54</v>
      </c>
      <c r="N40" s="80">
        <v>115.45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5.75" customHeight="1">
      <c r="A41" s="24"/>
      <c r="B41" s="53" t="s">
        <v>51</v>
      </c>
      <c r="C41" s="103">
        <v>0.35</v>
      </c>
      <c r="D41" s="24"/>
      <c r="E41" s="53" t="s">
        <v>51</v>
      </c>
      <c r="F41" s="103">
        <v>3.0</v>
      </c>
      <c r="H41" s="48" t="s">
        <v>80</v>
      </c>
      <c r="I41" s="88">
        <f>IF(I39&lt;=5,I40,IF(I39&gt;=0.5,IF(I40&gt;I39,I40,I39),IF(I39&gt;I40,I39,I40)))
</f>
        <v>0.32</v>
      </c>
      <c r="J41" s="24"/>
      <c r="K41" s="78" t="s">
        <v>79</v>
      </c>
      <c r="L41" s="166">
        <v>241.9</v>
      </c>
      <c r="M41" s="79">
        <v>145.14</v>
      </c>
      <c r="N41" s="80">
        <v>120.95</v>
      </c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5.75" customHeight="1">
      <c r="A42" s="24"/>
      <c r="B42" s="24"/>
      <c r="C42" s="24"/>
      <c r="D42" s="24"/>
      <c r="E42" s="1"/>
      <c r="F42" s="1"/>
      <c r="H42" s="1"/>
      <c r="I42" s="1"/>
      <c r="J42" s="24"/>
      <c r="K42" s="89" t="s">
        <v>81</v>
      </c>
      <c r="L42" s="90" t="s">
        <v>82</v>
      </c>
      <c r="M42" s="90" t="s">
        <v>82</v>
      </c>
      <c r="N42" s="91" t="s">
        <v>82</v>
      </c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5.75" customHeight="1">
      <c r="A43" s="24"/>
      <c r="B43" s="24"/>
      <c r="C43" s="24"/>
      <c r="D43" s="24"/>
      <c r="E43" s="24"/>
      <c r="F43" s="24"/>
      <c r="G43" s="24"/>
      <c r="H43" s="83" t="s">
        <v>119</v>
      </c>
      <c r="I43" s="84"/>
      <c r="J43" s="1"/>
      <c r="K43" s="1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5.75" customHeight="1">
      <c r="A44" s="24"/>
      <c r="B44" s="24"/>
      <c r="C44" s="24"/>
      <c r="D44" s="24"/>
      <c r="E44" s="24"/>
      <c r="F44" s="24"/>
      <c r="G44" s="24"/>
      <c r="H44" s="31" t="s">
        <v>120</v>
      </c>
      <c r="I44" s="164">
        <f t="shared" ref="I44:I46" si="2">I36/100</f>
        <v>0.15</v>
      </c>
      <c r="J44" s="24"/>
      <c r="K44" s="69" t="s">
        <v>121</v>
      </c>
      <c r="L44" s="153"/>
      <c r="M44" s="153"/>
      <c r="N44" s="30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5.75" customHeight="1">
      <c r="A45" s="24"/>
      <c r="B45" s="24"/>
      <c r="C45" s="24"/>
      <c r="D45" s="24"/>
      <c r="E45" s="24"/>
      <c r="F45" s="24"/>
      <c r="G45" s="24"/>
      <c r="H45" s="31" t="s">
        <v>122</v>
      </c>
      <c r="I45" s="32">
        <f t="shared" si="2"/>
        <v>0.2</v>
      </c>
      <c r="J45" s="24"/>
      <c r="K45" s="69" t="s">
        <v>60</v>
      </c>
      <c r="L45" s="72" t="s">
        <v>61</v>
      </c>
      <c r="M45" s="72" t="s">
        <v>62</v>
      </c>
      <c r="N45" s="72" t="s">
        <v>63</v>
      </c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5.75" customHeight="1">
      <c r="A46" s="24"/>
      <c r="B46" s="24"/>
      <c r="C46" s="24"/>
      <c r="D46" s="24"/>
      <c r="E46" s="24"/>
      <c r="F46" s="24"/>
      <c r="G46" s="24"/>
      <c r="H46" s="31" t="s">
        <v>123</v>
      </c>
      <c r="I46" s="32">
        <f t="shared" si="2"/>
        <v>0.04</v>
      </c>
      <c r="J46" s="24"/>
      <c r="K46" s="75" t="s">
        <v>64</v>
      </c>
      <c r="L46" s="76">
        <v>19.9</v>
      </c>
      <c r="M46" s="76">
        <v>9.95</v>
      </c>
      <c r="N46" s="77">
        <v>0.0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5.75" customHeight="1">
      <c r="A47" s="24"/>
      <c r="B47" s="24"/>
      <c r="C47" s="24"/>
      <c r="D47" s="24"/>
      <c r="E47" s="24"/>
      <c r="F47" s="24"/>
      <c r="G47" s="24"/>
      <c r="H47" s="31" t="s">
        <v>76</v>
      </c>
      <c r="I47" s="87">
        <f>(I44*I45*I46)*300</f>
        <v>0.36</v>
      </c>
      <c r="J47" s="24"/>
      <c r="K47" s="78" t="s">
        <v>66</v>
      </c>
      <c r="L47" s="79">
        <v>25.9</v>
      </c>
      <c r="M47" s="79">
        <v>12.95</v>
      </c>
      <c r="N47" s="80">
        <v>0.0</v>
      </c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5.75" customHeight="1">
      <c r="A48" s="24"/>
      <c r="B48" s="24"/>
      <c r="C48" s="24"/>
      <c r="D48" s="24"/>
      <c r="E48" s="24"/>
      <c r="F48" s="24"/>
      <c r="G48" s="24"/>
      <c r="H48" s="31" t="s">
        <v>78</v>
      </c>
      <c r="I48" s="32">
        <f>I40</f>
        <v>0.32</v>
      </c>
      <c r="J48" s="24"/>
      <c r="K48" s="78" t="s">
        <v>67</v>
      </c>
      <c r="L48" s="79">
        <v>31.9</v>
      </c>
      <c r="M48" s="79">
        <v>15.95</v>
      </c>
      <c r="N48" s="80">
        <v>0.0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5.75" customHeight="1">
      <c r="A49" s="24"/>
      <c r="B49" s="24"/>
      <c r="C49" s="24"/>
      <c r="D49" s="24"/>
      <c r="E49" s="24"/>
      <c r="F49" s="24"/>
      <c r="G49" s="24"/>
      <c r="H49" s="48" t="s">
        <v>80</v>
      </c>
      <c r="I49" s="88">
        <f>I44*I46*I45*300</f>
        <v>0.36</v>
      </c>
      <c r="J49" s="24"/>
      <c r="K49" s="78" t="s">
        <v>69</v>
      </c>
      <c r="L49" s="79">
        <v>37.9</v>
      </c>
      <c r="M49" s="79">
        <v>18.95</v>
      </c>
      <c r="N49" s="80">
        <v>0.0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78" t="s">
        <v>71</v>
      </c>
      <c r="L50" s="79">
        <v>41.9</v>
      </c>
      <c r="M50" s="79">
        <v>20.95</v>
      </c>
      <c r="N50" s="80">
        <v>0.0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78" t="s">
        <v>73</v>
      </c>
      <c r="L51" s="79">
        <v>47.9</v>
      </c>
      <c r="M51" s="79">
        <v>23.95</v>
      </c>
      <c r="N51" s="80">
        <v>0.0</v>
      </c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78" t="s">
        <v>75</v>
      </c>
      <c r="L52" s="79">
        <v>53.9</v>
      </c>
      <c r="M52" s="79">
        <v>26.95</v>
      </c>
      <c r="N52" s="80">
        <v>0.0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78" t="s">
        <v>77</v>
      </c>
      <c r="L53" s="79">
        <v>59.9</v>
      </c>
      <c r="M53" s="79">
        <v>29.95</v>
      </c>
      <c r="N53" s="80">
        <v>0.0</v>
      </c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78" t="s">
        <v>79</v>
      </c>
      <c r="L54" s="79">
        <v>63.9</v>
      </c>
      <c r="M54" s="79">
        <v>31.95</v>
      </c>
      <c r="N54" s="80">
        <v>0.0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89" t="s">
        <v>124</v>
      </c>
      <c r="L55" s="90">
        <v>69.9</v>
      </c>
      <c r="M55" s="90">
        <v>34.95</v>
      </c>
      <c r="N55" s="91">
        <v>0.0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5.75" customHeight="1">
      <c r="A242" s="24"/>
      <c r="B242" s="1"/>
      <c r="C242" s="1"/>
      <c r="D242" s="24"/>
      <c r="E242" s="1"/>
      <c r="F242" s="1"/>
      <c r="G242" s="24"/>
      <c r="H242" s="1"/>
      <c r="I242" s="1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D255" s="1"/>
      <c r="G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6">
    <mergeCell ref="H21:I21"/>
    <mergeCell ref="H22:I28"/>
    <mergeCell ref="K23:L29"/>
    <mergeCell ref="H31:I34"/>
    <mergeCell ref="K31:N31"/>
    <mergeCell ref="H35:I35"/>
    <mergeCell ref="H43:I43"/>
    <mergeCell ref="K44:N44"/>
    <mergeCell ref="B5:C5"/>
    <mergeCell ref="E5:F5"/>
    <mergeCell ref="H5:I5"/>
    <mergeCell ref="K7:L7"/>
    <mergeCell ref="N9:P10"/>
    <mergeCell ref="N12:O22"/>
    <mergeCell ref="K14:L14"/>
    <mergeCell ref="K22:L22"/>
  </mergeCells>
  <conditionalFormatting sqref="C9">
    <cfRule type="cellIs" dxfId="1" priority="1" operator="greaterThan">
      <formula>40</formula>
    </cfRule>
  </conditionalFormatting>
  <conditionalFormatting sqref="C20:C22">
    <cfRule type="cellIs" dxfId="2" priority="2" operator="greaterThan">
      <formula>79.99</formula>
    </cfRule>
  </conditionalFormatting>
  <conditionalFormatting sqref="C20">
    <cfRule type="cellIs" dxfId="2" priority="3" operator="lessThan">
      <formula>40</formula>
    </cfRule>
  </conditionalFormatting>
  <conditionalFormatting sqref="C32 F32">
    <cfRule type="cellIs" dxfId="1" priority="4" operator="lessThan">
      <formula>80</formula>
    </cfRule>
  </conditionalFormatting>
  <dataValidations>
    <dataValidation type="list" allowBlank="1" sqref="B7 E7">
      <formula1>"Grupo 1,Grupo 2,Grupo 3"</formula1>
    </dataValidation>
    <dataValidation type="decimal" operator="greaterThanOrEqual" allowBlank="1" showDropDown="1" showInputMessage="1" prompt="Preço se encaixa em outra categoria" sqref="C32">
      <formula1>80.0</formula1>
    </dataValidation>
    <dataValidation type="decimal" allowBlank="1" showDropDown="1" showInputMessage="1" prompt="Preço se encaixa em outra categoria" sqref="C20">
      <formula1>40.0</formula1>
      <formula2>80.0</formula2>
    </dataValidation>
    <dataValidation type="list" allowBlank="1" sqref="B2">
      <formula1>categorias!$A$2:$A$44</formula1>
    </dataValidation>
    <dataValidation type="decimal" operator="greaterThanOrEqual" allowBlank="1" showDropDown="1" showInputMessage="1" prompt="Preço se encaixa em outra categoria" sqref="F32">
      <formula1>79.0</formula1>
    </dataValidation>
    <dataValidation type="decimal" operator="lessThan" allowBlank="1" showDropDown="1" showInputMessage="1" prompt="Preço se encaixa em outra categoria" sqref="C9">
      <formula1>40.0</formula1>
    </dataValidation>
  </dataValidations>
  <hyperlinks>
    <hyperlink r:id="rId1" ref="N12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0"/>
  </cols>
  <sheetData>
    <row r="1" ht="18.75" customHeight="1">
      <c r="A1" s="170" t="s">
        <v>134</v>
      </c>
    </row>
    <row r="2">
      <c r="A2" s="171" t="s">
        <v>128</v>
      </c>
      <c r="B2" s="172">
        <v>0.12</v>
      </c>
    </row>
    <row r="3">
      <c r="A3" s="171" t="s">
        <v>135</v>
      </c>
      <c r="B3" s="172">
        <v>0.12</v>
      </c>
    </row>
    <row r="4">
      <c r="A4" s="171" t="s">
        <v>136</v>
      </c>
      <c r="B4" s="172">
        <v>0.12</v>
      </c>
    </row>
    <row r="5">
      <c r="A5" s="171" t="s">
        <v>137</v>
      </c>
      <c r="B5" s="172">
        <v>0.12</v>
      </c>
    </row>
    <row r="6">
      <c r="A6" s="173" t="s">
        <v>138</v>
      </c>
      <c r="B6" s="172">
        <v>0.16</v>
      </c>
    </row>
    <row r="7">
      <c r="A7" s="173" t="s">
        <v>139</v>
      </c>
      <c r="B7" s="172">
        <v>0.16</v>
      </c>
    </row>
    <row r="8">
      <c r="A8" s="173" t="s">
        <v>140</v>
      </c>
      <c r="B8" s="172">
        <v>0.16</v>
      </c>
    </row>
    <row r="9">
      <c r="A9" s="173" t="s">
        <v>141</v>
      </c>
      <c r="B9" s="172">
        <v>0.16</v>
      </c>
    </row>
    <row r="10">
      <c r="A10" s="173" t="s">
        <v>103</v>
      </c>
      <c r="B10" s="172">
        <v>0.16</v>
      </c>
    </row>
    <row r="11">
      <c r="A11" s="173" t="s">
        <v>142</v>
      </c>
      <c r="B11" s="172">
        <v>0.16</v>
      </c>
    </row>
    <row r="12">
      <c r="A12" s="173" t="s">
        <v>143</v>
      </c>
      <c r="B12" s="172">
        <v>0.16</v>
      </c>
    </row>
    <row r="13">
      <c r="A13" s="173" t="s">
        <v>144</v>
      </c>
      <c r="B13" s="172">
        <v>0.16</v>
      </c>
    </row>
    <row r="14">
      <c r="A14" s="173" t="s">
        <v>145</v>
      </c>
      <c r="B14" s="172">
        <v>0.16</v>
      </c>
    </row>
    <row r="15">
      <c r="A15" s="173" t="s">
        <v>146</v>
      </c>
      <c r="B15" s="172">
        <v>0.16</v>
      </c>
    </row>
    <row r="16">
      <c r="A16" s="173" t="s">
        <v>147</v>
      </c>
      <c r="B16" s="172">
        <v>0.16</v>
      </c>
    </row>
    <row r="17">
      <c r="A17" s="173" t="s">
        <v>148</v>
      </c>
      <c r="B17" s="172">
        <v>0.16</v>
      </c>
    </row>
    <row r="18">
      <c r="A18" s="173" t="s">
        <v>149</v>
      </c>
      <c r="B18" s="172">
        <v>0.16</v>
      </c>
    </row>
    <row r="19">
      <c r="A19" s="173" t="s">
        <v>150</v>
      </c>
      <c r="B19" s="172">
        <v>0.16</v>
      </c>
    </row>
    <row r="20">
      <c r="A20" s="173" t="s">
        <v>151</v>
      </c>
      <c r="B20" s="172">
        <v>0.16</v>
      </c>
    </row>
    <row r="21">
      <c r="A21" s="173" t="s">
        <v>152</v>
      </c>
      <c r="B21" s="172">
        <v>0.16</v>
      </c>
    </row>
    <row r="22">
      <c r="A22" s="174" t="s">
        <v>153</v>
      </c>
      <c r="B22" s="175">
        <v>0.165</v>
      </c>
    </row>
    <row r="23">
      <c r="A23" s="174" t="s">
        <v>154</v>
      </c>
      <c r="B23" s="175">
        <v>0.165</v>
      </c>
    </row>
    <row r="24">
      <c r="A24" s="174" t="s">
        <v>155</v>
      </c>
      <c r="B24" s="175">
        <v>0.165</v>
      </c>
    </row>
    <row r="25">
      <c r="A25" s="174" t="s">
        <v>156</v>
      </c>
      <c r="B25" s="175">
        <v>0.165</v>
      </c>
    </row>
    <row r="26">
      <c r="A26" s="174" t="s">
        <v>157</v>
      </c>
      <c r="B26" s="175">
        <v>0.165</v>
      </c>
    </row>
    <row r="27">
      <c r="A27" s="174" t="s">
        <v>158</v>
      </c>
      <c r="B27" s="175">
        <v>0.165</v>
      </c>
    </row>
    <row r="28">
      <c r="A28" s="174" t="s">
        <v>159</v>
      </c>
      <c r="B28" s="175">
        <v>0.165</v>
      </c>
    </row>
    <row r="29">
      <c r="A29" s="174" t="s">
        <v>160</v>
      </c>
      <c r="B29" s="175">
        <v>0.165</v>
      </c>
    </row>
    <row r="30">
      <c r="A30" s="174" t="s">
        <v>161</v>
      </c>
      <c r="B30" s="175">
        <v>0.165</v>
      </c>
    </row>
    <row r="31">
      <c r="A31" s="174" t="s">
        <v>162</v>
      </c>
      <c r="B31" s="175">
        <v>0.165</v>
      </c>
    </row>
    <row r="32">
      <c r="A32" s="174" t="s">
        <v>163</v>
      </c>
      <c r="B32" s="175">
        <v>0.165</v>
      </c>
    </row>
    <row r="33">
      <c r="A33" s="174" t="s">
        <v>164</v>
      </c>
      <c r="B33" s="175">
        <v>0.165</v>
      </c>
    </row>
    <row r="34">
      <c r="A34" s="174" t="s">
        <v>165</v>
      </c>
      <c r="B34" s="175">
        <v>0.165</v>
      </c>
    </row>
    <row r="35">
      <c r="A35" s="176" t="s">
        <v>166</v>
      </c>
      <c r="B35" s="172">
        <v>0.17</v>
      </c>
    </row>
    <row r="36">
      <c r="A36" s="176" t="s">
        <v>167</v>
      </c>
      <c r="B36" s="172">
        <v>0.17</v>
      </c>
    </row>
    <row r="37">
      <c r="A37" s="176" t="s">
        <v>168</v>
      </c>
      <c r="B37" s="172">
        <v>0.17</v>
      </c>
    </row>
    <row r="38">
      <c r="A38" s="176" t="s">
        <v>169</v>
      </c>
      <c r="B38" s="172">
        <v>0.17</v>
      </c>
    </row>
    <row r="39">
      <c r="A39" s="176" t="s">
        <v>170</v>
      </c>
      <c r="B39" s="172">
        <v>0.17</v>
      </c>
    </row>
    <row r="40">
      <c r="A40" s="176" t="s">
        <v>171</v>
      </c>
      <c r="B40" s="172">
        <v>0.17</v>
      </c>
    </row>
    <row r="41">
      <c r="A41" s="176" t="s">
        <v>172</v>
      </c>
      <c r="B41" s="172">
        <v>0.17</v>
      </c>
    </row>
    <row r="42">
      <c r="A42" s="177" t="s">
        <v>173</v>
      </c>
      <c r="B42" s="172">
        <v>0.19</v>
      </c>
    </row>
    <row r="43">
      <c r="A43" s="177" t="s">
        <v>174</v>
      </c>
      <c r="B43" s="172">
        <v>0.19</v>
      </c>
    </row>
    <row r="44">
      <c r="A44" s="177" t="s">
        <v>175</v>
      </c>
      <c r="B44" s="172">
        <v>0.19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22.29"/>
    <col customWidth="1" min="3" max="3" width="21.57"/>
    <col customWidth="1" min="4" max="4" width="4.71"/>
    <col customWidth="1" min="5" max="5" width="25.29"/>
    <col customWidth="1" min="6" max="6" width="16.29"/>
    <col customWidth="1" min="7" max="7" width="4.29"/>
    <col customWidth="1" min="8" max="8" width="21.57"/>
    <col customWidth="1" min="9" max="11" width="20.14"/>
    <col customWidth="1" min="12" max="12" width="24.29"/>
    <col customWidth="1" min="14" max="14" width="5.0"/>
  </cols>
  <sheetData>
    <row r="1" ht="15.75" customHeight="1">
      <c r="A1" s="24"/>
      <c r="B1" s="25" t="s">
        <v>27</v>
      </c>
      <c r="D1" s="24"/>
      <c r="E1" s="25" t="s">
        <v>28</v>
      </c>
      <c r="G1" s="24"/>
      <c r="H1" s="25" t="s">
        <v>29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ht="15.75" customHeight="1">
      <c r="A2" s="24"/>
      <c r="B2" s="24"/>
      <c r="C2" s="26"/>
      <c r="D2" s="24"/>
      <c r="E2" s="24"/>
      <c r="F2" s="26"/>
      <c r="G2" s="24"/>
      <c r="H2" s="24"/>
      <c r="I2" s="26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ht="15.75" customHeight="1">
      <c r="A3" s="24"/>
      <c r="B3" s="27"/>
      <c r="C3" s="28" t="s">
        <v>30</v>
      </c>
      <c r="D3" s="24"/>
      <c r="E3" s="27"/>
      <c r="F3" s="28" t="s">
        <v>31</v>
      </c>
      <c r="G3" s="24"/>
      <c r="H3" s="27"/>
      <c r="I3" s="28" t="s">
        <v>31</v>
      </c>
      <c r="J3" s="24"/>
      <c r="K3" s="24"/>
      <c r="L3" s="29" t="s">
        <v>32</v>
      </c>
      <c r="M3" s="30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 ht="15.75" customHeight="1">
      <c r="A4" s="24"/>
      <c r="B4" s="31"/>
      <c r="C4" s="32"/>
      <c r="D4" s="24"/>
      <c r="E4" s="31"/>
      <c r="F4" s="32"/>
      <c r="G4" s="24"/>
      <c r="H4" s="31"/>
      <c r="I4" s="32"/>
      <c r="J4" s="24"/>
      <c r="K4" s="24"/>
      <c r="L4" s="31" t="s">
        <v>33</v>
      </c>
      <c r="M4" s="33">
        <v>20.2</v>
      </c>
      <c r="N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 ht="15.75" customHeight="1">
      <c r="A5" s="34"/>
      <c r="B5" s="35" t="s">
        <v>34</v>
      </c>
      <c r="C5" s="36">
        <v>38.8</v>
      </c>
      <c r="D5" s="24"/>
      <c r="E5" s="35" t="s">
        <v>34</v>
      </c>
      <c r="F5" s="36">
        <v>38.8</v>
      </c>
      <c r="G5" s="24"/>
      <c r="H5" s="35" t="s">
        <v>34</v>
      </c>
      <c r="I5" s="36">
        <v>38.8</v>
      </c>
      <c r="J5" s="24"/>
      <c r="K5" s="24"/>
      <c r="L5" s="31" t="s">
        <v>35</v>
      </c>
      <c r="M5" s="33">
        <v>3.0</v>
      </c>
      <c r="N5" s="37"/>
      <c r="O5" s="38" t="s">
        <v>36</v>
      </c>
      <c r="P5" s="39"/>
      <c r="Q5" s="40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ht="15.75" customHeight="1">
      <c r="A6" s="34"/>
      <c r="B6" s="35" t="s">
        <v>37</v>
      </c>
      <c r="C6" s="41">
        <v>5.0</v>
      </c>
      <c r="D6" s="24"/>
      <c r="E6" s="35" t="s">
        <v>37</v>
      </c>
      <c r="F6" s="42" t="s">
        <v>38</v>
      </c>
      <c r="G6" s="24"/>
      <c r="H6" s="35" t="s">
        <v>37</v>
      </c>
      <c r="I6" s="42" t="s">
        <v>38</v>
      </c>
      <c r="J6" s="24"/>
      <c r="K6" s="24"/>
      <c r="L6" s="31" t="s">
        <v>39</v>
      </c>
      <c r="M6" s="43">
        <v>0.0</v>
      </c>
      <c r="O6" s="44"/>
      <c r="P6" s="45"/>
      <c r="Q6" s="46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15.75" customHeight="1">
      <c r="A7" s="34"/>
      <c r="B7" s="35" t="s">
        <v>40</v>
      </c>
      <c r="C7" s="41">
        <f>C5*16%</f>
        <v>6.208</v>
      </c>
      <c r="D7" s="24"/>
      <c r="E7" s="35" t="s">
        <v>41</v>
      </c>
      <c r="F7" s="41">
        <f>F5*12.8%</f>
        <v>4.9664</v>
      </c>
      <c r="G7" s="24"/>
      <c r="H7" s="35" t="s">
        <v>42</v>
      </c>
      <c r="I7" s="41">
        <f>I5*9%</f>
        <v>3.492</v>
      </c>
      <c r="J7" s="24"/>
      <c r="K7" s="24"/>
      <c r="L7" s="31" t="s">
        <v>43</v>
      </c>
      <c r="M7" s="43">
        <v>0.04</v>
      </c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ht="15.75" customHeight="1">
      <c r="A8" s="34"/>
      <c r="B8" s="35" t="s">
        <v>44</v>
      </c>
      <c r="C8" s="41">
        <f>3%*C5</f>
        <v>1.164</v>
      </c>
      <c r="D8" s="24"/>
      <c r="E8" s="35" t="s">
        <v>44</v>
      </c>
      <c r="F8" s="41">
        <f>3%*F5</f>
        <v>1.164</v>
      </c>
      <c r="G8" s="24"/>
      <c r="H8" s="35" t="s">
        <v>44</v>
      </c>
      <c r="I8" s="41">
        <f>3%*I5</f>
        <v>1.164</v>
      </c>
      <c r="J8" s="24"/>
      <c r="K8" s="24"/>
      <c r="L8" s="31" t="s">
        <v>45</v>
      </c>
      <c r="M8" s="33">
        <v>0.0</v>
      </c>
      <c r="R8" s="24"/>
      <c r="S8" s="24"/>
      <c r="T8" s="24"/>
      <c r="U8" s="24"/>
      <c r="V8" s="24"/>
      <c r="W8" s="24"/>
      <c r="X8" s="24"/>
      <c r="Y8" s="24"/>
      <c r="Z8" s="24"/>
      <c r="AA8" s="24"/>
    </row>
    <row r="9" ht="15.75" customHeight="1">
      <c r="A9" s="34"/>
      <c r="B9" s="35" t="s">
        <v>46</v>
      </c>
      <c r="C9" s="47">
        <f>(C8+C7+C6)/C5</f>
        <v>0.3188659794</v>
      </c>
      <c r="D9" s="24"/>
      <c r="E9" s="35" t="s">
        <v>46</v>
      </c>
      <c r="F9" s="47">
        <f>(F8+F7)/F5</f>
        <v>0.158</v>
      </c>
      <c r="G9" s="24"/>
      <c r="H9" s="35" t="s">
        <v>46</v>
      </c>
      <c r="I9" s="47">
        <f>(I8+I7)/I5</f>
        <v>0.12</v>
      </c>
      <c r="J9" s="24"/>
      <c r="K9" s="24"/>
      <c r="L9" s="48" t="s">
        <v>47</v>
      </c>
      <c r="M9" s="49">
        <f>M4+M5+M4*M6+M4*M7</f>
        <v>24.008</v>
      </c>
      <c r="N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ht="15.75" customHeight="1">
      <c r="A10" s="34"/>
      <c r="B10" s="35" t="s">
        <v>48</v>
      </c>
      <c r="C10" s="41">
        <f>C5-C6-C7-C8</f>
        <v>26.428</v>
      </c>
      <c r="D10" s="24"/>
      <c r="E10" s="35" t="s">
        <v>48</v>
      </c>
      <c r="F10" s="41">
        <f>F5-F7-F8</f>
        <v>32.6696</v>
      </c>
      <c r="G10" s="24"/>
      <c r="H10" s="35" t="s">
        <v>48</v>
      </c>
      <c r="I10" s="41">
        <f>I5-I7-I8</f>
        <v>34.144</v>
      </c>
      <c r="J10" s="24"/>
      <c r="K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ht="15.75" customHeight="1">
      <c r="A11" s="24"/>
      <c r="B11" s="31"/>
      <c r="C11" s="32"/>
      <c r="D11" s="24"/>
      <c r="E11" s="31"/>
      <c r="F11" s="32"/>
      <c r="G11" s="24"/>
      <c r="H11" s="31"/>
      <c r="I11" s="32"/>
      <c r="J11" s="24"/>
      <c r="K11" s="24"/>
      <c r="L11" s="50" t="s">
        <v>49</v>
      </c>
      <c r="M11" s="30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ht="15.75" customHeight="1">
      <c r="A12" s="34"/>
      <c r="B12" s="35" t="s">
        <v>32</v>
      </c>
      <c r="C12" s="36">
        <f>M9</f>
        <v>24.008</v>
      </c>
      <c r="D12" s="24"/>
      <c r="E12" s="35" t="s">
        <v>32</v>
      </c>
      <c r="F12" s="36">
        <f>M9</f>
        <v>24.008</v>
      </c>
      <c r="G12" s="24"/>
      <c r="H12" s="35" t="s">
        <v>32</v>
      </c>
      <c r="I12" s="36">
        <f>M9</f>
        <v>24.008</v>
      </c>
      <c r="J12" s="24"/>
      <c r="K12" s="24"/>
      <c r="L12" s="51"/>
      <c r="M12" s="52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ht="15.75" customHeight="1">
      <c r="A13" s="34"/>
      <c r="B13" s="35" t="s">
        <v>50</v>
      </c>
      <c r="C13" s="41">
        <f>C10-C12</f>
        <v>2.42</v>
      </c>
      <c r="D13" s="24"/>
      <c r="E13" s="35" t="s">
        <v>50</v>
      </c>
      <c r="F13" s="41">
        <f>F10-F12</f>
        <v>8.6616</v>
      </c>
      <c r="G13" s="24"/>
      <c r="H13" s="35" t="s">
        <v>50</v>
      </c>
      <c r="I13" s="41">
        <f>I10-I12</f>
        <v>10.136</v>
      </c>
      <c r="J13" s="24"/>
      <c r="K13" s="24"/>
      <c r="L13" s="51"/>
      <c r="M13" s="52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ht="15.75" customHeight="1">
      <c r="A14" s="34"/>
      <c r="B14" s="53" t="s">
        <v>51</v>
      </c>
      <c r="C14" s="54">
        <f>C10/C12-1</f>
        <v>0.1007997334</v>
      </c>
      <c r="D14" s="24"/>
      <c r="E14" s="53" t="s">
        <v>51</v>
      </c>
      <c r="F14" s="54">
        <f>F10/F12-1</f>
        <v>0.3607797401</v>
      </c>
      <c r="G14" s="24"/>
      <c r="H14" s="53" t="s">
        <v>51</v>
      </c>
      <c r="I14" s="54">
        <f>I10/I12-1</f>
        <v>0.4221926025</v>
      </c>
      <c r="J14" s="24"/>
      <c r="K14" s="24"/>
      <c r="L14" s="51"/>
      <c r="M14" s="52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ht="15.7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51"/>
      <c r="M15" s="52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ht="15.75" customHeight="1">
      <c r="A16" s="24"/>
      <c r="B16" s="27" t="s">
        <v>52</v>
      </c>
      <c r="C16" s="28" t="s">
        <v>53</v>
      </c>
      <c r="D16" s="24"/>
      <c r="E16" s="24"/>
      <c r="F16" s="24"/>
      <c r="G16" s="24"/>
      <c r="H16" s="24"/>
      <c r="I16" s="24"/>
      <c r="J16" s="24"/>
      <c r="K16" s="24"/>
      <c r="L16" s="51"/>
      <c r="M16" s="52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ht="15.75" customHeight="1">
      <c r="A17" s="24"/>
      <c r="B17" s="35" t="s">
        <v>34</v>
      </c>
      <c r="C17" s="55">
        <v>59.0</v>
      </c>
      <c r="D17" s="24"/>
      <c r="E17" s="1"/>
      <c r="F17" s="1"/>
      <c r="G17" s="24"/>
      <c r="H17" s="24"/>
      <c r="I17" s="24"/>
      <c r="J17" s="24"/>
      <c r="K17" s="24"/>
      <c r="L17" s="51"/>
      <c r="M17" s="52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ht="15.75" customHeight="1">
      <c r="A18" s="24"/>
      <c r="B18" s="35" t="s">
        <v>37</v>
      </c>
      <c r="C18" s="42">
        <v>12.9</v>
      </c>
      <c r="D18" s="24"/>
      <c r="E18" s="1"/>
      <c r="F18" s="1"/>
      <c r="G18" s="24"/>
      <c r="H18" s="24"/>
      <c r="I18" s="1"/>
      <c r="J18" s="24"/>
      <c r="K18" s="24"/>
      <c r="L18" s="51"/>
      <c r="M18" s="52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ht="15.75" customHeight="1">
      <c r="A19" s="24"/>
      <c r="B19" s="35" t="s">
        <v>40</v>
      </c>
      <c r="C19" s="42">
        <f>C17*16%</f>
        <v>9.44</v>
      </c>
      <c r="D19" s="24"/>
      <c r="E19" s="56" t="s">
        <v>54</v>
      </c>
      <c r="F19" s="57"/>
      <c r="G19" s="24"/>
      <c r="H19" s="58" t="s">
        <v>55</v>
      </c>
      <c r="I19" s="59"/>
      <c r="J19" s="24"/>
      <c r="K19" s="24"/>
      <c r="L19" s="51"/>
      <c r="M19" s="52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ht="15.75" customHeight="1">
      <c r="A20" s="24"/>
      <c r="B20" s="35" t="s">
        <v>44</v>
      </c>
      <c r="C20" s="42">
        <f>3%*C17</f>
        <v>1.77</v>
      </c>
      <c r="D20" s="24"/>
      <c r="E20" s="60"/>
      <c r="F20" s="61"/>
      <c r="G20" s="24"/>
      <c r="H20" s="62" t="s">
        <v>56</v>
      </c>
      <c r="I20" s="52"/>
      <c r="J20" s="24"/>
      <c r="K20" s="24"/>
      <c r="L20" s="51"/>
      <c r="M20" s="52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 ht="15.75" customHeight="1">
      <c r="A21" s="24"/>
      <c r="B21" s="35" t="s">
        <v>46</v>
      </c>
      <c r="C21" s="63">
        <f>(C20+C19+C18)/C17</f>
        <v>0.4086440678</v>
      </c>
      <c r="D21" s="24"/>
      <c r="E21" s="60"/>
      <c r="F21" s="61"/>
      <c r="G21" s="24"/>
      <c r="H21" s="51"/>
      <c r="I21" s="52"/>
      <c r="J21" s="24"/>
      <c r="K21" s="24"/>
      <c r="L21" s="64"/>
      <c r="M21" s="65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 ht="15.75" customHeight="1">
      <c r="A22" s="24"/>
      <c r="B22" s="35" t="s">
        <v>48</v>
      </c>
      <c r="C22" s="42">
        <f>C17-C18-C19-C20</f>
        <v>34.89</v>
      </c>
      <c r="D22" s="24"/>
      <c r="E22" s="60"/>
      <c r="F22" s="61"/>
      <c r="G22" s="24"/>
      <c r="H22" s="51"/>
      <c r="I22" s="52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 ht="15.75" customHeight="1">
      <c r="A23" s="24"/>
      <c r="B23" s="31"/>
      <c r="C23" s="32"/>
      <c r="D23" s="24"/>
      <c r="E23" s="66"/>
      <c r="F23" s="67"/>
      <c r="G23" s="24"/>
      <c r="H23" s="51"/>
      <c r="I23" s="52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 ht="15.75" customHeight="1">
      <c r="A24" s="24"/>
      <c r="B24" s="35" t="s">
        <v>32</v>
      </c>
      <c r="C24" s="55">
        <f>M9</f>
        <v>24.008</v>
      </c>
      <c r="D24" s="24"/>
      <c r="G24" s="24"/>
      <c r="H24" s="51"/>
      <c r="I24" s="52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 ht="15.75" customHeight="1">
      <c r="A25" s="24"/>
      <c r="B25" s="35" t="s">
        <v>50</v>
      </c>
      <c r="C25" s="42">
        <f>C22-C24</f>
        <v>10.882</v>
      </c>
      <c r="D25" s="24"/>
      <c r="G25" s="24"/>
      <c r="H25" s="64"/>
      <c r="I25" s="65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ht="15.75" customHeight="1">
      <c r="A26" s="24"/>
      <c r="B26" s="53" t="s">
        <v>51</v>
      </c>
      <c r="C26" s="68">
        <f>C22/C24-1</f>
        <v>0.4532655781</v>
      </c>
      <c r="D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ht="15.75" customHeight="1">
      <c r="A27" s="24"/>
      <c r="B27" s="24"/>
      <c r="C27" s="24"/>
      <c r="D27" s="24"/>
      <c r="E27" s="24"/>
      <c r="F27" s="24"/>
      <c r="G27" s="24"/>
      <c r="H27" s="69" t="s">
        <v>57</v>
      </c>
      <c r="I27" s="30"/>
      <c r="J27" s="1"/>
      <c r="K27" s="1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ht="15.75" customHeight="1">
      <c r="A28" s="24"/>
      <c r="B28" s="27" t="s">
        <v>52</v>
      </c>
      <c r="C28" s="28" t="s">
        <v>58</v>
      </c>
      <c r="D28" s="24"/>
      <c r="E28" s="70" t="s">
        <v>59</v>
      </c>
      <c r="F28" s="71"/>
      <c r="G28" s="24"/>
      <c r="H28" s="69" t="s">
        <v>60</v>
      </c>
      <c r="I28" s="72" t="s">
        <v>61</v>
      </c>
      <c r="J28" s="72" t="s">
        <v>62</v>
      </c>
      <c r="K28" s="72" t="s">
        <v>63</v>
      </c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ht="15.75" customHeight="1">
      <c r="A29" s="24"/>
      <c r="B29" s="35" t="s">
        <v>34</v>
      </c>
      <c r="C29" s="55">
        <v>82.9</v>
      </c>
      <c r="D29" s="24"/>
      <c r="E29" s="73"/>
      <c r="F29" s="74"/>
      <c r="G29" s="24"/>
      <c r="H29" s="75" t="s">
        <v>64</v>
      </c>
      <c r="I29" s="76">
        <v>32.9</v>
      </c>
      <c r="J29" s="76">
        <f t="shared" ref="J29:J37" si="1">I29*0.6</f>
        <v>19.74</v>
      </c>
      <c r="K29" s="77">
        <f t="shared" ref="K29:K37" si="2">I29*0.5</f>
        <v>16.45</v>
      </c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 ht="15.75" customHeight="1">
      <c r="A30" s="24"/>
      <c r="B30" s="35" t="s">
        <v>37</v>
      </c>
      <c r="C30" s="42">
        <f>IF(F38&lt;=0.499,I29,IF(F38&lt;=0.999,I30,IF(F38&lt;=1.999,I31,IF(F38&lt;=4.999,I32,IF(F38&lt;=8.999,I33,IF(F38&lt;=12.999,I34,IF(F38&lt;=16.999,I35,IF(F38&lt;=22.999,I36,IF(F38&lt;=28.999,I37,K38)))))))))</f>
        <v>32.9</v>
      </c>
      <c r="D30" s="24" t="s">
        <v>65</v>
      </c>
      <c r="E30" s="73"/>
      <c r="F30" s="74"/>
      <c r="G30" s="24"/>
      <c r="H30" s="78" t="s">
        <v>66</v>
      </c>
      <c r="I30" s="79">
        <v>35.9</v>
      </c>
      <c r="J30" s="79">
        <f t="shared" si="1"/>
        <v>21.54</v>
      </c>
      <c r="K30" s="80">
        <f t="shared" si="2"/>
        <v>17.95</v>
      </c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 ht="15.75" customHeight="1">
      <c r="A31" s="24"/>
      <c r="B31" s="35" t="s">
        <v>40</v>
      </c>
      <c r="C31" s="42">
        <f>C29*16%</f>
        <v>13.264</v>
      </c>
      <c r="D31" s="24"/>
      <c r="E31" s="81"/>
      <c r="F31" s="82"/>
      <c r="G31" s="24"/>
      <c r="H31" s="78" t="s">
        <v>67</v>
      </c>
      <c r="I31" s="79">
        <v>36.9</v>
      </c>
      <c r="J31" s="79">
        <f t="shared" si="1"/>
        <v>22.14</v>
      </c>
      <c r="K31" s="80">
        <f t="shared" si="2"/>
        <v>18.45</v>
      </c>
      <c r="L31" s="1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 ht="15.75" customHeight="1">
      <c r="A32" s="24"/>
      <c r="B32" s="35" t="s">
        <v>44</v>
      </c>
      <c r="C32" s="42">
        <f>3%*C29</f>
        <v>2.487</v>
      </c>
      <c r="D32" s="24"/>
      <c r="E32" s="83" t="s">
        <v>68</v>
      </c>
      <c r="F32" s="84"/>
      <c r="G32" s="24"/>
      <c r="H32" s="78" t="s">
        <v>69</v>
      </c>
      <c r="I32" s="79">
        <v>45.9</v>
      </c>
      <c r="J32" s="79">
        <f t="shared" si="1"/>
        <v>27.54</v>
      </c>
      <c r="K32" s="80">
        <f t="shared" si="2"/>
        <v>22.95</v>
      </c>
      <c r="L32" s="1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 ht="15.75" customHeight="1">
      <c r="A33" s="24"/>
      <c r="B33" s="35" t="s">
        <v>46</v>
      </c>
      <c r="C33" s="63">
        <f>(C32+C31+C30)/C29</f>
        <v>0.5868636912</v>
      </c>
      <c r="D33" s="24"/>
      <c r="E33" s="31" t="s">
        <v>70</v>
      </c>
      <c r="F33" s="85">
        <v>15.0</v>
      </c>
      <c r="G33" s="24"/>
      <c r="H33" s="78" t="s">
        <v>71</v>
      </c>
      <c r="I33" s="79">
        <v>67.9</v>
      </c>
      <c r="J33" s="79">
        <f t="shared" si="1"/>
        <v>40.74</v>
      </c>
      <c r="K33" s="80">
        <f t="shared" si="2"/>
        <v>33.95</v>
      </c>
      <c r="L33" s="1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 ht="15.75" customHeight="1">
      <c r="A34" s="24"/>
      <c r="B34" s="35" t="s">
        <v>48</v>
      </c>
      <c r="C34" s="42">
        <f>C29-C30-C31-C32</f>
        <v>34.249</v>
      </c>
      <c r="D34" s="24"/>
      <c r="E34" s="31" t="s">
        <v>72</v>
      </c>
      <c r="F34" s="86">
        <v>20.0</v>
      </c>
      <c r="G34" s="24"/>
      <c r="H34" s="78" t="s">
        <v>73</v>
      </c>
      <c r="I34" s="79">
        <v>91.9</v>
      </c>
      <c r="J34" s="79">
        <f t="shared" si="1"/>
        <v>55.14</v>
      </c>
      <c r="K34" s="80">
        <f t="shared" si="2"/>
        <v>45.95</v>
      </c>
      <c r="L34" s="1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ht="15.75" customHeight="1">
      <c r="A35" s="24"/>
      <c r="B35" s="31"/>
      <c r="C35" s="32"/>
      <c r="D35" s="24"/>
      <c r="E35" s="31" t="s">
        <v>74</v>
      </c>
      <c r="F35" s="86">
        <v>4.0</v>
      </c>
      <c r="G35" s="24"/>
      <c r="H35" s="78" t="s">
        <v>75</v>
      </c>
      <c r="I35" s="79">
        <v>104.9</v>
      </c>
      <c r="J35" s="79">
        <f t="shared" si="1"/>
        <v>62.94</v>
      </c>
      <c r="K35" s="80">
        <f t="shared" si="2"/>
        <v>52.45</v>
      </c>
      <c r="L35" s="1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ht="15.75" customHeight="1">
      <c r="A36" s="24"/>
      <c r="B36" s="35" t="s">
        <v>32</v>
      </c>
      <c r="C36" s="55">
        <f>M9</f>
        <v>24.008</v>
      </c>
      <c r="D36" s="24"/>
      <c r="E36" s="31" t="s">
        <v>76</v>
      </c>
      <c r="F36" s="87">
        <f>(F33*F34*F35)/6000</f>
        <v>0.2</v>
      </c>
      <c r="G36" s="24"/>
      <c r="H36" s="78" t="s">
        <v>77</v>
      </c>
      <c r="I36" s="79">
        <v>112.9</v>
      </c>
      <c r="J36" s="79">
        <f t="shared" si="1"/>
        <v>67.74</v>
      </c>
      <c r="K36" s="80">
        <f t="shared" si="2"/>
        <v>56.45</v>
      </c>
      <c r="L36" s="1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ht="15.75" customHeight="1">
      <c r="A37" s="24"/>
      <c r="B37" s="35" t="s">
        <v>50</v>
      </c>
      <c r="C37" s="41">
        <f>C34-C36</f>
        <v>10.241</v>
      </c>
      <c r="D37" s="24"/>
      <c r="E37" s="31" t="s">
        <v>78</v>
      </c>
      <c r="F37" s="86">
        <v>0.32</v>
      </c>
      <c r="G37" s="24"/>
      <c r="H37" s="78" t="s">
        <v>79</v>
      </c>
      <c r="I37" s="79">
        <v>119.9</v>
      </c>
      <c r="J37" s="79">
        <f t="shared" si="1"/>
        <v>71.94</v>
      </c>
      <c r="K37" s="80">
        <f t="shared" si="2"/>
        <v>59.95</v>
      </c>
      <c r="L37" s="1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ht="15.75" customHeight="1">
      <c r="A38" s="24"/>
      <c r="B38" s="53" t="s">
        <v>51</v>
      </c>
      <c r="C38" s="68">
        <f>C34/C36-1</f>
        <v>0.4265661446</v>
      </c>
      <c r="D38" s="24"/>
      <c r="E38" s="48" t="s">
        <v>80</v>
      </c>
      <c r="F38" s="88">
        <f>IF(F36&lt;=5,F37,IF(F36&gt;=0.5,IF(F37&gt;F36,F37,F36),IF(F36&gt;F37,F36,F37)))
</f>
        <v>0.32</v>
      </c>
      <c r="G38" s="24"/>
      <c r="H38" s="89" t="s">
        <v>81</v>
      </c>
      <c r="I38" s="90" t="s">
        <v>82</v>
      </c>
      <c r="J38" s="90" t="s">
        <v>82</v>
      </c>
      <c r="K38" s="91" t="s">
        <v>82</v>
      </c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ht="15.75" customHeight="1">
      <c r="A39" s="24"/>
      <c r="B39" s="24"/>
      <c r="C39" s="24"/>
      <c r="D39" s="24"/>
      <c r="E39" s="1"/>
      <c r="F39" s="1"/>
      <c r="G39" s="24"/>
      <c r="H39" s="1"/>
      <c r="I39" s="1"/>
      <c r="J39" s="1"/>
      <c r="K39" s="1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ht="15.75" customHeight="1">
      <c r="A40" s="24"/>
      <c r="B40" s="24"/>
      <c r="C40" s="24"/>
      <c r="D40" s="24"/>
      <c r="E40" s="24"/>
      <c r="F40" s="24"/>
      <c r="G40" s="24"/>
      <c r="H40" s="24"/>
      <c r="I40" s="24"/>
      <c r="J40" s="92"/>
      <c r="K40" s="24"/>
      <c r="L40" s="93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ht="15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ht="15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ht="15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ht="15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ht="15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ht="15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ht="15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ht="15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ht="15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H19:I19"/>
    <mergeCell ref="H20:I25"/>
    <mergeCell ref="H27:I27"/>
    <mergeCell ref="E28:F31"/>
    <mergeCell ref="E32:F32"/>
    <mergeCell ref="B1:C1"/>
    <mergeCell ref="E1:F1"/>
    <mergeCell ref="H1:I1"/>
    <mergeCell ref="L3:M3"/>
    <mergeCell ref="O5:Q6"/>
    <mergeCell ref="L11:M21"/>
    <mergeCell ref="E19:F23"/>
  </mergeCells>
  <conditionalFormatting sqref="C16">
    <cfRule type="cellIs" dxfId="0" priority="1" operator="greaterThan">
      <formula>79.99</formula>
    </cfRule>
  </conditionalFormatting>
  <conditionalFormatting sqref="C16">
    <cfRule type="cellIs" dxfId="0" priority="2" operator="lessThan">
      <formula>40</formula>
    </cfRule>
  </conditionalFormatting>
  <conditionalFormatting sqref="C5 F5 I5">
    <cfRule type="cellIs" dxfId="1" priority="3" operator="greaterThan">
      <formula>40</formula>
    </cfRule>
  </conditionalFormatting>
  <conditionalFormatting sqref="C29">
    <cfRule type="cellIs" dxfId="1" priority="4" operator="lessThan">
      <formula>80</formula>
    </cfRule>
  </conditionalFormatting>
  <conditionalFormatting sqref="C17">
    <cfRule type="cellIs" dxfId="1" priority="5" operator="lessThan">
      <formula>40</formula>
    </cfRule>
  </conditionalFormatting>
  <conditionalFormatting sqref="C17">
    <cfRule type="cellIs" dxfId="1" priority="6" operator="greaterThanOrEqual">
      <formula>79.99</formula>
    </cfRule>
  </conditionalFormatting>
  <hyperlinks>
    <hyperlink r:id="rId1" ref="L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22.29"/>
    <col customWidth="1" min="3" max="3" width="21.57"/>
    <col customWidth="1" min="4" max="4" width="4.71"/>
    <col customWidth="1" min="5" max="5" width="25.29"/>
    <col customWidth="1" min="6" max="6" width="16.29"/>
    <col customWidth="1" min="7" max="7" width="4.29"/>
    <col customWidth="1" min="8" max="8" width="21.57"/>
    <col customWidth="1" min="9" max="11" width="20.14"/>
    <col customWidth="1" min="12" max="12" width="24.29"/>
    <col customWidth="1" min="14" max="14" width="5.0"/>
  </cols>
  <sheetData>
    <row r="1" ht="15.75" customHeight="1">
      <c r="A1" s="24"/>
      <c r="B1" s="25" t="s">
        <v>27</v>
      </c>
      <c r="D1" s="24"/>
      <c r="E1" s="25" t="s">
        <v>28</v>
      </c>
      <c r="G1" s="24"/>
      <c r="H1" s="25" t="s">
        <v>29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8" t="s">
        <v>53</v>
      </c>
      <c r="Z1" s="24"/>
    </row>
    <row r="2" ht="15.75" customHeight="1">
      <c r="A2" s="24"/>
      <c r="B2" s="24"/>
      <c r="C2" s="26"/>
      <c r="D2" s="24"/>
      <c r="E2" s="24"/>
      <c r="F2" s="26"/>
      <c r="G2" s="24"/>
      <c r="H2" s="24"/>
      <c r="I2" s="26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 t="s">
        <v>52</v>
      </c>
      <c r="Z2" s="24">
        <v>12.9</v>
      </c>
    </row>
    <row r="3" ht="15.75" customHeight="1">
      <c r="A3" s="24"/>
      <c r="B3" s="94" t="s">
        <v>83</v>
      </c>
      <c r="C3" s="28" t="s">
        <v>30</v>
      </c>
      <c r="D3" s="24"/>
      <c r="E3" s="27"/>
      <c r="F3" s="28" t="s">
        <v>31</v>
      </c>
      <c r="G3" s="24"/>
      <c r="H3" s="27"/>
      <c r="I3" s="28" t="s">
        <v>31</v>
      </c>
      <c r="J3" s="24"/>
      <c r="K3" s="24"/>
      <c r="L3" s="29" t="s">
        <v>32</v>
      </c>
      <c r="M3" s="30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 t="s">
        <v>83</v>
      </c>
      <c r="Z3" s="24">
        <v>7.74</v>
      </c>
    </row>
    <row r="4" ht="15.75" customHeight="1">
      <c r="A4" s="24"/>
      <c r="B4" s="31"/>
      <c r="C4" s="32"/>
      <c r="D4" s="24"/>
      <c r="E4" s="31"/>
      <c r="F4" s="32"/>
      <c r="G4" s="24"/>
      <c r="H4" s="31"/>
      <c r="I4" s="32"/>
      <c r="J4" s="24"/>
      <c r="K4" s="24"/>
      <c r="L4" s="31" t="s">
        <v>33</v>
      </c>
      <c r="M4" s="33">
        <v>22.0</v>
      </c>
      <c r="N4" s="24"/>
      <c r="R4" s="24"/>
      <c r="S4" s="24"/>
      <c r="T4" s="24"/>
      <c r="U4" s="24"/>
      <c r="V4" s="24"/>
      <c r="W4" s="24"/>
      <c r="X4" s="24"/>
      <c r="Y4" s="24" t="s">
        <v>84</v>
      </c>
      <c r="Z4" s="24">
        <v>6.45</v>
      </c>
    </row>
    <row r="5" ht="15.75" customHeight="1">
      <c r="A5" s="34"/>
      <c r="B5" s="35" t="s">
        <v>34</v>
      </c>
      <c r="C5" s="36">
        <v>39.9</v>
      </c>
      <c r="D5" s="24"/>
      <c r="E5" s="35" t="s">
        <v>34</v>
      </c>
      <c r="F5" s="55">
        <v>55.0</v>
      </c>
      <c r="G5" s="24"/>
      <c r="H5" s="35" t="s">
        <v>34</v>
      </c>
      <c r="I5" s="55">
        <v>180.0</v>
      </c>
      <c r="J5" s="24"/>
      <c r="K5" s="24"/>
      <c r="L5" s="31" t="s">
        <v>35</v>
      </c>
      <c r="M5" s="33"/>
      <c r="N5" s="37"/>
      <c r="O5" s="38" t="s">
        <v>36</v>
      </c>
      <c r="P5" s="39"/>
      <c r="Q5" s="40"/>
      <c r="R5" s="24"/>
      <c r="S5" s="24"/>
      <c r="T5" s="24"/>
      <c r="U5" s="24"/>
      <c r="V5" s="24"/>
      <c r="W5" s="24"/>
      <c r="X5" s="24"/>
    </row>
    <row r="6" ht="15.75" customHeight="1">
      <c r="A6" s="34"/>
      <c r="B6" s="35" t="s">
        <v>37</v>
      </c>
      <c r="C6" s="41">
        <v>5.0</v>
      </c>
      <c r="D6" s="24"/>
      <c r="E6" s="35" t="s">
        <v>37</v>
      </c>
      <c r="F6" s="42" t="s">
        <v>38</v>
      </c>
      <c r="G6" s="24"/>
      <c r="H6" s="35" t="s">
        <v>37</v>
      </c>
      <c r="I6" s="42" t="s">
        <v>38</v>
      </c>
      <c r="J6" s="24"/>
      <c r="K6" s="24"/>
      <c r="L6" s="31" t="s">
        <v>39</v>
      </c>
      <c r="M6" s="43">
        <v>0.0</v>
      </c>
      <c r="O6" s="44"/>
      <c r="P6" s="45"/>
      <c r="Q6" s="46"/>
      <c r="R6" s="24"/>
      <c r="S6" s="24"/>
      <c r="T6" s="24"/>
      <c r="U6" s="24"/>
      <c r="V6" s="24"/>
      <c r="W6" s="24"/>
      <c r="X6" s="24"/>
    </row>
    <row r="7" ht="15.75" customHeight="1">
      <c r="A7" s="34"/>
      <c r="B7" s="35" t="s">
        <v>40</v>
      </c>
      <c r="C7" s="41">
        <f>C5*16%</f>
        <v>6.384</v>
      </c>
      <c r="D7" s="24"/>
      <c r="E7" s="35" t="s">
        <v>41</v>
      </c>
      <c r="F7" s="41">
        <f>F5*12.8%</f>
        <v>7.04</v>
      </c>
      <c r="G7" s="24"/>
      <c r="H7" s="35" t="s">
        <v>42</v>
      </c>
      <c r="I7" s="41">
        <f>I5*9%</f>
        <v>16.2</v>
      </c>
      <c r="J7" s="24"/>
      <c r="K7" s="24"/>
      <c r="L7" s="31" t="s">
        <v>43</v>
      </c>
      <c r="M7" s="43">
        <v>0.0</v>
      </c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ht="15.75" customHeight="1">
      <c r="A8" s="34"/>
      <c r="B8" s="35" t="s">
        <v>44</v>
      </c>
      <c r="C8" s="41">
        <f>3%*C5</f>
        <v>1.197</v>
      </c>
      <c r="D8" s="24"/>
      <c r="E8" s="35" t="s">
        <v>44</v>
      </c>
      <c r="F8" s="41">
        <f>3%*F5</f>
        <v>1.65</v>
      </c>
      <c r="G8" s="24"/>
      <c r="H8" s="35" t="s">
        <v>44</v>
      </c>
      <c r="I8" s="41">
        <f>3%*I5</f>
        <v>5.4</v>
      </c>
      <c r="J8" s="24"/>
      <c r="K8" s="24"/>
      <c r="L8" s="31" t="s">
        <v>45</v>
      </c>
      <c r="M8" s="33">
        <v>0.0</v>
      </c>
      <c r="R8" s="24"/>
      <c r="S8" s="24"/>
      <c r="T8" s="24"/>
      <c r="U8" s="24"/>
      <c r="V8" s="24"/>
      <c r="W8" s="24"/>
      <c r="X8" s="24"/>
    </row>
    <row r="9" ht="15.75" customHeight="1">
      <c r="A9" s="34"/>
      <c r="B9" s="35" t="s">
        <v>46</v>
      </c>
      <c r="C9" s="47">
        <f>(C8+C7+C6)/C5</f>
        <v>0.3153132832</v>
      </c>
      <c r="D9" s="24"/>
      <c r="E9" s="35" t="s">
        <v>46</v>
      </c>
      <c r="F9" s="47">
        <f>(F8+F7)/F5</f>
        <v>0.158</v>
      </c>
      <c r="G9" s="24"/>
      <c r="H9" s="35" t="s">
        <v>46</v>
      </c>
      <c r="I9" s="47">
        <f>(I8+I7)/I5</f>
        <v>0.12</v>
      </c>
      <c r="J9" s="24"/>
      <c r="K9" s="24"/>
      <c r="L9" s="48" t="s">
        <v>47</v>
      </c>
      <c r="M9" s="49">
        <f>M4+M5+M4*M6+M4*M7</f>
        <v>22</v>
      </c>
      <c r="N9" s="24"/>
      <c r="R9" s="24"/>
      <c r="S9" s="24"/>
      <c r="T9" s="24"/>
      <c r="U9" s="24"/>
      <c r="V9" s="24"/>
      <c r="W9" s="24"/>
      <c r="X9" s="24"/>
      <c r="Y9" s="24"/>
      <c r="Z9" s="24"/>
    </row>
    <row r="10" ht="15.75" customHeight="1">
      <c r="A10" s="34"/>
      <c r="B10" s="35" t="s">
        <v>48</v>
      </c>
      <c r="C10" s="41">
        <f>C5-C6-C7-C8</f>
        <v>27.319</v>
      </c>
      <c r="D10" s="24"/>
      <c r="E10" s="35" t="s">
        <v>48</v>
      </c>
      <c r="F10" s="41">
        <f>F5-F7-F8</f>
        <v>46.31</v>
      </c>
      <c r="G10" s="24"/>
      <c r="H10" s="35" t="s">
        <v>48</v>
      </c>
      <c r="I10" s="41">
        <f>I5-I7-I8</f>
        <v>158.4</v>
      </c>
      <c r="J10" s="24"/>
      <c r="K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5.75" customHeight="1">
      <c r="A11" s="24"/>
      <c r="B11" s="31"/>
      <c r="C11" s="32"/>
      <c r="D11" s="24"/>
      <c r="E11" s="31"/>
      <c r="F11" s="32"/>
      <c r="G11" s="24"/>
      <c r="H11" s="31"/>
      <c r="I11" s="32"/>
      <c r="J11" s="24"/>
      <c r="K11" s="24"/>
      <c r="L11" s="50" t="s">
        <v>85</v>
      </c>
      <c r="M11" s="30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5.75" customHeight="1">
      <c r="A12" s="34"/>
      <c r="B12" s="35" t="s">
        <v>32</v>
      </c>
      <c r="C12" s="41">
        <f>M9</f>
        <v>22</v>
      </c>
      <c r="D12" s="24"/>
      <c r="E12" s="35" t="s">
        <v>32</v>
      </c>
      <c r="F12" s="41">
        <f>M9</f>
        <v>22</v>
      </c>
      <c r="G12" s="24"/>
      <c r="H12" s="35" t="s">
        <v>32</v>
      </c>
      <c r="I12" s="41">
        <f>M9</f>
        <v>22</v>
      </c>
      <c r="J12" s="24"/>
      <c r="K12" s="24"/>
      <c r="L12" s="51"/>
      <c r="M12" s="52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5.75" customHeight="1">
      <c r="A13" s="34"/>
      <c r="B13" s="35" t="s">
        <v>50</v>
      </c>
      <c r="C13" s="41">
        <f>C10-C12</f>
        <v>5.319</v>
      </c>
      <c r="D13" s="24"/>
      <c r="E13" s="35" t="s">
        <v>50</v>
      </c>
      <c r="F13" s="41">
        <f>F10-F12</f>
        <v>24.31</v>
      </c>
      <c r="G13" s="24"/>
      <c r="H13" s="35" t="s">
        <v>50</v>
      </c>
      <c r="I13" s="41">
        <f>I10-I12</f>
        <v>136.4</v>
      </c>
      <c r="J13" s="24"/>
      <c r="K13" s="24"/>
      <c r="L13" s="51"/>
      <c r="M13" s="52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5.75" customHeight="1">
      <c r="A14" s="34"/>
      <c r="B14" s="53" t="s">
        <v>51</v>
      </c>
      <c r="C14" s="54">
        <f>C10/C12-1</f>
        <v>0.2417727273</v>
      </c>
      <c r="D14" s="24"/>
      <c r="E14" s="53" t="s">
        <v>51</v>
      </c>
      <c r="F14" s="54">
        <f>F10/F12-1</f>
        <v>1.105</v>
      </c>
      <c r="G14" s="24"/>
      <c r="H14" s="53" t="s">
        <v>51</v>
      </c>
      <c r="I14" s="54">
        <f>I10/I12-1</f>
        <v>6.2</v>
      </c>
      <c r="J14" s="24"/>
      <c r="K14" s="24"/>
      <c r="L14" s="51"/>
      <c r="M14" s="52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5.7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51"/>
      <c r="M15" s="52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5.75" customHeight="1">
      <c r="A16" s="24"/>
      <c r="B16" s="27" t="str">
        <f>B3</f>
        <v>Grupo 2</v>
      </c>
      <c r="C16" s="28" t="s">
        <v>53</v>
      </c>
      <c r="D16" s="24"/>
      <c r="E16" s="24"/>
      <c r="F16" s="24"/>
      <c r="G16" s="24"/>
      <c r="H16" s="24"/>
      <c r="I16" s="24"/>
      <c r="J16" s="24"/>
      <c r="K16" s="24"/>
      <c r="L16" s="51"/>
      <c r="M16" s="52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5.75" customHeight="1">
      <c r="A17" s="24"/>
      <c r="B17" s="35" t="s">
        <v>34</v>
      </c>
      <c r="C17" s="55">
        <v>55.0</v>
      </c>
      <c r="D17" s="24"/>
      <c r="E17" s="1"/>
      <c r="F17" s="1"/>
      <c r="G17" s="24"/>
      <c r="H17" s="24"/>
      <c r="I17" s="24"/>
      <c r="J17" s="24"/>
      <c r="K17" s="24"/>
      <c r="L17" s="51"/>
      <c r="M17" s="52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5.75" customHeight="1">
      <c r="A18" s="24"/>
      <c r="B18" s="35" t="s">
        <v>37</v>
      </c>
      <c r="C18" s="42">
        <f>IF(B16="Grupo 1",Z2,IF(B16="Grupo 2",Z3,IF(B16="Grupo 3",Z4,"Insira o grupo referente a sua loja")))</f>
        <v>7.74</v>
      </c>
      <c r="D18" s="24"/>
      <c r="E18" s="95" t="s">
        <v>86</v>
      </c>
      <c r="F18" s="59"/>
      <c r="G18" s="24"/>
      <c r="H18" s="95" t="s">
        <v>87</v>
      </c>
      <c r="I18" s="59"/>
      <c r="L18" s="51"/>
      <c r="M18" s="52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5.75" customHeight="1">
      <c r="A19" s="24"/>
      <c r="B19" s="35" t="s">
        <v>40</v>
      </c>
      <c r="C19" s="42">
        <f>C17*16%</f>
        <v>8.8</v>
      </c>
      <c r="D19" s="24"/>
      <c r="E19" s="96" t="s">
        <v>88</v>
      </c>
      <c r="F19" s="57"/>
      <c r="G19" s="24"/>
      <c r="H19" s="62" t="s">
        <v>56</v>
      </c>
      <c r="I19" s="52"/>
      <c r="L19" s="51"/>
      <c r="M19" s="52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5.75" customHeight="1">
      <c r="A20" s="24"/>
      <c r="B20" s="35" t="s">
        <v>44</v>
      </c>
      <c r="C20" s="42">
        <f>3%*C17</f>
        <v>1.65</v>
      </c>
      <c r="D20" s="24"/>
      <c r="E20" s="60"/>
      <c r="F20" s="61"/>
      <c r="G20" s="24"/>
      <c r="H20" s="51"/>
      <c r="I20" s="52"/>
      <c r="L20" s="51"/>
      <c r="M20" s="52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5.75" customHeight="1">
      <c r="A21" s="24"/>
      <c r="B21" s="35" t="s">
        <v>46</v>
      </c>
      <c r="C21" s="63">
        <f>(C20+C19+C18)/C17</f>
        <v>0.3307272727</v>
      </c>
      <c r="D21" s="24"/>
      <c r="E21" s="60"/>
      <c r="F21" s="61"/>
      <c r="G21" s="24"/>
      <c r="H21" s="51"/>
      <c r="I21" s="52"/>
      <c r="L21" s="64"/>
      <c r="M21" s="65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5.75" customHeight="1">
      <c r="A22" s="24"/>
      <c r="B22" s="35" t="s">
        <v>48</v>
      </c>
      <c r="C22" s="42">
        <f>C17-C18-C19-C20</f>
        <v>36.81</v>
      </c>
      <c r="D22" s="24"/>
      <c r="E22" s="60"/>
      <c r="F22" s="61"/>
      <c r="G22" s="24"/>
      <c r="H22" s="51"/>
      <c r="I22" s="52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5.75" customHeight="1">
      <c r="A23" s="24"/>
      <c r="B23" s="31"/>
      <c r="C23" s="32"/>
      <c r="D23" s="24"/>
      <c r="E23" s="60"/>
      <c r="F23" s="61"/>
      <c r="G23" s="24"/>
      <c r="H23" s="51"/>
      <c r="I23" s="52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5.75" customHeight="1">
      <c r="A24" s="24"/>
      <c r="B24" s="35" t="s">
        <v>32</v>
      </c>
      <c r="C24" s="42">
        <f>M9</f>
        <v>22</v>
      </c>
      <c r="D24" s="24"/>
      <c r="E24" s="60"/>
      <c r="F24" s="61"/>
      <c r="G24" s="24"/>
      <c r="H24" s="51"/>
      <c r="I24" s="52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5.75" customHeight="1">
      <c r="A25" s="24"/>
      <c r="B25" s="35" t="s">
        <v>50</v>
      </c>
      <c r="C25" s="42">
        <f>C22-C24</f>
        <v>14.81</v>
      </c>
      <c r="D25" s="24"/>
      <c r="E25" s="66"/>
      <c r="F25" s="67"/>
      <c r="G25" s="24"/>
      <c r="H25" s="64"/>
      <c r="I25" s="65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5.75" customHeight="1">
      <c r="A26" s="24"/>
      <c r="B26" s="53" t="s">
        <v>51</v>
      </c>
      <c r="C26" s="68">
        <f>C22/C24-1</f>
        <v>0.6731818182</v>
      </c>
      <c r="D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5.75" customHeight="1">
      <c r="A27" s="24"/>
      <c r="B27" s="24"/>
      <c r="C27" s="24"/>
      <c r="D27" s="24"/>
      <c r="E27" s="24"/>
      <c r="F27" s="24"/>
      <c r="G27" s="24"/>
      <c r="H27" s="69" t="s">
        <v>57</v>
      </c>
      <c r="I27" s="30"/>
      <c r="J27" s="1"/>
      <c r="K27" s="1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5.75" customHeight="1">
      <c r="A28" s="24"/>
      <c r="B28" s="27" t="str">
        <f>B3</f>
        <v>Grupo 2</v>
      </c>
      <c r="C28" s="28" t="s">
        <v>58</v>
      </c>
      <c r="D28" s="24"/>
      <c r="E28" s="70" t="s">
        <v>89</v>
      </c>
      <c r="F28" s="71"/>
      <c r="G28" s="24"/>
      <c r="H28" s="69" t="s">
        <v>60</v>
      </c>
      <c r="I28" s="72" t="s">
        <v>61</v>
      </c>
      <c r="J28" s="72" t="s">
        <v>62</v>
      </c>
      <c r="K28" s="72" t="s">
        <v>63</v>
      </c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5.75" customHeight="1">
      <c r="A29" s="24"/>
      <c r="B29" s="35" t="s">
        <v>34</v>
      </c>
      <c r="C29" s="55">
        <v>82.9</v>
      </c>
      <c r="D29" s="24"/>
      <c r="E29" s="73"/>
      <c r="F29" s="74"/>
      <c r="G29" s="24"/>
      <c r="H29" s="75" t="s">
        <v>64</v>
      </c>
      <c r="I29" s="76">
        <v>32.9</v>
      </c>
      <c r="J29" s="76">
        <f t="shared" ref="J29:J37" si="1">I29*0.6</f>
        <v>19.74</v>
      </c>
      <c r="K29" s="77">
        <f t="shared" ref="K29:K37" si="2">I29*0.5</f>
        <v>16.45</v>
      </c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5.75" customHeight="1">
      <c r="A30" s="24"/>
      <c r="B30" s="35" t="s">
        <v>37</v>
      </c>
      <c r="C30" s="42">
        <f>IF(AND(F38&lt;=0.499,B28="Grupo 1"),I29,IF(AND(F38&lt;=0.999,B28="Grupo 1"),I30,IF(AND(F38&lt;=1.999,B28="Grupo 1"),I31,IF(AND(F38&lt;=4.999,B28="Grupo 1"),I32,IF(AND(F38&lt;=8.999,I33,B28="Grupo 1"),I33,IF(AND(F38&lt;=12.999,B28="Grupo 1"),I34,IF(AND(F38&lt;=16.999,B28="Grupo 1"),I35,IF(AND(F38&lt;=22.999,B28="Grupo 1"),I36,IF(AND(F38&lt;=28.999,B28="Grupo 1"),I37,IF(AND(F38&lt;=0.499,B28="Grupo 2"),J29,IF(AND(F38&lt;=0.999,B28="Grupo 2"),J30,IF(AND(F38&lt;=1.999,B28="Grupo 2"),J31,IF(AND(F38&lt;=4.999,B28="Grupo 2"),J32,IF(AND(F38&lt;=8.999,J33,B28="Grupo 2"),J33,IF(AND(F38&lt;=12.999,B28="Grupo 2"),J34,IF(AND(F38&lt;=16.999,B28="Grupo 2"),J35,IF(AND(F38&lt;=22.999,B28="Grupo 2"),J36,IF(AND(F38&lt;=28.999,B28="Grupo 2"),J37,IF(AND(F38&lt;=0.499,B28="Grupo 3"),K29,IF(AND(F38&lt;=0.999,B28="Grupo 3"),K30,IF(AND(F38&lt;=1.999,B28="Grupo 3"),K31,IF(AND(F38&lt;=4.999,B28="Grupo 3"),K32,IF(AND(F38&lt;=8.999,J33,B28="Grupo 3"),K33,IF(AND(F38&lt;=12.999,B28="Grupo 3"),K34,IF(AND(F38&lt;=16.999,B28="Grupo 3"),K35,IF(AND(F38&lt;=22.999,B28="Grupo 3"),J36,IF(AND(F38&lt;=28.999,B28="Grupo 3"),K37,K38)))))))))))))))))))))))))))</f>
        <v>22.14</v>
      </c>
      <c r="D30" s="24" t="s">
        <v>65</v>
      </c>
      <c r="E30" s="73"/>
      <c r="F30" s="74"/>
      <c r="G30" s="24"/>
      <c r="H30" s="78" t="s">
        <v>66</v>
      </c>
      <c r="I30" s="79">
        <v>35.9</v>
      </c>
      <c r="J30" s="79">
        <f t="shared" si="1"/>
        <v>21.54</v>
      </c>
      <c r="K30" s="80">
        <f t="shared" si="2"/>
        <v>17.95</v>
      </c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5.75" customHeight="1">
      <c r="A31" s="24"/>
      <c r="B31" s="35" t="s">
        <v>40</v>
      </c>
      <c r="C31" s="42">
        <f>C29*16%</f>
        <v>13.264</v>
      </c>
      <c r="D31" s="24"/>
      <c r="E31" s="81"/>
      <c r="F31" s="82"/>
      <c r="G31" s="24"/>
      <c r="H31" s="78" t="s">
        <v>67</v>
      </c>
      <c r="I31" s="79">
        <v>36.9</v>
      </c>
      <c r="J31" s="79">
        <f t="shared" si="1"/>
        <v>22.14</v>
      </c>
      <c r="K31" s="80">
        <f t="shared" si="2"/>
        <v>18.45</v>
      </c>
      <c r="L31" s="1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5.75" customHeight="1">
      <c r="A32" s="24"/>
      <c r="B32" s="35" t="s">
        <v>44</v>
      </c>
      <c r="C32" s="42">
        <f>3%*C29</f>
        <v>2.487</v>
      </c>
      <c r="D32" s="24"/>
      <c r="E32" s="83" t="s">
        <v>68</v>
      </c>
      <c r="F32" s="84"/>
      <c r="G32" s="24"/>
      <c r="H32" s="78" t="s">
        <v>69</v>
      </c>
      <c r="I32" s="79">
        <v>45.9</v>
      </c>
      <c r="J32" s="79">
        <f t="shared" si="1"/>
        <v>27.54</v>
      </c>
      <c r="K32" s="80">
        <f t="shared" si="2"/>
        <v>22.95</v>
      </c>
      <c r="L32" s="1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5.75" customHeight="1">
      <c r="A33" s="24"/>
      <c r="B33" s="35" t="s">
        <v>46</v>
      </c>
      <c r="C33" s="63">
        <f>(C32+C31+C30)/C29</f>
        <v>0.4570687575</v>
      </c>
      <c r="D33" s="24"/>
      <c r="E33" s="31" t="s">
        <v>70</v>
      </c>
      <c r="F33" s="85">
        <v>18.0</v>
      </c>
      <c r="G33" s="24"/>
      <c r="H33" s="78" t="s">
        <v>71</v>
      </c>
      <c r="I33" s="79">
        <v>67.9</v>
      </c>
      <c r="J33" s="79">
        <f t="shared" si="1"/>
        <v>40.74</v>
      </c>
      <c r="K33" s="80">
        <f t="shared" si="2"/>
        <v>33.95</v>
      </c>
      <c r="L33" s="1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5.75" customHeight="1">
      <c r="A34" s="24"/>
      <c r="B34" s="35" t="s">
        <v>48</v>
      </c>
      <c r="C34" s="42">
        <f>C29-C30-C31-C32</f>
        <v>45.009</v>
      </c>
      <c r="D34" s="24"/>
      <c r="E34" s="31" t="s">
        <v>72</v>
      </c>
      <c r="F34" s="86">
        <v>22.0</v>
      </c>
      <c r="G34" s="24"/>
      <c r="H34" s="78" t="s">
        <v>73</v>
      </c>
      <c r="I34" s="79">
        <v>91.9</v>
      </c>
      <c r="J34" s="79">
        <f t="shared" si="1"/>
        <v>55.14</v>
      </c>
      <c r="K34" s="80">
        <f t="shared" si="2"/>
        <v>45.95</v>
      </c>
      <c r="L34" s="1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5.75" customHeight="1">
      <c r="A35" s="24"/>
      <c r="B35" s="31"/>
      <c r="C35" s="32"/>
      <c r="D35" s="24"/>
      <c r="E35" s="31" t="s">
        <v>74</v>
      </c>
      <c r="F35" s="86">
        <v>25.0</v>
      </c>
      <c r="G35" s="24"/>
      <c r="H35" s="78" t="s">
        <v>75</v>
      </c>
      <c r="I35" s="79">
        <v>104.9</v>
      </c>
      <c r="J35" s="79">
        <f t="shared" si="1"/>
        <v>62.94</v>
      </c>
      <c r="K35" s="80">
        <f t="shared" si="2"/>
        <v>52.45</v>
      </c>
      <c r="L35" s="1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5.75" customHeight="1">
      <c r="A36" s="24"/>
      <c r="B36" s="35" t="s">
        <v>32</v>
      </c>
      <c r="C36" s="42">
        <f>M9</f>
        <v>22</v>
      </c>
      <c r="D36" s="24"/>
      <c r="E36" s="31" t="s">
        <v>76</v>
      </c>
      <c r="F36" s="87">
        <f>(F33*F34*F35)/6000</f>
        <v>1.65</v>
      </c>
      <c r="G36" s="24"/>
      <c r="H36" s="78" t="s">
        <v>77</v>
      </c>
      <c r="I36" s="79">
        <v>112.9</v>
      </c>
      <c r="J36" s="79">
        <f t="shared" si="1"/>
        <v>67.74</v>
      </c>
      <c r="K36" s="80">
        <f t="shared" si="2"/>
        <v>56.45</v>
      </c>
      <c r="L36" s="1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5.75" customHeight="1">
      <c r="A37" s="24"/>
      <c r="B37" s="35" t="s">
        <v>50</v>
      </c>
      <c r="C37" s="41">
        <f>C34-C36</f>
        <v>23.009</v>
      </c>
      <c r="D37" s="24"/>
      <c r="E37" s="31" t="s">
        <v>78</v>
      </c>
      <c r="F37" s="86">
        <v>1.5</v>
      </c>
      <c r="G37" s="24"/>
      <c r="H37" s="78" t="s">
        <v>79</v>
      </c>
      <c r="I37" s="79">
        <v>119.9</v>
      </c>
      <c r="J37" s="79">
        <f t="shared" si="1"/>
        <v>71.94</v>
      </c>
      <c r="K37" s="80">
        <f t="shared" si="2"/>
        <v>59.95</v>
      </c>
      <c r="L37" s="1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5.75" customHeight="1">
      <c r="A38" s="24"/>
      <c r="B38" s="53" t="s">
        <v>51</v>
      </c>
      <c r="C38" s="68">
        <f>C34/C36-1</f>
        <v>1.045863636</v>
      </c>
      <c r="D38" s="24"/>
      <c r="E38" s="48" t="s">
        <v>80</v>
      </c>
      <c r="F38" s="88">
        <f>IF(F36&lt;=5,F37,IF(F36&gt;=0.5,IF(F37&gt;F36,F37,F36),IF(F36&gt;F37,F36,F37)))</f>
        <v>1.5</v>
      </c>
      <c r="G38" s="24"/>
      <c r="H38" s="89" t="s">
        <v>81</v>
      </c>
      <c r="I38" s="90" t="s">
        <v>82</v>
      </c>
      <c r="J38" s="90" t="s">
        <v>82</v>
      </c>
      <c r="K38" s="91" t="s">
        <v>82</v>
      </c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5.75" customHeight="1">
      <c r="A39" s="24"/>
      <c r="B39" s="24"/>
      <c r="C39" s="24"/>
      <c r="D39" s="24"/>
      <c r="E39" s="1"/>
      <c r="F39" s="1"/>
      <c r="G39" s="24"/>
      <c r="H39" s="1"/>
      <c r="I39" s="1"/>
      <c r="J39" s="1"/>
      <c r="K39" s="1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5.75" customHeight="1">
      <c r="A40" s="24"/>
      <c r="B40" s="24"/>
      <c r="C40" s="24"/>
      <c r="D40" s="24"/>
      <c r="E40" s="24"/>
      <c r="F40" s="24"/>
      <c r="G40" s="24"/>
      <c r="H40" s="24"/>
      <c r="I40" s="24"/>
      <c r="J40" s="92"/>
      <c r="K40" s="24"/>
      <c r="L40" s="93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5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5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5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5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5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5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5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5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5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E18:F18"/>
    <mergeCell ref="E19:F25"/>
    <mergeCell ref="H19:I25"/>
    <mergeCell ref="H27:I27"/>
    <mergeCell ref="E28:F31"/>
    <mergeCell ref="E32:F32"/>
    <mergeCell ref="B1:C1"/>
    <mergeCell ref="E1:F1"/>
    <mergeCell ref="H1:I1"/>
    <mergeCell ref="L3:M3"/>
    <mergeCell ref="O5:Q6"/>
    <mergeCell ref="L11:M21"/>
    <mergeCell ref="H18:I18"/>
  </mergeCells>
  <conditionalFormatting sqref="C16 Y1">
    <cfRule type="cellIs" dxfId="0" priority="1" operator="greaterThan">
      <formula>79.99</formula>
    </cfRule>
  </conditionalFormatting>
  <conditionalFormatting sqref="C16 Y1">
    <cfRule type="cellIs" dxfId="0" priority="2" operator="lessThan">
      <formula>40</formula>
    </cfRule>
  </conditionalFormatting>
  <conditionalFormatting sqref="C5">
    <cfRule type="cellIs" dxfId="1" priority="3" operator="greaterThan">
      <formula>39.99</formula>
    </cfRule>
  </conditionalFormatting>
  <conditionalFormatting sqref="C29">
    <cfRule type="cellIs" dxfId="1" priority="4" operator="lessThan">
      <formula>80</formula>
    </cfRule>
  </conditionalFormatting>
  <conditionalFormatting sqref="C17">
    <cfRule type="cellIs" dxfId="1" priority="5" operator="lessThan">
      <formula>40</formula>
    </cfRule>
  </conditionalFormatting>
  <conditionalFormatting sqref="C17">
    <cfRule type="cellIs" dxfId="1" priority="6" operator="greaterThanOrEqual">
      <formula>79.99</formula>
    </cfRule>
  </conditionalFormatting>
  <dataValidations>
    <dataValidation type="list" allowBlank="1" sqref="B3">
      <formula1>"Grupo 1,Grupo 2,Grupo 3"</formula1>
    </dataValidation>
    <dataValidation type="decimal" allowBlank="1" showDropDown="1" showInputMessage="1" showErrorMessage="1" prompt="Insira um número entre 40 e 79,9" sqref="C17">
      <formula1>40.0</formula1>
      <formula2>79.9</formula2>
    </dataValidation>
    <dataValidation type="decimal" operator="greaterThanOrEqual" allowBlank="1" showDropDown="1" showInputMessage="1" showErrorMessage="1" prompt="Insira um número maior que ou igual a 80" sqref="C29">
      <formula1>80.0</formula1>
    </dataValidation>
    <dataValidation type="decimal" operator="lessThan" allowBlank="1" showDropDown="1" showInputMessage="1" showErrorMessage="1" prompt="Insira um número menor que 40" sqref="C5">
      <formula1>40.0</formula1>
    </dataValidation>
  </dataValidations>
  <hyperlinks>
    <hyperlink r:id="rId1" ref="L1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20.71"/>
    <col customWidth="1" min="3" max="3" width="21.57"/>
    <col customWidth="1" min="4" max="4" width="4.29"/>
    <col customWidth="1" min="5" max="5" width="25.29"/>
    <col customWidth="1" min="6" max="6" width="16.29"/>
    <col customWidth="1" min="7" max="7" width="4.29"/>
    <col customWidth="1" min="8" max="8" width="21.86"/>
    <col customWidth="1" min="9" max="11" width="20.14"/>
    <col customWidth="1" min="12" max="12" width="24.57"/>
    <col customWidth="1" min="14" max="14" width="7.29"/>
  </cols>
  <sheetData>
    <row r="1" ht="15.75" customHeight="1">
      <c r="A1" s="24"/>
      <c r="B1" s="25" t="s">
        <v>27</v>
      </c>
      <c r="D1" s="24"/>
      <c r="E1" s="25" t="s">
        <v>28</v>
      </c>
      <c r="G1" s="24"/>
      <c r="H1" s="25" t="s">
        <v>29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97" t="s">
        <v>53</v>
      </c>
      <c r="Z1" s="37"/>
    </row>
    <row r="2" ht="15.75" customHeight="1">
      <c r="A2" s="24"/>
      <c r="B2" s="24"/>
      <c r="C2" s="26"/>
      <c r="D2" s="24"/>
      <c r="E2" s="24"/>
      <c r="F2" s="26"/>
      <c r="G2" s="24"/>
      <c r="H2" s="24"/>
      <c r="I2" s="26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1" t="s">
        <v>52</v>
      </c>
      <c r="Z2" s="98">
        <v>12.9</v>
      </c>
    </row>
    <row r="3" ht="15.75" customHeight="1">
      <c r="A3" s="24"/>
      <c r="B3" s="94" t="s">
        <v>52</v>
      </c>
      <c r="C3" s="28" t="s">
        <v>30</v>
      </c>
      <c r="D3" s="24"/>
      <c r="E3" s="27"/>
      <c r="F3" s="28" t="s">
        <v>31</v>
      </c>
      <c r="G3" s="24"/>
      <c r="H3" s="27"/>
      <c r="I3" s="28" t="s">
        <v>31</v>
      </c>
      <c r="J3" s="24"/>
      <c r="K3" s="24"/>
      <c r="L3" s="29" t="s">
        <v>32</v>
      </c>
      <c r="M3" s="30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1" t="s">
        <v>83</v>
      </c>
      <c r="Z3" s="98">
        <v>7.74</v>
      </c>
    </row>
    <row r="4" ht="15.75" customHeight="1">
      <c r="A4" s="24"/>
      <c r="B4" s="31"/>
      <c r="C4" s="32"/>
      <c r="D4" s="24"/>
      <c r="E4" s="31"/>
      <c r="F4" s="32"/>
      <c r="G4" s="24"/>
      <c r="H4" s="31"/>
      <c r="I4" s="32"/>
      <c r="J4" s="24"/>
      <c r="K4" s="24"/>
      <c r="L4" s="31" t="s">
        <v>33</v>
      </c>
      <c r="M4" s="33">
        <v>10.0</v>
      </c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" t="s">
        <v>84</v>
      </c>
      <c r="Z4" s="98">
        <v>6.45</v>
      </c>
    </row>
    <row r="5" ht="15.75" customHeight="1">
      <c r="A5" s="34"/>
      <c r="B5" s="35" t="s">
        <v>34</v>
      </c>
      <c r="C5" s="99">
        <f>(C10+5)/0.81</f>
        <v>30.98765432</v>
      </c>
      <c r="D5" s="24"/>
      <c r="E5" s="35" t="s">
        <v>34</v>
      </c>
      <c r="F5" s="41">
        <f>F10/0.842</f>
        <v>23.87173397</v>
      </c>
      <c r="G5" s="24"/>
      <c r="H5" s="35" t="s">
        <v>34</v>
      </c>
      <c r="I5" s="100">
        <f>I10/0.88</f>
        <v>22.84090909</v>
      </c>
      <c r="J5" s="24"/>
      <c r="K5" s="24"/>
      <c r="L5" s="31" t="s">
        <v>90</v>
      </c>
      <c r="M5" s="33">
        <v>3.0</v>
      </c>
      <c r="N5" s="37"/>
      <c r="O5" s="38" t="s">
        <v>36</v>
      </c>
      <c r="P5" s="39"/>
      <c r="Q5" s="40"/>
      <c r="R5" s="24"/>
      <c r="S5" s="24"/>
      <c r="T5" s="24"/>
      <c r="U5" s="24"/>
      <c r="V5" s="24"/>
      <c r="W5" s="24"/>
      <c r="X5" s="24"/>
      <c r="Y5" s="24"/>
      <c r="Z5" s="24"/>
    </row>
    <row r="6" ht="15.75" customHeight="1">
      <c r="A6" s="34"/>
      <c r="B6" s="35" t="s">
        <v>37</v>
      </c>
      <c r="C6" s="41">
        <v>5.0</v>
      </c>
      <c r="D6" s="24"/>
      <c r="E6" s="35" t="s">
        <v>37</v>
      </c>
      <c r="F6" s="42" t="s">
        <v>38</v>
      </c>
      <c r="G6" s="24"/>
      <c r="H6" s="35" t="s">
        <v>37</v>
      </c>
      <c r="I6" s="42" t="s">
        <v>38</v>
      </c>
      <c r="J6" s="24"/>
      <c r="K6" s="24"/>
      <c r="L6" s="31" t="s">
        <v>39</v>
      </c>
      <c r="M6" s="43">
        <v>0.0</v>
      </c>
      <c r="O6" s="44"/>
      <c r="P6" s="45"/>
      <c r="Q6" s="46"/>
      <c r="R6" s="24"/>
      <c r="S6" s="24"/>
      <c r="T6" s="24"/>
      <c r="U6" s="24"/>
      <c r="V6" s="24"/>
      <c r="W6" s="24"/>
      <c r="X6" s="24"/>
      <c r="Y6" s="24"/>
      <c r="Z6" s="24"/>
    </row>
    <row r="7" ht="15.75" customHeight="1">
      <c r="A7" s="34"/>
      <c r="B7" s="35" t="s">
        <v>40</v>
      </c>
      <c r="C7" s="41">
        <f>C5*16%</f>
        <v>4.958024691</v>
      </c>
      <c r="D7" s="24"/>
      <c r="E7" s="35" t="s">
        <v>41</v>
      </c>
      <c r="F7" s="41">
        <f>F5*12.8%</f>
        <v>3.055581948</v>
      </c>
      <c r="G7" s="24"/>
      <c r="H7" s="35" t="s">
        <v>42</v>
      </c>
      <c r="I7" s="41">
        <f>I5*9%</f>
        <v>2.055681818</v>
      </c>
      <c r="J7" s="24"/>
      <c r="K7" s="24"/>
      <c r="L7" s="31" t="s">
        <v>43</v>
      </c>
      <c r="M7" s="43">
        <v>0.04</v>
      </c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5.75" customHeight="1">
      <c r="A8" s="34"/>
      <c r="B8" s="35" t="s">
        <v>44</v>
      </c>
      <c r="C8" s="41">
        <f>3%*C5</f>
        <v>0.9296296296</v>
      </c>
      <c r="D8" s="24"/>
      <c r="E8" s="35" t="s">
        <v>44</v>
      </c>
      <c r="F8" s="41">
        <f>3%*F5</f>
        <v>0.716152019</v>
      </c>
      <c r="G8" s="24"/>
      <c r="H8" s="35" t="s">
        <v>44</v>
      </c>
      <c r="I8" s="41">
        <f>3%*I5</f>
        <v>0.6852272727</v>
      </c>
      <c r="J8" s="24"/>
      <c r="K8" s="24"/>
      <c r="L8" s="31" t="s">
        <v>45</v>
      </c>
      <c r="M8" s="33">
        <v>0.0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5.75" customHeight="1">
      <c r="A9" s="34"/>
      <c r="B9" s="35" t="s">
        <v>46</v>
      </c>
      <c r="C9" s="47">
        <f>(C8+C7+C6)/C5</f>
        <v>0.3513545817</v>
      </c>
      <c r="D9" s="24"/>
      <c r="E9" s="35" t="s">
        <v>46</v>
      </c>
      <c r="F9" s="47">
        <f>(F8+F7)/F5</f>
        <v>0.158</v>
      </c>
      <c r="G9" s="24"/>
      <c r="H9" s="35" t="s">
        <v>46</v>
      </c>
      <c r="I9" s="47">
        <f>(I8+I7)/I5</f>
        <v>0.12</v>
      </c>
      <c r="J9" s="24"/>
      <c r="K9" s="24"/>
      <c r="L9" s="48" t="s">
        <v>47</v>
      </c>
      <c r="M9" s="49">
        <f>M4+M5+M4*M6+M4*M7</f>
        <v>13.4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5.75" customHeight="1">
      <c r="A10" s="34"/>
      <c r="B10" s="35" t="s">
        <v>48</v>
      </c>
      <c r="C10" s="41">
        <f>C12+C12*C14</f>
        <v>20.1</v>
      </c>
      <c r="D10" s="24"/>
      <c r="E10" s="35" t="s">
        <v>48</v>
      </c>
      <c r="F10" s="41">
        <f>F12+F12*F14</f>
        <v>20.1</v>
      </c>
      <c r="G10" s="24"/>
      <c r="H10" s="35" t="s">
        <v>48</v>
      </c>
      <c r="I10" s="41">
        <f>I12+I12*I14</f>
        <v>20.1</v>
      </c>
      <c r="J10" s="24"/>
      <c r="K10" s="24"/>
      <c r="N10" s="101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5.75" customHeight="1">
      <c r="A11" s="24"/>
      <c r="B11" s="31"/>
      <c r="C11" s="32"/>
      <c r="D11" s="24"/>
      <c r="E11" s="31"/>
      <c r="F11" s="32"/>
      <c r="G11" s="24"/>
      <c r="H11" s="31"/>
      <c r="I11" s="32"/>
      <c r="J11" s="24"/>
      <c r="K11" s="24"/>
      <c r="L11" s="50" t="s">
        <v>91</v>
      </c>
      <c r="M11" s="30"/>
      <c r="N11" s="101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5.75" customHeight="1">
      <c r="A12" s="34"/>
      <c r="B12" s="35" t="s">
        <v>32</v>
      </c>
      <c r="C12" s="41">
        <f>M9</f>
        <v>13.4</v>
      </c>
      <c r="D12" s="24"/>
      <c r="E12" s="35" t="s">
        <v>32</v>
      </c>
      <c r="F12" s="41">
        <f>M9</f>
        <v>13.4</v>
      </c>
      <c r="G12" s="24"/>
      <c r="H12" s="35" t="s">
        <v>32</v>
      </c>
      <c r="I12" s="41">
        <f>M9</f>
        <v>13.4</v>
      </c>
      <c r="J12" s="24"/>
      <c r="K12" s="24"/>
      <c r="L12" s="51"/>
      <c r="M12" s="52"/>
      <c r="N12" s="101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5.75" customHeight="1">
      <c r="A13" s="34"/>
      <c r="B13" s="35" t="s">
        <v>50</v>
      </c>
      <c r="C13" s="41">
        <f>C10-C12</f>
        <v>6.7</v>
      </c>
      <c r="D13" s="24"/>
      <c r="E13" s="35" t="s">
        <v>50</v>
      </c>
      <c r="F13" s="41">
        <f>F10-F12</f>
        <v>6.7</v>
      </c>
      <c r="G13" s="24"/>
      <c r="H13" s="35" t="s">
        <v>50</v>
      </c>
      <c r="I13" s="41">
        <f>I10-I12</f>
        <v>6.7</v>
      </c>
      <c r="J13" s="24"/>
      <c r="K13" s="24"/>
      <c r="L13" s="51"/>
      <c r="M13" s="52"/>
      <c r="N13" s="101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5.75" customHeight="1">
      <c r="A14" s="34"/>
      <c r="B14" s="53" t="s">
        <v>51</v>
      </c>
      <c r="C14" s="102">
        <v>0.5</v>
      </c>
      <c r="D14" s="24"/>
      <c r="E14" s="53" t="s">
        <v>51</v>
      </c>
      <c r="F14" s="102">
        <v>0.5</v>
      </c>
      <c r="G14" s="24"/>
      <c r="H14" s="53" t="s">
        <v>51</v>
      </c>
      <c r="I14" s="102">
        <v>0.5</v>
      </c>
      <c r="J14" s="24"/>
      <c r="K14" s="24"/>
      <c r="L14" s="51"/>
      <c r="M14" s="52"/>
      <c r="N14" s="101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5.7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51"/>
      <c r="M15" s="52"/>
      <c r="N15" s="101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5.75" customHeight="1">
      <c r="A16" s="24"/>
      <c r="B16" s="27" t="str">
        <f>B3</f>
        <v>Grupo 1</v>
      </c>
      <c r="C16" s="28" t="s">
        <v>92</v>
      </c>
      <c r="D16" s="24"/>
      <c r="E16" s="24"/>
      <c r="F16" s="24"/>
      <c r="G16" s="24"/>
      <c r="H16" s="24"/>
      <c r="I16" s="24"/>
      <c r="J16" s="24"/>
      <c r="K16" s="24"/>
      <c r="L16" s="51"/>
      <c r="M16" s="52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5.75" customHeight="1">
      <c r="A17" s="24"/>
      <c r="B17" s="35" t="s">
        <v>34</v>
      </c>
      <c r="C17" s="99">
        <f>(C22+12.9)/0.81</f>
        <v>34.45432099</v>
      </c>
      <c r="D17" s="24"/>
      <c r="G17" s="24"/>
      <c r="H17" s="24"/>
      <c r="I17" s="24"/>
      <c r="J17" s="24"/>
      <c r="K17" s="24"/>
      <c r="L17" s="51"/>
      <c r="M17" s="52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5.75" customHeight="1">
      <c r="A18" s="24"/>
      <c r="B18" s="35" t="s">
        <v>37</v>
      </c>
      <c r="C18" s="41">
        <f>IF(B16="Grupo 1",Z2,IF(B16="Grupo 2",Z3,IF(B16="Grupo 3",Z4,"Insira o grupo referente a sua loja")))</f>
        <v>12.9</v>
      </c>
      <c r="D18" s="24"/>
      <c r="E18" s="95" t="s">
        <v>86</v>
      </c>
      <c r="F18" s="59"/>
      <c r="G18" s="24"/>
      <c r="H18" s="95" t="s">
        <v>87</v>
      </c>
      <c r="I18" s="59"/>
      <c r="J18" s="24"/>
      <c r="K18" s="24"/>
      <c r="L18" s="51"/>
      <c r="M18" s="52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5.75" customHeight="1">
      <c r="A19" s="24"/>
      <c r="B19" s="35" t="s">
        <v>40</v>
      </c>
      <c r="C19" s="42">
        <f>C17*16%</f>
        <v>5.512691358</v>
      </c>
      <c r="D19" s="24"/>
      <c r="E19" s="96" t="s">
        <v>88</v>
      </c>
      <c r="F19" s="57"/>
      <c r="G19" s="24"/>
      <c r="H19" s="62" t="s">
        <v>56</v>
      </c>
      <c r="I19" s="52"/>
      <c r="J19" s="24"/>
      <c r="K19" s="24"/>
      <c r="L19" s="51"/>
      <c r="M19" s="52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5.75" customHeight="1">
      <c r="A20" s="24"/>
      <c r="B20" s="35" t="s">
        <v>44</v>
      </c>
      <c r="C20" s="42">
        <f>3%*C17</f>
        <v>1.03362963</v>
      </c>
      <c r="D20" s="24"/>
      <c r="E20" s="60"/>
      <c r="F20" s="61"/>
      <c r="G20" s="24"/>
      <c r="H20" s="51"/>
      <c r="I20" s="52"/>
      <c r="J20" s="24"/>
      <c r="K20" s="24"/>
      <c r="L20" s="51"/>
      <c r="M20" s="52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5.75" customHeight="1">
      <c r="A21" s="24"/>
      <c r="B21" s="35" t="s">
        <v>46</v>
      </c>
      <c r="C21" s="63">
        <f>(C20+C19+C18)/C17</f>
        <v>0.5644087717</v>
      </c>
      <c r="D21" s="24"/>
      <c r="E21" s="60"/>
      <c r="F21" s="61"/>
      <c r="G21" s="24"/>
      <c r="H21" s="51"/>
      <c r="I21" s="52"/>
      <c r="J21" s="24"/>
      <c r="K21" s="24"/>
      <c r="L21" s="64"/>
      <c r="M21" s="65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5.75" customHeight="1">
      <c r="A22" s="24"/>
      <c r="B22" s="35" t="s">
        <v>48</v>
      </c>
      <c r="C22" s="41">
        <f>C24+C24*C26</f>
        <v>15.008</v>
      </c>
      <c r="D22" s="24"/>
      <c r="E22" s="60"/>
      <c r="F22" s="61"/>
      <c r="G22" s="24"/>
      <c r="H22" s="51"/>
      <c r="I22" s="52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5.75" customHeight="1">
      <c r="A23" s="24"/>
      <c r="B23" s="31"/>
      <c r="C23" s="32"/>
      <c r="D23" s="24"/>
      <c r="E23" s="60"/>
      <c r="F23" s="61"/>
      <c r="G23" s="24"/>
      <c r="H23" s="51"/>
      <c r="I23" s="52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5.75" customHeight="1">
      <c r="A24" s="24"/>
      <c r="B24" s="35" t="s">
        <v>32</v>
      </c>
      <c r="C24" s="42">
        <f>M9</f>
        <v>13.4</v>
      </c>
      <c r="D24" s="24"/>
      <c r="E24" s="60"/>
      <c r="F24" s="61"/>
      <c r="G24" s="24"/>
      <c r="H24" s="51"/>
      <c r="I24" s="52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5.75" customHeight="1">
      <c r="A25" s="24"/>
      <c r="B25" s="35" t="s">
        <v>50</v>
      </c>
      <c r="C25" s="41">
        <f>C22-C24</f>
        <v>1.608</v>
      </c>
      <c r="D25" s="24"/>
      <c r="E25" s="66"/>
      <c r="F25" s="67"/>
      <c r="G25" s="24"/>
      <c r="H25" s="64"/>
      <c r="I25" s="65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5.75" customHeight="1">
      <c r="A26" s="24"/>
      <c r="B26" s="53" t="s">
        <v>51</v>
      </c>
      <c r="C26" s="103">
        <v>0.12</v>
      </c>
      <c r="D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5.75" customHeight="1">
      <c r="A27" s="24"/>
      <c r="B27" s="24"/>
      <c r="C27" s="24"/>
      <c r="D27" s="24"/>
      <c r="E27" s="24"/>
      <c r="F27" s="24"/>
      <c r="G27" s="24"/>
      <c r="H27" s="69" t="s">
        <v>57</v>
      </c>
      <c r="I27" s="30"/>
      <c r="J27" s="1"/>
      <c r="K27" s="1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5.75" customHeight="1">
      <c r="A28" s="24"/>
      <c r="B28" s="27" t="str">
        <f>B3</f>
        <v>Grupo 1</v>
      </c>
      <c r="C28" s="28" t="s">
        <v>58</v>
      </c>
      <c r="D28" s="24"/>
      <c r="E28" s="70" t="s">
        <v>59</v>
      </c>
      <c r="F28" s="71"/>
      <c r="G28" s="24"/>
      <c r="H28" s="69" t="s">
        <v>60</v>
      </c>
      <c r="I28" s="72" t="s">
        <v>61</v>
      </c>
      <c r="J28" s="72" t="s">
        <v>62</v>
      </c>
      <c r="K28" s="72" t="s">
        <v>63</v>
      </c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5.75" customHeight="1">
      <c r="A29" s="24"/>
      <c r="B29" s="35" t="s">
        <v>34</v>
      </c>
      <c r="C29" s="42">
        <f>(C34+C30)/0.81</f>
        <v>58.40123457</v>
      </c>
      <c r="D29" s="24"/>
      <c r="E29" s="73"/>
      <c r="F29" s="74"/>
      <c r="G29" s="24"/>
      <c r="H29" s="75" t="s">
        <v>64</v>
      </c>
      <c r="I29" s="76">
        <v>32.9</v>
      </c>
      <c r="J29" s="76">
        <f t="shared" ref="J29:J37" si="1">I29*0.6</f>
        <v>19.74</v>
      </c>
      <c r="K29" s="77">
        <f t="shared" ref="K29:K37" si="2">I29*0.5</f>
        <v>16.45</v>
      </c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5.75" customHeight="1">
      <c r="A30" s="24"/>
      <c r="B30" s="35" t="s">
        <v>37</v>
      </c>
      <c r="C30" s="42">
        <f>IF(AND(F38&lt;=0.499,B28="Grupo 1"),I29,IF(AND(F38&lt;=0.999,B28="Grupo 1"),I30,IF(AND(F38&lt;=1.999,B28="Grupo 1"),I31,IF(AND(F38&lt;=4.999,B28="Grupo 1"),I32,IF(AND(F38&lt;=8.999,I33,B28="Grupo 1"),I33,IF(AND(F38&lt;=12.999,B28="Grupo 1"),I34,IF(AND(F38&lt;=16.999,B28="Grupo 1"),I35,IF(AND(F38&lt;=22.999,B28="Grupo 1"),I36,IF(AND(F38&lt;=28.999,B28="Grupo 1"),I37,IF(AND(F38&lt;=0.499,B28="Grupo 2"),J29,IF(AND(F38&lt;=0.999,B28="Grupo 2"),J30,IF(AND(F38&lt;=1.999,B28="Grupo 2"),J31,IF(AND(F38&lt;=4.999,B28="Grupo 2"),J32,IF(AND(F38&lt;=8.999,J33,B28="Grupo 2"),J33,IF(AND(F38&lt;=12.999,B28="Grupo 2"),J34,IF(AND(F38&lt;=16.999,B28="Grupo 2"),J35,IF(AND(F38&lt;=22.999,B28="Grupo 2"),J36,IF(AND(F38&lt;=28.999,B28="Grupo 2"),J37,IF(AND(F38&lt;=0.499,B28="Grupo 3"),K29,IF(AND(F38&lt;=0.999,B28="Grupo 3"),K30,IF(AND(F38&lt;=1.999,B28="Grupo 3"),K31,IF(AND(F38&lt;=4.999,B28="Grupo 3"),K32,IF(AND(F38&lt;=8.999,J33,B28="Grupo 3"),K33,IF(AND(F38&lt;=12.999,B28="Grupo 3"),K34,IF(AND(F38&lt;=16.999,B28="Grupo 3"),K35,IF(AND(F38&lt;=22.999,B28="Grupo 3"),J36,IF(AND(F38&lt;=28.999,B28="Grupo 3"),K37,K38)))))))))))))))))))))))))))</f>
        <v>32.9</v>
      </c>
      <c r="D30" s="24" t="s">
        <v>65</v>
      </c>
      <c r="E30" s="73"/>
      <c r="F30" s="74"/>
      <c r="G30" s="24"/>
      <c r="H30" s="78" t="s">
        <v>66</v>
      </c>
      <c r="I30" s="79">
        <v>35.9</v>
      </c>
      <c r="J30" s="79">
        <f t="shared" si="1"/>
        <v>21.54</v>
      </c>
      <c r="K30" s="80">
        <f t="shared" si="2"/>
        <v>17.95</v>
      </c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5.75" customHeight="1">
      <c r="A31" s="24"/>
      <c r="B31" s="35" t="s">
        <v>40</v>
      </c>
      <c r="C31" s="42">
        <f>C29*16%</f>
        <v>9.344197531</v>
      </c>
      <c r="D31" s="24"/>
      <c r="E31" s="81"/>
      <c r="F31" s="82"/>
      <c r="G31" s="24"/>
      <c r="H31" s="78" t="s">
        <v>67</v>
      </c>
      <c r="I31" s="79">
        <v>36.9</v>
      </c>
      <c r="J31" s="79">
        <f t="shared" si="1"/>
        <v>22.14</v>
      </c>
      <c r="K31" s="80">
        <f t="shared" si="2"/>
        <v>18.45</v>
      </c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5.75" customHeight="1">
      <c r="A32" s="24"/>
      <c r="B32" s="35" t="s">
        <v>44</v>
      </c>
      <c r="C32" s="42">
        <f>3%*C29</f>
        <v>1.752037037</v>
      </c>
      <c r="D32" s="24"/>
      <c r="E32" s="104" t="s">
        <v>68</v>
      </c>
      <c r="F32" s="105"/>
      <c r="G32" s="24"/>
      <c r="H32" s="78" t="s">
        <v>69</v>
      </c>
      <c r="I32" s="79">
        <v>45.9</v>
      </c>
      <c r="J32" s="79">
        <f t="shared" si="1"/>
        <v>27.54</v>
      </c>
      <c r="K32" s="80">
        <f t="shared" si="2"/>
        <v>22.95</v>
      </c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5.75" customHeight="1">
      <c r="A33" s="24"/>
      <c r="B33" s="35" t="s">
        <v>46</v>
      </c>
      <c r="C33" s="63">
        <f>(C32+C31+C30)/C29</f>
        <v>0.7533442554</v>
      </c>
      <c r="D33" s="24"/>
      <c r="E33" s="31" t="s">
        <v>70</v>
      </c>
      <c r="F33" s="85">
        <v>15.0</v>
      </c>
      <c r="G33" s="24"/>
      <c r="H33" s="78" t="s">
        <v>71</v>
      </c>
      <c r="I33" s="79">
        <v>67.9</v>
      </c>
      <c r="J33" s="79">
        <f t="shared" si="1"/>
        <v>40.74</v>
      </c>
      <c r="K33" s="80">
        <f t="shared" si="2"/>
        <v>33.95</v>
      </c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5.75" customHeight="1">
      <c r="A34" s="24"/>
      <c r="B34" s="35" t="s">
        <v>48</v>
      </c>
      <c r="C34" s="41">
        <f>C36+C36*C38</f>
        <v>14.405</v>
      </c>
      <c r="D34" s="24"/>
      <c r="E34" s="31" t="s">
        <v>72</v>
      </c>
      <c r="F34" s="86">
        <v>20.0</v>
      </c>
      <c r="G34" s="24"/>
      <c r="H34" s="78" t="s">
        <v>73</v>
      </c>
      <c r="I34" s="79">
        <v>91.9</v>
      </c>
      <c r="J34" s="79">
        <f t="shared" si="1"/>
        <v>55.14</v>
      </c>
      <c r="K34" s="80">
        <f t="shared" si="2"/>
        <v>45.95</v>
      </c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5.75" customHeight="1">
      <c r="A35" s="24"/>
      <c r="B35" s="31"/>
      <c r="C35" s="32"/>
      <c r="D35" s="24"/>
      <c r="E35" s="31" t="s">
        <v>74</v>
      </c>
      <c r="F35" s="86">
        <v>4.0</v>
      </c>
      <c r="G35" s="24"/>
      <c r="H35" s="78" t="s">
        <v>75</v>
      </c>
      <c r="I35" s="79">
        <v>104.9</v>
      </c>
      <c r="J35" s="79">
        <f t="shared" si="1"/>
        <v>62.94</v>
      </c>
      <c r="K35" s="80">
        <f t="shared" si="2"/>
        <v>52.45</v>
      </c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5.75" customHeight="1">
      <c r="A36" s="24"/>
      <c r="B36" s="35" t="s">
        <v>32</v>
      </c>
      <c r="C36" s="42">
        <f>M9</f>
        <v>13.4</v>
      </c>
      <c r="D36" s="24"/>
      <c r="E36" s="31" t="s">
        <v>76</v>
      </c>
      <c r="F36" s="87">
        <f>(F33*F34*F35)/6000</f>
        <v>0.2</v>
      </c>
      <c r="G36" s="24"/>
      <c r="H36" s="78" t="s">
        <v>77</v>
      </c>
      <c r="I36" s="79">
        <v>112.9</v>
      </c>
      <c r="J36" s="79">
        <f t="shared" si="1"/>
        <v>67.74</v>
      </c>
      <c r="K36" s="80">
        <f t="shared" si="2"/>
        <v>56.45</v>
      </c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5.75" customHeight="1">
      <c r="A37" s="24"/>
      <c r="B37" s="35" t="s">
        <v>50</v>
      </c>
      <c r="C37" s="41">
        <f>C34-C36</f>
        <v>1.005</v>
      </c>
      <c r="D37" s="24"/>
      <c r="E37" s="31" t="s">
        <v>78</v>
      </c>
      <c r="F37" s="86">
        <v>0.32</v>
      </c>
      <c r="G37" s="24"/>
      <c r="H37" s="78" t="s">
        <v>79</v>
      </c>
      <c r="I37" s="79">
        <v>119.9</v>
      </c>
      <c r="J37" s="79">
        <f t="shared" si="1"/>
        <v>71.94</v>
      </c>
      <c r="K37" s="80">
        <f t="shared" si="2"/>
        <v>59.95</v>
      </c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5.75" customHeight="1">
      <c r="A38" s="24"/>
      <c r="B38" s="53" t="s">
        <v>51</v>
      </c>
      <c r="C38" s="103">
        <v>0.075</v>
      </c>
      <c r="D38" s="24"/>
      <c r="E38" s="48" t="s">
        <v>80</v>
      </c>
      <c r="F38" s="88">
        <f>IF(F36&lt;=5,F37,IF(F36&gt;=0.5,IF(F37&gt;F36,F37,F36),IF(F36&gt;F37,F36,F37)))
</f>
        <v>0.32</v>
      </c>
      <c r="G38" s="24"/>
      <c r="H38" s="89" t="s">
        <v>81</v>
      </c>
      <c r="I38" s="90" t="s">
        <v>82</v>
      </c>
      <c r="J38" s="90" t="s">
        <v>82</v>
      </c>
      <c r="K38" s="91" t="s">
        <v>82</v>
      </c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5.75" customHeight="1">
      <c r="A39" s="24"/>
      <c r="B39" s="24"/>
      <c r="C39" s="24"/>
      <c r="D39" s="24"/>
      <c r="E39" s="1"/>
      <c r="F39" s="1"/>
      <c r="G39" s="24"/>
      <c r="H39" s="1"/>
      <c r="I39" s="1"/>
      <c r="J39" s="1"/>
      <c r="K39" s="1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5.75" customHeight="1">
      <c r="A40" s="24"/>
      <c r="B40" s="24"/>
      <c r="C40" s="24"/>
      <c r="D40" s="24"/>
      <c r="E40" s="24"/>
      <c r="F40" s="24"/>
      <c r="G40" s="24"/>
      <c r="H40" s="24"/>
      <c r="I40" s="24"/>
      <c r="J40" s="92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5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5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5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5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5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5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5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5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5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E18:F18"/>
    <mergeCell ref="E19:F25"/>
    <mergeCell ref="H19:I25"/>
    <mergeCell ref="H27:I27"/>
    <mergeCell ref="E28:F31"/>
    <mergeCell ref="E32:F32"/>
    <mergeCell ref="B1:C1"/>
    <mergeCell ref="E1:F1"/>
    <mergeCell ref="H1:I1"/>
    <mergeCell ref="L3:M3"/>
    <mergeCell ref="O5:Q6"/>
    <mergeCell ref="L11:M21"/>
    <mergeCell ref="H18:I18"/>
  </mergeCells>
  <conditionalFormatting sqref="C5">
    <cfRule type="cellIs" dxfId="1" priority="1" operator="greaterThan">
      <formula>40</formula>
    </cfRule>
  </conditionalFormatting>
  <conditionalFormatting sqref="C17:C18">
    <cfRule type="cellIs" dxfId="2" priority="2" operator="greaterThan">
      <formula>79.99</formula>
    </cfRule>
  </conditionalFormatting>
  <conditionalFormatting sqref="C17">
    <cfRule type="cellIs" dxfId="2" priority="3" operator="lessThan">
      <formula>40</formula>
    </cfRule>
  </conditionalFormatting>
  <conditionalFormatting sqref="C29">
    <cfRule type="cellIs" dxfId="1" priority="4" operator="lessThan">
      <formula>80</formula>
    </cfRule>
  </conditionalFormatting>
  <dataValidations>
    <dataValidation type="list" allowBlank="1" sqref="B3">
      <formula1>"Grupo 1,Grupo 2,Grupo 3"</formula1>
    </dataValidation>
    <dataValidation type="decimal" operator="greaterThanOrEqual" allowBlank="1" showDropDown="1" showInputMessage="1" prompt="Preço se encaixa em outra categoria" sqref="C29">
      <formula1>80.0</formula1>
    </dataValidation>
    <dataValidation type="decimal" allowBlank="1" showDropDown="1" showInputMessage="1" prompt="Preço se encaixa em outra categoria" sqref="C17">
      <formula1>40.0</formula1>
      <formula2>80.0</formula2>
    </dataValidation>
    <dataValidation type="decimal" operator="lessThan" allowBlank="1" showDropDown="1" showInputMessage="1" prompt="Preço se encaixa em outra categoria" sqref="C5">
      <formula1>40.0</formula1>
    </dataValidation>
  </dataValidations>
  <hyperlinks>
    <hyperlink r:id="rId1" ref="L1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20.71"/>
    <col customWidth="1" min="3" max="3" width="21.57"/>
    <col customWidth="1" min="4" max="4" width="4.29"/>
    <col customWidth="1" min="5" max="5" width="25.29"/>
    <col customWidth="1" min="6" max="6" width="16.29"/>
    <col customWidth="1" min="7" max="7" width="4.29"/>
    <col customWidth="1" min="8" max="8" width="21.86"/>
    <col customWidth="1" min="9" max="11" width="20.14"/>
    <col customWidth="1" min="12" max="12" width="24.57"/>
    <col customWidth="1" min="14" max="14" width="7.29"/>
  </cols>
  <sheetData>
    <row r="1" ht="15.75" customHeight="1">
      <c r="A1" s="24"/>
      <c r="B1" s="25" t="s">
        <v>27</v>
      </c>
      <c r="D1" s="24"/>
      <c r="E1" s="25" t="s">
        <v>28</v>
      </c>
      <c r="G1" s="24"/>
      <c r="H1" s="25" t="s">
        <v>29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5.75" customHeight="1">
      <c r="A2" s="24"/>
      <c r="B2" s="24"/>
      <c r="C2" s="26"/>
      <c r="D2" s="24"/>
      <c r="E2" s="24"/>
      <c r="F2" s="26"/>
      <c r="G2" s="24"/>
      <c r="H2" s="24"/>
      <c r="I2" s="26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5.75" customHeight="1">
      <c r="A3" s="24"/>
      <c r="B3" s="27"/>
      <c r="C3" s="28" t="s">
        <v>30</v>
      </c>
      <c r="D3" s="24"/>
      <c r="E3" s="27"/>
      <c r="F3" s="28" t="s">
        <v>31</v>
      </c>
      <c r="G3" s="24"/>
      <c r="H3" s="27"/>
      <c r="I3" s="28" t="s">
        <v>31</v>
      </c>
      <c r="J3" s="24"/>
      <c r="K3" s="24"/>
      <c r="L3" s="29" t="s">
        <v>32</v>
      </c>
      <c r="M3" s="30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5.75" customHeight="1">
      <c r="A4" s="24"/>
      <c r="B4" s="31"/>
      <c r="C4" s="32"/>
      <c r="D4" s="24"/>
      <c r="E4" s="31"/>
      <c r="F4" s="32"/>
      <c r="G4" s="24"/>
      <c r="H4" s="31"/>
      <c r="I4" s="32"/>
      <c r="J4" s="24"/>
      <c r="K4" s="24"/>
      <c r="L4" s="31" t="s">
        <v>33</v>
      </c>
      <c r="M4" s="33">
        <v>20.2</v>
      </c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5.75" customHeight="1">
      <c r="A5" s="34"/>
      <c r="B5" s="35" t="s">
        <v>34</v>
      </c>
      <c r="C5" s="99">
        <f>(C10+5)/0.81</f>
        <v>38.7762963</v>
      </c>
      <c r="D5" s="24"/>
      <c r="E5" s="35" t="s">
        <v>34</v>
      </c>
      <c r="F5" s="41">
        <f>F10/0.842</f>
        <v>18.34916865</v>
      </c>
      <c r="G5" s="24"/>
      <c r="H5" s="35" t="s">
        <v>34</v>
      </c>
      <c r="I5" s="100">
        <f>I10/0.88</f>
        <v>18.25909091</v>
      </c>
      <c r="J5" s="24"/>
      <c r="K5" s="24"/>
      <c r="L5" s="31" t="s">
        <v>90</v>
      </c>
      <c r="M5" s="33">
        <v>3.0</v>
      </c>
      <c r="N5" s="37"/>
      <c r="O5" s="38" t="s">
        <v>36</v>
      </c>
      <c r="P5" s="39"/>
      <c r="Q5" s="40"/>
      <c r="R5" s="24"/>
      <c r="S5" s="24"/>
      <c r="T5" s="24"/>
      <c r="U5" s="24"/>
      <c r="V5" s="24"/>
      <c r="W5" s="24"/>
      <c r="X5" s="24"/>
      <c r="Y5" s="24"/>
      <c r="Z5" s="24"/>
    </row>
    <row r="6" ht="15.75" customHeight="1">
      <c r="A6" s="34"/>
      <c r="B6" s="35" t="s">
        <v>37</v>
      </c>
      <c r="C6" s="41">
        <v>5.0</v>
      </c>
      <c r="D6" s="24"/>
      <c r="E6" s="35" t="s">
        <v>37</v>
      </c>
      <c r="F6" s="42" t="s">
        <v>38</v>
      </c>
      <c r="G6" s="24"/>
      <c r="H6" s="35" t="s">
        <v>37</v>
      </c>
      <c r="I6" s="42" t="s">
        <v>38</v>
      </c>
      <c r="J6" s="24"/>
      <c r="K6" s="24"/>
      <c r="L6" s="31" t="s">
        <v>39</v>
      </c>
      <c r="M6" s="43">
        <v>0.0</v>
      </c>
      <c r="O6" s="44"/>
      <c r="P6" s="45"/>
      <c r="Q6" s="46"/>
      <c r="R6" s="24"/>
      <c r="S6" s="24"/>
      <c r="T6" s="24"/>
      <c r="U6" s="24"/>
      <c r="V6" s="24"/>
      <c r="W6" s="24"/>
      <c r="X6" s="24"/>
      <c r="Y6" s="24"/>
      <c r="Z6" s="24"/>
    </row>
    <row r="7" ht="15.75" customHeight="1">
      <c r="A7" s="34"/>
      <c r="B7" s="35" t="s">
        <v>40</v>
      </c>
      <c r="C7" s="41">
        <f>C5*16%</f>
        <v>6.204207407</v>
      </c>
      <c r="D7" s="24"/>
      <c r="E7" s="35" t="s">
        <v>41</v>
      </c>
      <c r="F7" s="41">
        <f>F5*12.8%</f>
        <v>2.348693587</v>
      </c>
      <c r="G7" s="24"/>
      <c r="H7" s="35" t="s">
        <v>42</v>
      </c>
      <c r="I7" s="41">
        <f>I5*9%</f>
        <v>1.643318182</v>
      </c>
      <c r="J7" s="24"/>
      <c r="K7" s="24"/>
      <c r="L7" s="31" t="s">
        <v>43</v>
      </c>
      <c r="M7" s="43">
        <v>0.04</v>
      </c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5.75" customHeight="1">
      <c r="A8" s="34"/>
      <c r="B8" s="35" t="s">
        <v>44</v>
      </c>
      <c r="C8" s="41">
        <f>3%*C5</f>
        <v>1.163288889</v>
      </c>
      <c r="D8" s="24"/>
      <c r="E8" s="35" t="s">
        <v>44</v>
      </c>
      <c r="F8" s="41">
        <f>3%*F5</f>
        <v>0.5504750594</v>
      </c>
      <c r="G8" s="24"/>
      <c r="H8" s="35" t="s">
        <v>44</v>
      </c>
      <c r="I8" s="41">
        <f>3%*I5</f>
        <v>0.5477727273</v>
      </c>
      <c r="J8" s="24"/>
      <c r="K8" s="24"/>
      <c r="L8" s="31" t="s">
        <v>45</v>
      </c>
      <c r="M8" s="33">
        <v>0.0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5.75" customHeight="1">
      <c r="A9" s="34"/>
      <c r="B9" s="35" t="s">
        <v>46</v>
      </c>
      <c r="C9" s="47">
        <f>(C8+C7+C6)/C5</f>
        <v>0.3189447543</v>
      </c>
      <c r="D9" s="24"/>
      <c r="E9" s="35" t="s">
        <v>46</v>
      </c>
      <c r="F9" s="47">
        <f>(F8+F7)/F5</f>
        <v>0.158</v>
      </c>
      <c r="G9" s="24"/>
      <c r="H9" s="35" t="s">
        <v>46</v>
      </c>
      <c r="I9" s="47">
        <f>(I8+I7)/I5</f>
        <v>0.12</v>
      </c>
      <c r="J9" s="24"/>
      <c r="K9" s="24"/>
      <c r="L9" s="48" t="s">
        <v>47</v>
      </c>
      <c r="M9" s="49">
        <f>M4+M5+M4*M6+M4*M7</f>
        <v>24.008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5.75" customHeight="1">
      <c r="A10" s="34"/>
      <c r="B10" s="35" t="s">
        <v>48</v>
      </c>
      <c r="C10" s="41">
        <f>C12+C12*C14</f>
        <v>26.4088</v>
      </c>
      <c r="D10" s="24"/>
      <c r="E10" s="35" t="s">
        <v>48</v>
      </c>
      <c r="F10" s="41">
        <f>F12+F12*F14</f>
        <v>15.45</v>
      </c>
      <c r="G10" s="24"/>
      <c r="H10" s="35" t="s">
        <v>48</v>
      </c>
      <c r="I10" s="41">
        <f>I12+I12*I14</f>
        <v>16.068</v>
      </c>
      <c r="J10" s="24"/>
      <c r="K10" s="24"/>
      <c r="N10" s="101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5.75" customHeight="1">
      <c r="A11" s="24"/>
      <c r="B11" s="31"/>
      <c r="C11" s="32"/>
      <c r="D11" s="24"/>
      <c r="E11" s="31"/>
      <c r="F11" s="32"/>
      <c r="G11" s="24"/>
      <c r="H11" s="31"/>
      <c r="I11" s="32"/>
      <c r="J11" s="24"/>
      <c r="K11" s="24"/>
      <c r="L11" s="50" t="s">
        <v>93</v>
      </c>
      <c r="M11" s="30"/>
      <c r="N11" s="101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5.75" customHeight="1">
      <c r="A12" s="34"/>
      <c r="B12" s="35" t="s">
        <v>32</v>
      </c>
      <c r="C12" s="36">
        <f>M9</f>
        <v>24.008</v>
      </c>
      <c r="D12" s="24"/>
      <c r="E12" s="35" t="s">
        <v>32</v>
      </c>
      <c r="F12" s="36">
        <v>12.36</v>
      </c>
      <c r="G12" s="24"/>
      <c r="H12" s="35" t="s">
        <v>32</v>
      </c>
      <c r="I12" s="36">
        <v>12.36</v>
      </c>
      <c r="J12" s="24"/>
      <c r="K12" s="24"/>
      <c r="L12" s="51"/>
      <c r="M12" s="52"/>
      <c r="N12" s="101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5.75" customHeight="1">
      <c r="A13" s="34"/>
      <c r="B13" s="35" t="s">
        <v>50</v>
      </c>
      <c r="C13" s="41">
        <f>C10-C12</f>
        <v>2.4008</v>
      </c>
      <c r="D13" s="24"/>
      <c r="E13" s="35" t="s">
        <v>50</v>
      </c>
      <c r="F13" s="41">
        <f>F10-F12</f>
        <v>3.09</v>
      </c>
      <c r="G13" s="24"/>
      <c r="H13" s="35" t="s">
        <v>50</v>
      </c>
      <c r="I13" s="41">
        <f>I10-I12</f>
        <v>3.708</v>
      </c>
      <c r="J13" s="24"/>
      <c r="K13" s="24"/>
      <c r="L13" s="51"/>
      <c r="M13" s="52"/>
      <c r="N13" s="101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5.75" customHeight="1">
      <c r="A14" s="34"/>
      <c r="B14" s="53" t="s">
        <v>51</v>
      </c>
      <c r="C14" s="102">
        <v>0.1</v>
      </c>
      <c r="D14" s="24"/>
      <c r="E14" s="53" t="s">
        <v>51</v>
      </c>
      <c r="F14" s="102">
        <v>0.25</v>
      </c>
      <c r="G14" s="24"/>
      <c r="H14" s="53" t="s">
        <v>51</v>
      </c>
      <c r="I14" s="102">
        <v>0.3</v>
      </c>
      <c r="J14" s="24"/>
      <c r="K14" s="24"/>
      <c r="L14" s="51"/>
      <c r="M14" s="52"/>
      <c r="N14" s="101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5.7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51"/>
      <c r="M15" s="52"/>
      <c r="N15" s="101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5.75" customHeight="1">
      <c r="A16" s="24"/>
      <c r="B16" s="27" t="s">
        <v>52</v>
      </c>
      <c r="C16" s="28" t="s">
        <v>92</v>
      </c>
      <c r="D16" s="24"/>
      <c r="E16" s="24"/>
      <c r="F16" s="24"/>
      <c r="G16" s="24"/>
      <c r="H16" s="24"/>
      <c r="I16" s="24"/>
      <c r="J16" s="24"/>
      <c r="K16" s="24"/>
      <c r="L16" s="51"/>
      <c r="M16" s="52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5.75" customHeight="1">
      <c r="A17" s="24"/>
      <c r="B17" s="35" t="s">
        <v>34</v>
      </c>
      <c r="C17" s="99">
        <f>(C22+12.9)/0.81</f>
        <v>49.12217284</v>
      </c>
      <c r="D17" s="24"/>
      <c r="G17" s="24"/>
      <c r="H17" s="24"/>
      <c r="I17" s="24"/>
      <c r="J17" s="24"/>
      <c r="K17" s="24"/>
      <c r="L17" s="51"/>
      <c r="M17" s="52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5.75" customHeight="1">
      <c r="A18" s="24"/>
      <c r="B18" s="35" t="s">
        <v>37</v>
      </c>
      <c r="C18" s="42">
        <v>12.9</v>
      </c>
      <c r="D18" s="24"/>
      <c r="E18" s="1"/>
      <c r="F18" s="1"/>
      <c r="G18" s="24"/>
      <c r="H18" s="24"/>
      <c r="I18" s="1"/>
      <c r="J18" s="24"/>
      <c r="K18" s="24"/>
      <c r="L18" s="51"/>
      <c r="M18" s="52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5.75" customHeight="1">
      <c r="A19" s="24"/>
      <c r="B19" s="35" t="s">
        <v>40</v>
      </c>
      <c r="C19" s="42">
        <f>C17*16%</f>
        <v>7.859547654</v>
      </c>
      <c r="D19" s="24"/>
      <c r="E19" s="56" t="s">
        <v>94</v>
      </c>
      <c r="F19" s="57"/>
      <c r="G19" s="24"/>
      <c r="H19" s="58" t="s">
        <v>55</v>
      </c>
      <c r="I19" s="59"/>
      <c r="J19" s="24"/>
      <c r="K19" s="24"/>
      <c r="L19" s="51"/>
      <c r="M19" s="52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5.75" customHeight="1">
      <c r="A20" s="24"/>
      <c r="B20" s="35" t="s">
        <v>44</v>
      </c>
      <c r="C20" s="42">
        <f>3%*C17</f>
        <v>1.473665185</v>
      </c>
      <c r="D20" s="24"/>
      <c r="E20" s="60"/>
      <c r="F20" s="61"/>
      <c r="G20" s="24"/>
      <c r="H20" s="62" t="s">
        <v>56</v>
      </c>
      <c r="I20" s="52"/>
      <c r="J20" s="24"/>
      <c r="K20" s="24"/>
      <c r="L20" s="51"/>
      <c r="M20" s="52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5.75" customHeight="1">
      <c r="A21" s="24"/>
      <c r="B21" s="35" t="s">
        <v>46</v>
      </c>
      <c r="C21" s="63">
        <f>(C20+C19+C18)/C17</f>
        <v>0.4526105332</v>
      </c>
      <c r="D21" s="24"/>
      <c r="E21" s="60"/>
      <c r="F21" s="61"/>
      <c r="G21" s="24"/>
      <c r="H21" s="51"/>
      <c r="I21" s="52"/>
      <c r="J21" s="24"/>
      <c r="K21" s="24"/>
      <c r="L21" s="64"/>
      <c r="M21" s="65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5.75" customHeight="1">
      <c r="A22" s="24"/>
      <c r="B22" s="35" t="s">
        <v>48</v>
      </c>
      <c r="C22" s="41">
        <f>C24+C24*C26</f>
        <v>26.88896</v>
      </c>
      <c r="D22" s="24"/>
      <c r="E22" s="60"/>
      <c r="F22" s="61"/>
      <c r="G22" s="24"/>
      <c r="H22" s="51"/>
      <c r="I22" s="52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5.75" customHeight="1">
      <c r="A23" s="24"/>
      <c r="B23" s="31"/>
      <c r="C23" s="32"/>
      <c r="D23" s="24"/>
      <c r="E23" s="66"/>
      <c r="F23" s="67"/>
      <c r="G23" s="24"/>
      <c r="H23" s="51"/>
      <c r="I23" s="52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5.75" customHeight="1">
      <c r="A24" s="24"/>
      <c r="B24" s="35" t="s">
        <v>32</v>
      </c>
      <c r="C24" s="55">
        <f>M9</f>
        <v>24.008</v>
      </c>
      <c r="D24" s="24"/>
      <c r="G24" s="24"/>
      <c r="H24" s="51"/>
      <c r="I24" s="52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5.75" customHeight="1">
      <c r="A25" s="24"/>
      <c r="B25" s="35" t="s">
        <v>50</v>
      </c>
      <c r="C25" s="41">
        <f>C22-C24</f>
        <v>2.88096</v>
      </c>
      <c r="D25" s="24"/>
      <c r="G25" s="24"/>
      <c r="H25" s="64"/>
      <c r="I25" s="65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5.75" customHeight="1">
      <c r="A26" s="24"/>
      <c r="B26" s="53" t="s">
        <v>51</v>
      </c>
      <c r="C26" s="103">
        <v>0.12</v>
      </c>
      <c r="D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5.75" customHeight="1">
      <c r="A27" s="24"/>
      <c r="B27" s="24"/>
      <c r="C27" s="24"/>
      <c r="D27" s="24"/>
      <c r="E27" s="24"/>
      <c r="F27" s="24"/>
      <c r="G27" s="24"/>
      <c r="H27" s="69" t="s">
        <v>57</v>
      </c>
      <c r="I27" s="30"/>
      <c r="J27" s="1"/>
      <c r="K27" s="1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5.75" customHeight="1">
      <c r="A28" s="24"/>
      <c r="B28" s="27" t="s">
        <v>52</v>
      </c>
      <c r="C28" s="28" t="s">
        <v>58</v>
      </c>
      <c r="D28" s="24"/>
      <c r="E28" s="70" t="s">
        <v>59</v>
      </c>
      <c r="F28" s="71"/>
      <c r="G28" s="24"/>
      <c r="H28" s="69" t="s">
        <v>60</v>
      </c>
      <c r="I28" s="72" t="s">
        <v>61</v>
      </c>
      <c r="J28" s="72" t="s">
        <v>62</v>
      </c>
      <c r="K28" s="72" t="s">
        <v>63</v>
      </c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5.75" customHeight="1">
      <c r="A29" s="24"/>
      <c r="B29" s="35" t="s">
        <v>34</v>
      </c>
      <c r="C29" s="42">
        <f>(C34+C30)/0.81</f>
        <v>72.47975309</v>
      </c>
      <c r="D29" s="24"/>
      <c r="E29" s="73"/>
      <c r="F29" s="74"/>
      <c r="G29" s="24"/>
      <c r="H29" s="75" t="s">
        <v>64</v>
      </c>
      <c r="I29" s="76">
        <v>32.9</v>
      </c>
      <c r="J29" s="76">
        <f t="shared" ref="J29:J37" si="1">I29*0.6</f>
        <v>19.74</v>
      </c>
      <c r="K29" s="77">
        <f t="shared" ref="K29:K37" si="2">I29*0.5</f>
        <v>16.45</v>
      </c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5.75" customHeight="1">
      <c r="A30" s="24"/>
      <c r="B30" s="35" t="s">
        <v>37</v>
      </c>
      <c r="C30" s="42">
        <f>IF(F38&lt;=0.499,I29,IF(F38&lt;=0.999,I30,IF(F38&lt;=1.999,I31,IF(F38&lt;=4.999,I32,IF(F38&lt;=8.999,I33,IF(F38&lt;=12.999,I34,IF(F38&lt;=16.999,I35,IF(F38&lt;=22.999,I36,IF(F38&lt;=28.999,I37,K38)))))))))</f>
        <v>32.9</v>
      </c>
      <c r="D30" s="24" t="s">
        <v>65</v>
      </c>
      <c r="E30" s="73"/>
      <c r="F30" s="74"/>
      <c r="G30" s="24"/>
      <c r="H30" s="78" t="s">
        <v>66</v>
      </c>
      <c r="I30" s="79">
        <v>35.9</v>
      </c>
      <c r="J30" s="79">
        <f t="shared" si="1"/>
        <v>21.54</v>
      </c>
      <c r="K30" s="80">
        <f t="shared" si="2"/>
        <v>17.95</v>
      </c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5.75" customHeight="1">
      <c r="A31" s="24"/>
      <c r="B31" s="35" t="s">
        <v>40</v>
      </c>
      <c r="C31" s="42">
        <f>C29*16%</f>
        <v>11.59676049</v>
      </c>
      <c r="D31" s="24"/>
      <c r="E31" s="81"/>
      <c r="F31" s="82"/>
      <c r="G31" s="24"/>
      <c r="H31" s="78" t="s">
        <v>67</v>
      </c>
      <c r="I31" s="79">
        <v>36.9</v>
      </c>
      <c r="J31" s="79">
        <f t="shared" si="1"/>
        <v>22.14</v>
      </c>
      <c r="K31" s="80">
        <f t="shared" si="2"/>
        <v>18.45</v>
      </c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5.75" customHeight="1">
      <c r="A32" s="24"/>
      <c r="B32" s="35" t="s">
        <v>44</v>
      </c>
      <c r="C32" s="42">
        <f>3%*C29</f>
        <v>2.174392593</v>
      </c>
      <c r="D32" s="24"/>
      <c r="E32" s="104" t="s">
        <v>68</v>
      </c>
      <c r="F32" s="105"/>
      <c r="G32" s="24"/>
      <c r="H32" s="78" t="s">
        <v>69</v>
      </c>
      <c r="I32" s="79">
        <v>45.9</v>
      </c>
      <c r="J32" s="79">
        <f t="shared" si="1"/>
        <v>27.54</v>
      </c>
      <c r="K32" s="80">
        <f t="shared" si="2"/>
        <v>22.95</v>
      </c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5.75" customHeight="1">
      <c r="A33" s="24"/>
      <c r="B33" s="35" t="s">
        <v>46</v>
      </c>
      <c r="C33" s="63">
        <f>(C32+C31+C30)/C29</f>
        <v>0.6439198686</v>
      </c>
      <c r="D33" s="24"/>
      <c r="E33" s="31" t="s">
        <v>70</v>
      </c>
      <c r="F33" s="85">
        <v>15.0</v>
      </c>
      <c r="G33" s="24"/>
      <c r="H33" s="78" t="s">
        <v>71</v>
      </c>
      <c r="I33" s="79">
        <v>67.9</v>
      </c>
      <c r="J33" s="79">
        <f t="shared" si="1"/>
        <v>40.74</v>
      </c>
      <c r="K33" s="80">
        <f t="shared" si="2"/>
        <v>33.95</v>
      </c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5.75" customHeight="1">
      <c r="A34" s="24"/>
      <c r="B34" s="35" t="s">
        <v>48</v>
      </c>
      <c r="C34" s="41">
        <f>C36+C36*C38</f>
        <v>25.8086</v>
      </c>
      <c r="D34" s="24"/>
      <c r="E34" s="31" t="s">
        <v>72</v>
      </c>
      <c r="F34" s="86">
        <v>20.0</v>
      </c>
      <c r="G34" s="24"/>
      <c r="H34" s="78" t="s">
        <v>73</v>
      </c>
      <c r="I34" s="79">
        <v>91.9</v>
      </c>
      <c r="J34" s="79">
        <f t="shared" si="1"/>
        <v>55.14</v>
      </c>
      <c r="K34" s="80">
        <f t="shared" si="2"/>
        <v>45.95</v>
      </c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5.75" customHeight="1">
      <c r="A35" s="24"/>
      <c r="B35" s="31"/>
      <c r="C35" s="32"/>
      <c r="D35" s="24"/>
      <c r="E35" s="31" t="s">
        <v>74</v>
      </c>
      <c r="F35" s="86">
        <v>4.0</v>
      </c>
      <c r="G35" s="24"/>
      <c r="H35" s="78" t="s">
        <v>75</v>
      </c>
      <c r="I35" s="79">
        <v>104.9</v>
      </c>
      <c r="J35" s="79">
        <f t="shared" si="1"/>
        <v>62.94</v>
      </c>
      <c r="K35" s="80">
        <f t="shared" si="2"/>
        <v>52.45</v>
      </c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5.75" customHeight="1">
      <c r="A36" s="24"/>
      <c r="B36" s="35" t="s">
        <v>32</v>
      </c>
      <c r="C36" s="55">
        <f>M9</f>
        <v>24.008</v>
      </c>
      <c r="D36" s="24"/>
      <c r="E36" s="31" t="s">
        <v>76</v>
      </c>
      <c r="F36" s="87">
        <f>(F33*F34*F35)/6000</f>
        <v>0.2</v>
      </c>
      <c r="G36" s="24"/>
      <c r="H36" s="78" t="s">
        <v>77</v>
      </c>
      <c r="I36" s="79">
        <v>112.9</v>
      </c>
      <c r="J36" s="79">
        <f t="shared" si="1"/>
        <v>67.74</v>
      </c>
      <c r="K36" s="80">
        <f t="shared" si="2"/>
        <v>56.45</v>
      </c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5.75" customHeight="1">
      <c r="A37" s="24"/>
      <c r="B37" s="35" t="s">
        <v>50</v>
      </c>
      <c r="C37" s="41">
        <f>C34-C36</f>
        <v>1.8006</v>
      </c>
      <c r="D37" s="24"/>
      <c r="E37" s="31" t="s">
        <v>78</v>
      </c>
      <c r="F37" s="86">
        <v>0.32</v>
      </c>
      <c r="G37" s="24"/>
      <c r="H37" s="78" t="s">
        <v>79</v>
      </c>
      <c r="I37" s="79">
        <v>119.9</v>
      </c>
      <c r="J37" s="79">
        <f t="shared" si="1"/>
        <v>71.94</v>
      </c>
      <c r="K37" s="80">
        <f t="shared" si="2"/>
        <v>59.95</v>
      </c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5.75" customHeight="1">
      <c r="A38" s="24"/>
      <c r="B38" s="53" t="s">
        <v>51</v>
      </c>
      <c r="C38" s="103">
        <v>0.075</v>
      </c>
      <c r="D38" s="24"/>
      <c r="E38" s="48" t="s">
        <v>80</v>
      </c>
      <c r="F38" s="88">
        <f>IF(F36&lt;=5,F37,IF(F36&gt;=0.5,IF(F37&gt;F36,F37,F36),IF(F36&gt;F37,F36,F37)))
</f>
        <v>0.32</v>
      </c>
      <c r="G38" s="24"/>
      <c r="H38" s="89" t="s">
        <v>81</v>
      </c>
      <c r="I38" s="90" t="s">
        <v>82</v>
      </c>
      <c r="J38" s="90" t="s">
        <v>82</v>
      </c>
      <c r="K38" s="91" t="s">
        <v>82</v>
      </c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5.75" customHeight="1">
      <c r="A39" s="24"/>
      <c r="B39" s="24"/>
      <c r="C39" s="24"/>
      <c r="D39" s="24"/>
      <c r="E39" s="1"/>
      <c r="F39" s="1"/>
      <c r="G39" s="24"/>
      <c r="H39" s="1"/>
      <c r="I39" s="1"/>
      <c r="J39" s="1"/>
      <c r="K39" s="1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5.75" customHeight="1">
      <c r="A40" s="24"/>
      <c r="B40" s="24"/>
      <c r="C40" s="24"/>
      <c r="D40" s="24"/>
      <c r="E40" s="24"/>
      <c r="F40" s="24"/>
      <c r="G40" s="24"/>
      <c r="H40" s="24"/>
      <c r="I40" s="24"/>
      <c r="J40" s="92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5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5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5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5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5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5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5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5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5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H19:I19"/>
    <mergeCell ref="H20:I25"/>
    <mergeCell ref="H27:I27"/>
    <mergeCell ref="E28:F31"/>
    <mergeCell ref="E32:F32"/>
    <mergeCell ref="B1:C1"/>
    <mergeCell ref="E1:F1"/>
    <mergeCell ref="H1:I1"/>
    <mergeCell ref="L3:M3"/>
    <mergeCell ref="O5:Q6"/>
    <mergeCell ref="L11:M21"/>
    <mergeCell ref="E19:F23"/>
  </mergeCells>
  <conditionalFormatting sqref="C5">
    <cfRule type="cellIs" dxfId="1" priority="1" operator="greaterThan">
      <formula>40</formula>
    </cfRule>
  </conditionalFormatting>
  <conditionalFormatting sqref="C17">
    <cfRule type="cellIs" dxfId="1" priority="2" operator="greaterThan">
      <formula>79.99</formula>
    </cfRule>
  </conditionalFormatting>
  <conditionalFormatting sqref="C17">
    <cfRule type="cellIs" dxfId="1" priority="3" operator="lessThan">
      <formula>40</formula>
    </cfRule>
  </conditionalFormatting>
  <conditionalFormatting sqref="C29">
    <cfRule type="cellIs" dxfId="1" priority="4" operator="lessThan">
      <formula>80</formula>
    </cfRule>
  </conditionalFormatting>
  <hyperlinks>
    <hyperlink r:id="rId1" ref="L1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21.57"/>
    <col customWidth="1" min="3" max="5" width="14.43"/>
    <col customWidth="1" min="6" max="6" width="9.57"/>
    <col customWidth="1" min="7" max="7" width="21.57"/>
    <col customWidth="1" min="8" max="8" width="19.43"/>
  </cols>
  <sheetData>
    <row r="1" ht="15.75" customHeight="1">
      <c r="A1" s="11"/>
      <c r="B1" s="11"/>
      <c r="C1" s="11"/>
      <c r="D1" s="11"/>
      <c r="E1" s="11"/>
      <c r="F1" s="11"/>
    </row>
    <row r="2" ht="15.75" customHeight="1">
      <c r="A2" s="11"/>
      <c r="B2" s="106" t="s">
        <v>95</v>
      </c>
      <c r="C2" s="59"/>
      <c r="E2" s="11"/>
      <c r="F2" s="11"/>
      <c r="G2" s="107" t="s">
        <v>96</v>
      </c>
      <c r="H2" s="30"/>
      <c r="I2" s="108"/>
    </row>
    <row r="3" ht="15.75" customHeight="1">
      <c r="A3" s="11"/>
      <c r="B3" s="109" t="s">
        <v>97</v>
      </c>
      <c r="C3" s="30"/>
      <c r="E3" s="11"/>
      <c r="F3" s="110"/>
      <c r="G3" s="111" t="s">
        <v>98</v>
      </c>
      <c r="H3" s="59"/>
    </row>
    <row r="4" ht="15.75" customHeight="1">
      <c r="A4" s="11"/>
      <c r="B4" s="112" t="s">
        <v>52</v>
      </c>
      <c r="C4" s="113">
        <v>12.9</v>
      </c>
      <c r="E4" s="11"/>
      <c r="F4" s="110"/>
      <c r="G4" s="114" t="s">
        <v>52</v>
      </c>
      <c r="H4" s="115">
        <v>17.9</v>
      </c>
    </row>
    <row r="5" ht="15.75" customHeight="1">
      <c r="A5" s="11"/>
      <c r="B5" s="114" t="s">
        <v>83</v>
      </c>
      <c r="C5" s="116">
        <v>7.74</v>
      </c>
      <c r="D5" s="11"/>
      <c r="E5" s="11"/>
      <c r="G5" s="114" t="s">
        <v>83</v>
      </c>
      <c r="H5" s="115">
        <v>10.74</v>
      </c>
    </row>
    <row r="6" ht="15.75" customHeight="1">
      <c r="A6" s="11"/>
      <c r="B6" s="117" t="s">
        <v>84</v>
      </c>
      <c r="C6" s="91">
        <v>6.45</v>
      </c>
      <c r="D6" s="11"/>
      <c r="E6" s="11"/>
      <c r="G6" s="117" t="s">
        <v>84</v>
      </c>
      <c r="H6" s="118">
        <v>8.95</v>
      </c>
    </row>
    <row r="7" ht="15.75" customHeight="1">
      <c r="A7" s="11"/>
      <c r="D7" s="11"/>
      <c r="E7" s="11"/>
    </row>
    <row r="8" ht="15.75" customHeight="1">
      <c r="A8" s="11"/>
      <c r="B8" s="11"/>
      <c r="C8" s="11"/>
      <c r="D8" s="11"/>
      <c r="E8" s="11"/>
      <c r="F8" s="11"/>
    </row>
    <row r="9" ht="15.75" customHeight="1">
      <c r="A9" s="11"/>
      <c r="C9" s="119" t="s">
        <v>99</v>
      </c>
      <c r="D9" s="120"/>
      <c r="E9" s="59"/>
      <c r="F9" s="11"/>
    </row>
    <row r="10" ht="15.75" customHeight="1">
      <c r="A10" s="11"/>
      <c r="B10" s="121" t="s">
        <v>100</v>
      </c>
      <c r="C10" s="122" t="s">
        <v>52</v>
      </c>
      <c r="D10" s="122" t="s">
        <v>83</v>
      </c>
      <c r="E10" s="122" t="s">
        <v>84</v>
      </c>
      <c r="F10" s="11"/>
    </row>
    <row r="11" ht="15.75" customHeight="1">
      <c r="A11" s="11"/>
      <c r="B11" s="123" t="s">
        <v>58</v>
      </c>
      <c r="C11" s="124">
        <v>1.0</v>
      </c>
      <c r="D11" s="125">
        <v>0.6</v>
      </c>
      <c r="E11" s="126">
        <v>0.5</v>
      </c>
      <c r="F11" s="11"/>
    </row>
    <row r="12" ht="15.75" customHeight="1">
      <c r="A12" s="11"/>
      <c r="B12" s="11"/>
      <c r="C12" s="11"/>
      <c r="D12" s="11"/>
      <c r="E12" s="11"/>
      <c r="F12" s="11"/>
    </row>
    <row r="13" ht="15.75" customHeight="1">
      <c r="A13" s="11"/>
      <c r="B13" s="11"/>
      <c r="C13" s="11"/>
      <c r="D13" s="11"/>
      <c r="E13" s="11"/>
      <c r="F13" s="11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5">
    <mergeCell ref="B2:C2"/>
    <mergeCell ref="G2:H2"/>
    <mergeCell ref="B3:C3"/>
    <mergeCell ref="G3:H3"/>
    <mergeCell ref="C9:E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22.29"/>
    <col customWidth="1" min="3" max="3" width="21.57"/>
    <col customWidth="1" min="4" max="4" width="4.71"/>
    <col customWidth="1" min="5" max="5" width="25.29"/>
    <col customWidth="1" min="6" max="6" width="23.29"/>
    <col customWidth="1" min="7" max="7" width="16.29"/>
    <col customWidth="1" min="8" max="8" width="25.86"/>
    <col customWidth="1" min="9" max="9" width="21.57"/>
    <col customWidth="1" min="10" max="12" width="20.14"/>
    <col customWidth="1" min="13" max="13" width="13.71"/>
    <col customWidth="1" min="14" max="14" width="20.14"/>
    <col customWidth="1" min="15" max="15" width="8.43"/>
  </cols>
  <sheetData>
    <row r="1" ht="15.75" customHeight="1">
      <c r="A1" s="127"/>
      <c r="B1" s="128" t="s">
        <v>101</v>
      </c>
      <c r="C1" s="128" t="s">
        <v>102</v>
      </c>
      <c r="D1" s="127"/>
      <c r="E1" s="129"/>
      <c r="F1" s="129"/>
      <c r="G1" s="129"/>
      <c r="H1" s="129"/>
      <c r="I1" s="129"/>
      <c r="J1" s="130"/>
      <c r="K1" s="129"/>
      <c r="L1" s="129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9"/>
      <c r="AA1" s="127"/>
    </row>
    <row r="2" ht="15.75" customHeight="1">
      <c r="A2" s="127"/>
      <c r="B2" s="131" t="s">
        <v>103</v>
      </c>
      <c r="C2" s="132">
        <f>VLOOKUP(B2,categorias!A2:B44,2,FALSE)</f>
        <v>0.16</v>
      </c>
      <c r="D2" s="127"/>
      <c r="E2" s="129"/>
      <c r="F2" s="133"/>
      <c r="G2" s="129"/>
      <c r="H2" s="129"/>
      <c r="I2" s="129"/>
      <c r="J2" s="130"/>
      <c r="K2" s="129"/>
      <c r="L2" s="129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9"/>
      <c r="AA2" s="127"/>
    </row>
    <row r="3" ht="15.75" customHeight="1">
      <c r="A3" s="127"/>
      <c r="B3" s="129"/>
      <c r="C3" s="129"/>
      <c r="D3" s="127"/>
      <c r="E3" s="129"/>
      <c r="F3" s="129"/>
      <c r="G3" s="129"/>
      <c r="H3" s="129"/>
      <c r="I3" s="129"/>
      <c r="J3" s="130"/>
      <c r="K3" s="129"/>
      <c r="L3" s="129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9"/>
      <c r="AA3" s="127"/>
    </row>
    <row r="4" ht="15.75" customHeight="1">
      <c r="A4" s="127"/>
      <c r="B4" s="129"/>
      <c r="C4" s="129"/>
      <c r="D4" s="127"/>
      <c r="E4" s="129"/>
      <c r="F4" s="129"/>
      <c r="G4" s="129"/>
      <c r="H4" s="129"/>
      <c r="I4" s="129"/>
      <c r="J4" s="130"/>
      <c r="K4" s="129"/>
      <c r="L4" s="129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9"/>
      <c r="AA4" s="127"/>
    </row>
    <row r="5" ht="15.75" customHeight="1">
      <c r="A5" s="24"/>
      <c r="B5" s="134" t="s">
        <v>104</v>
      </c>
      <c r="D5" s="24"/>
      <c r="E5" s="25" t="s">
        <v>28</v>
      </c>
      <c r="G5" s="26"/>
      <c r="H5" s="25" t="s">
        <v>29</v>
      </c>
      <c r="K5" s="25" t="s">
        <v>105</v>
      </c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8" t="s">
        <v>53</v>
      </c>
      <c r="AA5" s="24"/>
    </row>
    <row r="6" ht="15.75" customHeight="1">
      <c r="A6" s="24"/>
      <c r="B6" s="24"/>
      <c r="C6" s="26"/>
      <c r="D6" s="24"/>
      <c r="E6" s="24"/>
      <c r="F6" s="26"/>
      <c r="G6" s="26"/>
      <c r="H6" s="24"/>
      <c r="I6" s="26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 t="s">
        <v>52</v>
      </c>
      <c r="AA6" s="24">
        <v>12.9</v>
      </c>
    </row>
    <row r="7" ht="15.75" customHeight="1">
      <c r="A7" s="24"/>
      <c r="B7" s="135" t="s">
        <v>84</v>
      </c>
      <c r="C7" s="28" t="s">
        <v>30</v>
      </c>
      <c r="D7" s="24"/>
      <c r="E7" s="135" t="s">
        <v>83</v>
      </c>
      <c r="F7" s="28" t="s">
        <v>106</v>
      </c>
      <c r="G7" s="26"/>
      <c r="H7" s="27"/>
      <c r="I7" s="28" t="s">
        <v>31</v>
      </c>
      <c r="K7" s="136" t="s">
        <v>32</v>
      </c>
      <c r="L7" s="59"/>
      <c r="M7" s="24"/>
      <c r="N7" s="24"/>
      <c r="O7" s="24"/>
      <c r="P7" s="24"/>
      <c r="W7" s="24"/>
      <c r="X7" s="24"/>
      <c r="Y7" s="24"/>
      <c r="Z7" s="24" t="s">
        <v>83</v>
      </c>
      <c r="AA7" s="24">
        <v>7.74</v>
      </c>
    </row>
    <row r="8" ht="15.75" customHeight="1">
      <c r="A8" s="24"/>
      <c r="B8" s="31"/>
      <c r="C8" s="32"/>
      <c r="D8" s="24"/>
      <c r="E8" s="31"/>
      <c r="F8" s="32"/>
      <c r="G8" s="24"/>
      <c r="H8" s="31"/>
      <c r="I8" s="32"/>
      <c r="K8" s="31" t="s">
        <v>33</v>
      </c>
      <c r="L8" s="137">
        <v>20.2</v>
      </c>
      <c r="M8" s="24"/>
      <c r="W8" s="24"/>
      <c r="X8" s="24"/>
      <c r="Y8" s="24"/>
      <c r="Z8" s="24" t="s">
        <v>84</v>
      </c>
      <c r="AA8" s="24">
        <v>6.45</v>
      </c>
    </row>
    <row r="9" ht="15.75" customHeight="1">
      <c r="A9" s="34"/>
      <c r="B9" s="35" t="s">
        <v>34</v>
      </c>
      <c r="C9" s="36">
        <v>39.99</v>
      </c>
      <c r="D9" s="24"/>
      <c r="E9" s="35" t="s">
        <v>34</v>
      </c>
      <c r="F9" s="55">
        <v>70.0</v>
      </c>
      <c r="G9" s="24"/>
      <c r="H9" s="35" t="s">
        <v>34</v>
      </c>
      <c r="I9" s="55">
        <v>38.8</v>
      </c>
      <c r="K9" s="31" t="s">
        <v>35</v>
      </c>
      <c r="L9" s="137">
        <v>4.0</v>
      </c>
      <c r="M9" s="37"/>
      <c r="N9" s="138" t="s">
        <v>36</v>
      </c>
      <c r="O9" s="139"/>
      <c r="P9" s="140"/>
      <c r="W9" s="24"/>
      <c r="X9" s="24"/>
      <c r="Y9" s="24"/>
    </row>
    <row r="10" ht="15.75" customHeight="1">
      <c r="A10" s="141"/>
      <c r="B10" s="142" t="s">
        <v>107</v>
      </c>
      <c r="C10" s="143">
        <f>C9*C2</f>
        <v>6.3984</v>
      </c>
      <c r="D10" s="127"/>
      <c r="E10" s="144" t="s">
        <v>41</v>
      </c>
      <c r="F10" s="143">
        <f>F9*12.8%</f>
        <v>8.96</v>
      </c>
      <c r="G10" s="145"/>
      <c r="H10" s="144" t="s">
        <v>42</v>
      </c>
      <c r="I10" s="143">
        <f>I9*9%</f>
        <v>3.492</v>
      </c>
      <c r="J10" s="130"/>
      <c r="K10" s="146" t="s">
        <v>39</v>
      </c>
      <c r="L10" s="147">
        <v>0.0</v>
      </c>
      <c r="M10" s="130"/>
      <c r="N10" s="148"/>
      <c r="O10" s="149"/>
      <c r="P10" s="150"/>
      <c r="Q10" s="130"/>
      <c r="R10" s="130"/>
      <c r="S10" s="130"/>
      <c r="T10" s="130"/>
      <c r="U10" s="130"/>
      <c r="V10" s="130"/>
      <c r="W10" s="127"/>
      <c r="X10" s="127"/>
      <c r="Y10" s="127"/>
      <c r="Z10" s="130"/>
      <c r="AA10" s="130"/>
    </row>
    <row r="11" ht="15.75" customHeight="1">
      <c r="A11" s="34"/>
      <c r="B11" s="35" t="s">
        <v>44</v>
      </c>
      <c r="C11" s="41">
        <f>3%*C9</f>
        <v>1.1997</v>
      </c>
      <c r="D11" s="24"/>
      <c r="E11" s="35" t="s">
        <v>44</v>
      </c>
      <c r="F11" s="41">
        <f>3%*F9</f>
        <v>2.1</v>
      </c>
      <c r="G11" s="151"/>
      <c r="H11" s="35" t="s">
        <v>44</v>
      </c>
      <c r="I11" s="41">
        <f>3%*I9</f>
        <v>1.164</v>
      </c>
      <c r="K11" s="31" t="s">
        <v>43</v>
      </c>
      <c r="L11" s="152">
        <v>0.04</v>
      </c>
      <c r="M11" s="24"/>
      <c r="N11" s="24"/>
      <c r="O11" s="24"/>
      <c r="P11" s="24"/>
      <c r="W11" s="24"/>
      <c r="X11" s="24"/>
      <c r="Y11" s="24"/>
    </row>
    <row r="12" ht="15.75" customHeight="1">
      <c r="A12" s="34"/>
      <c r="B12" s="35" t="s">
        <v>46</v>
      </c>
      <c r="C12" s="47">
        <f>(C11+C10)/C9</f>
        <v>0.19</v>
      </c>
      <c r="D12" s="24"/>
      <c r="E12" s="35" t="s">
        <v>46</v>
      </c>
      <c r="F12" s="47">
        <f>(F11+F10)/F9</f>
        <v>0.158</v>
      </c>
      <c r="G12" s="151"/>
      <c r="H12" s="35" t="s">
        <v>46</v>
      </c>
      <c r="I12" s="47">
        <f>(I11+I10)/I9</f>
        <v>0.12</v>
      </c>
      <c r="K12" s="31" t="s">
        <v>45</v>
      </c>
      <c r="L12" s="137">
        <v>0.0</v>
      </c>
      <c r="N12" s="50" t="s">
        <v>108</v>
      </c>
      <c r="O12" s="153"/>
      <c r="P12" s="30"/>
      <c r="W12" s="24"/>
      <c r="X12" s="24"/>
      <c r="Y12" s="24"/>
    </row>
    <row r="13" ht="15.75" customHeight="1">
      <c r="A13" s="34"/>
      <c r="B13" s="35" t="s">
        <v>48</v>
      </c>
      <c r="C13" s="41">
        <f>C9-C10-C11</f>
        <v>32.3919</v>
      </c>
      <c r="D13" s="24"/>
      <c r="E13" s="35" t="s">
        <v>48</v>
      </c>
      <c r="F13" s="41">
        <f>F9-F10-F11</f>
        <v>58.94</v>
      </c>
      <c r="G13" s="154"/>
      <c r="H13" s="35" t="s">
        <v>48</v>
      </c>
      <c r="I13" s="41">
        <f>I9-I10-I11</f>
        <v>34.144</v>
      </c>
      <c r="K13" s="53" t="s">
        <v>47</v>
      </c>
      <c r="L13" s="49">
        <f>L8+L9+L8*L10+L8*L11</f>
        <v>25.008</v>
      </c>
      <c r="M13" s="24"/>
      <c r="N13" s="51"/>
      <c r="P13" s="52"/>
      <c r="W13" s="24"/>
      <c r="X13" s="24"/>
      <c r="Y13" s="24"/>
      <c r="Z13" s="24"/>
      <c r="AA13" s="24"/>
    </row>
    <row r="14" ht="15.75" customHeight="1">
      <c r="A14" s="34"/>
      <c r="B14" s="31"/>
      <c r="C14" s="32"/>
      <c r="D14" s="24"/>
      <c r="E14" s="31"/>
      <c r="F14" s="32"/>
      <c r="G14" s="151"/>
      <c r="H14" s="31"/>
      <c r="I14" s="32"/>
      <c r="N14" s="51"/>
      <c r="P14" s="52"/>
      <c r="S14" s="24"/>
      <c r="T14" s="24"/>
      <c r="U14" s="24"/>
      <c r="V14" s="24"/>
      <c r="W14" s="24"/>
      <c r="X14" s="24"/>
      <c r="Y14" s="24"/>
      <c r="Z14" s="24"/>
      <c r="AA14" s="24"/>
    </row>
    <row r="15" ht="15.75" customHeight="1">
      <c r="A15" s="24"/>
      <c r="B15" s="31"/>
      <c r="C15" s="32"/>
      <c r="D15" s="24"/>
      <c r="E15" s="31"/>
      <c r="F15" s="32"/>
      <c r="G15" s="24"/>
      <c r="H15" s="31"/>
      <c r="I15" s="32"/>
      <c r="K15" s="136" t="s">
        <v>109</v>
      </c>
      <c r="L15" s="59"/>
      <c r="N15" s="51"/>
      <c r="P15" s="52"/>
      <c r="S15" s="24"/>
      <c r="T15" s="24"/>
      <c r="U15" s="24"/>
      <c r="V15" s="24"/>
      <c r="W15" s="24"/>
      <c r="X15" s="24"/>
      <c r="Y15" s="24"/>
      <c r="Z15" s="24"/>
      <c r="AA15" s="24"/>
    </row>
    <row r="16" ht="15.75" customHeight="1">
      <c r="A16" s="24"/>
      <c r="B16" s="35" t="s">
        <v>32</v>
      </c>
      <c r="C16" s="41">
        <f>L13</f>
        <v>25.008</v>
      </c>
      <c r="D16" s="24"/>
      <c r="E16" s="35" t="s">
        <v>32</v>
      </c>
      <c r="F16" s="41">
        <f>L13</f>
        <v>25.008</v>
      </c>
      <c r="G16" s="24"/>
      <c r="H16" s="35" t="s">
        <v>32</v>
      </c>
      <c r="I16" s="41">
        <f>L13</f>
        <v>25.008</v>
      </c>
      <c r="K16" s="31" t="s">
        <v>70</v>
      </c>
      <c r="L16" s="85">
        <v>30.0</v>
      </c>
      <c r="N16" s="51"/>
      <c r="P16" s="52"/>
      <c r="S16" s="24"/>
      <c r="T16" s="24"/>
      <c r="U16" s="24"/>
      <c r="V16" s="24"/>
      <c r="W16" s="24"/>
      <c r="X16" s="24"/>
      <c r="Y16" s="24"/>
      <c r="Z16" s="24"/>
      <c r="AA16" s="24"/>
    </row>
    <row r="17" ht="15.75" customHeight="1">
      <c r="A17" s="34"/>
      <c r="B17" s="35" t="s">
        <v>50</v>
      </c>
      <c r="C17" s="41">
        <f>C13-C16</f>
        <v>7.3839</v>
      </c>
      <c r="D17" s="24"/>
      <c r="E17" s="35" t="s">
        <v>50</v>
      </c>
      <c r="F17" s="41">
        <f>F13-F16</f>
        <v>33.932</v>
      </c>
      <c r="G17" s="151"/>
      <c r="H17" s="35" t="s">
        <v>50</v>
      </c>
      <c r="I17" s="41">
        <f>I13-I16</f>
        <v>9.136</v>
      </c>
      <c r="K17" s="31" t="s">
        <v>72</v>
      </c>
      <c r="L17" s="86">
        <v>60.0</v>
      </c>
      <c r="N17" s="51"/>
      <c r="P17" s="52"/>
      <c r="S17" s="24"/>
      <c r="T17" s="24"/>
      <c r="U17" s="24"/>
      <c r="V17" s="24"/>
      <c r="W17" s="24"/>
      <c r="X17" s="24"/>
      <c r="Y17" s="24"/>
      <c r="Z17" s="24"/>
      <c r="AA17" s="24"/>
    </row>
    <row r="18" ht="15.75" customHeight="1">
      <c r="A18" s="34"/>
      <c r="B18" s="53" t="s">
        <v>51</v>
      </c>
      <c r="C18" s="54">
        <v>0.4</v>
      </c>
      <c r="D18" s="24"/>
      <c r="E18" s="53" t="s">
        <v>51</v>
      </c>
      <c r="F18" s="54">
        <f>F13/F16-1</f>
        <v>1.356845809</v>
      </c>
      <c r="G18" s="151"/>
      <c r="H18" s="53" t="s">
        <v>51</v>
      </c>
      <c r="I18" s="54">
        <f>I13/I16-1</f>
        <v>0.3653230966</v>
      </c>
      <c r="K18" s="31" t="s">
        <v>74</v>
      </c>
      <c r="L18" s="86">
        <v>20.0</v>
      </c>
      <c r="N18" s="51"/>
      <c r="P18" s="52"/>
      <c r="S18" s="24"/>
      <c r="T18" s="24"/>
      <c r="U18" s="24"/>
      <c r="V18" s="24"/>
      <c r="W18" s="24"/>
      <c r="X18" s="24"/>
      <c r="Y18" s="24"/>
      <c r="Z18" s="24"/>
      <c r="AA18" s="24"/>
    </row>
    <row r="19" ht="15.75" customHeight="1">
      <c r="A19" s="34"/>
      <c r="B19" s="24"/>
      <c r="C19" s="24"/>
      <c r="D19" s="24"/>
      <c r="E19" s="24"/>
      <c r="F19" s="24"/>
      <c r="G19" s="154"/>
      <c r="H19" s="24"/>
      <c r="I19" s="24"/>
      <c r="K19" s="48" t="s">
        <v>110</v>
      </c>
      <c r="L19" s="155">
        <v>2.0</v>
      </c>
      <c r="N19" s="51"/>
      <c r="P19" s="52"/>
      <c r="S19" s="24"/>
      <c r="T19" s="24"/>
      <c r="U19" s="24"/>
      <c r="V19" s="24"/>
      <c r="W19" s="24"/>
      <c r="X19" s="24"/>
      <c r="Y19" s="24"/>
      <c r="Z19" s="24"/>
      <c r="AA19" s="24"/>
    </row>
    <row r="20" ht="15.75" customHeight="1">
      <c r="A20" s="24"/>
      <c r="B20" s="27" t="str">
        <f>B7</f>
        <v>Grupo 3</v>
      </c>
      <c r="C20" s="28" t="s">
        <v>53</v>
      </c>
      <c r="D20" s="24"/>
      <c r="E20" s="24"/>
      <c r="F20" s="24"/>
      <c r="G20" s="24"/>
      <c r="H20" s="24"/>
      <c r="I20" s="24"/>
      <c r="N20" s="64"/>
      <c r="O20" s="156"/>
      <c r="P20" s="65"/>
      <c r="S20" s="24"/>
      <c r="T20" s="24"/>
      <c r="U20" s="24"/>
      <c r="V20" s="24"/>
      <c r="W20" s="24"/>
      <c r="X20" s="24"/>
      <c r="Y20" s="24"/>
      <c r="Z20" s="24"/>
      <c r="AA20" s="24"/>
    </row>
    <row r="21" ht="15.75" customHeight="1">
      <c r="A21" s="24"/>
      <c r="B21" s="35" t="s">
        <v>34</v>
      </c>
      <c r="C21" s="55">
        <v>49.0</v>
      </c>
      <c r="D21" s="24"/>
      <c r="E21" s="24"/>
      <c r="F21" s="24"/>
      <c r="G21" s="24"/>
      <c r="H21" s="24"/>
      <c r="I21" s="24"/>
      <c r="J21" s="24"/>
      <c r="S21" s="24"/>
      <c r="T21" s="24"/>
      <c r="U21" s="24"/>
      <c r="V21" s="24"/>
      <c r="W21" s="24"/>
      <c r="X21" s="24"/>
      <c r="Y21" s="24"/>
      <c r="Z21" s="24"/>
      <c r="AA21" s="24"/>
    </row>
    <row r="22" ht="15.75" customHeight="1">
      <c r="A22" s="24"/>
      <c r="B22" s="35" t="s">
        <v>37</v>
      </c>
      <c r="C22" s="157">
        <f>VLOOKUP(B20,'Grupos B2W'!B4:C6,2,FALSE)</f>
        <v>6.45</v>
      </c>
      <c r="D22" s="24"/>
      <c r="E22" s="24"/>
      <c r="F22" s="24"/>
      <c r="G22" s="1"/>
      <c r="H22" s="95" t="s">
        <v>86</v>
      </c>
      <c r="I22" s="59"/>
      <c r="J22" s="24"/>
      <c r="K22" s="24"/>
      <c r="L22" s="24"/>
      <c r="S22" s="24"/>
      <c r="T22" s="24"/>
      <c r="U22" s="24"/>
      <c r="V22" s="24"/>
      <c r="W22" s="24"/>
      <c r="X22" s="24"/>
      <c r="Y22" s="24"/>
      <c r="Z22" s="24"/>
      <c r="AA22" s="24"/>
    </row>
    <row r="23" ht="27.75" customHeight="1">
      <c r="A23" s="24"/>
      <c r="B23" s="158" t="s">
        <v>111</v>
      </c>
      <c r="C23" s="42">
        <f>C21*C2</f>
        <v>7.84</v>
      </c>
      <c r="D23" s="24"/>
      <c r="E23" s="24"/>
      <c r="F23" s="24"/>
      <c r="H23" s="159" t="s">
        <v>88</v>
      </c>
      <c r="I23" s="61"/>
      <c r="J23" s="24"/>
      <c r="K23" s="95" t="s">
        <v>112</v>
      </c>
      <c r="L23" s="59"/>
      <c r="S23" s="24"/>
      <c r="T23" s="24"/>
      <c r="U23" s="24"/>
      <c r="V23" s="24"/>
      <c r="W23" s="24"/>
      <c r="X23" s="24"/>
      <c r="Y23" s="24"/>
      <c r="Z23" s="24"/>
      <c r="AA23" s="24"/>
    </row>
    <row r="24" ht="15.75" customHeight="1">
      <c r="A24" s="24"/>
      <c r="B24" s="35" t="s">
        <v>44</v>
      </c>
      <c r="C24" s="42">
        <f>3%*C21</f>
        <v>1.47</v>
      </c>
      <c r="D24" s="24"/>
      <c r="E24" s="24"/>
      <c r="F24" s="24"/>
      <c r="H24" s="60"/>
      <c r="I24" s="61"/>
      <c r="J24" s="24"/>
      <c r="K24" s="62" t="s">
        <v>56</v>
      </c>
      <c r="L24" s="52"/>
      <c r="S24" s="24"/>
      <c r="T24" s="24"/>
      <c r="U24" s="24"/>
      <c r="V24" s="24"/>
      <c r="W24" s="24"/>
      <c r="X24" s="24"/>
      <c r="Y24" s="24"/>
      <c r="Z24" s="24"/>
      <c r="AA24" s="24"/>
    </row>
    <row r="25" ht="15.75" customHeight="1">
      <c r="A25" s="24"/>
      <c r="B25" s="35" t="s">
        <v>46</v>
      </c>
      <c r="C25" s="63">
        <f>(C24+C23+C22)/C21</f>
        <v>0.3216326531</v>
      </c>
      <c r="D25" s="24"/>
      <c r="E25" s="24"/>
      <c r="F25" s="24"/>
      <c r="H25" s="60"/>
      <c r="I25" s="61"/>
      <c r="J25" s="24"/>
      <c r="K25" s="51"/>
      <c r="L25" s="52"/>
      <c r="S25" s="24"/>
      <c r="T25" s="24"/>
      <c r="U25" s="24"/>
      <c r="V25" s="24"/>
      <c r="W25" s="24"/>
      <c r="X25" s="24"/>
      <c r="Y25" s="24"/>
      <c r="Z25" s="24"/>
      <c r="AA25" s="24"/>
    </row>
    <row r="26" ht="15.75" customHeight="1">
      <c r="A26" s="24"/>
      <c r="B26" s="35" t="s">
        <v>48</v>
      </c>
      <c r="C26" s="42">
        <f>C21-C22-C23-C24</f>
        <v>33.24</v>
      </c>
      <c r="D26" s="24"/>
      <c r="E26" s="24"/>
      <c r="F26" s="24"/>
      <c r="H26" s="60"/>
      <c r="I26" s="61"/>
      <c r="J26" s="24"/>
      <c r="K26" s="51"/>
      <c r="L26" s="52"/>
      <c r="S26" s="24"/>
      <c r="T26" s="24"/>
      <c r="U26" s="24"/>
      <c r="V26" s="24"/>
      <c r="W26" s="24"/>
      <c r="X26" s="24"/>
      <c r="Y26" s="24"/>
      <c r="Z26" s="24"/>
      <c r="AA26" s="24"/>
    </row>
    <row r="27" ht="15.75" customHeight="1">
      <c r="A27" s="24"/>
      <c r="B27" s="31"/>
      <c r="C27" s="32"/>
      <c r="D27" s="24"/>
      <c r="E27" s="24"/>
      <c r="F27" s="24"/>
      <c r="H27" s="60"/>
      <c r="I27" s="61"/>
      <c r="J27" s="24"/>
      <c r="K27" s="51"/>
      <c r="L27" s="52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ht="15.75" customHeight="1">
      <c r="A28" s="24"/>
      <c r="B28" s="35" t="s">
        <v>32</v>
      </c>
      <c r="C28" s="42">
        <f>L13</f>
        <v>25.008</v>
      </c>
      <c r="D28" s="24"/>
      <c r="E28" s="24"/>
      <c r="F28" s="24"/>
      <c r="H28" s="60"/>
      <c r="I28" s="61"/>
      <c r="J28" s="24"/>
      <c r="K28" s="51"/>
      <c r="L28" s="52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ht="15.75" customHeight="1">
      <c r="A29" s="24"/>
      <c r="B29" s="35" t="s">
        <v>50</v>
      </c>
      <c r="C29" s="42">
        <f>C26-C28</f>
        <v>8.232</v>
      </c>
      <c r="D29" s="24"/>
      <c r="E29" s="24"/>
      <c r="F29" s="24"/>
      <c r="H29" s="66"/>
      <c r="I29" s="67"/>
      <c r="J29" s="24"/>
      <c r="K29" s="51"/>
      <c r="L29" s="52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 ht="15.75" customHeight="1">
      <c r="A30" s="24"/>
      <c r="B30" s="53" t="s">
        <v>51</v>
      </c>
      <c r="C30" s="68">
        <f>C26/C28-1</f>
        <v>0.3291746641</v>
      </c>
      <c r="D30" s="24"/>
      <c r="E30" s="24"/>
      <c r="F30" s="24"/>
      <c r="J30" s="24"/>
      <c r="K30" s="64"/>
      <c r="L30" s="65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 ht="15.75" customHeight="1">
      <c r="A31" s="24"/>
      <c r="B31" s="24"/>
      <c r="C31" s="24"/>
      <c r="D31" s="24"/>
      <c r="E31" s="24"/>
      <c r="F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 ht="15.75" customHeight="1">
      <c r="A32" s="24"/>
      <c r="B32" s="27" t="str">
        <f>B7</f>
        <v>Grupo 3</v>
      </c>
      <c r="C32" s="28" t="s">
        <v>58</v>
      </c>
      <c r="D32" s="24"/>
      <c r="E32" s="27" t="str">
        <f>E7</f>
        <v>Grupo 2</v>
      </c>
      <c r="F32" s="28" t="s">
        <v>113</v>
      </c>
      <c r="H32" s="70" t="s">
        <v>114</v>
      </c>
      <c r="I32" s="71"/>
      <c r="J32" s="24"/>
      <c r="K32" s="160" t="s">
        <v>115</v>
      </c>
      <c r="L32" s="153"/>
      <c r="M32" s="153"/>
      <c r="N32" s="30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 ht="15.75" customHeight="1">
      <c r="A33" s="24"/>
      <c r="B33" s="35" t="s">
        <v>34</v>
      </c>
      <c r="C33" s="55">
        <v>172.0</v>
      </c>
      <c r="D33" s="24"/>
      <c r="E33" s="35" t="s">
        <v>34</v>
      </c>
      <c r="F33" s="55">
        <v>150.0</v>
      </c>
      <c r="H33" s="73"/>
      <c r="I33" s="74"/>
      <c r="J33" s="24"/>
      <c r="K33" s="69" t="s">
        <v>60</v>
      </c>
      <c r="L33" s="72" t="s">
        <v>61</v>
      </c>
      <c r="M33" s="72" t="s">
        <v>62</v>
      </c>
      <c r="N33" s="72" t="s">
        <v>63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 ht="15.75" customHeight="1">
      <c r="A34" s="24"/>
      <c r="B34" s="35" t="s">
        <v>37</v>
      </c>
      <c r="C34" s="42">
        <f>IF(AND(I42&lt;=0.499,B32="Grupo 1"),L34,IF(AND(I42&lt;=0.999,B32="Grupo 1"),L35,IF(AND(I42&lt;=1.999,B32="Grupo 1"),L36,IF(AND(I42&lt;=4.999,B32="Grupo 1"),L37,IF(AND(I42&lt;=8.999,L38,B32="Grupo 1"),L38,IF(AND(I42&lt;=12.999,B32="Grupo 1"),L39,IF(AND(I42&lt;=16.999,B32="Grupo 1"),L40,IF(AND(I42&lt;=22.999,B32="Grupo 1"),L41,IF(AND(I42&lt;=28.999,B32="Grupo 1"),L42,IF(AND(I42&lt;=0.499,B32="Grupo 2"),M34,IF(AND(I42&lt;=0.999,B32="Grupo 2"),M35,IF(AND(I42&lt;=1.999,B32="Grupo 2"),M36,IF(AND(I42&lt;=4.999,B32="Grupo 2"),M37,IF(AND(I42&lt;=8.999,M38,B32="Grupo 2"),M38,IF(AND(I42&lt;=12.999,B32="Grupo 2"),M39,IF(AND(I42&lt;=16.999,B32="Grupo 2"),M40,IF(AND(I42&lt;=22.999,B32="Grupo 2"),M41,IF(AND(I42&lt;=28.999,B32="Grupo 2"),M42,IF(AND(I42&lt;=0.499,B32="Grupo 3"),N34,IF(AND(I42&lt;=0.999,B32="Grupo 3"),N35,IF(AND(I42&lt;=1.999,B32="Grupo 3"),N36,IF(AND(I42&lt;=4.999,B32="Grupo 3"),N37,IF(AND(I42&lt;=8.999,M38,B32="Grupo 3"),N38,IF(AND(I42&lt;=12.999,B32="Grupo 3"),N39,IF(AND(I42&lt;=16.999,B32="Grupo 3"),N40,IF(AND(I42&lt;=22.999,B32="Grupo 3"),M41,IF(AND(I42&lt;=28.999,B32="Grupo 3"),N42,N43)))))))))))))))))))))))))))</f>
        <v>33.95</v>
      </c>
      <c r="D34" s="24"/>
      <c r="E34" s="35" t="s">
        <v>37</v>
      </c>
      <c r="F34" s="42">
        <f>IF(AND(I50&lt;=0.499,E32="Grupo 1"),L47,IF(AND(I50&lt;=0.999,E32="Grupo 1"),L48,IF(AND(I50&lt;=1.999,E32="Grupo 1"),L49,IF(AND(I50&lt;=4.999,E32="Grupo 1"),L50,IF(AND(I50&lt;=8.999,L38,E32="Grupo 1"),L51,IF(AND(I50&lt;=12.999,E32="Grupo 1"),L52,IF(AND(I50&lt;=16.999,E32="Grupo 1"),L53,IF(AND(I50&lt;=22.999,E32="Grupo 1"),L54,IF(AND(I50&lt;=28.999,E32="Grupo 1"),L55,IF(AND(I50&lt;=30,E32="Grupo 1"),L56,IF(AND(I50&lt;=0.499,E32="Grupo 2"),M47,IF(AND(I50&lt;=0.999,E32="Grupo 2"),M48,IF(AND(I50&lt;=1.999,E32="Grupo 2"),M49,IF(AND(I50&lt;=4.999,E32="Grupo 2"),M50,IF(AND(I50&lt;=8.999,M38,E32="Grupo 2"),M51,IF(AND(I50&lt;=12.999,E32="Grupo 2"),M52,IF(AND(I50&lt;=16.999,E32="Grupo 2"),M53,IF(AND(I50&lt;=22.999,E32="Grupo 2"),M54,IF(AND(I50&lt;=28.999,E32="Grupo 2"),M55,IF(AND(I50&lt;=30,E32="Grupo 2"),M56,0))))))))))))))))))))</f>
        <v>23.95</v>
      </c>
      <c r="H34" s="73"/>
      <c r="I34" s="74"/>
      <c r="J34" s="24"/>
      <c r="K34" s="75" t="s">
        <v>64</v>
      </c>
      <c r="L34" s="76">
        <v>32.9</v>
      </c>
      <c r="M34" s="76">
        <f t="shared" ref="M34:M42" si="1">L34*0.6</f>
        <v>19.74</v>
      </c>
      <c r="N34" s="77">
        <f t="shared" ref="N34:N42" si="2">L34*0.5</f>
        <v>16.45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ht="15.75" customHeight="1">
      <c r="A35" s="24"/>
      <c r="B35" s="158" t="s">
        <v>116</v>
      </c>
      <c r="C35" s="42">
        <f>C33*C2</f>
        <v>27.52</v>
      </c>
      <c r="D35" s="24"/>
      <c r="E35" s="35" t="s">
        <v>117</v>
      </c>
      <c r="F35" s="42">
        <f>F33*12.8%</f>
        <v>19.2</v>
      </c>
      <c r="G35" s="24"/>
      <c r="H35" s="81"/>
      <c r="I35" s="82"/>
      <c r="J35" s="24"/>
      <c r="K35" s="78" t="s">
        <v>66</v>
      </c>
      <c r="L35" s="79">
        <v>35.9</v>
      </c>
      <c r="M35" s="79">
        <f t="shared" si="1"/>
        <v>21.54</v>
      </c>
      <c r="N35" s="80">
        <f t="shared" si="2"/>
        <v>17.95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ht="15.75" customHeight="1">
      <c r="A36" s="24"/>
      <c r="B36" s="35" t="s">
        <v>44</v>
      </c>
      <c r="C36" s="42">
        <f>3%*C33</f>
        <v>5.16</v>
      </c>
      <c r="D36" s="24"/>
      <c r="E36" s="35" t="s">
        <v>44</v>
      </c>
      <c r="F36" s="42">
        <f>3%*F33</f>
        <v>4.5</v>
      </c>
      <c r="H36" s="161" t="s">
        <v>118</v>
      </c>
      <c r="I36" s="84"/>
      <c r="J36" s="24"/>
      <c r="K36" s="78" t="s">
        <v>67</v>
      </c>
      <c r="L36" s="79">
        <v>36.9</v>
      </c>
      <c r="M36" s="79">
        <f t="shared" si="1"/>
        <v>22.14</v>
      </c>
      <c r="N36" s="80">
        <f t="shared" si="2"/>
        <v>18.45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ht="15.75" customHeight="1">
      <c r="A37" s="24"/>
      <c r="B37" s="35" t="s">
        <v>46</v>
      </c>
      <c r="C37" s="63">
        <f>(C36+C35+C34)/C33</f>
        <v>0.3873837209</v>
      </c>
      <c r="D37" s="24"/>
      <c r="E37" s="35" t="s">
        <v>46</v>
      </c>
      <c r="F37" s="63">
        <f>(F36+F35+F34)/F33</f>
        <v>0.3176666667</v>
      </c>
      <c r="H37" s="31" t="s">
        <v>70</v>
      </c>
      <c r="I37" s="162">
        <f t="shared" ref="I37:I39" si="3">L16</f>
        <v>30</v>
      </c>
      <c r="J37" s="24"/>
      <c r="K37" s="78" t="s">
        <v>69</v>
      </c>
      <c r="L37" s="79">
        <v>45.9</v>
      </c>
      <c r="M37" s="79">
        <f t="shared" si="1"/>
        <v>27.54</v>
      </c>
      <c r="N37" s="80">
        <f t="shared" si="2"/>
        <v>22.95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ht="15.75" customHeight="1">
      <c r="A38" s="24"/>
      <c r="B38" s="35" t="s">
        <v>48</v>
      </c>
      <c r="C38" s="42">
        <f>C33-C34-C35-C36</f>
        <v>105.37</v>
      </c>
      <c r="D38" s="24"/>
      <c r="E38" s="35" t="s">
        <v>48</v>
      </c>
      <c r="F38" s="42">
        <f>F33-F34-F35-F36</f>
        <v>102.35</v>
      </c>
      <c r="H38" s="31" t="s">
        <v>72</v>
      </c>
      <c r="I38" s="162">
        <f t="shared" si="3"/>
        <v>60</v>
      </c>
      <c r="J38" s="24"/>
      <c r="K38" s="78" t="s">
        <v>71</v>
      </c>
      <c r="L38" s="79">
        <v>67.9</v>
      </c>
      <c r="M38" s="79">
        <f t="shared" si="1"/>
        <v>40.74</v>
      </c>
      <c r="N38" s="80">
        <f t="shared" si="2"/>
        <v>33.95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ht="15.75" customHeight="1">
      <c r="A39" s="24"/>
      <c r="B39" s="31"/>
      <c r="C39" s="32"/>
      <c r="D39" s="24"/>
      <c r="E39" s="31"/>
      <c r="F39" s="32"/>
      <c r="H39" s="31" t="s">
        <v>74</v>
      </c>
      <c r="I39" s="162">
        <f t="shared" si="3"/>
        <v>20</v>
      </c>
      <c r="J39" s="24"/>
      <c r="K39" s="78" t="s">
        <v>73</v>
      </c>
      <c r="L39" s="79">
        <v>91.9</v>
      </c>
      <c r="M39" s="79">
        <f t="shared" si="1"/>
        <v>55.14</v>
      </c>
      <c r="N39" s="80">
        <f t="shared" si="2"/>
        <v>45.95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ht="15.75" customHeight="1">
      <c r="A40" s="24"/>
      <c r="B40" s="35" t="s">
        <v>32</v>
      </c>
      <c r="C40" s="42">
        <f>L13</f>
        <v>25.008</v>
      </c>
      <c r="D40" s="24"/>
      <c r="E40" s="35" t="s">
        <v>32</v>
      </c>
      <c r="F40" s="42">
        <f>L13</f>
        <v>25.008</v>
      </c>
      <c r="H40" s="31" t="s">
        <v>76</v>
      </c>
      <c r="I40" s="87">
        <f>(I37*I38*I39)/6000</f>
        <v>6</v>
      </c>
      <c r="J40" s="24"/>
      <c r="K40" s="78" t="s">
        <v>75</v>
      </c>
      <c r="L40" s="79">
        <v>104.9</v>
      </c>
      <c r="M40" s="79">
        <f t="shared" si="1"/>
        <v>62.94</v>
      </c>
      <c r="N40" s="80">
        <f t="shared" si="2"/>
        <v>52.45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ht="15.75" customHeight="1">
      <c r="A41" s="24"/>
      <c r="B41" s="35" t="s">
        <v>50</v>
      </c>
      <c r="C41" s="41">
        <f>C38-C40</f>
        <v>80.362</v>
      </c>
      <c r="D41" s="24"/>
      <c r="E41" s="35" t="s">
        <v>50</v>
      </c>
      <c r="F41" s="41">
        <f>F38-F40</f>
        <v>77.342</v>
      </c>
      <c r="H41" s="31" t="s">
        <v>78</v>
      </c>
      <c r="I41" s="32">
        <f>L19</f>
        <v>2</v>
      </c>
      <c r="J41" s="24"/>
      <c r="K41" s="78" t="s">
        <v>77</v>
      </c>
      <c r="L41" s="79">
        <v>112.9</v>
      </c>
      <c r="M41" s="79">
        <f t="shared" si="1"/>
        <v>67.74</v>
      </c>
      <c r="N41" s="80">
        <f t="shared" si="2"/>
        <v>56.45</v>
      </c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ht="15.75" customHeight="1">
      <c r="A42" s="24"/>
      <c r="B42" s="53" t="s">
        <v>51</v>
      </c>
      <c r="C42" s="68">
        <f>C38/C40-1</f>
        <v>3.213451695</v>
      </c>
      <c r="D42" s="24"/>
      <c r="E42" s="53" t="s">
        <v>51</v>
      </c>
      <c r="F42" s="68">
        <f>F38/F40-1</f>
        <v>3.092690339</v>
      </c>
      <c r="H42" s="48" t="s">
        <v>80</v>
      </c>
      <c r="I42" s="163">
        <f>IF(I40&lt;=5,I41,IF(I40&gt;=0.5,IF(I41&gt;I40,I41,I40),IF(I40&gt;I41,I40,I41)))
</f>
        <v>6</v>
      </c>
      <c r="J42" s="24"/>
      <c r="K42" s="78" t="s">
        <v>79</v>
      </c>
      <c r="L42" s="79">
        <v>119.9</v>
      </c>
      <c r="M42" s="79">
        <f t="shared" si="1"/>
        <v>71.94</v>
      </c>
      <c r="N42" s="80">
        <f t="shared" si="2"/>
        <v>59.95</v>
      </c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ht="15.75" customHeight="1">
      <c r="A43" s="24"/>
      <c r="B43" s="24"/>
      <c r="C43" s="24"/>
      <c r="D43" s="24"/>
      <c r="E43" s="1"/>
      <c r="F43" s="1"/>
      <c r="H43" s="24"/>
      <c r="I43" s="1"/>
      <c r="J43" s="24"/>
      <c r="K43" s="89" t="s">
        <v>81</v>
      </c>
      <c r="L43" s="90" t="s">
        <v>82</v>
      </c>
      <c r="M43" s="90" t="s">
        <v>82</v>
      </c>
      <c r="N43" s="91" t="s">
        <v>82</v>
      </c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ht="15.75" customHeight="1">
      <c r="A44" s="24"/>
      <c r="B44" s="24"/>
      <c r="C44" s="24"/>
      <c r="D44" s="24"/>
      <c r="E44" s="24"/>
      <c r="F44" s="24"/>
      <c r="G44" s="1"/>
      <c r="H44" s="83" t="s">
        <v>119</v>
      </c>
      <c r="I44" s="84"/>
      <c r="J44" s="1"/>
      <c r="K44" s="1"/>
      <c r="L44" s="1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ht="15.75" customHeight="1">
      <c r="A45" s="24"/>
      <c r="B45" s="24"/>
      <c r="C45" s="24"/>
      <c r="D45" s="24"/>
      <c r="E45" s="24"/>
      <c r="F45" s="24"/>
      <c r="G45" s="24"/>
      <c r="H45" s="31" t="s">
        <v>120</v>
      </c>
      <c r="I45" s="164">
        <f t="shared" ref="I45:I47" si="4">I37/100</f>
        <v>0.3</v>
      </c>
      <c r="J45" s="24"/>
      <c r="K45" s="69" t="s">
        <v>121</v>
      </c>
      <c r="L45" s="153"/>
      <c r="M45" s="153"/>
      <c r="N45" s="30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ht="15.75" customHeight="1">
      <c r="A46" s="24"/>
      <c r="B46" s="24"/>
      <c r="C46" s="24"/>
      <c r="D46" s="24"/>
      <c r="E46" s="24"/>
      <c r="F46" s="24"/>
      <c r="G46" s="24"/>
      <c r="H46" s="31" t="s">
        <v>122</v>
      </c>
      <c r="I46" s="32">
        <f t="shared" si="4"/>
        <v>0.6</v>
      </c>
      <c r="J46" s="24"/>
      <c r="K46" s="69" t="s">
        <v>60</v>
      </c>
      <c r="L46" s="72" t="s">
        <v>61</v>
      </c>
      <c r="M46" s="72" t="s">
        <v>62</v>
      </c>
      <c r="N46" s="72" t="s">
        <v>63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ht="15.75" customHeight="1">
      <c r="A47" s="24"/>
      <c r="B47" s="24"/>
      <c r="C47" s="24"/>
      <c r="D47" s="24"/>
      <c r="E47" s="24"/>
      <c r="F47" s="24"/>
      <c r="G47" s="24"/>
      <c r="H47" s="31" t="s">
        <v>123</v>
      </c>
      <c r="I47" s="32">
        <f t="shared" si="4"/>
        <v>0.2</v>
      </c>
      <c r="J47" s="24"/>
      <c r="K47" s="75" t="s">
        <v>64</v>
      </c>
      <c r="L47" s="76">
        <v>19.9</v>
      </c>
      <c r="M47" s="76">
        <v>9.95</v>
      </c>
      <c r="N47" s="77">
        <v>0.0</v>
      </c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ht="15.75" customHeight="1">
      <c r="A48" s="24"/>
      <c r="B48" s="24"/>
      <c r="C48" s="24"/>
      <c r="D48" s="24"/>
      <c r="E48" s="24"/>
      <c r="F48" s="24"/>
      <c r="G48" s="24"/>
      <c r="H48" s="31" t="s">
        <v>76</v>
      </c>
      <c r="I48" s="87">
        <f>(I45*I46*I47)*300</f>
        <v>10.8</v>
      </c>
      <c r="J48" s="24"/>
      <c r="K48" s="78" t="s">
        <v>66</v>
      </c>
      <c r="L48" s="79">
        <v>25.9</v>
      </c>
      <c r="M48" s="79">
        <v>12.95</v>
      </c>
      <c r="N48" s="80">
        <v>0.0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ht="15.75" customHeight="1">
      <c r="A49" s="24"/>
      <c r="B49" s="24"/>
      <c r="C49" s="24"/>
      <c r="D49" s="24"/>
      <c r="E49" s="24"/>
      <c r="F49" s="24"/>
      <c r="G49" s="24"/>
      <c r="H49" s="31" t="s">
        <v>78</v>
      </c>
      <c r="I49" s="32">
        <f>I41</f>
        <v>2</v>
      </c>
      <c r="J49" s="24"/>
      <c r="K49" s="78" t="s">
        <v>67</v>
      </c>
      <c r="L49" s="79">
        <v>31.9</v>
      </c>
      <c r="M49" s="79">
        <v>15.95</v>
      </c>
      <c r="N49" s="80">
        <v>0.0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ht="15.75" customHeight="1">
      <c r="A50" s="24"/>
      <c r="B50" s="24"/>
      <c r="C50" s="24"/>
      <c r="D50" s="24"/>
      <c r="E50" s="24"/>
      <c r="F50" s="24"/>
      <c r="G50" s="24"/>
      <c r="H50" s="48" t="s">
        <v>80</v>
      </c>
      <c r="I50" s="88">
        <f>I45*I47*I46*300</f>
        <v>10.8</v>
      </c>
      <c r="J50" s="24"/>
      <c r="K50" s="78" t="s">
        <v>69</v>
      </c>
      <c r="L50" s="79">
        <v>37.9</v>
      </c>
      <c r="M50" s="79">
        <v>18.95</v>
      </c>
      <c r="N50" s="80">
        <v>0.0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78" t="s">
        <v>71</v>
      </c>
      <c r="L51" s="79">
        <v>41.9</v>
      </c>
      <c r="M51" s="79">
        <v>20.95</v>
      </c>
      <c r="N51" s="80">
        <v>0.0</v>
      </c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78" t="s">
        <v>73</v>
      </c>
      <c r="L52" s="79">
        <v>47.9</v>
      </c>
      <c r="M52" s="79">
        <v>23.95</v>
      </c>
      <c r="N52" s="80">
        <v>0.0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78" t="s">
        <v>75</v>
      </c>
      <c r="L53" s="79">
        <v>53.9</v>
      </c>
      <c r="M53" s="79">
        <v>26.95</v>
      </c>
      <c r="N53" s="80">
        <v>0.0</v>
      </c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78" t="s">
        <v>77</v>
      </c>
      <c r="L54" s="79">
        <v>59.9</v>
      </c>
      <c r="M54" s="79">
        <v>29.95</v>
      </c>
      <c r="N54" s="80">
        <v>0.0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78" t="s">
        <v>79</v>
      </c>
      <c r="L55" s="79">
        <v>63.9</v>
      </c>
      <c r="M55" s="79">
        <v>31.95</v>
      </c>
      <c r="N55" s="80">
        <v>0.0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89" t="s">
        <v>124</v>
      </c>
      <c r="L56" s="90">
        <v>69.9</v>
      </c>
      <c r="M56" s="90">
        <v>34.95</v>
      </c>
      <c r="N56" s="91">
        <v>0.0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 ht="15.75" customHeight="1">
      <c r="A243" s="24"/>
      <c r="B243" s="1"/>
      <c r="C243" s="1"/>
      <c r="D243" s="24"/>
      <c r="E243" s="1"/>
      <c r="F243" s="1"/>
      <c r="G243" s="24"/>
      <c r="H243" s="1"/>
      <c r="I243" s="1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1"/>
      <c r="D256" s="1"/>
      <c r="G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7">
    <mergeCell ref="B5:C5"/>
    <mergeCell ref="E5:F5"/>
    <mergeCell ref="K5:L5"/>
    <mergeCell ref="K7:L7"/>
    <mergeCell ref="N9:P10"/>
    <mergeCell ref="N12:P20"/>
    <mergeCell ref="K15:L15"/>
    <mergeCell ref="K23:L23"/>
    <mergeCell ref="H44:I44"/>
    <mergeCell ref="K45:N45"/>
    <mergeCell ref="H5:I5"/>
    <mergeCell ref="H22:I22"/>
    <mergeCell ref="H23:I29"/>
    <mergeCell ref="K24:L30"/>
    <mergeCell ref="H32:I35"/>
    <mergeCell ref="K32:N32"/>
    <mergeCell ref="H36:I36"/>
  </mergeCells>
  <conditionalFormatting sqref="Z1:Z5 C20">
    <cfRule type="cellIs" dxfId="0" priority="1" operator="greaterThan">
      <formula>79.99</formula>
    </cfRule>
  </conditionalFormatting>
  <conditionalFormatting sqref="Z1:Z5 C20">
    <cfRule type="cellIs" dxfId="0" priority="2" operator="lessThan">
      <formula>40</formula>
    </cfRule>
  </conditionalFormatting>
  <conditionalFormatting sqref="C9">
    <cfRule type="cellIs" dxfId="1" priority="3" operator="greaterThan">
      <formula>39.99</formula>
    </cfRule>
  </conditionalFormatting>
  <conditionalFormatting sqref="C33 F33">
    <cfRule type="cellIs" dxfId="1" priority="4" operator="lessThan">
      <formula>80</formula>
    </cfRule>
  </conditionalFormatting>
  <conditionalFormatting sqref="C21">
    <cfRule type="cellIs" dxfId="1" priority="5" operator="lessThan">
      <formula>40</formula>
    </cfRule>
  </conditionalFormatting>
  <conditionalFormatting sqref="C21">
    <cfRule type="cellIs" dxfId="1" priority="6" operator="greaterThanOrEqual">
      <formula>79.99</formula>
    </cfRule>
  </conditionalFormatting>
  <dataValidations>
    <dataValidation type="list" allowBlank="1" sqref="B7 E7">
      <formula1>"Grupo 1,Grupo 2,Grupo 3"</formula1>
    </dataValidation>
    <dataValidation type="list" allowBlank="1" sqref="B2">
      <formula1>categorias!$A$2:$A$44</formula1>
    </dataValidation>
    <dataValidation type="decimal" allowBlank="1" showDropDown="1" showInputMessage="1" showErrorMessage="1" prompt="Insira um número entre 40 e 79,9" sqref="C21">
      <formula1>40.0</formula1>
      <formula2>79.9</formula2>
    </dataValidation>
    <dataValidation type="decimal" operator="lessThan" allowBlank="1" showDropDown="1" showInputMessage="1" prompt="Insira um número menor que 79" sqref="F9">
      <formula1>79.0</formula1>
    </dataValidation>
    <dataValidation type="decimal" operator="greaterThanOrEqual" allowBlank="1" showDropDown="1" showInputMessage="1" showErrorMessage="1" prompt="Insira um número maior que ou igual a 80" sqref="C33">
      <formula1>80.0</formula1>
    </dataValidation>
    <dataValidation type="decimal" operator="greaterThanOrEqual" allowBlank="1" showDropDown="1" showInputMessage="1" showErrorMessage="1" prompt="Insira um número maior que ou igual a 79" sqref="F33">
      <formula1>79.0</formula1>
    </dataValidation>
    <dataValidation type="decimal" operator="lessThan" allowBlank="1" showDropDown="1" showInputMessage="1" showErrorMessage="1" prompt="Insira um número menor que 40" sqref="C9">
      <formula1>40.0</formula1>
    </dataValidation>
  </dataValidations>
  <hyperlinks>
    <hyperlink r:id="rId1" ref="N1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22.29"/>
    <col customWidth="1" min="3" max="3" width="21.57"/>
    <col customWidth="1" min="4" max="4" width="4.71"/>
    <col customWidth="1" min="5" max="5" width="25.29"/>
    <col customWidth="1" min="6" max="6" width="23.29"/>
    <col customWidth="1" min="7" max="7" width="16.29"/>
    <col customWidth="1" min="8" max="8" width="25.86"/>
    <col customWidth="1" min="9" max="9" width="21.57"/>
    <col customWidth="1" min="10" max="12" width="20.14"/>
    <col customWidth="1" min="13" max="13" width="13.71"/>
    <col customWidth="1" min="14" max="14" width="20.14"/>
    <col customWidth="1" min="15" max="15" width="8.43"/>
  </cols>
  <sheetData>
    <row r="1" ht="15.75" customHeight="1">
      <c r="A1" s="127"/>
      <c r="B1" s="128" t="s">
        <v>101</v>
      </c>
      <c r="C1" s="128" t="s">
        <v>102</v>
      </c>
      <c r="D1" s="127"/>
      <c r="E1" s="129"/>
      <c r="F1" s="129"/>
      <c r="G1" s="129"/>
      <c r="H1" s="129"/>
      <c r="I1" s="129"/>
      <c r="J1" s="130"/>
      <c r="K1" s="129"/>
      <c r="L1" s="129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9"/>
      <c r="AA1" s="127"/>
    </row>
    <row r="2" ht="15.75" customHeight="1">
      <c r="A2" s="127"/>
      <c r="B2" s="131" t="s">
        <v>103</v>
      </c>
      <c r="C2" s="132">
        <f>VLOOKUP(B2,categorias!A2:B44,2,FALSE)</f>
        <v>0.16</v>
      </c>
      <c r="D2" s="127"/>
      <c r="E2" s="129"/>
      <c r="F2" s="133"/>
      <c r="G2" s="129"/>
      <c r="H2" s="129"/>
      <c r="I2" s="129"/>
      <c r="J2" s="130"/>
      <c r="K2" s="129"/>
      <c r="L2" s="129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9"/>
      <c r="AA2" s="127"/>
    </row>
    <row r="3" ht="15.75" customHeight="1">
      <c r="A3" s="127"/>
      <c r="B3" s="129"/>
      <c r="C3" s="129"/>
      <c r="D3" s="127"/>
      <c r="E3" s="129"/>
      <c r="F3" s="129"/>
      <c r="G3" s="129"/>
      <c r="H3" s="129"/>
      <c r="I3" s="129"/>
      <c r="J3" s="130"/>
      <c r="K3" s="129"/>
      <c r="L3" s="129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9"/>
      <c r="AA3" s="127"/>
    </row>
    <row r="4" ht="15.75" customHeight="1">
      <c r="A4" s="127"/>
      <c r="B4" s="129"/>
      <c r="C4" s="129"/>
      <c r="D4" s="127"/>
      <c r="E4" s="129"/>
      <c r="F4" s="129"/>
      <c r="G4" s="129"/>
      <c r="H4" s="129"/>
      <c r="I4" s="129"/>
      <c r="J4" s="130"/>
      <c r="K4" s="129"/>
      <c r="L4" s="129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9"/>
      <c r="AA4" s="127"/>
    </row>
    <row r="5" ht="15.75" customHeight="1">
      <c r="A5" s="24"/>
      <c r="B5" s="134" t="s">
        <v>104</v>
      </c>
      <c r="D5" s="24"/>
      <c r="E5" s="25" t="s">
        <v>28</v>
      </c>
      <c r="G5" s="26"/>
      <c r="H5" s="25" t="s">
        <v>29</v>
      </c>
      <c r="K5" s="25" t="s">
        <v>105</v>
      </c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8" t="s">
        <v>53</v>
      </c>
      <c r="AA5" s="24"/>
    </row>
    <row r="6" ht="15.75" customHeight="1">
      <c r="A6" s="24"/>
      <c r="B6" s="24"/>
      <c r="C6" s="26"/>
      <c r="D6" s="24"/>
      <c r="E6" s="24"/>
      <c r="F6" s="26"/>
      <c r="G6" s="26"/>
      <c r="H6" s="24"/>
      <c r="I6" s="26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 t="s">
        <v>52</v>
      </c>
      <c r="AA6" s="24">
        <v>12.9</v>
      </c>
    </row>
    <row r="7" ht="15.75" customHeight="1">
      <c r="A7" s="24"/>
      <c r="B7" s="135" t="s">
        <v>84</v>
      </c>
      <c r="C7" s="28" t="s">
        <v>30</v>
      </c>
      <c r="D7" s="24"/>
      <c r="E7" s="135" t="s">
        <v>83</v>
      </c>
      <c r="F7" s="28" t="s">
        <v>106</v>
      </c>
      <c r="G7" s="26"/>
      <c r="H7" s="27"/>
      <c r="I7" s="28" t="s">
        <v>31</v>
      </c>
      <c r="K7" s="136" t="s">
        <v>32</v>
      </c>
      <c r="L7" s="59"/>
      <c r="M7" s="24"/>
      <c r="N7" s="24"/>
      <c r="O7" s="24"/>
      <c r="P7" s="24"/>
      <c r="W7" s="24"/>
      <c r="X7" s="24"/>
      <c r="Y7" s="24"/>
      <c r="Z7" s="24" t="s">
        <v>83</v>
      </c>
      <c r="AA7" s="24">
        <v>7.74</v>
      </c>
    </row>
    <row r="8" ht="15.75" customHeight="1">
      <c r="A8" s="24"/>
      <c r="B8" s="31"/>
      <c r="C8" s="32"/>
      <c r="D8" s="24"/>
      <c r="E8" s="31"/>
      <c r="F8" s="32"/>
      <c r="G8" s="24"/>
      <c r="H8" s="31"/>
      <c r="I8" s="32"/>
      <c r="K8" s="31" t="s">
        <v>33</v>
      </c>
      <c r="L8" s="137">
        <v>20.2</v>
      </c>
      <c r="M8" s="24"/>
      <c r="W8" s="24"/>
      <c r="X8" s="24"/>
      <c r="Y8" s="24"/>
      <c r="Z8" s="24" t="s">
        <v>84</v>
      </c>
      <c r="AA8" s="24">
        <v>6.45</v>
      </c>
    </row>
    <row r="9" ht="15.75" customHeight="1">
      <c r="A9" s="34"/>
      <c r="B9" s="35" t="s">
        <v>34</v>
      </c>
      <c r="C9" s="36">
        <v>39.99</v>
      </c>
      <c r="D9" s="24"/>
      <c r="E9" s="35" t="s">
        <v>34</v>
      </c>
      <c r="F9" s="55">
        <v>70.0</v>
      </c>
      <c r="G9" s="24"/>
      <c r="H9" s="35" t="s">
        <v>34</v>
      </c>
      <c r="I9" s="55">
        <v>38.8</v>
      </c>
      <c r="K9" s="31" t="s">
        <v>35</v>
      </c>
      <c r="L9" s="137">
        <v>4.0</v>
      </c>
      <c r="M9" s="37"/>
      <c r="N9" s="138" t="s">
        <v>36</v>
      </c>
      <c r="O9" s="139"/>
      <c r="P9" s="140"/>
      <c r="W9" s="24"/>
      <c r="X9" s="24"/>
      <c r="Y9" s="24"/>
    </row>
    <row r="10" ht="15.75" customHeight="1">
      <c r="A10" s="141"/>
      <c r="B10" s="142" t="s">
        <v>107</v>
      </c>
      <c r="C10" s="143">
        <f>C9*C2</f>
        <v>6.3984</v>
      </c>
      <c r="D10" s="127"/>
      <c r="E10" s="144" t="s">
        <v>41</v>
      </c>
      <c r="F10" s="143">
        <f>F9*12.8%</f>
        <v>8.96</v>
      </c>
      <c r="G10" s="145"/>
      <c r="H10" s="144" t="s">
        <v>42</v>
      </c>
      <c r="I10" s="143">
        <f>I9*9%</f>
        <v>3.492</v>
      </c>
      <c r="J10" s="130"/>
      <c r="K10" s="146" t="s">
        <v>39</v>
      </c>
      <c r="L10" s="147">
        <v>0.0</v>
      </c>
      <c r="M10" s="130"/>
      <c r="N10" s="148"/>
      <c r="O10" s="149"/>
      <c r="P10" s="150"/>
      <c r="Q10" s="130"/>
      <c r="R10" s="130"/>
      <c r="S10" s="130"/>
      <c r="T10" s="130"/>
      <c r="U10" s="130"/>
      <c r="V10" s="130"/>
      <c r="W10" s="127"/>
      <c r="X10" s="127"/>
      <c r="Y10" s="127"/>
      <c r="Z10" s="130"/>
      <c r="AA10" s="130"/>
    </row>
    <row r="11" ht="15.75" customHeight="1">
      <c r="A11" s="34"/>
      <c r="B11" s="35" t="s">
        <v>44</v>
      </c>
      <c r="C11" s="41">
        <f>3%*C9</f>
        <v>1.1997</v>
      </c>
      <c r="D11" s="24"/>
      <c r="E11" s="35" t="s">
        <v>44</v>
      </c>
      <c r="F11" s="41">
        <f>3%*F9</f>
        <v>2.1</v>
      </c>
      <c r="G11" s="151"/>
      <c r="H11" s="35" t="s">
        <v>44</v>
      </c>
      <c r="I11" s="41">
        <f>3%*I9</f>
        <v>1.164</v>
      </c>
      <c r="K11" s="31" t="s">
        <v>43</v>
      </c>
      <c r="L11" s="152">
        <v>0.04</v>
      </c>
      <c r="M11" s="24"/>
      <c r="N11" s="24"/>
      <c r="O11" s="24"/>
      <c r="P11" s="24"/>
      <c r="W11" s="24"/>
      <c r="X11" s="24"/>
      <c r="Y11" s="24"/>
    </row>
    <row r="12" ht="15.75" customHeight="1">
      <c r="A12" s="34"/>
      <c r="B12" s="35" t="s">
        <v>46</v>
      </c>
      <c r="C12" s="47">
        <f>(C11+C10)/C9</f>
        <v>0.19</v>
      </c>
      <c r="D12" s="24"/>
      <c r="E12" s="35" t="s">
        <v>46</v>
      </c>
      <c r="F12" s="47">
        <f>(F11+F10)/F9</f>
        <v>0.158</v>
      </c>
      <c r="G12" s="151"/>
      <c r="H12" s="35" t="s">
        <v>46</v>
      </c>
      <c r="I12" s="47">
        <f>(I11+I10)/I9</f>
        <v>0.12</v>
      </c>
      <c r="K12" s="31" t="s">
        <v>45</v>
      </c>
      <c r="L12" s="137">
        <v>0.0</v>
      </c>
      <c r="N12" s="50" t="s">
        <v>125</v>
      </c>
      <c r="O12" s="153"/>
      <c r="P12" s="30"/>
      <c r="W12" s="24"/>
      <c r="X12" s="24"/>
      <c r="Y12" s="24"/>
    </row>
    <row r="13" ht="15.75" customHeight="1">
      <c r="A13" s="34"/>
      <c r="B13" s="35" t="s">
        <v>48</v>
      </c>
      <c r="C13" s="41">
        <f>C9-C10-C11</f>
        <v>32.3919</v>
      </c>
      <c r="D13" s="24"/>
      <c r="E13" s="35" t="s">
        <v>48</v>
      </c>
      <c r="F13" s="41">
        <f>F9-F10-F11</f>
        <v>58.94</v>
      </c>
      <c r="G13" s="154"/>
      <c r="H13" s="35" t="s">
        <v>48</v>
      </c>
      <c r="I13" s="41">
        <f>I9-I10-I11</f>
        <v>34.144</v>
      </c>
      <c r="K13" s="53" t="s">
        <v>47</v>
      </c>
      <c r="L13" s="49">
        <f>L8+L9+L8*L10+L8*L11</f>
        <v>25.008</v>
      </c>
      <c r="M13" s="24"/>
      <c r="N13" s="51"/>
      <c r="P13" s="52"/>
      <c r="W13" s="24"/>
      <c r="X13" s="24"/>
      <c r="Y13" s="24"/>
      <c r="Z13" s="24"/>
      <c r="AA13" s="24"/>
    </row>
    <row r="14" ht="15.75" customHeight="1">
      <c r="A14" s="34"/>
      <c r="B14" s="31"/>
      <c r="C14" s="32"/>
      <c r="D14" s="24"/>
      <c r="E14" s="31"/>
      <c r="F14" s="32"/>
      <c r="G14" s="151"/>
      <c r="H14" s="31"/>
      <c r="I14" s="32"/>
      <c r="N14" s="51"/>
      <c r="P14" s="52"/>
      <c r="S14" s="24"/>
      <c r="T14" s="24"/>
      <c r="U14" s="24"/>
      <c r="V14" s="24"/>
      <c r="W14" s="24"/>
      <c r="X14" s="24"/>
      <c r="Y14" s="24"/>
      <c r="Z14" s="24"/>
      <c r="AA14" s="24"/>
    </row>
    <row r="15" ht="15.75" customHeight="1">
      <c r="A15" s="24"/>
      <c r="B15" s="31"/>
      <c r="C15" s="32"/>
      <c r="D15" s="24"/>
      <c r="E15" s="31"/>
      <c r="F15" s="32"/>
      <c r="G15" s="24"/>
      <c r="H15" s="31"/>
      <c r="I15" s="32"/>
      <c r="K15" s="136" t="s">
        <v>109</v>
      </c>
      <c r="L15" s="59"/>
      <c r="N15" s="51"/>
      <c r="P15" s="52"/>
      <c r="S15" s="24"/>
      <c r="T15" s="24"/>
      <c r="U15" s="24"/>
      <c r="V15" s="24"/>
      <c r="W15" s="24"/>
      <c r="X15" s="24"/>
      <c r="Y15" s="24"/>
      <c r="Z15" s="24"/>
      <c r="AA15" s="24"/>
    </row>
    <row r="16" ht="15.75" customHeight="1">
      <c r="A16" s="24"/>
      <c r="B16" s="35" t="s">
        <v>32</v>
      </c>
      <c r="C16" s="41">
        <f>L13</f>
        <v>25.008</v>
      </c>
      <c r="D16" s="24"/>
      <c r="E16" s="35" t="s">
        <v>32</v>
      </c>
      <c r="F16" s="41">
        <f>L13</f>
        <v>25.008</v>
      </c>
      <c r="G16" s="24"/>
      <c r="H16" s="35" t="s">
        <v>32</v>
      </c>
      <c r="I16" s="41">
        <f>L13</f>
        <v>25.008</v>
      </c>
      <c r="K16" s="31" t="s">
        <v>70</v>
      </c>
      <c r="L16" s="85">
        <v>30.0</v>
      </c>
      <c r="N16" s="51"/>
      <c r="P16" s="52"/>
      <c r="S16" s="24"/>
      <c r="T16" s="24"/>
      <c r="U16" s="24"/>
      <c r="V16" s="24"/>
      <c r="W16" s="24"/>
      <c r="X16" s="24"/>
      <c r="Y16" s="24"/>
      <c r="Z16" s="24"/>
      <c r="AA16" s="24"/>
    </row>
    <row r="17" ht="15.75" customHeight="1">
      <c r="A17" s="34"/>
      <c r="B17" s="35" t="s">
        <v>50</v>
      </c>
      <c r="C17" s="41">
        <f>C13-C16</f>
        <v>7.3839</v>
      </c>
      <c r="D17" s="24"/>
      <c r="E17" s="35" t="s">
        <v>50</v>
      </c>
      <c r="F17" s="41">
        <f>F13-F16</f>
        <v>33.932</v>
      </c>
      <c r="G17" s="151"/>
      <c r="H17" s="35" t="s">
        <v>50</v>
      </c>
      <c r="I17" s="41">
        <f>I13-I16</f>
        <v>9.136</v>
      </c>
      <c r="K17" s="31" t="s">
        <v>72</v>
      </c>
      <c r="L17" s="86">
        <v>60.0</v>
      </c>
      <c r="N17" s="51"/>
      <c r="P17" s="52"/>
      <c r="S17" s="24"/>
      <c r="T17" s="24"/>
      <c r="U17" s="24"/>
      <c r="V17" s="24"/>
      <c r="W17" s="24"/>
      <c r="X17" s="24"/>
      <c r="Y17" s="24"/>
      <c r="Z17" s="24"/>
      <c r="AA17" s="24"/>
    </row>
    <row r="18" ht="15.75" customHeight="1">
      <c r="A18" s="34"/>
      <c r="B18" s="53" t="s">
        <v>51</v>
      </c>
      <c r="C18" s="54">
        <v>0.4</v>
      </c>
      <c r="D18" s="24"/>
      <c r="E18" s="53" t="s">
        <v>51</v>
      </c>
      <c r="F18" s="54">
        <f>F13/F16-1</f>
        <v>1.356845809</v>
      </c>
      <c r="G18" s="151"/>
      <c r="H18" s="53" t="s">
        <v>51</v>
      </c>
      <c r="I18" s="54">
        <f>I13/I16-1</f>
        <v>0.3653230966</v>
      </c>
      <c r="K18" s="31" t="s">
        <v>74</v>
      </c>
      <c r="L18" s="86">
        <v>20.0</v>
      </c>
      <c r="N18" s="51"/>
      <c r="P18" s="52"/>
      <c r="S18" s="24"/>
      <c r="T18" s="24"/>
      <c r="U18" s="24"/>
      <c r="V18" s="24"/>
      <c r="W18" s="24"/>
      <c r="X18" s="24"/>
      <c r="Y18" s="24"/>
      <c r="Z18" s="24"/>
      <c r="AA18" s="24"/>
    </row>
    <row r="19" ht="15.75" customHeight="1">
      <c r="A19" s="34"/>
      <c r="B19" s="24"/>
      <c r="C19" s="24"/>
      <c r="D19" s="24"/>
      <c r="E19" s="24"/>
      <c r="F19" s="24"/>
      <c r="G19" s="154"/>
      <c r="H19" s="24"/>
      <c r="I19" s="24"/>
      <c r="K19" s="48" t="s">
        <v>110</v>
      </c>
      <c r="L19" s="155">
        <v>2.0</v>
      </c>
      <c r="N19" s="51"/>
      <c r="P19" s="52"/>
      <c r="S19" s="24"/>
      <c r="T19" s="24"/>
      <c r="U19" s="24"/>
      <c r="V19" s="24"/>
      <c r="W19" s="24"/>
      <c r="X19" s="24"/>
      <c r="Y19" s="24"/>
      <c r="Z19" s="24"/>
      <c r="AA19" s="24"/>
    </row>
    <row r="20" ht="15.75" customHeight="1">
      <c r="A20" s="24"/>
      <c r="B20" s="27" t="str">
        <f>B7</f>
        <v>Grupo 3</v>
      </c>
      <c r="C20" s="28" t="s">
        <v>53</v>
      </c>
      <c r="D20" s="24"/>
      <c r="E20" s="24"/>
      <c r="F20" s="24"/>
      <c r="G20" s="24"/>
      <c r="H20" s="24"/>
      <c r="I20" s="24"/>
      <c r="N20" s="64"/>
      <c r="O20" s="156"/>
      <c r="P20" s="65"/>
      <c r="S20" s="24"/>
      <c r="T20" s="24"/>
      <c r="U20" s="24"/>
      <c r="V20" s="24"/>
      <c r="W20" s="24"/>
      <c r="X20" s="24"/>
      <c r="Y20" s="24"/>
      <c r="Z20" s="24"/>
      <c r="AA20" s="24"/>
    </row>
    <row r="21" ht="15.75" customHeight="1">
      <c r="A21" s="24"/>
      <c r="B21" s="35" t="s">
        <v>34</v>
      </c>
      <c r="C21" s="55">
        <v>49.0</v>
      </c>
      <c r="D21" s="24"/>
      <c r="E21" s="24"/>
      <c r="F21" s="24"/>
      <c r="G21" s="24"/>
      <c r="H21" s="24"/>
      <c r="I21" s="24"/>
      <c r="J21" s="24"/>
      <c r="S21" s="24"/>
      <c r="T21" s="24"/>
      <c r="U21" s="24"/>
      <c r="V21" s="24"/>
      <c r="W21" s="24"/>
      <c r="X21" s="24"/>
      <c r="Y21" s="24"/>
      <c r="Z21" s="24"/>
      <c r="AA21" s="24"/>
    </row>
    <row r="22" ht="15.75" customHeight="1">
      <c r="A22" s="24"/>
      <c r="B22" s="35" t="s">
        <v>37</v>
      </c>
      <c r="C22" s="157">
        <f>VLOOKUP(B20,'Grupos B2W'!G4:H6,2,FALSE)</f>
        <v>8.95</v>
      </c>
      <c r="D22" s="24"/>
      <c r="E22" s="24"/>
      <c r="F22" s="24"/>
      <c r="G22" s="1"/>
      <c r="H22" s="95" t="s">
        <v>86</v>
      </c>
      <c r="I22" s="59"/>
      <c r="J22" s="24"/>
      <c r="K22" s="24"/>
      <c r="L22" s="24"/>
      <c r="S22" s="24"/>
      <c r="T22" s="24"/>
      <c r="U22" s="24"/>
      <c r="V22" s="24"/>
      <c r="W22" s="24"/>
      <c r="X22" s="24"/>
      <c r="Y22" s="24"/>
      <c r="Z22" s="24"/>
      <c r="AA22" s="24"/>
    </row>
    <row r="23" ht="27.75" customHeight="1">
      <c r="A23" s="24"/>
      <c r="B23" s="158" t="s">
        <v>111</v>
      </c>
      <c r="C23" s="42">
        <f>C21*C2</f>
        <v>7.84</v>
      </c>
      <c r="D23" s="24"/>
      <c r="E23" s="24"/>
      <c r="F23" s="24"/>
      <c r="H23" s="159" t="s">
        <v>88</v>
      </c>
      <c r="I23" s="61"/>
      <c r="J23" s="24"/>
      <c r="K23" s="95" t="s">
        <v>112</v>
      </c>
      <c r="L23" s="59"/>
      <c r="S23" s="24"/>
      <c r="T23" s="24"/>
      <c r="U23" s="24"/>
      <c r="V23" s="24"/>
      <c r="W23" s="24"/>
      <c r="X23" s="24"/>
      <c r="Y23" s="24"/>
      <c r="Z23" s="24"/>
      <c r="AA23" s="24"/>
    </row>
    <row r="24" ht="15.75" customHeight="1">
      <c r="A24" s="24"/>
      <c r="B24" s="35" t="s">
        <v>44</v>
      </c>
      <c r="C24" s="42">
        <f>3%*C21</f>
        <v>1.47</v>
      </c>
      <c r="D24" s="24"/>
      <c r="E24" s="24"/>
      <c r="F24" s="24"/>
      <c r="H24" s="60"/>
      <c r="I24" s="61"/>
      <c r="J24" s="24"/>
      <c r="K24" s="62" t="s">
        <v>56</v>
      </c>
      <c r="L24" s="52"/>
      <c r="S24" s="24"/>
      <c r="T24" s="24"/>
      <c r="U24" s="24"/>
      <c r="V24" s="24"/>
      <c r="W24" s="24"/>
      <c r="X24" s="24"/>
      <c r="Y24" s="24"/>
      <c r="Z24" s="24"/>
      <c r="AA24" s="24"/>
    </row>
    <row r="25" ht="15.75" customHeight="1">
      <c r="A25" s="24"/>
      <c r="B25" s="35" t="s">
        <v>46</v>
      </c>
      <c r="C25" s="63">
        <f>(C24+C23+C22)/C21</f>
        <v>0.3726530612</v>
      </c>
      <c r="D25" s="24"/>
      <c r="E25" s="24"/>
      <c r="F25" s="24"/>
      <c r="H25" s="60"/>
      <c r="I25" s="61"/>
      <c r="J25" s="24"/>
      <c r="K25" s="51"/>
      <c r="L25" s="52"/>
      <c r="S25" s="24"/>
      <c r="T25" s="24"/>
      <c r="U25" s="24"/>
      <c r="V25" s="24"/>
      <c r="W25" s="24"/>
      <c r="X25" s="24"/>
      <c r="Y25" s="24"/>
      <c r="Z25" s="24"/>
      <c r="AA25" s="24"/>
    </row>
    <row r="26" ht="15.75" customHeight="1">
      <c r="A26" s="24"/>
      <c r="B26" s="35" t="s">
        <v>48</v>
      </c>
      <c r="C26" s="42">
        <f>C21-C22-C23-C24</f>
        <v>30.74</v>
      </c>
      <c r="D26" s="24"/>
      <c r="E26" s="24"/>
      <c r="F26" s="24"/>
      <c r="H26" s="60"/>
      <c r="I26" s="61"/>
      <c r="J26" s="24"/>
      <c r="K26" s="51"/>
      <c r="L26" s="52"/>
      <c r="S26" s="24"/>
      <c r="T26" s="24"/>
      <c r="U26" s="24"/>
      <c r="V26" s="24"/>
      <c r="W26" s="24"/>
      <c r="X26" s="24"/>
      <c r="Y26" s="24"/>
      <c r="Z26" s="24"/>
      <c r="AA26" s="24"/>
    </row>
    <row r="27" ht="15.75" customHeight="1">
      <c r="A27" s="24"/>
      <c r="B27" s="31"/>
      <c r="C27" s="32"/>
      <c r="D27" s="24"/>
      <c r="E27" s="24"/>
      <c r="F27" s="24"/>
      <c r="H27" s="60"/>
      <c r="I27" s="61"/>
      <c r="J27" s="24"/>
      <c r="K27" s="51"/>
      <c r="L27" s="52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ht="15.75" customHeight="1">
      <c r="A28" s="24"/>
      <c r="B28" s="35" t="s">
        <v>32</v>
      </c>
      <c r="C28" s="42">
        <f>L13</f>
        <v>25.008</v>
      </c>
      <c r="D28" s="24"/>
      <c r="E28" s="24"/>
      <c r="F28" s="24"/>
      <c r="H28" s="60"/>
      <c r="I28" s="61"/>
      <c r="J28" s="24"/>
      <c r="K28" s="51"/>
      <c r="L28" s="52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ht="15.75" customHeight="1">
      <c r="A29" s="24"/>
      <c r="B29" s="35" t="s">
        <v>50</v>
      </c>
      <c r="C29" s="42">
        <f>C26-C28</f>
        <v>5.732</v>
      </c>
      <c r="D29" s="24"/>
      <c r="E29" s="24"/>
      <c r="F29" s="24"/>
      <c r="H29" s="66"/>
      <c r="I29" s="67"/>
      <c r="J29" s="24"/>
      <c r="K29" s="51"/>
      <c r="L29" s="52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 ht="15.75" customHeight="1">
      <c r="A30" s="24"/>
      <c r="B30" s="53" t="s">
        <v>51</v>
      </c>
      <c r="C30" s="68">
        <f>C26/C28-1</f>
        <v>0.2292066539</v>
      </c>
      <c r="D30" s="24"/>
      <c r="E30" s="24"/>
      <c r="F30" s="24"/>
      <c r="J30" s="24"/>
      <c r="K30" s="64"/>
      <c r="L30" s="65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 ht="15.75" customHeight="1">
      <c r="A31" s="24"/>
      <c r="B31" s="24"/>
      <c r="C31" s="24"/>
      <c r="D31" s="24"/>
      <c r="E31" s="24"/>
      <c r="F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 ht="15.75" customHeight="1">
      <c r="A32" s="24"/>
      <c r="B32" s="27" t="str">
        <f>B7</f>
        <v>Grupo 3</v>
      </c>
      <c r="C32" s="28" t="s">
        <v>58</v>
      </c>
      <c r="D32" s="24"/>
      <c r="E32" s="27" t="str">
        <f>E7</f>
        <v>Grupo 2</v>
      </c>
      <c r="F32" s="28" t="s">
        <v>113</v>
      </c>
      <c r="H32" s="70" t="s">
        <v>114</v>
      </c>
      <c r="I32" s="71"/>
      <c r="J32" s="24"/>
      <c r="K32" s="69" t="s">
        <v>126</v>
      </c>
      <c r="L32" s="153"/>
      <c r="M32" s="153"/>
      <c r="N32" s="30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 ht="15.75" customHeight="1">
      <c r="A33" s="24"/>
      <c r="B33" s="35" t="s">
        <v>34</v>
      </c>
      <c r="C33" s="55">
        <v>172.0</v>
      </c>
      <c r="D33" s="24"/>
      <c r="E33" s="35" t="s">
        <v>34</v>
      </c>
      <c r="F33" s="55">
        <v>150.0</v>
      </c>
      <c r="H33" s="73"/>
      <c r="I33" s="74"/>
      <c r="J33" s="24"/>
      <c r="K33" s="69" t="s">
        <v>60</v>
      </c>
      <c r="L33" s="72" t="s">
        <v>61</v>
      </c>
      <c r="M33" s="72" t="s">
        <v>62</v>
      </c>
      <c r="N33" s="72" t="s">
        <v>63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 ht="15.75" customHeight="1">
      <c r="A34" s="24"/>
      <c r="B34" s="35" t="s">
        <v>37</v>
      </c>
      <c r="C34" s="42">
        <f>IF(AND(I42&lt;=0.499,B32="Grupo 1"),L34,IF(AND(I42&lt;=0.999,B32="Grupo 1"),L35,IF(AND(I42&lt;=1.999,B32="Grupo 1"),L36,IF(AND(I42&lt;=4.999,B32="Grupo 1"),L37,IF(AND(I42&lt;=8.999,L38,B32="Grupo 1"),L38,IF(AND(I42&lt;=12.999,B32="Grupo 1"),L39,IF(AND(I42&lt;=16.999,B32="Grupo 1"),L40,IF(AND(I42&lt;=22.999,B32="Grupo 1"),L41,IF(AND(I42&lt;=28.999,B32="Grupo 1"),L42,IF(AND(I42&lt;=0.499,B32="Grupo 2"),M34,IF(AND(I42&lt;=0.999,B32="Grupo 2"),M35,IF(AND(I42&lt;=1.999,B32="Grupo 2"),M36,IF(AND(I42&lt;=4.999,B32="Grupo 2"),M37,IF(AND(I42&lt;=8.999,M38,B32="Grupo 2"),M38,IF(AND(I42&lt;=12.999,B32="Grupo 2"),M39,IF(AND(I42&lt;=16.999,B32="Grupo 2"),M40,IF(AND(I42&lt;=22.999,B32="Grupo 2"),M41,IF(AND(I42&lt;=28.999,B32="Grupo 2"),M42,IF(AND(I42&lt;=0.499,B32="Grupo 3"),N34,IF(AND(I42&lt;=0.999,B32="Grupo 3"),N35,IF(AND(I42&lt;=1.999,B32="Grupo 3"),N36,IF(AND(I42&lt;=4.999,B32="Grupo 3"),N37,IF(AND(I42&lt;=8.999,M38,B32="Grupo 3"),N38,IF(AND(I42&lt;=12.999,B32="Grupo 3"),N39,IF(AND(I42&lt;=16.999,B32="Grupo 3"),N40,IF(AND(I42&lt;=22.999,B32="Grupo 3"),M41,IF(AND(I42&lt;=28.999,B32="Grupo 3"),N42,N43)))))))))))))))))))))))))))</f>
        <v>53.95</v>
      </c>
      <c r="D34" s="24"/>
      <c r="E34" s="35" t="s">
        <v>37</v>
      </c>
      <c r="F34" s="42">
        <f>IF(AND(I50&lt;=0.499,E32="Grupo 1"),L47,IF(AND(I50&lt;=0.999,E32="Grupo 1"),L48,IF(AND(I50&lt;=1.999,E32="Grupo 1"),L49,IF(AND(I50&lt;=4.999,E32="Grupo 1"),L50,IF(AND(I50&lt;=8.999,L38,E32="Grupo 1"),L51,IF(AND(I50&lt;=12.999,E32="Grupo 1"),L52,IF(AND(I50&lt;=16.999,E32="Grupo 1"),L53,IF(AND(I50&lt;=22.999,E32="Grupo 1"),L54,IF(AND(I50&lt;=28.999,E32="Grupo 1"),L55,IF(AND(I50&lt;=30,E32="Grupo 1"),L56,IF(AND(I50&lt;=0.499,E32="Grupo 2"),M47,IF(AND(I50&lt;=0.999,E32="Grupo 2"),M48,IF(AND(I50&lt;=1.999,E32="Grupo 2"),M49,IF(AND(I50&lt;=4.999,E32="Grupo 2"),M50,IF(AND(I50&lt;=8.999,M38,E32="Grupo 2"),M51,IF(AND(I50&lt;=12.999,E32="Grupo 2"),M52,IF(AND(I50&lt;=16.999,E32="Grupo 2"),M53,IF(AND(I50&lt;=22.999,E32="Grupo 2"),M54,IF(AND(I50&lt;=28.999,E32="Grupo 2"),M55,IF(AND(I50&lt;=30,E32="Grupo 2"),M56,0))))))))))))))))))))</f>
        <v>23.95</v>
      </c>
      <c r="H34" s="73"/>
      <c r="I34" s="74"/>
      <c r="J34" s="24"/>
      <c r="K34" s="75" t="s">
        <v>64</v>
      </c>
      <c r="L34" s="165">
        <v>52.9</v>
      </c>
      <c r="M34" s="76">
        <f t="shared" ref="M34:M42" si="1">L34*0.6</f>
        <v>31.74</v>
      </c>
      <c r="N34" s="77">
        <f t="shared" ref="N34:N42" si="2">L34*0.5</f>
        <v>26.45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ht="15.75" customHeight="1">
      <c r="A35" s="24"/>
      <c r="B35" s="158" t="s">
        <v>116</v>
      </c>
      <c r="C35" s="42">
        <f>C33*C2</f>
        <v>27.52</v>
      </c>
      <c r="D35" s="24"/>
      <c r="E35" s="35" t="s">
        <v>117</v>
      </c>
      <c r="F35" s="42">
        <f>F33*12.8%</f>
        <v>19.2</v>
      </c>
      <c r="G35" s="24"/>
      <c r="H35" s="81"/>
      <c r="I35" s="82"/>
      <c r="J35" s="24"/>
      <c r="K35" s="78" t="s">
        <v>66</v>
      </c>
      <c r="L35" s="166">
        <v>57.9</v>
      </c>
      <c r="M35" s="79">
        <f t="shared" si="1"/>
        <v>34.74</v>
      </c>
      <c r="N35" s="80">
        <f t="shared" si="2"/>
        <v>28.95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ht="15.75" customHeight="1">
      <c r="A36" s="24"/>
      <c r="B36" s="35" t="s">
        <v>44</v>
      </c>
      <c r="C36" s="42">
        <f>3%*C33</f>
        <v>5.16</v>
      </c>
      <c r="D36" s="24"/>
      <c r="E36" s="35" t="s">
        <v>44</v>
      </c>
      <c r="F36" s="42">
        <f>3%*F33</f>
        <v>4.5</v>
      </c>
      <c r="H36" s="83" t="s">
        <v>127</v>
      </c>
      <c r="I36" s="84"/>
      <c r="J36" s="24"/>
      <c r="K36" s="78" t="s">
        <v>67</v>
      </c>
      <c r="L36" s="166">
        <v>67.9</v>
      </c>
      <c r="M36" s="79">
        <f t="shared" si="1"/>
        <v>40.74</v>
      </c>
      <c r="N36" s="80">
        <f t="shared" si="2"/>
        <v>33.95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ht="15.75" customHeight="1">
      <c r="A37" s="24"/>
      <c r="B37" s="35" t="s">
        <v>46</v>
      </c>
      <c r="C37" s="63">
        <f>(C36+C35+C34)/C33</f>
        <v>0.5036627907</v>
      </c>
      <c r="D37" s="24"/>
      <c r="E37" s="35" t="s">
        <v>46</v>
      </c>
      <c r="F37" s="63">
        <f>(F36+F35+F34)/F33</f>
        <v>0.3176666667</v>
      </c>
      <c r="H37" s="31" t="s">
        <v>70</v>
      </c>
      <c r="I37" s="162">
        <f t="shared" ref="I37:I39" si="3">L16</f>
        <v>30</v>
      </c>
      <c r="J37" s="24"/>
      <c r="K37" s="78" t="s">
        <v>69</v>
      </c>
      <c r="L37" s="166">
        <v>82.9</v>
      </c>
      <c r="M37" s="79">
        <f t="shared" si="1"/>
        <v>49.74</v>
      </c>
      <c r="N37" s="80">
        <f t="shared" si="2"/>
        <v>41.45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ht="15.75" customHeight="1">
      <c r="A38" s="24"/>
      <c r="B38" s="35" t="s">
        <v>48</v>
      </c>
      <c r="C38" s="42">
        <f>C33-C34-C35-C36</f>
        <v>85.37</v>
      </c>
      <c r="D38" s="24"/>
      <c r="E38" s="35" t="s">
        <v>48</v>
      </c>
      <c r="F38" s="42">
        <f>F33-F34-F35-F36</f>
        <v>102.35</v>
      </c>
      <c r="H38" s="31" t="s">
        <v>72</v>
      </c>
      <c r="I38" s="162">
        <f t="shared" si="3"/>
        <v>60</v>
      </c>
      <c r="J38" s="24"/>
      <c r="K38" s="78" t="s">
        <v>71</v>
      </c>
      <c r="L38" s="166">
        <v>107.9</v>
      </c>
      <c r="M38" s="79">
        <f t="shared" si="1"/>
        <v>64.74</v>
      </c>
      <c r="N38" s="80">
        <f t="shared" si="2"/>
        <v>53.95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ht="15.75" customHeight="1">
      <c r="A39" s="24"/>
      <c r="B39" s="31"/>
      <c r="C39" s="32"/>
      <c r="D39" s="24"/>
      <c r="E39" s="31"/>
      <c r="F39" s="32"/>
      <c r="H39" s="31" t="s">
        <v>74</v>
      </c>
      <c r="I39" s="162">
        <f t="shared" si="3"/>
        <v>20</v>
      </c>
      <c r="J39" s="24"/>
      <c r="K39" s="78" t="s">
        <v>73</v>
      </c>
      <c r="L39" s="166">
        <v>154.9</v>
      </c>
      <c r="M39" s="79">
        <f t="shared" si="1"/>
        <v>92.94</v>
      </c>
      <c r="N39" s="80">
        <f t="shared" si="2"/>
        <v>77.45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ht="15.75" customHeight="1">
      <c r="A40" s="24"/>
      <c r="B40" s="35" t="s">
        <v>32</v>
      </c>
      <c r="C40" s="42">
        <f>L13</f>
        <v>25.008</v>
      </c>
      <c r="D40" s="24"/>
      <c r="E40" s="35" t="s">
        <v>32</v>
      </c>
      <c r="F40" s="42">
        <f>L13</f>
        <v>25.008</v>
      </c>
      <c r="H40" s="31" t="s">
        <v>76</v>
      </c>
      <c r="I40" s="87">
        <f>(I37*I38*I39)/6000</f>
        <v>6</v>
      </c>
      <c r="J40" s="24"/>
      <c r="K40" s="78" t="s">
        <v>75</v>
      </c>
      <c r="L40" s="166">
        <v>206.9</v>
      </c>
      <c r="M40" s="79">
        <f t="shared" si="1"/>
        <v>124.14</v>
      </c>
      <c r="N40" s="80">
        <f t="shared" si="2"/>
        <v>103.45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ht="15.75" customHeight="1">
      <c r="A41" s="24"/>
      <c r="B41" s="35" t="s">
        <v>50</v>
      </c>
      <c r="C41" s="41">
        <f>C38-C40</f>
        <v>60.362</v>
      </c>
      <c r="D41" s="24"/>
      <c r="E41" s="35" t="s">
        <v>50</v>
      </c>
      <c r="F41" s="41">
        <f>F38-F40</f>
        <v>77.342</v>
      </c>
      <c r="H41" s="31" t="s">
        <v>78</v>
      </c>
      <c r="I41" s="32">
        <f>L19</f>
        <v>2</v>
      </c>
      <c r="J41" s="24"/>
      <c r="K41" s="78" t="s">
        <v>77</v>
      </c>
      <c r="L41" s="166">
        <v>230.9</v>
      </c>
      <c r="M41" s="79">
        <f t="shared" si="1"/>
        <v>138.54</v>
      </c>
      <c r="N41" s="80">
        <f t="shared" si="2"/>
        <v>115.45</v>
      </c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ht="15.75" customHeight="1">
      <c r="A42" s="24"/>
      <c r="B42" s="53" t="s">
        <v>51</v>
      </c>
      <c r="C42" s="68">
        <f>C38/C40-1</f>
        <v>2.413707614</v>
      </c>
      <c r="D42" s="24"/>
      <c r="E42" s="53" t="s">
        <v>51</v>
      </c>
      <c r="F42" s="68">
        <f>F38/F40-1</f>
        <v>3.092690339</v>
      </c>
      <c r="H42" s="48" t="s">
        <v>80</v>
      </c>
      <c r="I42" s="163">
        <f>IF(I40&lt;=5,I41,IF(I40&gt;=0.5,IF(I41&gt;I40,I41,I40),IF(I40&gt;I41,I40,I41)))
</f>
        <v>6</v>
      </c>
      <c r="J42" s="24"/>
      <c r="K42" s="78" t="s">
        <v>79</v>
      </c>
      <c r="L42" s="166">
        <v>241.9</v>
      </c>
      <c r="M42" s="79">
        <f t="shared" si="1"/>
        <v>145.14</v>
      </c>
      <c r="N42" s="80">
        <f t="shared" si="2"/>
        <v>120.95</v>
      </c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ht="15.75" customHeight="1">
      <c r="A43" s="24"/>
      <c r="B43" s="24"/>
      <c r="C43" s="24"/>
      <c r="D43" s="24"/>
      <c r="E43" s="1"/>
      <c r="F43" s="1"/>
      <c r="H43" s="24"/>
      <c r="I43" s="1"/>
      <c r="J43" s="24"/>
      <c r="K43" s="89" t="s">
        <v>81</v>
      </c>
      <c r="L43" s="90" t="s">
        <v>82</v>
      </c>
      <c r="M43" s="90" t="s">
        <v>82</v>
      </c>
      <c r="N43" s="91" t="s">
        <v>82</v>
      </c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ht="15.75" customHeight="1">
      <c r="A44" s="24"/>
      <c r="B44" s="24"/>
      <c r="C44" s="24"/>
      <c r="D44" s="24"/>
      <c r="E44" s="24"/>
      <c r="F44" s="24"/>
      <c r="G44" s="1"/>
      <c r="H44" s="83" t="s">
        <v>119</v>
      </c>
      <c r="I44" s="84"/>
      <c r="J44" s="1"/>
      <c r="K44" s="1"/>
      <c r="L44" s="1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ht="15.75" customHeight="1">
      <c r="A45" s="24"/>
      <c r="B45" s="24"/>
      <c r="C45" s="24"/>
      <c r="D45" s="24"/>
      <c r="E45" s="24"/>
      <c r="F45" s="24"/>
      <c r="G45" s="24"/>
      <c r="H45" s="31" t="s">
        <v>120</v>
      </c>
      <c r="I45" s="164">
        <f t="shared" ref="I45:I47" si="4">I37/100</f>
        <v>0.3</v>
      </c>
      <c r="J45" s="24"/>
      <c r="K45" s="69" t="s">
        <v>121</v>
      </c>
      <c r="L45" s="153"/>
      <c r="M45" s="153"/>
      <c r="N45" s="30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ht="15.75" customHeight="1">
      <c r="A46" s="24"/>
      <c r="B46" s="24"/>
      <c r="C46" s="24"/>
      <c r="D46" s="24"/>
      <c r="E46" s="24"/>
      <c r="F46" s="24"/>
      <c r="G46" s="24"/>
      <c r="H46" s="31" t="s">
        <v>122</v>
      </c>
      <c r="I46" s="32">
        <f t="shared" si="4"/>
        <v>0.6</v>
      </c>
      <c r="J46" s="24"/>
      <c r="K46" s="69" t="s">
        <v>60</v>
      </c>
      <c r="L46" s="72" t="s">
        <v>61</v>
      </c>
      <c r="M46" s="72" t="s">
        <v>62</v>
      </c>
      <c r="N46" s="72" t="s">
        <v>63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ht="15.75" customHeight="1">
      <c r="A47" s="24"/>
      <c r="B47" s="24"/>
      <c r="C47" s="24"/>
      <c r="D47" s="24"/>
      <c r="E47" s="24"/>
      <c r="F47" s="24"/>
      <c r="G47" s="24"/>
      <c r="H47" s="31" t="s">
        <v>123</v>
      </c>
      <c r="I47" s="32">
        <f t="shared" si="4"/>
        <v>0.2</v>
      </c>
      <c r="J47" s="24"/>
      <c r="K47" s="75" t="s">
        <v>64</v>
      </c>
      <c r="L47" s="76">
        <v>19.9</v>
      </c>
      <c r="M47" s="76">
        <v>9.95</v>
      </c>
      <c r="N47" s="77">
        <v>0.0</v>
      </c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ht="15.75" customHeight="1">
      <c r="A48" s="24"/>
      <c r="B48" s="24"/>
      <c r="C48" s="24"/>
      <c r="D48" s="24"/>
      <c r="E48" s="24"/>
      <c r="F48" s="24"/>
      <c r="G48" s="24"/>
      <c r="H48" s="31" t="s">
        <v>76</v>
      </c>
      <c r="I48" s="87">
        <f>(I45*I46*I47)*300</f>
        <v>10.8</v>
      </c>
      <c r="J48" s="24"/>
      <c r="K48" s="78" t="s">
        <v>66</v>
      </c>
      <c r="L48" s="79">
        <v>25.9</v>
      </c>
      <c r="M48" s="79">
        <v>12.95</v>
      </c>
      <c r="N48" s="80">
        <v>0.0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ht="15.75" customHeight="1">
      <c r="A49" s="24"/>
      <c r="B49" s="24"/>
      <c r="C49" s="24"/>
      <c r="D49" s="24"/>
      <c r="E49" s="24"/>
      <c r="F49" s="24"/>
      <c r="G49" s="24"/>
      <c r="H49" s="31" t="s">
        <v>78</v>
      </c>
      <c r="I49" s="32">
        <f>I41</f>
        <v>2</v>
      </c>
      <c r="J49" s="24"/>
      <c r="K49" s="78" t="s">
        <v>67</v>
      </c>
      <c r="L49" s="79">
        <v>31.9</v>
      </c>
      <c r="M49" s="79">
        <v>15.95</v>
      </c>
      <c r="N49" s="80">
        <v>0.0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ht="15.75" customHeight="1">
      <c r="A50" s="24"/>
      <c r="B50" s="24"/>
      <c r="C50" s="24"/>
      <c r="D50" s="24"/>
      <c r="E50" s="24"/>
      <c r="F50" s="24"/>
      <c r="G50" s="24"/>
      <c r="H50" s="48" t="s">
        <v>80</v>
      </c>
      <c r="I50" s="88">
        <f>I45*I47*I46*300</f>
        <v>10.8</v>
      </c>
      <c r="J50" s="24"/>
      <c r="K50" s="78" t="s">
        <v>69</v>
      </c>
      <c r="L50" s="79">
        <v>37.9</v>
      </c>
      <c r="M50" s="79">
        <v>18.95</v>
      </c>
      <c r="N50" s="80">
        <v>0.0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78" t="s">
        <v>71</v>
      </c>
      <c r="L51" s="79">
        <v>41.9</v>
      </c>
      <c r="M51" s="79">
        <v>20.95</v>
      </c>
      <c r="N51" s="80">
        <v>0.0</v>
      </c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78" t="s">
        <v>73</v>
      </c>
      <c r="L52" s="79">
        <v>47.9</v>
      </c>
      <c r="M52" s="79">
        <v>23.95</v>
      </c>
      <c r="N52" s="80">
        <v>0.0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78" t="s">
        <v>75</v>
      </c>
      <c r="L53" s="79">
        <v>53.9</v>
      </c>
      <c r="M53" s="79">
        <v>26.95</v>
      </c>
      <c r="N53" s="80">
        <v>0.0</v>
      </c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78" t="s">
        <v>77</v>
      </c>
      <c r="L54" s="79">
        <v>59.9</v>
      </c>
      <c r="M54" s="79">
        <v>29.95</v>
      </c>
      <c r="N54" s="80">
        <v>0.0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78" t="s">
        <v>79</v>
      </c>
      <c r="L55" s="79">
        <v>63.9</v>
      </c>
      <c r="M55" s="79">
        <v>31.95</v>
      </c>
      <c r="N55" s="80">
        <v>0.0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89" t="s">
        <v>124</v>
      </c>
      <c r="L56" s="90">
        <v>69.9</v>
      </c>
      <c r="M56" s="90">
        <v>34.95</v>
      </c>
      <c r="N56" s="91">
        <v>0.0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 ht="15.75" customHeight="1">
      <c r="A243" s="24"/>
      <c r="B243" s="1"/>
      <c r="C243" s="1"/>
      <c r="D243" s="24"/>
      <c r="E243" s="1"/>
      <c r="F243" s="1"/>
      <c r="G243" s="24"/>
      <c r="H243" s="1"/>
      <c r="I243" s="1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1"/>
      <c r="D256" s="1"/>
      <c r="G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7">
    <mergeCell ref="B5:C5"/>
    <mergeCell ref="E5:F5"/>
    <mergeCell ref="K5:L5"/>
    <mergeCell ref="K7:L7"/>
    <mergeCell ref="N9:P10"/>
    <mergeCell ref="N12:P20"/>
    <mergeCell ref="K15:L15"/>
    <mergeCell ref="K23:L23"/>
    <mergeCell ref="H44:I44"/>
    <mergeCell ref="K45:N45"/>
    <mergeCell ref="H5:I5"/>
    <mergeCell ref="H22:I22"/>
    <mergeCell ref="H23:I29"/>
    <mergeCell ref="K24:L30"/>
    <mergeCell ref="H32:I35"/>
    <mergeCell ref="K32:N32"/>
    <mergeCell ref="H36:I36"/>
  </mergeCells>
  <conditionalFormatting sqref="Z1:Z5 C20">
    <cfRule type="cellIs" dxfId="0" priority="1" operator="greaterThan">
      <formula>79.99</formula>
    </cfRule>
  </conditionalFormatting>
  <conditionalFormatting sqref="Z1:Z5 C20">
    <cfRule type="cellIs" dxfId="0" priority="2" operator="lessThan">
      <formula>40</formula>
    </cfRule>
  </conditionalFormatting>
  <conditionalFormatting sqref="C9">
    <cfRule type="cellIs" dxfId="1" priority="3" operator="greaterThan">
      <formula>39.99</formula>
    </cfRule>
  </conditionalFormatting>
  <conditionalFormatting sqref="C33 F33">
    <cfRule type="cellIs" dxfId="1" priority="4" operator="lessThan">
      <formula>80</formula>
    </cfRule>
  </conditionalFormatting>
  <conditionalFormatting sqref="C21">
    <cfRule type="cellIs" dxfId="1" priority="5" operator="lessThan">
      <formula>40</formula>
    </cfRule>
  </conditionalFormatting>
  <conditionalFormatting sqref="C21">
    <cfRule type="cellIs" dxfId="1" priority="6" operator="greaterThanOrEqual">
      <formula>79.99</formula>
    </cfRule>
  </conditionalFormatting>
  <dataValidations>
    <dataValidation type="list" allowBlank="1" sqref="B7 E7">
      <formula1>"Grupo 1,Grupo 2,Grupo 3"</formula1>
    </dataValidation>
    <dataValidation type="list" allowBlank="1" sqref="B2">
      <formula1>categorias!$A$2:$A$44</formula1>
    </dataValidation>
    <dataValidation type="decimal" allowBlank="1" showDropDown="1" showInputMessage="1" showErrorMessage="1" prompt="Insira um número entre 40 e 79,9" sqref="C21">
      <formula1>40.0</formula1>
      <formula2>79.9</formula2>
    </dataValidation>
    <dataValidation type="decimal" operator="lessThan" allowBlank="1" showDropDown="1" showInputMessage="1" prompt="Insira um número menor que 79" sqref="F9">
      <formula1>79.0</formula1>
    </dataValidation>
    <dataValidation type="decimal" operator="greaterThanOrEqual" allowBlank="1" showDropDown="1" showInputMessage="1" showErrorMessage="1" prompt="Insira um número maior que ou igual a 80" sqref="C33">
      <formula1>80.0</formula1>
    </dataValidation>
    <dataValidation type="decimal" operator="greaterThanOrEqual" allowBlank="1" showDropDown="1" showInputMessage="1" showErrorMessage="1" prompt="Insira um número maior que ou igual a 79" sqref="F33">
      <formula1>79.0</formula1>
    </dataValidation>
    <dataValidation type="decimal" operator="lessThan" allowBlank="1" showDropDown="1" showInputMessage="1" showErrorMessage="1" prompt="Insira um número menor que 40" sqref="C9">
      <formula1>40.0</formula1>
    </dataValidation>
  </dataValidations>
  <hyperlinks>
    <hyperlink r:id="rId1" ref="N12"/>
  </hyperlinks>
  <drawing r:id="rId2"/>
</worksheet>
</file>