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ja\OneDrive\Escritorio\"/>
    </mc:Choice>
  </mc:AlternateContent>
  <xr:revisionPtr revIDLastSave="0" documentId="8_{A6EF205C-6BDF-4216-8AA8-904C43650CE4}" xr6:coauthVersionLast="45" xr6:coauthVersionMax="45" xr10:uidLastSave="{00000000-0000-0000-0000-000000000000}"/>
  <bookViews>
    <workbookView xWindow="-120" yWindow="-120" windowWidth="20730" windowHeight="11160" xr2:uid="{A2274B87-88FA-4EE2-9E79-BEE95F87D27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7" i="1" l="1"/>
  <c r="K18" i="1"/>
  <c r="K16" i="1"/>
  <c r="K15" i="1"/>
  <c r="K14" i="1"/>
  <c r="K13" i="1"/>
  <c r="K12" i="1"/>
  <c r="K10" i="1"/>
  <c r="K9" i="1"/>
  <c r="K8" i="1"/>
  <c r="K6" i="1"/>
  <c r="K4" i="1"/>
  <c r="K3" i="1"/>
  <c r="I6" i="1"/>
  <c r="I9" i="1"/>
  <c r="I10" i="1"/>
  <c r="I13" i="1"/>
  <c r="I15" i="1"/>
  <c r="I18" i="1"/>
  <c r="I4" i="1"/>
  <c r="I3" i="1"/>
  <c r="E33" i="1"/>
  <c r="E32" i="1"/>
  <c r="E31" i="1"/>
  <c r="E30" i="1"/>
  <c r="E26" i="1"/>
  <c r="E25" i="1"/>
  <c r="E24" i="1"/>
  <c r="E19" i="1"/>
  <c r="E18" i="1"/>
  <c r="E17" i="1"/>
  <c r="E16" i="1"/>
  <c r="E15" i="1"/>
  <c r="E14" i="1"/>
  <c r="E13" i="1"/>
  <c r="E12" i="1"/>
  <c r="E11" i="1"/>
  <c r="E10" i="1"/>
  <c r="E7" i="1"/>
  <c r="E6" i="1"/>
  <c r="E5" i="1"/>
  <c r="E4" i="1"/>
  <c r="C5" i="1"/>
  <c r="C6" i="1"/>
  <c r="C7" i="1"/>
  <c r="C10" i="1"/>
  <c r="C11" i="1"/>
  <c r="C12" i="1"/>
  <c r="C13" i="1"/>
  <c r="C14" i="1"/>
  <c r="C15" i="1"/>
  <c r="C16" i="1"/>
  <c r="C17" i="1"/>
  <c r="C18" i="1"/>
  <c r="C19" i="1"/>
  <c r="C24" i="1"/>
  <c r="C25" i="1"/>
  <c r="C26" i="1"/>
  <c r="C30" i="1"/>
  <c r="C31" i="1"/>
  <c r="C32" i="1"/>
  <c r="C33" i="1"/>
  <c r="C4" i="1"/>
  <c r="J5" i="1"/>
  <c r="J7" i="1" s="1"/>
  <c r="J11" i="1" s="1"/>
  <c r="J17" i="1" s="1"/>
  <c r="J19" i="1" s="1"/>
  <c r="K19" i="1" s="1"/>
  <c r="H5" i="1"/>
  <c r="H7" i="1" s="1"/>
  <c r="H11" i="1" s="1"/>
  <c r="D54" i="1" s="1"/>
  <c r="D34" i="1"/>
  <c r="E34" i="1" s="1"/>
  <c r="D27" i="1"/>
  <c r="E27" i="1" s="1"/>
  <c r="D20" i="1"/>
  <c r="E20" i="1" s="1"/>
  <c r="D8" i="1"/>
  <c r="E8" i="1" s="1"/>
  <c r="B34" i="1"/>
  <c r="C34" i="1" s="1"/>
  <c r="B27" i="1"/>
  <c r="C27" i="1" s="1"/>
  <c r="B20" i="1"/>
  <c r="C20" i="1" s="1"/>
  <c r="B8" i="1"/>
  <c r="C8" i="1" s="1"/>
  <c r="D52" i="1" l="1"/>
  <c r="D60" i="1"/>
  <c r="D71" i="1"/>
  <c r="D58" i="1"/>
  <c r="H17" i="1"/>
  <c r="H19" i="1" s="1"/>
  <c r="D42" i="1"/>
  <c r="D43" i="1"/>
  <c r="D45" i="1" s="1"/>
  <c r="I7" i="1"/>
  <c r="K5" i="1"/>
  <c r="I5" i="1"/>
  <c r="K17" i="1"/>
  <c r="I11" i="1"/>
  <c r="I17" i="1"/>
  <c r="K7" i="1"/>
  <c r="K11" i="1"/>
  <c r="B36" i="1"/>
  <c r="C36" i="1" s="1"/>
  <c r="B21" i="1"/>
  <c r="D21" i="1"/>
  <c r="D36" i="1"/>
  <c r="E36" i="1" s="1"/>
  <c r="D69" i="1" l="1"/>
  <c r="D66" i="1"/>
  <c r="E64" i="1" s="1"/>
  <c r="C21" i="1"/>
  <c r="D73" i="1"/>
  <c r="D53" i="1"/>
  <c r="D62" i="1"/>
  <c r="D79" i="1"/>
  <c r="I19" i="1"/>
  <c r="D81" i="1"/>
  <c r="D57" i="1"/>
  <c r="E21" i="1"/>
  <c r="D82" i="1"/>
  <c r="E52" i="1"/>
  <c r="E46" i="1"/>
  <c r="E42" i="1"/>
  <c r="D44" i="1"/>
  <c r="E44" i="1" s="1"/>
  <c r="D61" i="1" l="1"/>
  <c r="D59" i="1"/>
  <c r="E59" i="1" s="1"/>
  <c r="E57" i="1"/>
  <c r="E81" i="1"/>
  <c r="E67" i="1"/>
  <c r="D70" i="1"/>
  <c r="D72" i="1" l="1"/>
  <c r="E72" i="1" s="1"/>
  <c r="E70" i="1"/>
  <c r="E61" i="1"/>
  <c r="D78" i="1"/>
  <c r="E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 silva</author>
  </authors>
  <commentList>
    <comment ref="D55" authorId="0" shapeId="0" xr:uid="{5F572543-FCFC-4CD3-A087-6DFA63ABE722}">
      <text>
        <r>
          <rPr>
            <b/>
            <sz val="9"/>
            <color indexed="81"/>
            <rFont val="Tahoma"/>
            <family val="2"/>
          </rPr>
          <t>noe silva:</t>
        </r>
        <r>
          <rPr>
            <sz val="9"/>
            <color indexed="81"/>
            <rFont val="Tahoma"/>
            <family val="2"/>
          </rPr>
          <t xml:space="preserve">
No encontre intereses :c
</t>
        </r>
      </text>
    </comment>
  </commentList>
</comments>
</file>

<file path=xl/sharedStrings.xml><?xml version="1.0" encoding="utf-8"?>
<sst xmlns="http://schemas.openxmlformats.org/spreadsheetml/2006/main" count="101" uniqueCount="90">
  <si>
    <t>La Catrina, S.A.</t>
  </si>
  <si>
    <t>2-Z</t>
  </si>
  <si>
    <t>Balances comparativos de los años  Z y Y</t>
  </si>
  <si>
    <t>(Miles de pesos)</t>
  </si>
  <si>
    <t>Activo</t>
  </si>
  <si>
    <t>Bancos</t>
  </si>
  <si>
    <t>Cliente</t>
  </si>
  <si>
    <t>Almacén de productos terminados</t>
  </si>
  <si>
    <t>Renta pagada por adelantado</t>
  </si>
  <si>
    <t>Total Circulante</t>
  </si>
  <si>
    <t>Equipo de cómputo</t>
  </si>
  <si>
    <t>Depreciación acumulada de maquinaria y equipo</t>
  </si>
  <si>
    <t>Equipo de reparto</t>
  </si>
  <si>
    <t>Depreciación acumulada de equipo de reparto</t>
  </si>
  <si>
    <t>Equipo de oficina</t>
  </si>
  <si>
    <t>Depreciacion acumulada equipo de oficina</t>
  </si>
  <si>
    <t>Equipo de tienda</t>
  </si>
  <si>
    <t>Depreciacion acumulada equipo de tienda</t>
  </si>
  <si>
    <t>Equipo de Almacén</t>
  </si>
  <si>
    <t>Depreciación acumulada de equipo de almacen</t>
  </si>
  <si>
    <t>Total no circulante</t>
  </si>
  <si>
    <t>Suma Activo Total</t>
  </si>
  <si>
    <t>Pasivo</t>
  </si>
  <si>
    <t>Proveedores</t>
  </si>
  <si>
    <t>Acreedores</t>
  </si>
  <si>
    <t>Impuestos por pagar</t>
  </si>
  <si>
    <t>Suma Pasivo</t>
  </si>
  <si>
    <t>Capital Contable</t>
  </si>
  <si>
    <t>Capital Social</t>
  </si>
  <si>
    <t>Reserva Legal</t>
  </si>
  <si>
    <t>Utilidades ejercicios anteriores</t>
  </si>
  <si>
    <t>Utilidad del ejercicio</t>
  </si>
  <si>
    <t>Total de Capital Contable</t>
  </si>
  <si>
    <t>Suma Pasivo y Capital</t>
  </si>
  <si>
    <t>2-Y</t>
  </si>
  <si>
    <t>Estado de resultado comparativos del 1 de enero al 31 de diciembre de los años 2-Y y 2-Z</t>
  </si>
  <si>
    <t>Ventas</t>
  </si>
  <si>
    <t>Rebajas sobre ventas</t>
  </si>
  <si>
    <t>Ventas netas</t>
  </si>
  <si>
    <t>Costos de producción de lo vendido</t>
  </si>
  <si>
    <t>Utilidad bruta</t>
  </si>
  <si>
    <t>Costo de operación</t>
  </si>
  <si>
    <t>Gastos de venta</t>
  </si>
  <si>
    <t>Gastos de admiración</t>
  </si>
  <si>
    <t>Utilidad de operación</t>
  </si>
  <si>
    <t>Otros ingresos y gastos</t>
  </si>
  <si>
    <t>PTU</t>
  </si>
  <si>
    <t>Resultado integral de financiamento</t>
  </si>
  <si>
    <t>Gastos Financieros</t>
  </si>
  <si>
    <t>Producto financieras</t>
  </si>
  <si>
    <t>Utilidad antes de impuestos</t>
  </si>
  <si>
    <t>ISR</t>
  </si>
  <si>
    <t>Utilidad neta</t>
  </si>
  <si>
    <t>porcentaje integral % Año 2-Z</t>
  </si>
  <si>
    <t>Porcentaje integral % año 2-Y</t>
  </si>
  <si>
    <t>(Miles de Pesos)</t>
  </si>
  <si>
    <t>(miles de pesos)</t>
  </si>
  <si>
    <t>Porcentaje Interal % Año 2-Z</t>
  </si>
  <si>
    <t>Porcentaje Interal % Año 2-Y</t>
  </si>
  <si>
    <t xml:space="preserve">Razon Corriente </t>
  </si>
  <si>
    <t>Prueba Acida</t>
  </si>
  <si>
    <t>Capital de Trabajo</t>
  </si>
  <si>
    <t>17972 - 4230</t>
  </si>
  <si>
    <t>Ciclo Operativo</t>
  </si>
  <si>
    <t xml:space="preserve"> </t>
  </si>
  <si>
    <t xml:space="preserve"> LIQUIDEZ</t>
  </si>
  <si>
    <t>INDICES DE ENDEUDAMINETO</t>
  </si>
  <si>
    <t>Deuda sobre el total de Activos</t>
  </si>
  <si>
    <t>Razon de Cobertura de Interes</t>
  </si>
  <si>
    <t>Indices de Rentabilidad</t>
  </si>
  <si>
    <t>Margen de Utilidad</t>
  </si>
  <si>
    <t>Rendimineto sobre Activos Totales</t>
  </si>
  <si>
    <t>Indices de Rotacion de Activos</t>
  </si>
  <si>
    <t>Rotacion de Cuentas por Cobrar</t>
  </si>
  <si>
    <t>2000 + 1200</t>
  </si>
  <si>
    <t>Rotacion de Inventario</t>
  </si>
  <si>
    <t>Rotacion de Activos no circulantes</t>
  </si>
  <si>
    <t>Rotacion de Activo Total</t>
  </si>
  <si>
    <t>Metodo DU pont</t>
  </si>
  <si>
    <t>Rentabilidad de Inversion</t>
  </si>
  <si>
    <t>Columna3</t>
  </si>
  <si>
    <t>Columna4</t>
  </si>
  <si>
    <t>Formula</t>
  </si>
  <si>
    <t>Nombre</t>
  </si>
  <si>
    <t xml:space="preserve">                          Metodo de Razones Simples -</t>
  </si>
  <si>
    <t>Datos</t>
  </si>
  <si>
    <t>Resultado</t>
  </si>
  <si>
    <t>Formula2</t>
  </si>
  <si>
    <t>Año</t>
  </si>
  <si>
    <t xml:space="preserve"> 2-Y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</si>
</sst>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  <xf numFmtId="3" fontId="0" fillId="0" borderId="0" xfId="0" applyNumberFormat="1" applyAlignment="1"/>
    <xf numFmtId="0" fontId="0" fillId="0" borderId="0" xfId="0" applyAlignment="1">
      <alignment horizontal="center" vertical="center"/>
    </xf>
    <xf numFmtId="0" fontId="1" fillId="2" borderId="0" xfId="1" applyAlignment="1"/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top"/>
    </xf>
    <xf numFmtId="0" fontId="0" fillId="0" borderId="5" xfId="0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Bueno" xfId="1" builtinId="26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157162</xdr:colOff>
      <xdr:row>41</xdr:row>
      <xdr:rowOff>33337</xdr:rowOff>
    </xdr:from>
    <xdr:ext cx="1338263" cy="347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0F3A25-6274-4A1D-AB57-9797B5315E31}"/>
                </a:ext>
              </a:extLst>
            </xdr:cNvPr>
            <xdr:cNvSpPr txBox="1"/>
          </xdr:nvSpPr>
          <xdr:spPr>
            <a:xfrm>
              <a:off x="3167062" y="8034337"/>
              <a:ext cx="1338263" cy="347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𝐴𝑐𝑡𝑖𝑣𝑜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𝐶𝑖𝑟𝑐𝑢𝑙𝑎𝑛𝑡𝑒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𝐶𝑜𝑟𝑡𝑜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𝑃𝑙𝑎𝑧𝑜</m:t>
                        </m: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0F3A25-6274-4A1D-AB57-9797B5315E31}"/>
                </a:ext>
              </a:extLst>
            </xdr:cNvPr>
            <xdr:cNvSpPr txBox="1"/>
          </xdr:nvSpPr>
          <xdr:spPr>
            <a:xfrm>
              <a:off x="3167062" y="8034337"/>
              <a:ext cx="1338263" cy="347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"(" 𝐴𝑐𝑡𝑖𝑣𝑜 𝐶𝑖𝑟𝑐𝑢𝑙𝑎𝑛𝑡𝑒)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MX" sz="1100" b="0" i="0">
                  <a:latin typeface="Cambria Math" panose="02040503050406030204" pitchFamily="18" charset="0"/>
                </a:rPr>
                <a:t>𝑃𝑎𝑠𝑖𝑣𝑜 𝐶𝑜𝑟𝑡𝑜 𝑃𝑙𝑎𝑧𝑜)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43</xdr:row>
      <xdr:rowOff>47625</xdr:rowOff>
    </xdr:from>
    <xdr:ext cx="1338263" cy="347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73DFD0C-D23E-4369-ACF7-7EAF6C1E761A}"/>
                </a:ext>
              </a:extLst>
            </xdr:cNvPr>
            <xdr:cNvSpPr txBox="1"/>
          </xdr:nvSpPr>
          <xdr:spPr>
            <a:xfrm>
              <a:off x="3152775" y="8429625"/>
              <a:ext cx="1338263" cy="347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𝐼𝑛𝑣𝑒𝑛𝑡𝑎𝑟𝑖𝑜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𝐶𝑜𝑟𝑡𝑜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𝑃𝑙𝑎𝑧𝑜</m:t>
                        </m: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73DFD0C-D23E-4369-ACF7-7EAF6C1E761A}"/>
                </a:ext>
              </a:extLst>
            </xdr:cNvPr>
            <xdr:cNvSpPr txBox="1"/>
          </xdr:nvSpPr>
          <xdr:spPr>
            <a:xfrm>
              <a:off x="3152775" y="8429625"/>
              <a:ext cx="1338263" cy="347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"(" 𝐴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−𝐼𝑛𝑣𝑒𝑛𝑡𝑎𝑟𝑖𝑜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MX" sz="1100" b="0" i="0">
                  <a:latin typeface="Cambria Math" panose="02040503050406030204" pitchFamily="18" charset="0"/>
                </a:rPr>
                <a:t>𝑃𝑎𝑠𝑖𝑣𝑜 𝐶𝑜𝑟𝑡𝑜 𝑃𝑙𝑎𝑧𝑜)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45</xdr:row>
      <xdr:rowOff>76201</xdr:rowOff>
    </xdr:from>
    <xdr:ext cx="13906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80097CD-5591-4142-9B68-625986775F70}"/>
                </a:ext>
              </a:extLst>
            </xdr:cNvPr>
            <xdr:cNvSpPr txBox="1"/>
          </xdr:nvSpPr>
          <xdr:spPr>
            <a:xfrm>
              <a:off x="3057525" y="8858251"/>
              <a:ext cx="13906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.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es-MX" sz="1100" b="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80097CD-5591-4142-9B68-625986775F70}"/>
                </a:ext>
              </a:extLst>
            </xdr:cNvPr>
            <xdr:cNvSpPr txBox="1"/>
          </xdr:nvSpPr>
          <xdr:spPr>
            <a:xfrm>
              <a:off x="3057525" y="8858251"/>
              <a:ext cx="13906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𝐴.𝐶 −𝑃. 𝐶</a:t>
              </a:r>
              <a:endParaRPr lang="es-MX" sz="1100" b="0"/>
            </a:p>
          </xdr:txBody>
        </xdr:sp>
      </mc:Fallback>
    </mc:AlternateContent>
    <xdr:clientData/>
  </xdr:oneCellAnchor>
  <xdr:oneCellAnchor>
    <xdr:from>
      <xdr:col>1</xdr:col>
      <xdr:colOff>47625</xdr:colOff>
      <xdr:row>47</xdr:row>
      <xdr:rowOff>71049</xdr:rowOff>
    </xdr:from>
    <xdr:ext cx="1466850" cy="262326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1664B20-6A4E-4F1A-9DC2-87BAE9AFAE13}"/>
            </a:ext>
          </a:extLst>
        </xdr:cNvPr>
        <xdr:cNvSpPr txBox="1"/>
      </xdr:nvSpPr>
      <xdr:spPr>
        <a:xfrm>
          <a:off x="3057525" y="9234099"/>
          <a:ext cx="1466850" cy="262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r>
            <a:rPr lang="es-MX" sz="1100"/>
            <a:t>R.I</a:t>
          </a:r>
          <a:r>
            <a:rPr lang="es-MX" sz="1100" baseline="0"/>
            <a:t> + R. CXC - R. CXP</a:t>
          </a:r>
          <a:endParaRPr lang="es-MX" sz="1100"/>
        </a:p>
      </xdr:txBody>
    </xdr:sp>
    <xdr:clientData/>
  </xdr:oneCellAnchor>
  <xdr:oneCellAnchor>
    <xdr:from>
      <xdr:col>1</xdr:col>
      <xdr:colOff>0</xdr:colOff>
      <xdr:row>51</xdr:row>
      <xdr:rowOff>0</xdr:rowOff>
    </xdr:from>
    <xdr:ext cx="1338263" cy="347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AD1C66C-1ADF-4417-BD06-6C48425DCE7D}"/>
                </a:ext>
              </a:extLst>
            </xdr:cNvPr>
            <xdr:cNvSpPr txBox="1"/>
          </xdr:nvSpPr>
          <xdr:spPr>
            <a:xfrm>
              <a:off x="3009900" y="9925050"/>
              <a:ext cx="1338263" cy="347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𝑃𝑎𝑠𝑖𝑣𝑜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𝑇𝑜𝑡𝑎𝑙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AD1C66C-1ADF-4417-BD06-6C48425DCE7D}"/>
                </a:ext>
              </a:extLst>
            </xdr:cNvPr>
            <xdr:cNvSpPr txBox="1"/>
          </xdr:nvSpPr>
          <xdr:spPr>
            <a:xfrm>
              <a:off x="3009900" y="9925050"/>
              <a:ext cx="1338263" cy="347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𝑃𝑎𝑠𝑖𝑣𝑜 𝑇𝑜𝑡𝑎𝑙)/(</a:t>
              </a:r>
              <a:r>
                <a:rPr lang="es-MX" sz="1100" b="0" i="0">
                  <a:latin typeface="Cambria Math" panose="02040503050406030204" pitchFamily="18" charset="0"/>
                </a:rPr>
                <a:t>𝐴𝑐𝑡𝑖𝑣𝑜 𝑇𝑜𝑡𝑎𝑙)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53</xdr:row>
      <xdr:rowOff>0</xdr:rowOff>
    </xdr:from>
    <xdr:ext cx="1338263" cy="347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B574421-2096-4B3B-8F76-68F9692D14D3}"/>
                </a:ext>
              </a:extLst>
            </xdr:cNvPr>
            <xdr:cNvSpPr txBox="1"/>
          </xdr:nvSpPr>
          <xdr:spPr>
            <a:xfrm>
              <a:off x="3009900" y="10306050"/>
              <a:ext cx="1338263" cy="347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𝑂𝑝𝑒𝑟𝑎𝑐𝑖𝑜𝑛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𝐼𝑛𝑡𝑒𝑟𝑒𝑠𝑒𝑠</m:t>
                        </m: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B574421-2096-4B3B-8F76-68F9692D14D3}"/>
                </a:ext>
              </a:extLst>
            </xdr:cNvPr>
            <xdr:cNvSpPr txBox="1"/>
          </xdr:nvSpPr>
          <xdr:spPr>
            <a:xfrm>
              <a:off x="3009900" y="10306050"/>
              <a:ext cx="1338263" cy="347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(𝑈𝑡𝑖𝑙𝑖𝑑𝑎𝑑 𝑑𝑒 𝑂𝑝𝑒𝑟𝑎𝑐𝑖𝑜𝑛)/𝐼𝑛𝑡𝑒𝑟𝑒𝑠𝑒𝑠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56</xdr:row>
      <xdr:rowOff>0</xdr:rowOff>
    </xdr:from>
    <xdr:ext cx="1243013" cy="347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93C9BEE-CDF8-4482-815D-D1391E5A7607}"/>
                </a:ext>
              </a:extLst>
            </xdr:cNvPr>
            <xdr:cNvSpPr txBox="1"/>
          </xdr:nvSpPr>
          <xdr:spPr>
            <a:xfrm>
              <a:off x="3105150" y="10877550"/>
              <a:ext cx="1243013" cy="347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𝑈𝑡𝑖𝑙𝑖𝑑𝑎𝑑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𝑁𝑒𝑡𝑎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𝑉𝑒𝑛𝑡𝑎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𝑁𝑒𝑡𝑎</m:t>
                        </m: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93C9BEE-CDF8-4482-815D-D1391E5A7607}"/>
                </a:ext>
              </a:extLst>
            </xdr:cNvPr>
            <xdr:cNvSpPr txBox="1"/>
          </xdr:nvSpPr>
          <xdr:spPr>
            <a:xfrm>
              <a:off x="3105150" y="10877550"/>
              <a:ext cx="1243013" cy="347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𝑈𝑡𝑖𝑙𝑖𝑑𝑎𝑑 𝑁𝑒𝑡𝑎)/(</a:t>
              </a:r>
              <a:r>
                <a:rPr lang="es-MX" sz="1100" b="0" i="0">
                  <a:latin typeface="Cambria Math" panose="02040503050406030204" pitchFamily="18" charset="0"/>
                </a:rPr>
                <a:t>𝑉𝑒𝑛𝑡𝑎 𝑁𝑒𝑡𝑎)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58</xdr:row>
      <xdr:rowOff>1</xdr:rowOff>
    </xdr:from>
    <xdr:ext cx="1195388" cy="323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8E6CFC-65DE-4D41-B3D6-1838A7E15BD7}"/>
                </a:ext>
              </a:extLst>
            </xdr:cNvPr>
            <xdr:cNvSpPr txBox="1"/>
          </xdr:nvSpPr>
          <xdr:spPr>
            <a:xfrm>
              <a:off x="3057525" y="11258551"/>
              <a:ext cx="119538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𝑈𝑡𝑖𝑙𝑖𝑑𝑎𝑑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𝑁𝑒𝑡𝑎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𝐶𝑜𝑛𝑡𝑎𝑏𝑙𝑒</m:t>
                        </m: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8E6CFC-65DE-4D41-B3D6-1838A7E15BD7}"/>
                </a:ext>
              </a:extLst>
            </xdr:cNvPr>
            <xdr:cNvSpPr txBox="1"/>
          </xdr:nvSpPr>
          <xdr:spPr>
            <a:xfrm>
              <a:off x="3057525" y="11258551"/>
              <a:ext cx="119538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𝑈𝑡𝑖𝑙𝑖𝑑𝑎𝑑 𝑁𝑒𝑡𝑎)/(</a:t>
              </a:r>
              <a:r>
                <a:rPr lang="es-MX" sz="1100" b="0" i="0">
                  <a:latin typeface="Cambria Math" panose="02040503050406030204" pitchFamily="18" charset="0"/>
                </a:rPr>
                <a:t>𝐶𝑎𝑝𝑖𝑡𝑎𝑙 𝐶𝑜𝑛𝑡𝑎𝑏𝑙𝑒)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60</xdr:row>
      <xdr:rowOff>9525</xdr:rowOff>
    </xdr:from>
    <xdr:ext cx="1195388" cy="323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DE56E52-1875-4152-94A5-554692D5D5B9}"/>
                </a:ext>
              </a:extLst>
            </xdr:cNvPr>
            <xdr:cNvSpPr txBox="1"/>
          </xdr:nvSpPr>
          <xdr:spPr>
            <a:xfrm>
              <a:off x="3076575" y="11649075"/>
              <a:ext cx="119538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𝑈𝑡𝑖𝑙𝑖𝑑𝑎𝑑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𝑁𝑒𝑡𝑎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DE56E52-1875-4152-94A5-554692D5D5B9}"/>
                </a:ext>
              </a:extLst>
            </xdr:cNvPr>
            <xdr:cNvSpPr txBox="1"/>
          </xdr:nvSpPr>
          <xdr:spPr>
            <a:xfrm>
              <a:off x="3076575" y="11649075"/>
              <a:ext cx="119538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𝑈𝑡𝑖𝑙𝑖𝑑𝑎𝑑 𝑁𝑒𝑡𝑎)/(</a:t>
              </a:r>
              <a:r>
                <a:rPr lang="es-MX" sz="1100" b="0" i="0">
                  <a:latin typeface="Cambria Math" panose="02040503050406030204" pitchFamily="18" charset="0"/>
                </a:rPr>
                <a:t>𝐴𝑐𝑡𝑖𝑣𝑜 𝑇𝑜𝑡𝑎𝑙)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628650</xdr:colOff>
      <xdr:row>53</xdr:row>
      <xdr:rowOff>33337</xdr:rowOff>
    </xdr:from>
    <xdr:ext cx="65" cy="172227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A167CAB6-E807-44EC-8C2C-86A719F29E1B}"/>
            </a:ext>
          </a:extLst>
        </xdr:cNvPr>
        <xdr:cNvSpPr txBox="1"/>
      </xdr:nvSpPr>
      <xdr:spPr>
        <a:xfrm>
          <a:off x="6057900" y="10339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oneCellAnchor>
    <xdr:from>
      <xdr:col>1</xdr:col>
      <xdr:colOff>0</xdr:colOff>
      <xdr:row>63</xdr:row>
      <xdr:rowOff>0</xdr:rowOff>
    </xdr:from>
    <xdr:ext cx="1362075" cy="5619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A912E9B4-575D-4857-A288-30689A359847}"/>
                </a:ext>
              </a:extLst>
            </xdr:cNvPr>
            <xdr:cNvSpPr txBox="1"/>
          </xdr:nvSpPr>
          <xdr:spPr>
            <a:xfrm>
              <a:off x="3009900" y="12211050"/>
              <a:ext cx="1362075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𝐶𝑋𝐶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𝐼𝑃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𝐶𝑋𝐶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𝐹𝑃</m:t>
                            </m:r>
                          </m:e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eqArr>
                      </m:num>
                      <m:den>
                        <m:eqArr>
                          <m:eqArr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𝑉𝑒𝑛𝑡𝑎𝑠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𝑁𝑒𝑡𝑎𝑠</m:t>
                            </m:r>
                          </m:e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360</m:t>
                            </m:r>
                          </m:e>
                        </m:eqAr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A912E9B4-575D-4857-A288-30689A359847}"/>
                </a:ext>
              </a:extLst>
            </xdr:cNvPr>
            <xdr:cNvSpPr txBox="1"/>
          </xdr:nvSpPr>
          <xdr:spPr>
            <a:xfrm>
              <a:off x="3009900" y="12211050"/>
              <a:ext cx="1362075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█(𝐶𝑋𝐶 𝐼𝑃+𝐶𝑋𝐶 𝐹𝑃@2)/█(</a:t>
              </a:r>
              <a:r>
                <a:rPr lang="es-MX" sz="1100" b="0" i="0">
                  <a:latin typeface="Cambria Math" panose="02040503050406030204" pitchFamily="18" charset="0"/>
                </a:rPr>
                <a:t>𝑉𝑒𝑛𝑡𝑎𝑠 𝑁𝑒𝑡𝑎𝑠@360)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66</xdr:row>
      <xdr:rowOff>0</xdr:rowOff>
    </xdr:from>
    <xdr:ext cx="1362075" cy="5619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D6C3B20E-EB40-498A-8977-E539CC15B2B5}"/>
                </a:ext>
              </a:extLst>
            </xdr:cNvPr>
            <xdr:cNvSpPr txBox="1"/>
          </xdr:nvSpPr>
          <xdr:spPr>
            <a:xfrm>
              <a:off x="3009900" y="12782550"/>
              <a:ext cx="1362075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eqArr>
                          <m:eqArr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𝐼𝑁𝑉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𝐼𝑃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𝐼𝑁𝑉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𝐹𝑃</m:t>
                            </m:r>
                          </m:e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eqArr>
                      </m:num>
                      <m:den>
                        <m:eqArr>
                          <m:eqArr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𝑉𝑒𝑛𝑡𝑎𝑠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𝑁𝑒𝑡𝑎𝑠</m:t>
                            </m:r>
                          </m:e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360</m:t>
                            </m:r>
                          </m:e>
                        </m:eqAr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D6C3B20E-EB40-498A-8977-E539CC15B2B5}"/>
                </a:ext>
              </a:extLst>
            </xdr:cNvPr>
            <xdr:cNvSpPr txBox="1"/>
          </xdr:nvSpPr>
          <xdr:spPr>
            <a:xfrm>
              <a:off x="3009900" y="12782550"/>
              <a:ext cx="1362075" cy="561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█(𝐼𝑁𝑉 𝐼𝑃+𝐼𝑁𝑉 𝐹𝑃@2)/█(</a:t>
              </a:r>
              <a:r>
                <a:rPr lang="es-MX" sz="1100" b="0" i="0">
                  <a:latin typeface="Cambria Math" panose="02040503050406030204" pitchFamily="18" charset="0"/>
                </a:rPr>
                <a:t>𝑉𝑒𝑛𝑡𝑎𝑠 𝑁𝑒𝑡𝑎𝑠@360)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114300</xdr:colOff>
      <xdr:row>69</xdr:row>
      <xdr:rowOff>38100</xdr:rowOff>
    </xdr:from>
    <xdr:ext cx="1195388" cy="323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D174B896-73BA-49C9-8E80-5B28A2F696B7}"/>
                </a:ext>
              </a:extLst>
            </xdr:cNvPr>
            <xdr:cNvSpPr txBox="1"/>
          </xdr:nvSpPr>
          <xdr:spPr>
            <a:xfrm>
              <a:off x="3124200" y="13392150"/>
              <a:ext cx="119538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𝑉𝑒𝑛𝑡𝑎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𝑁𝑒𝑡𝑎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𝐶𝑖𝑟𝑐𝑢𝑙𝑎𝑛𝑡𝑒𝑠</m:t>
                        </m: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D174B896-73BA-49C9-8E80-5B28A2F696B7}"/>
                </a:ext>
              </a:extLst>
            </xdr:cNvPr>
            <xdr:cNvSpPr txBox="1"/>
          </xdr:nvSpPr>
          <xdr:spPr>
            <a:xfrm>
              <a:off x="3124200" y="13392150"/>
              <a:ext cx="119538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(𝑉𝑒𝑛𝑡𝑎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𝑁𝑒𝑡𝑎)/(</a:t>
              </a:r>
              <a:r>
                <a:rPr lang="es-MX" sz="1100" b="0" i="0">
                  <a:latin typeface="Cambria Math" panose="02040503050406030204" pitchFamily="18" charset="0"/>
                </a:rPr>
                <a:t>𝐴𝑐𝑡𝑖𝑣𝑜 𝑛𝑜 𝐶𝑖𝑟𝑐𝑢𝑙𝑎𝑛𝑡𝑒𝑠)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71</xdr:row>
      <xdr:rowOff>0</xdr:rowOff>
    </xdr:from>
    <xdr:ext cx="1195388" cy="3238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9755EAA1-5AB2-435A-8DA4-85DF8BB4CE6D}"/>
                </a:ext>
              </a:extLst>
            </xdr:cNvPr>
            <xdr:cNvSpPr txBox="1"/>
          </xdr:nvSpPr>
          <xdr:spPr>
            <a:xfrm>
              <a:off x="3009900" y="13735050"/>
              <a:ext cx="119538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𝑁𝑒𝑡𝑎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9755EAA1-5AB2-435A-8DA4-85DF8BB4CE6D}"/>
                </a:ext>
              </a:extLst>
            </xdr:cNvPr>
            <xdr:cNvSpPr txBox="1"/>
          </xdr:nvSpPr>
          <xdr:spPr>
            <a:xfrm>
              <a:off x="3009900" y="13735050"/>
              <a:ext cx="1195388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(𝑉𝑒𝑛𝑡𝑎𝑠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𝑁𝑒𝑡𝑎)/(</a:t>
              </a:r>
              <a:r>
                <a:rPr lang="es-MX" sz="1100" b="0" i="0">
                  <a:latin typeface="Cambria Math" panose="02040503050406030204" pitchFamily="18" charset="0"/>
                </a:rPr>
                <a:t>𝐴𝑐𝑡𝑖𝑣𝑜 𝑇𝑜𝑡𝑎𝑙)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2647951</xdr:colOff>
      <xdr:row>77</xdr:row>
      <xdr:rowOff>0</xdr:rowOff>
    </xdr:from>
    <xdr:ext cx="1857374" cy="552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D0404BC-5AB3-49CE-93B7-B4DE1ADF080C}"/>
                </a:ext>
              </a:extLst>
            </xdr:cNvPr>
            <xdr:cNvSpPr txBox="1"/>
          </xdr:nvSpPr>
          <xdr:spPr>
            <a:xfrm>
              <a:off x="2647951" y="14497050"/>
              <a:ext cx="1857374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𝑈𝑡𝑖𝑙𝑖𝑑𝑎𝑑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𝑁𝑒𝑡𝑎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𝑉𝑒𝑛𝑡𝑎𝑠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𝑁𝑒𝑡𝑎𝑠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D0404BC-5AB3-49CE-93B7-B4DE1ADF080C}"/>
                </a:ext>
              </a:extLst>
            </xdr:cNvPr>
            <xdr:cNvSpPr txBox="1"/>
          </xdr:nvSpPr>
          <xdr:spPr>
            <a:xfrm>
              <a:off x="2647951" y="14497050"/>
              <a:ext cx="1857374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𝑈𝑡𝑖𝑙𝑖𝑑𝑎𝑑 𝑁𝑒𝑡𝑎∗𝑉𝑒𝑛𝑡𝑎𝑠 𝑁𝑒𝑡𝑎𝑠)/(</a:t>
              </a:r>
              <a:r>
                <a:rPr lang="es-MX" sz="1100" b="0" i="0">
                  <a:latin typeface="Cambria Math" panose="02040503050406030204" pitchFamily="18" charset="0"/>
                </a:rPr>
                <a:t>𝑉𝑒𝑛𝑡𝑎𝑠 𝑁𝑒𝑡𝑎𝑠∗𝐴𝑐𝑡𝑖𝑣𝑜 𝑇𝑜𝑡𝑎𝑙)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2657475</xdr:colOff>
      <xdr:row>80</xdr:row>
      <xdr:rowOff>9525</xdr:rowOff>
    </xdr:from>
    <xdr:ext cx="1857374" cy="5524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6794151-69D8-4F7B-8ABE-55089A7B6B0E}"/>
                </a:ext>
              </a:extLst>
            </xdr:cNvPr>
            <xdr:cNvSpPr txBox="1"/>
          </xdr:nvSpPr>
          <xdr:spPr>
            <a:xfrm>
              <a:off x="2657475" y="15078075"/>
              <a:ext cx="1857374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𝑈𝑡𝑖𝑙𝑖𝑑𝑎𝑑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𝑁𝑒𝑡𝑎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𝑉𝑒𝑛𝑡𝑎𝑠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𝑁𝑒𝑡𝑎𝑠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1100" b="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6794151-69D8-4F7B-8ABE-55089A7B6B0E}"/>
                </a:ext>
              </a:extLst>
            </xdr:cNvPr>
            <xdr:cNvSpPr txBox="1"/>
          </xdr:nvSpPr>
          <xdr:spPr>
            <a:xfrm>
              <a:off x="2657475" y="15078075"/>
              <a:ext cx="1857374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𝑈𝑡𝑖𝑙𝑖𝑑𝑎𝑑 𝑁𝑒𝑡𝑎∗𝑉𝑒𝑛𝑡𝑎𝑠 𝑁𝑒𝑡𝑎𝑠)/(</a:t>
              </a:r>
              <a:r>
                <a:rPr lang="es-MX" sz="1100" b="0" i="0">
                  <a:latin typeface="Cambria Math" panose="02040503050406030204" pitchFamily="18" charset="0"/>
                </a:rPr>
                <a:t>𝑉𝑒𝑛𝑡𝑎𝑠 𝑁𝑒𝑡𝑎𝑠∗𝐴𝑐𝑡𝑖𝑣𝑜 𝑇𝑜𝑡𝑎𝑙)</a:t>
              </a:r>
              <a:endParaRPr lang="es-MX" sz="1100" b="0"/>
            </a:p>
            <a:p>
              <a:endParaRPr lang="es-MX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F4A5C-55CA-4D8A-98AD-459939B9022E}" name="Tabla2" displayName="Tabla2" ref="A1:E36" totalsRowShown="0" headerRowCellStyle="Normal" dataCellStyle="Normal">
  <autoFilter ref="A1:E36" xr:uid="{ED39A200-3406-4677-A4B5-DFD5DB3D5C6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BDADAC5-6DFC-43DD-8CE8-51E6B206A5CE}" name="La Catrina, S.A." dataCellStyle="Normal"/>
    <tableColumn id="2" xr3:uid="{F64CD236-EADF-4317-A057-91267BA44933}" name="2-Z" dataCellStyle="Normal"/>
    <tableColumn id="3" xr3:uid="{33D92440-8DD4-4C92-8074-FC4451B17D7B}" name="porcentaje integral % Año 2-Z" dataCellStyle="Normal">
      <calculatedColumnFormula>(B2/36422)*100</calculatedColumnFormula>
    </tableColumn>
    <tableColumn id="4" xr3:uid="{A912284A-CC95-4B8F-A3ED-B842F8922A44}" name="2-Y" dataCellStyle="Normal"/>
    <tableColumn id="5" xr3:uid="{4BA156BE-DBCE-4597-B6C9-9F62A2D1F9CB}" name="Porcentaje integral % año 2-Y" dataCellStyle="Normal">
      <calculatedColumnFormula>(D2/37020)*100</calculatedColumnFormula>
    </tableColumn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44925F-0312-4F12-9806-7C05D96306DC}" name="Tabla3" displayName="Tabla3" ref="G1:K19" totalsRowShown="0" headerRowCellStyle="Normal" dataCellStyle="Normal">
  <autoFilter ref="G1:K19" xr:uid="{43E9B5C5-A277-41F9-9EDE-E6A0EAC6C76B}"/>
  <tableColumns count="5">
    <tableColumn id="1" xr3:uid="{0FBAE3FB-A521-4B2B-8617-E6F39FA3785E}" name="La Catrina, S.A." dataCellStyle="Normal"/>
    <tableColumn id="2" xr3:uid="{47F1FC28-5505-4967-A530-1946581D1749}" name="2-Z" dataCellStyle="Normal"/>
    <tableColumn id="3" xr3:uid="{CDFB9E0E-45F4-4B20-8DCB-C211AF435413}" name="Porcentaje Interal % Año 2-Z" dataCellStyle="Normal">
      <calculatedColumnFormula>(H2/25000)*100</calculatedColumnFormula>
    </tableColumn>
    <tableColumn id="4" xr3:uid="{1C9675E2-1727-4668-9B34-7B392D3A37DE}" name="2-Y" dataCellStyle="Normal"/>
    <tableColumn id="5" xr3:uid="{1FF80F92-2420-47EC-BEAC-91310A78E44F}" name="Porcentaje Interal % Año 2-Y" dataCellStyle="Normal">
      <calculatedColumnFormula>(J2/35000)*100</calculatedColumnFormula>
    </tableColumn>
  </tableColumns>
  <tableStyleInfo name="TableStyleDark1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70F80-2DEF-4D06-B151-52D1932675F9}" name="Tabla4" displayName="Tabla4" ref="A39:E73" totalsRowShown="0" headerRowDxfId="6">
  <autoFilter ref="A39:E73" xr:uid="{E385846E-52D1-472E-BB6D-2FFAD457C6EC}"/>
  <tableColumns count="5">
    <tableColumn id="1" xr3:uid="{4F4D4A44-8923-41EB-8070-A4A2704C2942}" name="Nombre"/>
    <tableColumn id="2" xr3:uid="{24B08618-DF58-49FD-B7EF-A3708F5E7627}" name="Formula" dataDxfId="9"/>
    <tableColumn id="3" xr3:uid="{E1714678-E93C-4F30-AD9A-AFE96FCE8C97}" name="Columna3" dataDxfId="8"/>
    <tableColumn id="4" xr3:uid="{7F6F50BB-501A-4CD8-B6F7-798F37978A30}" name="Datos"/>
    <tableColumn id="5" xr3:uid="{84C633BA-3603-4F0D-8933-69EDB7B831F5}" name="Resultado" dataDxfId="7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FF17A2-9E9A-4518-8E5F-6A3C9E4DC6FF}" name="Tabla5" displayName="Tabla5" ref="A76:F83" totalsRowShown="0" headerRowDxfId="0">
  <autoFilter ref="A76:F83" xr:uid="{3EF9B9D5-2014-4D86-AC7A-ADC82BE3C0BF}"/>
  <tableColumns count="6">
    <tableColumn id="1" xr3:uid="{CD48934B-F0A3-46AD-A4F8-AD6944510BB0}" name="Nombre" dataDxfId="5"/>
    <tableColumn id="2" xr3:uid="{8CD34B2F-671B-4EC6-BA01-3AA8F26C6EA1}" name="Formula" dataDxfId="4"/>
    <tableColumn id="3" xr3:uid="{2299BF5C-1A22-4292-AB03-0A0983F78201}" name="Formula2" dataDxfId="3"/>
    <tableColumn id="4" xr3:uid="{42378997-F6ED-4A7F-B85E-E918134E0B5C}" name="Datos"/>
    <tableColumn id="5" xr3:uid="{E490A016-D1E7-4370-9ADF-0A07EF7E4EC1}" name="Resultado" dataDxfId="2"/>
    <tableColumn id="6" xr3:uid="{1FA02D0E-0193-4392-8160-842B0108E9B8}" name="Año" dataDxfId="1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F09F-8E5E-4AE3-9638-F05078A248AC}">
  <dimension ref="A1:K83"/>
  <sheetViews>
    <sheetView tabSelected="1" zoomScaleNormal="100" workbookViewId="0">
      <selection activeCell="F20" sqref="F20"/>
    </sheetView>
  </sheetViews>
  <sheetFormatPr baseColWidth="10" defaultRowHeight="15" x14ac:dyDescent="0.25"/>
  <cols>
    <col min="1" max="1" width="45.140625" customWidth="1"/>
    <col min="2" max="2" width="12" style="1" customWidth="1"/>
    <col min="3" max="3" width="29.140625" style="1" customWidth="1"/>
    <col min="4" max="4" width="13.42578125" customWidth="1"/>
    <col min="5" max="5" width="28.85546875" customWidth="1"/>
    <col min="6" max="6" width="12" customWidth="1"/>
    <col min="7" max="7" width="41" customWidth="1"/>
    <col min="9" max="9" width="28.140625" customWidth="1"/>
    <col min="11" max="11" width="28.28515625" customWidth="1"/>
  </cols>
  <sheetData>
    <row r="1" spans="1:11" ht="15" customHeight="1" x14ac:dyDescent="0.25">
      <c r="A1" t="s">
        <v>0</v>
      </c>
      <c r="B1" t="s">
        <v>1</v>
      </c>
      <c r="C1" t="s">
        <v>53</v>
      </c>
      <c r="D1" t="s">
        <v>34</v>
      </c>
      <c r="E1" t="s">
        <v>54</v>
      </c>
      <c r="G1" t="s">
        <v>0</v>
      </c>
      <c r="H1" t="s">
        <v>1</v>
      </c>
      <c r="I1" t="s">
        <v>57</v>
      </c>
      <c r="J1" t="s">
        <v>34</v>
      </c>
      <c r="K1" t="s">
        <v>58</v>
      </c>
    </row>
    <row r="2" spans="1:11" ht="36" customHeight="1" x14ac:dyDescent="0.25">
      <c r="A2" t="s">
        <v>2</v>
      </c>
      <c r="B2" s="18" t="s">
        <v>3</v>
      </c>
      <c r="C2"/>
      <c r="D2" t="s">
        <v>55</v>
      </c>
      <c r="G2" t="s">
        <v>35</v>
      </c>
      <c r="H2" t="s">
        <v>3</v>
      </c>
      <c r="J2" t="s">
        <v>56</v>
      </c>
    </row>
    <row r="3" spans="1:11" x14ac:dyDescent="0.25">
      <c r="A3" t="s">
        <v>4</v>
      </c>
      <c r="B3"/>
      <c r="C3"/>
      <c r="G3" t="s">
        <v>36</v>
      </c>
      <c r="H3">
        <v>25000</v>
      </c>
      <c r="I3">
        <f>(H3/25000)*100</f>
        <v>100</v>
      </c>
      <c r="J3">
        <v>35000</v>
      </c>
      <c r="K3">
        <f>(J3/35000)*100</f>
        <v>100</v>
      </c>
    </row>
    <row r="4" spans="1:11" x14ac:dyDescent="0.25">
      <c r="A4" t="s">
        <v>5</v>
      </c>
      <c r="B4">
        <v>5772</v>
      </c>
      <c r="C4">
        <f>(B4/36422)*100</f>
        <v>15.847564658722749</v>
      </c>
      <c r="D4">
        <v>4350</v>
      </c>
      <c r="E4">
        <f>(D4/37020)*100</f>
        <v>11.750405186385738</v>
      </c>
      <c r="G4" t="s">
        <v>37</v>
      </c>
      <c r="H4">
        <v>105</v>
      </c>
      <c r="I4">
        <f>(H4/25000)*100</f>
        <v>0.42</v>
      </c>
      <c r="J4">
        <v>200</v>
      </c>
      <c r="K4">
        <f>(J4/35000)*100</f>
        <v>0.5714285714285714</v>
      </c>
    </row>
    <row r="5" spans="1:11" x14ac:dyDescent="0.25">
      <c r="A5" t="s">
        <v>6</v>
      </c>
      <c r="B5">
        <v>2000</v>
      </c>
      <c r="C5">
        <f>(B5/36422)*100</f>
        <v>5.4911866454340785</v>
      </c>
      <c r="D5">
        <v>1200</v>
      </c>
      <c r="E5">
        <f t="shared" ref="E5:E36" si="0">(D5/37020)*100</f>
        <v>3.2414910858995136</v>
      </c>
      <c r="G5" t="s">
        <v>38</v>
      </c>
      <c r="H5">
        <f>H3-H4</f>
        <v>24895</v>
      </c>
      <c r="I5">
        <f>(H5/25000)*100</f>
        <v>99.58</v>
      </c>
      <c r="J5">
        <f>J3-J4</f>
        <v>34800</v>
      </c>
      <c r="K5">
        <f>(J5/35000)*100</f>
        <v>99.428571428571431</v>
      </c>
    </row>
    <row r="6" spans="1:11" x14ac:dyDescent="0.25">
      <c r="A6" t="s">
        <v>7</v>
      </c>
      <c r="B6">
        <v>9000</v>
      </c>
      <c r="C6">
        <f>(B6/36422)*100</f>
        <v>24.710339904453352</v>
      </c>
      <c r="D6">
        <v>8000</v>
      </c>
      <c r="E6">
        <f t="shared" si="0"/>
        <v>21.609940572663426</v>
      </c>
      <c r="G6" t="s">
        <v>39</v>
      </c>
      <c r="H6">
        <v>10000</v>
      </c>
      <c r="I6">
        <f t="shared" ref="I6:I19" si="1">(H6/25000)*100</f>
        <v>40</v>
      </c>
      <c r="J6">
        <v>12000</v>
      </c>
      <c r="K6">
        <f>(J6/35000)*100</f>
        <v>34.285714285714285</v>
      </c>
    </row>
    <row r="7" spans="1:11" x14ac:dyDescent="0.25">
      <c r="A7" t="s">
        <v>8</v>
      </c>
      <c r="B7">
        <v>1200</v>
      </c>
      <c r="C7">
        <f>(B7/36422)*100</f>
        <v>3.2947119872604471</v>
      </c>
      <c r="D7">
        <v>1200</v>
      </c>
      <c r="E7">
        <f t="shared" si="0"/>
        <v>3.2414910858995136</v>
      </c>
      <c r="G7" t="s">
        <v>40</v>
      </c>
      <c r="H7">
        <f>H5-H6</f>
        <v>14895</v>
      </c>
      <c r="I7">
        <f t="shared" si="1"/>
        <v>59.58</v>
      </c>
      <c r="J7">
        <f>J5-J6</f>
        <v>22800</v>
      </c>
      <c r="K7">
        <f>(J7/35000)*100</f>
        <v>65.142857142857153</v>
      </c>
    </row>
    <row r="8" spans="1:11" x14ac:dyDescent="0.25">
      <c r="A8" t="s">
        <v>9</v>
      </c>
      <c r="B8">
        <f>B4+B5+B6+B7</f>
        <v>17972</v>
      </c>
      <c r="C8">
        <f>(B8/36422)*100</f>
        <v>49.343803195870628</v>
      </c>
      <c r="D8">
        <f>D4+D5+D6+D7</f>
        <v>14750</v>
      </c>
      <c r="E8">
        <f t="shared" si="0"/>
        <v>39.84332793084819</v>
      </c>
      <c r="G8" t="s">
        <v>41</v>
      </c>
      <c r="K8">
        <f>(J8/35000)*100</f>
        <v>0</v>
      </c>
    </row>
    <row r="9" spans="1:11" x14ac:dyDescent="0.25">
      <c r="B9"/>
      <c r="C9"/>
      <c r="G9" t="s">
        <v>42</v>
      </c>
      <c r="H9">
        <v>900</v>
      </c>
      <c r="I9">
        <f t="shared" si="1"/>
        <v>3.5999999999999996</v>
      </c>
      <c r="J9">
        <v>2000</v>
      </c>
      <c r="K9">
        <f>(J9/35000)*100</f>
        <v>5.7142857142857144</v>
      </c>
    </row>
    <row r="10" spans="1:11" x14ac:dyDescent="0.25">
      <c r="A10" t="s">
        <v>10</v>
      </c>
      <c r="B10">
        <v>10000</v>
      </c>
      <c r="C10">
        <f>(B10/36422)*100</f>
        <v>27.455933227170391</v>
      </c>
      <c r="D10">
        <v>13140</v>
      </c>
      <c r="E10">
        <f t="shared" si="0"/>
        <v>35.494327390599679</v>
      </c>
      <c r="G10" t="s">
        <v>43</v>
      </c>
      <c r="H10">
        <v>650</v>
      </c>
      <c r="I10">
        <f t="shared" si="1"/>
        <v>2.6</v>
      </c>
      <c r="J10">
        <v>1300</v>
      </c>
      <c r="K10">
        <f>(J10/35000)*100</f>
        <v>3.7142857142857144</v>
      </c>
    </row>
    <row r="11" spans="1:11" x14ac:dyDescent="0.25">
      <c r="A11" t="s">
        <v>11</v>
      </c>
      <c r="B11">
        <v>1200</v>
      </c>
      <c r="C11">
        <f>(B11/36422)*100</f>
        <v>3.2947119872604471</v>
      </c>
      <c r="D11">
        <v>1000</v>
      </c>
      <c r="E11">
        <f t="shared" si="0"/>
        <v>2.7012425715829282</v>
      </c>
      <c r="G11" t="s">
        <v>44</v>
      </c>
      <c r="H11">
        <f xml:space="preserve"> H7-H9-H10</f>
        <v>13345</v>
      </c>
      <c r="I11">
        <f t="shared" si="1"/>
        <v>53.38</v>
      </c>
      <c r="J11">
        <f>J7-J9-J10</f>
        <v>19500</v>
      </c>
      <c r="K11">
        <f>(J11/35000)*100</f>
        <v>55.714285714285715</v>
      </c>
    </row>
    <row r="12" spans="1:11" x14ac:dyDescent="0.25">
      <c r="A12" t="s">
        <v>12</v>
      </c>
      <c r="B12">
        <v>4500</v>
      </c>
      <c r="C12">
        <f>(B12/36422)*100</f>
        <v>12.355169952226676</v>
      </c>
      <c r="D12">
        <v>4500</v>
      </c>
      <c r="E12">
        <f t="shared" si="0"/>
        <v>12.155591572123177</v>
      </c>
      <c r="G12" t="s">
        <v>45</v>
      </c>
      <c r="K12">
        <f>(J12/35000)*100</f>
        <v>0</v>
      </c>
    </row>
    <row r="13" spans="1:11" x14ac:dyDescent="0.25">
      <c r="A13" t="s">
        <v>13</v>
      </c>
      <c r="B13">
        <v>650</v>
      </c>
      <c r="C13">
        <f>(B13/36422)*100</f>
        <v>1.7846356597660755</v>
      </c>
      <c r="D13">
        <v>350</v>
      </c>
      <c r="E13">
        <f t="shared" si="0"/>
        <v>0.94543490005402497</v>
      </c>
      <c r="G13" t="s">
        <v>46</v>
      </c>
      <c r="H13">
        <v>1332</v>
      </c>
      <c r="I13">
        <f t="shared" si="1"/>
        <v>5.3280000000000003</v>
      </c>
      <c r="J13">
        <v>1948</v>
      </c>
      <c r="K13">
        <f>(J13/35000)*100</f>
        <v>5.5657142857142858</v>
      </c>
    </row>
    <row r="14" spans="1:11" x14ac:dyDescent="0.25">
      <c r="A14" t="s">
        <v>14</v>
      </c>
      <c r="B14">
        <v>2100</v>
      </c>
      <c r="C14">
        <f>(B14/36422)*100</f>
        <v>5.765745977705782</v>
      </c>
      <c r="D14">
        <v>1800</v>
      </c>
      <c r="E14">
        <f t="shared" si="0"/>
        <v>4.8622366288492707</v>
      </c>
      <c r="G14" t="s">
        <v>47</v>
      </c>
      <c r="K14">
        <f>(J14/35000)*100</f>
        <v>0</v>
      </c>
    </row>
    <row r="15" spans="1:11" x14ac:dyDescent="0.25">
      <c r="A15" t="s">
        <v>15</v>
      </c>
      <c r="B15">
        <v>350</v>
      </c>
      <c r="C15">
        <f>(B15/36422)*100</f>
        <v>0.96095766295096374</v>
      </c>
      <c r="D15">
        <v>200</v>
      </c>
      <c r="E15">
        <f t="shared" si="0"/>
        <v>0.5402485143165856</v>
      </c>
      <c r="G15" t="s">
        <v>48</v>
      </c>
      <c r="H15">
        <v>24</v>
      </c>
      <c r="I15">
        <f t="shared" si="1"/>
        <v>9.6000000000000002E-2</v>
      </c>
      <c r="J15">
        <v>20</v>
      </c>
      <c r="K15">
        <f>(J15/35000)*100</f>
        <v>5.7142857142857148E-2</v>
      </c>
    </row>
    <row r="16" spans="1:11" x14ac:dyDescent="0.25">
      <c r="A16" t="s">
        <v>16</v>
      </c>
      <c r="B16">
        <v>3000</v>
      </c>
      <c r="C16">
        <f>(B16/36422)*100</f>
        <v>8.2367799681511169</v>
      </c>
      <c r="D16">
        <v>3000</v>
      </c>
      <c r="E16">
        <f t="shared" si="0"/>
        <v>8.1037277147487838</v>
      </c>
      <c r="G16" t="s">
        <v>49</v>
      </c>
      <c r="K16">
        <f>(J16/35000)*100</f>
        <v>0</v>
      </c>
    </row>
    <row r="17" spans="1:11" x14ac:dyDescent="0.25">
      <c r="A17" t="s">
        <v>17</v>
      </c>
      <c r="B17">
        <v>450</v>
      </c>
      <c r="C17">
        <f>(B17/36422)*100</f>
        <v>1.2355169952226677</v>
      </c>
      <c r="D17">
        <v>320</v>
      </c>
      <c r="E17">
        <f t="shared" si="0"/>
        <v>0.86439762290653699</v>
      </c>
      <c r="G17" t="s">
        <v>50</v>
      </c>
      <c r="H17">
        <f>H11-H13-H15</f>
        <v>11989</v>
      </c>
      <c r="I17">
        <f t="shared" si="1"/>
        <v>47.955999999999996</v>
      </c>
      <c r="J17">
        <f>J11-J13-J15</f>
        <v>17532</v>
      </c>
      <c r="K17">
        <f>(J17/35000)*100</f>
        <v>50.091428571428573</v>
      </c>
    </row>
    <row r="18" spans="1:11" x14ac:dyDescent="0.25">
      <c r="A18" t="s">
        <v>18</v>
      </c>
      <c r="B18">
        <v>1900</v>
      </c>
      <c r="C18">
        <f>(B18/36422)*100</f>
        <v>5.2166273131623742</v>
      </c>
      <c r="D18">
        <v>1900</v>
      </c>
      <c r="E18">
        <f t="shared" si="0"/>
        <v>5.1323608860075636</v>
      </c>
      <c r="G18" t="s">
        <v>51</v>
      </c>
      <c r="H18">
        <v>2399</v>
      </c>
      <c r="I18">
        <f t="shared" si="1"/>
        <v>9.5960000000000001</v>
      </c>
      <c r="J18">
        <v>5132</v>
      </c>
      <c r="K18">
        <f>(J18/35000)*100</f>
        <v>14.662857142857144</v>
      </c>
    </row>
    <row r="19" spans="1:11" x14ac:dyDescent="0.25">
      <c r="A19" t="s">
        <v>19</v>
      </c>
      <c r="B19">
        <v>400</v>
      </c>
      <c r="C19">
        <f>(B19/36422)*100</f>
        <v>1.0982373290868157</v>
      </c>
      <c r="D19">
        <v>200</v>
      </c>
      <c r="E19">
        <f t="shared" si="0"/>
        <v>0.5402485143165856</v>
      </c>
      <c r="G19" t="s">
        <v>52</v>
      </c>
      <c r="H19">
        <f>H17-H18</f>
        <v>9590</v>
      </c>
      <c r="I19">
        <f t="shared" si="1"/>
        <v>38.36</v>
      </c>
      <c r="J19">
        <f>J17-J18</f>
        <v>12400</v>
      </c>
      <c r="K19">
        <f>(J19/35000)*100</f>
        <v>35.428571428571423</v>
      </c>
    </row>
    <row r="20" spans="1:11" x14ac:dyDescent="0.25">
      <c r="A20" t="s">
        <v>20</v>
      </c>
      <c r="B20">
        <f>B10-B11+B12-B13+B14-B15+B16-B17+B18-B19</f>
        <v>18450</v>
      </c>
      <c r="C20">
        <f>(B20/36422)*100</f>
        <v>50.656196804129372</v>
      </c>
      <c r="D20">
        <f>D10-D11+D12-D13+D14-D15+D16-D17+D18-D19</f>
        <v>22270</v>
      </c>
      <c r="E20">
        <f t="shared" si="0"/>
        <v>60.15667206915181</v>
      </c>
    </row>
    <row r="21" spans="1:11" x14ac:dyDescent="0.25">
      <c r="A21" t="s">
        <v>21</v>
      </c>
      <c r="B21">
        <f>B8+B20</f>
        <v>36422</v>
      </c>
      <c r="C21">
        <f>(B21/36422)*100</f>
        <v>100</v>
      </c>
      <c r="D21">
        <f>D8+D20</f>
        <v>37020</v>
      </c>
      <c r="E21">
        <f t="shared" si="0"/>
        <v>100</v>
      </c>
    </row>
    <row r="22" spans="1:11" x14ac:dyDescent="0.25">
      <c r="B22"/>
      <c r="C22"/>
    </row>
    <row r="23" spans="1:11" x14ac:dyDescent="0.25">
      <c r="A23" t="s">
        <v>22</v>
      </c>
      <c r="B23"/>
      <c r="C23"/>
    </row>
    <row r="24" spans="1:11" x14ac:dyDescent="0.25">
      <c r="A24" t="s">
        <v>23</v>
      </c>
      <c r="B24">
        <v>1500</v>
      </c>
      <c r="C24">
        <f>(B24/36422)*100</f>
        <v>4.1183899840755585</v>
      </c>
      <c r="D24">
        <v>1100</v>
      </c>
      <c r="E24">
        <f t="shared" si="0"/>
        <v>2.9713668287412212</v>
      </c>
    </row>
    <row r="25" spans="1:11" x14ac:dyDescent="0.25">
      <c r="A25" t="s">
        <v>24</v>
      </c>
      <c r="B25">
        <v>1200</v>
      </c>
      <c r="C25">
        <f>(B25/36422)*100</f>
        <v>3.2947119872604471</v>
      </c>
      <c r="D25">
        <v>1430</v>
      </c>
      <c r="E25">
        <f t="shared" si="0"/>
        <v>3.8627768773635869</v>
      </c>
    </row>
    <row r="26" spans="1:11" x14ac:dyDescent="0.25">
      <c r="A26" t="s">
        <v>25</v>
      </c>
      <c r="B26">
        <v>1530</v>
      </c>
      <c r="C26">
        <f>(B26/36422)*100</f>
        <v>4.2007577837570693</v>
      </c>
      <c r="D26">
        <v>1650</v>
      </c>
      <c r="E26">
        <f t="shared" si="0"/>
        <v>4.4570502431118308</v>
      </c>
    </row>
    <row r="27" spans="1:11" x14ac:dyDescent="0.25">
      <c r="A27" t="s">
        <v>26</v>
      </c>
      <c r="B27">
        <f>B24+B25+B26</f>
        <v>4230</v>
      </c>
      <c r="C27">
        <f>(B27/36422)*100</f>
        <v>11.613859755093076</v>
      </c>
      <c r="D27">
        <f>D24+D25+D26</f>
        <v>4180</v>
      </c>
      <c r="E27">
        <f t="shared" si="0"/>
        <v>11.291193949216639</v>
      </c>
    </row>
    <row r="28" spans="1:11" x14ac:dyDescent="0.25">
      <c r="B28"/>
      <c r="C28"/>
    </row>
    <row r="29" spans="1:11" x14ac:dyDescent="0.25">
      <c r="A29" t="s">
        <v>27</v>
      </c>
      <c r="B29"/>
      <c r="C29"/>
    </row>
    <row r="30" spans="1:11" x14ac:dyDescent="0.25">
      <c r="A30" t="s">
        <v>28</v>
      </c>
      <c r="B30">
        <v>16840</v>
      </c>
      <c r="C30">
        <f>(B30/36422)*100</f>
        <v>46.235791554554936</v>
      </c>
      <c r="D30">
        <v>16840</v>
      </c>
      <c r="E30">
        <f t="shared" si="0"/>
        <v>45.488924905456514</v>
      </c>
    </row>
    <row r="31" spans="1:11" x14ac:dyDescent="0.25">
      <c r="A31" t="s">
        <v>29</v>
      </c>
      <c r="B31">
        <v>1410</v>
      </c>
      <c r="C31">
        <f>(B31/36422)*100</f>
        <v>3.871286585031025</v>
      </c>
      <c r="D31">
        <v>1200</v>
      </c>
      <c r="E31">
        <f t="shared" si="0"/>
        <v>3.2414910858995136</v>
      </c>
    </row>
    <row r="32" spans="1:11" x14ac:dyDescent="0.25">
      <c r="A32" t="s">
        <v>30</v>
      </c>
      <c r="B32">
        <v>4352</v>
      </c>
      <c r="C32">
        <f>(B32/36422)*100</f>
        <v>11.948822140464554</v>
      </c>
      <c r="D32">
        <v>2400</v>
      </c>
      <c r="E32">
        <f t="shared" si="0"/>
        <v>6.4829821717990272</v>
      </c>
    </row>
    <row r="33" spans="1:6" x14ac:dyDescent="0.25">
      <c r="A33" t="s">
        <v>31</v>
      </c>
      <c r="B33">
        <v>9590</v>
      </c>
      <c r="C33">
        <f>(B33/36422)*100</f>
        <v>26.330239964856407</v>
      </c>
      <c r="D33">
        <v>12400</v>
      </c>
      <c r="E33">
        <f t="shared" si="0"/>
        <v>33.495407887628311</v>
      </c>
    </row>
    <row r="34" spans="1:6" x14ac:dyDescent="0.25">
      <c r="A34" t="s">
        <v>32</v>
      </c>
      <c r="B34">
        <f>B30+B31+B32+B33</f>
        <v>32192</v>
      </c>
      <c r="C34">
        <f>(B34/36422)*100</f>
        <v>88.386140244906926</v>
      </c>
      <c r="D34">
        <f>D30+D31+D32+D33</f>
        <v>32840</v>
      </c>
      <c r="E34">
        <f t="shared" si="0"/>
        <v>88.708806050783366</v>
      </c>
    </row>
    <row r="35" spans="1:6" x14ac:dyDescent="0.25">
      <c r="B35"/>
      <c r="C35"/>
    </row>
    <row r="36" spans="1:6" x14ac:dyDescent="0.25">
      <c r="A36" t="s">
        <v>33</v>
      </c>
      <c r="B36">
        <f>B27+B34</f>
        <v>36422</v>
      </c>
      <c r="C36">
        <f>(B36/36422)*100</f>
        <v>100</v>
      </c>
      <c r="D36">
        <f>D27+D34</f>
        <v>37020</v>
      </c>
      <c r="E36">
        <f t="shared" si="0"/>
        <v>100</v>
      </c>
    </row>
    <row r="39" spans="1:6" x14ac:dyDescent="0.25">
      <c r="A39" s="2" t="s">
        <v>83</v>
      </c>
      <c r="B39" s="2" t="s">
        <v>82</v>
      </c>
      <c r="C39" s="2" t="s">
        <v>80</v>
      </c>
      <c r="D39" s="2" t="s">
        <v>85</v>
      </c>
      <c r="E39" s="2" t="s">
        <v>86</v>
      </c>
    </row>
    <row r="40" spans="1:6" x14ac:dyDescent="0.25">
      <c r="A40" s="6" t="s">
        <v>84</v>
      </c>
      <c r="B40" s="2"/>
      <c r="C40" s="2"/>
      <c r="D40" s="2"/>
      <c r="E40" s="2"/>
    </row>
    <row r="41" spans="1:6" ht="15.75" thickBot="1" x14ac:dyDescent="0.3">
      <c r="A41" s="2" t="s">
        <v>65</v>
      </c>
      <c r="B41" s="2"/>
      <c r="C41" s="2"/>
      <c r="D41" s="2"/>
      <c r="E41" s="2"/>
      <c r="F41" s="4"/>
    </row>
    <row r="42" spans="1:6" x14ac:dyDescent="0.25">
      <c r="A42" s="16" t="s">
        <v>59</v>
      </c>
      <c r="B42" s="9"/>
      <c r="C42" s="10"/>
      <c r="D42" s="5">
        <f>(B8)</f>
        <v>17972</v>
      </c>
      <c r="E42" s="11">
        <f>(D42/D43)</f>
        <v>4.2486997635933808</v>
      </c>
      <c r="F42" s="7"/>
    </row>
    <row r="43" spans="1:6" ht="15.75" thickBot="1" x14ac:dyDescent="0.3">
      <c r="A43" s="16"/>
      <c r="B43" s="12"/>
      <c r="C43" s="13"/>
      <c r="D43" s="5">
        <f>(B27)</f>
        <v>4230</v>
      </c>
      <c r="E43" s="11"/>
    </row>
    <row r="44" spans="1:6" x14ac:dyDescent="0.25">
      <c r="A44" s="6" t="s">
        <v>60</v>
      </c>
      <c r="B44" s="17"/>
      <c r="C44" s="17"/>
      <c r="D44" s="5">
        <f>D42 - B6</f>
        <v>8972</v>
      </c>
      <c r="E44" s="11">
        <f>(D44/D45)</f>
        <v>2.1210401891252957</v>
      </c>
    </row>
    <row r="45" spans="1:6" x14ac:dyDescent="0.25">
      <c r="A45" s="6"/>
      <c r="B45" s="3"/>
      <c r="C45" s="3"/>
      <c r="D45" s="5">
        <f>D43</f>
        <v>4230</v>
      </c>
      <c r="E45" s="11"/>
    </row>
    <row r="46" spans="1:6" x14ac:dyDescent="0.25">
      <c r="A46" s="6" t="s">
        <v>61</v>
      </c>
      <c r="B46" s="3"/>
      <c r="C46" s="3"/>
      <c r="D46" s="6" t="s">
        <v>62</v>
      </c>
      <c r="E46" s="14">
        <f>(D42-D43)</f>
        <v>13742</v>
      </c>
    </row>
    <row r="47" spans="1:6" x14ac:dyDescent="0.25">
      <c r="A47" s="6"/>
      <c r="B47" s="3"/>
      <c r="C47" s="3"/>
      <c r="D47" s="6"/>
      <c r="E47" s="11"/>
    </row>
    <row r="48" spans="1:6" x14ac:dyDescent="0.25">
      <c r="A48" s="6" t="s">
        <v>63</v>
      </c>
      <c r="B48" s="3" t="s">
        <v>64</v>
      </c>
      <c r="C48" s="3"/>
      <c r="D48" s="2"/>
    </row>
    <row r="49" spans="1:5" x14ac:dyDescent="0.25">
      <c r="A49" s="6"/>
      <c r="B49" s="3"/>
      <c r="C49" s="3"/>
      <c r="D49" s="2"/>
    </row>
    <row r="50" spans="1:5" x14ac:dyDescent="0.25">
      <c r="A50" s="6" t="s">
        <v>66</v>
      </c>
      <c r="B50" s="6"/>
      <c r="C50" s="6"/>
      <c r="D50" s="6"/>
      <c r="E50" s="6"/>
    </row>
    <row r="51" spans="1:5" x14ac:dyDescent="0.25">
      <c r="A51" s="6"/>
      <c r="B51" s="6"/>
      <c r="C51" s="6"/>
      <c r="D51" s="6"/>
      <c r="E51" s="6"/>
    </row>
    <row r="52" spans="1:5" x14ac:dyDescent="0.25">
      <c r="A52" s="8" t="s">
        <v>67</v>
      </c>
      <c r="B52" s="3"/>
      <c r="C52" s="3"/>
      <c r="D52">
        <f>B27</f>
        <v>4230</v>
      </c>
      <c r="E52" s="11">
        <f>D52/D53</f>
        <v>0.11613859755093076</v>
      </c>
    </row>
    <row r="53" spans="1:5" x14ac:dyDescent="0.25">
      <c r="A53" s="8"/>
      <c r="B53" s="3"/>
      <c r="C53" s="3"/>
      <c r="D53">
        <f>B21</f>
        <v>36422</v>
      </c>
      <c r="E53" s="11"/>
    </row>
    <row r="54" spans="1:5" x14ac:dyDescent="0.25">
      <c r="A54" t="s">
        <v>68</v>
      </c>
      <c r="B54" s="3"/>
      <c r="C54" s="3"/>
      <c r="D54">
        <f>H11</f>
        <v>13345</v>
      </c>
    </row>
    <row r="55" spans="1:5" x14ac:dyDescent="0.25">
      <c r="B55" s="3"/>
      <c r="C55" s="3"/>
    </row>
    <row r="56" spans="1:5" x14ac:dyDescent="0.25">
      <c r="A56" s="2" t="s">
        <v>69</v>
      </c>
      <c r="B56" s="2"/>
      <c r="C56" s="2"/>
      <c r="D56" s="2"/>
      <c r="E56" s="2"/>
    </row>
    <row r="57" spans="1:5" x14ac:dyDescent="0.25">
      <c r="A57" s="6" t="s">
        <v>70</v>
      </c>
      <c r="B57" s="3"/>
      <c r="C57" s="3"/>
      <c r="D57">
        <f>H19</f>
        <v>9590</v>
      </c>
      <c r="E57" s="11">
        <f>D57/D58</f>
        <v>0.38521791524402488</v>
      </c>
    </row>
    <row r="58" spans="1:5" x14ac:dyDescent="0.25">
      <c r="A58" s="6"/>
      <c r="B58" s="3"/>
      <c r="C58" s="3"/>
      <c r="D58">
        <f>H5</f>
        <v>24895</v>
      </c>
      <c r="E58" s="11"/>
    </row>
    <row r="59" spans="1:5" x14ac:dyDescent="0.25">
      <c r="A59" s="6" t="s">
        <v>27</v>
      </c>
      <c r="B59" s="3"/>
      <c r="C59" s="3"/>
      <c r="D59">
        <f>D57</f>
        <v>9590</v>
      </c>
      <c r="E59" s="11">
        <f>D59/D60</f>
        <v>0.29790009940357853</v>
      </c>
    </row>
    <row r="60" spans="1:5" x14ac:dyDescent="0.25">
      <c r="A60" s="6"/>
      <c r="B60" s="3"/>
      <c r="C60" s="3"/>
      <c r="D60">
        <f>B34</f>
        <v>32192</v>
      </c>
      <c r="E60" s="11"/>
    </row>
    <row r="61" spans="1:5" x14ac:dyDescent="0.25">
      <c r="A61" s="6" t="s">
        <v>71</v>
      </c>
      <c r="B61" s="3"/>
      <c r="C61" s="3"/>
      <c r="D61">
        <f>D57</f>
        <v>9590</v>
      </c>
      <c r="E61" s="11">
        <f>D61/D62</f>
        <v>0.26330239964856406</v>
      </c>
    </row>
    <row r="62" spans="1:5" x14ac:dyDescent="0.25">
      <c r="A62" s="6"/>
      <c r="B62" s="3"/>
      <c r="C62" s="3"/>
      <c r="D62">
        <f>B21</f>
        <v>36422</v>
      </c>
      <c r="E62" s="11"/>
    </row>
    <row r="63" spans="1:5" x14ac:dyDescent="0.25">
      <c r="A63" s="2" t="s">
        <v>72</v>
      </c>
      <c r="B63" s="2"/>
      <c r="C63" s="2"/>
      <c r="D63" s="2"/>
      <c r="E63" s="2"/>
    </row>
    <row r="64" spans="1:5" x14ac:dyDescent="0.25">
      <c r="A64" s="6" t="s">
        <v>73</v>
      </c>
      <c r="B64" s="3"/>
      <c r="C64" s="3"/>
      <c r="D64" t="s">
        <v>74</v>
      </c>
      <c r="E64" s="15">
        <f>(2000+1200)/2/D66/360</f>
        <v>1.785275936711968E-4</v>
      </c>
    </row>
    <row r="65" spans="1:6" x14ac:dyDescent="0.25">
      <c r="A65" s="6"/>
      <c r="B65" s="3"/>
      <c r="C65" s="3"/>
      <c r="D65">
        <v>2</v>
      </c>
      <c r="E65" s="15"/>
    </row>
    <row r="66" spans="1:6" x14ac:dyDescent="0.25">
      <c r="A66" s="6"/>
      <c r="B66" s="3"/>
      <c r="C66" s="3"/>
      <c r="D66">
        <f>D58</f>
        <v>24895</v>
      </c>
      <c r="E66" s="15"/>
    </row>
    <row r="67" spans="1:6" x14ac:dyDescent="0.25">
      <c r="A67" t="s">
        <v>75</v>
      </c>
      <c r="B67" s="3"/>
      <c r="C67" s="3"/>
      <c r="D67">
        <f>B6</f>
        <v>9000</v>
      </c>
      <c r="E67" s="15">
        <f>D67/2/D69/350</f>
        <v>5.1645482454881926E-4</v>
      </c>
    </row>
    <row r="68" spans="1:6" x14ac:dyDescent="0.25">
      <c r="B68" s="3"/>
      <c r="C68" s="3"/>
      <c r="E68" s="15"/>
    </row>
    <row r="69" spans="1:6" x14ac:dyDescent="0.25">
      <c r="B69" s="3"/>
      <c r="C69" s="3"/>
      <c r="D69">
        <f>D58</f>
        <v>24895</v>
      </c>
      <c r="E69" s="15"/>
    </row>
    <row r="70" spans="1:6" x14ac:dyDescent="0.25">
      <c r="A70" t="s">
        <v>76</v>
      </c>
      <c r="B70" s="3"/>
      <c r="C70" s="3"/>
      <c r="D70">
        <f>D69</f>
        <v>24895</v>
      </c>
      <c r="E70" s="11">
        <f>D70/D71</f>
        <v>1.3493224932249321</v>
      </c>
    </row>
    <row r="71" spans="1:6" x14ac:dyDescent="0.25">
      <c r="B71" s="3"/>
      <c r="C71" s="3"/>
      <c r="D71">
        <f>B20</f>
        <v>18450</v>
      </c>
      <c r="E71" s="11"/>
    </row>
    <row r="72" spans="1:6" x14ac:dyDescent="0.25">
      <c r="A72" t="s">
        <v>77</v>
      </c>
      <c r="B72" s="3"/>
      <c r="C72" s="3"/>
      <c r="D72">
        <f>D70</f>
        <v>24895</v>
      </c>
      <c r="E72" s="11">
        <f>D72/D73</f>
        <v>0.68351545769040689</v>
      </c>
    </row>
    <row r="73" spans="1:6" x14ac:dyDescent="0.25">
      <c r="B73" s="3"/>
      <c r="C73" s="3"/>
      <c r="D73">
        <f>B21</f>
        <v>36422</v>
      </c>
      <c r="E73" s="11"/>
    </row>
    <row r="74" spans="1:6" x14ac:dyDescent="0.25">
      <c r="B74" s="3"/>
      <c r="C74" s="3"/>
      <c r="E74" s="11"/>
    </row>
    <row r="75" spans="1:6" x14ac:dyDescent="0.25">
      <c r="B75" s="3"/>
      <c r="C75" s="3"/>
      <c r="E75" s="11"/>
    </row>
    <row r="76" spans="1:6" x14ac:dyDescent="0.25">
      <c r="A76" s="2" t="s">
        <v>83</v>
      </c>
      <c r="B76" s="2" t="s">
        <v>82</v>
      </c>
      <c r="C76" s="2" t="s">
        <v>87</v>
      </c>
      <c r="D76" s="2" t="s">
        <v>85</v>
      </c>
      <c r="E76" s="2" t="s">
        <v>86</v>
      </c>
      <c r="F76" t="s">
        <v>88</v>
      </c>
    </row>
    <row r="77" spans="1:6" x14ac:dyDescent="0.25">
      <c r="A77" s="2" t="s">
        <v>78</v>
      </c>
      <c r="B77" s="2"/>
      <c r="C77" s="2"/>
      <c r="D77" s="2"/>
      <c r="E77" s="2"/>
    </row>
    <row r="78" spans="1:6" x14ac:dyDescent="0.25">
      <c r="A78" s="6" t="s">
        <v>79</v>
      </c>
      <c r="B78" s="3"/>
      <c r="C78" s="3"/>
      <c r="D78">
        <f>D61</f>
        <v>9590</v>
      </c>
      <c r="E78" s="11">
        <f>D78/D79</f>
        <v>0.26330239964856406</v>
      </c>
      <c r="F78" s="6" t="s">
        <v>1</v>
      </c>
    </row>
    <row r="79" spans="1:6" x14ac:dyDescent="0.25">
      <c r="A79" s="6"/>
      <c r="B79" s="3"/>
      <c r="C79" s="3"/>
      <c r="D79">
        <f>B21</f>
        <v>36422</v>
      </c>
      <c r="E79" s="11"/>
      <c r="F79" s="6"/>
    </row>
    <row r="80" spans="1:6" x14ac:dyDescent="0.25">
      <c r="A80" s="6"/>
      <c r="B80" s="3"/>
      <c r="C80" s="3"/>
      <c r="E80" s="11"/>
      <c r="F80" s="6"/>
    </row>
    <row r="81" spans="1:6" x14ac:dyDescent="0.25">
      <c r="A81" s="6" t="s">
        <v>79</v>
      </c>
      <c r="B81" s="3"/>
      <c r="C81" s="3"/>
      <c r="D81">
        <f>H19</f>
        <v>9590</v>
      </c>
      <c r="E81" s="11">
        <f>D81/D82</f>
        <v>0.25904916261480282</v>
      </c>
      <c r="F81" s="6" t="s">
        <v>89</v>
      </c>
    </row>
    <row r="82" spans="1:6" x14ac:dyDescent="0.25">
      <c r="A82" s="6"/>
      <c r="B82" s="3"/>
      <c r="C82" s="3"/>
      <c r="D82">
        <f>D21</f>
        <v>37020</v>
      </c>
      <c r="E82" s="11"/>
      <c r="F82" s="6"/>
    </row>
    <row r="83" spans="1:6" x14ac:dyDescent="0.25">
      <c r="A83" s="6"/>
      <c r="B83" s="3"/>
      <c r="C83" s="3"/>
      <c r="E83" s="11"/>
      <c r="F83" s="6"/>
    </row>
  </sheetData>
  <pageMargins left="0.7" right="0.7" top="0.75" bottom="0.75" header="0.3" footer="0.3"/>
  <pageSetup orientation="portrait" horizontalDpi="300" verticalDpi="300" r:id="rId1"/>
  <drawing r:id="rId2"/>
  <legacyDrawing r:id="rId3"/>
  <tableParts count="4"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silva</dc:creator>
  <cp:lastModifiedBy>noe silva</cp:lastModifiedBy>
  <dcterms:created xsi:type="dcterms:W3CDTF">2020-03-26T18:46:38Z</dcterms:created>
  <dcterms:modified xsi:type="dcterms:W3CDTF">2020-03-26T23:09:28Z</dcterms:modified>
</cp:coreProperties>
</file>