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M:\AVANISTA GROUP\COMPTA\TABLEAU DE GESTION\31-12-2019\"/>
    </mc:Choice>
  </mc:AlternateContent>
  <bookViews>
    <workbookView showHorizontalScroll="0" showVerticalScroll="0" xWindow="-120" yWindow="-120" windowWidth="29040" windowHeight="15840" tabRatio="1000"/>
  </bookViews>
  <sheets>
    <sheet name="SYNTHESE GROUPE 2019" sheetId="50" r:id="rId1"/>
    <sheet name="AVANISTA GROUP - BP 2022" sheetId="46" r:id="rId2"/>
    <sheet name="AVANISTA - BP 2022" sheetId="61" r:id="rId3"/>
    <sheet name="AVANISTA INGENIERIE - BP 2022" sheetId="63" r:id="rId4"/>
    <sheet name="VARIABLE" sheetId="57" state="hidden" r:id="rId5"/>
    <sheet name="AVANISTA GROUP - MS 2019 à 2022" sheetId="58" state="hidden" r:id="rId6"/>
    <sheet name="AVANISTA - MS 2019 à 2022" sheetId="62" state="hidden" r:id="rId7"/>
    <sheet name="AVANISTA INGE - MS 2019 à 2022" sheetId="64" state="hidden" r:id="rId8"/>
  </sheets>
  <externalReferences>
    <externalReference r:id="rId9"/>
    <externalReference r:id="rId10"/>
  </externalReferences>
  <definedNames>
    <definedName name="Activité">[1]Feuil2!$C$13:$C$16</definedName>
    <definedName name="Environnement">[1]Feuil2!$B$13:$B$20</definedName>
    <definedName name="Etat">[1]Feuil2!$B$4:$B$9</definedName>
    <definedName name="exp">[1]Feuil2!$F$4:$F$8</definedName>
    <definedName name="f">[2]Feuil2!$C$13:$C$16</definedName>
    <definedName name="MGR">[1]Feuil2!$D$4:$D$22</definedName>
  </definedNames>
  <calcPr calcId="162913"/>
</workbook>
</file>

<file path=xl/calcChain.xml><?xml version="1.0" encoding="utf-8"?>
<calcChain xmlns="http://schemas.openxmlformats.org/spreadsheetml/2006/main">
  <c r="Q8" i="50" l="1"/>
  <c r="N61" i="63" l="1"/>
  <c r="N63" i="63"/>
  <c r="N63" i="61"/>
  <c r="N61" i="61"/>
  <c r="T17" i="50"/>
  <c r="R17" i="50"/>
  <c r="Q15" i="50"/>
  <c r="R15" i="50"/>
  <c r="S23" i="50"/>
  <c r="Q23" i="50"/>
  <c r="S31" i="50"/>
  <c r="Q31" i="50"/>
  <c r="Q35" i="50"/>
  <c r="S11" i="50"/>
  <c r="Q11" i="50"/>
  <c r="S8" i="50"/>
  <c r="O13" i="46"/>
  <c r="O12" i="46"/>
  <c r="O51" i="46"/>
  <c r="P55" i="46"/>
  <c r="N107" i="61"/>
  <c r="D19" i="50" l="1"/>
  <c r="D35" i="50"/>
  <c r="D33" i="50"/>
  <c r="N8" i="50"/>
  <c r="N37" i="61" l="1"/>
  <c r="O22" i="46" l="1"/>
  <c r="L22" i="46"/>
  <c r="O59" i="46"/>
  <c r="O60" i="46"/>
  <c r="O96" i="46"/>
  <c r="D31" i="50" s="1"/>
  <c r="O53" i="46"/>
  <c r="O24" i="46"/>
  <c r="O15" i="46"/>
  <c r="O16" i="46"/>
  <c r="O10" i="46"/>
  <c r="O9" i="46"/>
  <c r="O99" i="46"/>
  <c r="P80" i="46"/>
  <c r="O74" i="46"/>
  <c r="D23" i="50" s="1"/>
  <c r="P76" i="46"/>
  <c r="O45" i="46"/>
  <c r="O20" i="46"/>
  <c r="D13" i="50" s="1"/>
  <c r="L13" i="46"/>
  <c r="P59" i="46" l="1"/>
  <c r="O7" i="46"/>
  <c r="D21" i="50"/>
  <c r="P74" i="46" l="1"/>
  <c r="D8" i="50"/>
  <c r="T11" i="50" s="1"/>
  <c r="P45" i="46"/>
  <c r="P20" i="46"/>
  <c r="E13" i="50" s="1"/>
  <c r="P51" i="46"/>
  <c r="O86" i="46"/>
  <c r="D26" i="50" s="1"/>
  <c r="P86" i="46" l="1"/>
  <c r="E26" i="50" s="1"/>
  <c r="O94" i="46"/>
  <c r="D29" i="50" s="1"/>
  <c r="O85" i="46"/>
  <c r="N13" i="61"/>
  <c r="P85" i="46" l="1"/>
  <c r="E25" i="50" s="1"/>
  <c r="D25" i="50"/>
  <c r="P94" i="46"/>
  <c r="E29" i="50" s="1"/>
  <c r="O105" i="46"/>
  <c r="O93" i="46"/>
  <c r="P105" i="46" l="1"/>
  <c r="E37" i="50" s="1"/>
  <c r="D37" i="50"/>
  <c r="P93" i="46"/>
  <c r="E28" i="50" s="1"/>
  <c r="D28" i="50"/>
  <c r="O37" i="61"/>
  <c r="N10" i="61"/>
  <c r="N33" i="61" s="1"/>
  <c r="O33" i="61" l="1"/>
  <c r="O34" i="61" l="1"/>
  <c r="Z38" i="63" l="1"/>
  <c r="AA38" i="63"/>
  <c r="Y38" i="63"/>
  <c r="Y40" i="63" s="1"/>
  <c r="Z40" i="63" s="1"/>
  <c r="AA35" i="63"/>
  <c r="Z35" i="63"/>
  <c r="Y35" i="63"/>
  <c r="Y17" i="63"/>
  <c r="X17" i="63"/>
  <c r="O17" i="63"/>
  <c r="N34" i="61"/>
  <c r="N30" i="63"/>
  <c r="N41" i="63"/>
  <c r="N74" i="61"/>
  <c r="N34" i="63"/>
  <c r="N17" i="50" l="1"/>
  <c r="I17" i="50"/>
  <c r="I15" i="50"/>
  <c r="N107" i="63"/>
  <c r="N33" i="50" s="1"/>
  <c r="N10" i="63"/>
  <c r="Y18" i="63" s="1"/>
  <c r="I33" i="50"/>
  <c r="L78" i="46" l="1"/>
  <c r="L42" i="46"/>
  <c r="L31" i="46"/>
  <c r="L24" i="46"/>
  <c r="L16" i="46"/>
  <c r="L15" i="46"/>
  <c r="N105" i="63"/>
  <c r="N31" i="50" s="1"/>
  <c r="N74" i="63"/>
  <c r="N21" i="50" s="1"/>
  <c r="N55" i="63"/>
  <c r="N15" i="50"/>
  <c r="S15" i="50" s="1"/>
  <c r="T15" i="50" s="1"/>
  <c r="N46" i="63"/>
  <c r="N35" i="63"/>
  <c r="O35" i="63" s="1"/>
  <c r="N13" i="63"/>
  <c r="R57" i="61"/>
  <c r="T57" i="61" s="1"/>
  <c r="R71" i="61"/>
  <c r="T71" i="61" s="1"/>
  <c r="V71" i="61" s="1"/>
  <c r="R105" i="61"/>
  <c r="T105" i="61" s="1"/>
  <c r="V105" i="61" s="1"/>
  <c r="N65" i="61"/>
  <c r="I19" i="50" s="1"/>
  <c r="S19" i="50" s="1"/>
  <c r="I21" i="50"/>
  <c r="S21" i="50" s="1"/>
  <c r="N55" i="61"/>
  <c r="N46" i="61"/>
  <c r="N8" i="61"/>
  <c r="N105" i="61"/>
  <c r="I31" i="50" s="1"/>
  <c r="I81" i="61"/>
  <c r="N52" i="61"/>
  <c r="N48" i="61"/>
  <c r="N16" i="61"/>
  <c r="L10" i="46"/>
  <c r="L9" i="46"/>
  <c r="L7" i="46" s="1"/>
  <c r="R49" i="46"/>
  <c r="R47" i="46"/>
  <c r="R39" i="46"/>
  <c r="T39" i="46" s="1"/>
  <c r="R40" i="46"/>
  <c r="T40" i="46" s="1"/>
  <c r="V40" i="46" s="1"/>
  <c r="R41" i="46"/>
  <c r="T41" i="46" s="1"/>
  <c r="V41" i="46" s="1"/>
  <c r="R42" i="46"/>
  <c r="T42" i="46" s="1"/>
  <c r="V42" i="46" s="1"/>
  <c r="R38" i="46"/>
  <c r="T38" i="46" s="1"/>
  <c r="V38" i="46" s="1"/>
  <c r="R26" i="46"/>
  <c r="T26" i="46" s="1"/>
  <c r="R27" i="46"/>
  <c r="T27" i="46" s="1"/>
  <c r="V27" i="46" s="1"/>
  <c r="R28" i="46"/>
  <c r="T28" i="46" s="1"/>
  <c r="R29" i="46"/>
  <c r="T29" i="46" s="1"/>
  <c r="R30" i="46"/>
  <c r="T30" i="46" s="1"/>
  <c r="V30" i="46" s="1"/>
  <c r="R31" i="46"/>
  <c r="T31" i="46" s="1"/>
  <c r="R25" i="46"/>
  <c r="T25" i="46" s="1"/>
  <c r="V25" i="46" s="1"/>
  <c r="R24" i="46"/>
  <c r="R23" i="46"/>
  <c r="R22" i="46"/>
  <c r="T22" i="46" s="1"/>
  <c r="V22" i="46" s="1"/>
  <c r="R9" i="46"/>
  <c r="L20" i="46"/>
  <c r="L45" i="46"/>
  <c r="L51" i="46"/>
  <c r="L74" i="46"/>
  <c r="L99" i="46"/>
  <c r="L96" i="46" s="1"/>
  <c r="M80" i="46"/>
  <c r="M76" i="46"/>
  <c r="M59" i="46"/>
  <c r="M55" i="46"/>
  <c r="F9" i="46"/>
  <c r="F10" i="46"/>
  <c r="F12" i="46"/>
  <c r="F13" i="46"/>
  <c r="F15" i="46"/>
  <c r="F16" i="46"/>
  <c r="F24" i="46"/>
  <c r="F26" i="46"/>
  <c r="F31" i="46"/>
  <c r="F38" i="46"/>
  <c r="F20" i="46"/>
  <c r="B13" i="50" s="1"/>
  <c r="F45" i="46"/>
  <c r="F55" i="46"/>
  <c r="F59" i="46"/>
  <c r="F51" i="46"/>
  <c r="F76" i="46"/>
  <c r="G76" i="46" s="1"/>
  <c r="F80" i="46"/>
  <c r="G80" i="46" s="1"/>
  <c r="I81" i="46" s="1"/>
  <c r="J80" i="46" s="1"/>
  <c r="F77" i="46"/>
  <c r="F78" i="46"/>
  <c r="F82" i="46"/>
  <c r="F74" i="46"/>
  <c r="B23" i="50" s="1"/>
  <c r="B65" i="61"/>
  <c r="G19" i="50" s="1"/>
  <c r="Q19" i="50" s="1"/>
  <c r="B74" i="61"/>
  <c r="G21" i="50" s="1"/>
  <c r="R32" i="46"/>
  <c r="R34" i="46"/>
  <c r="R13" i="46" s="1"/>
  <c r="Q63" i="63" s="1"/>
  <c r="R37" i="46"/>
  <c r="R10" i="46"/>
  <c r="Q61" i="63" s="1"/>
  <c r="R15" i="46"/>
  <c r="R16" i="46"/>
  <c r="R54" i="46"/>
  <c r="R53" i="46" s="1"/>
  <c r="G59" i="46"/>
  <c r="R62" i="46"/>
  <c r="R63" i="46" s="1"/>
  <c r="R55" i="46"/>
  <c r="R60" i="46"/>
  <c r="R61" i="46"/>
  <c r="R78" i="46"/>
  <c r="R76" i="46"/>
  <c r="R82" i="46"/>
  <c r="R80" i="46"/>
  <c r="I15" i="46"/>
  <c r="I16" i="46"/>
  <c r="I10" i="46"/>
  <c r="I81" i="63"/>
  <c r="H7" i="58"/>
  <c r="I59" i="46"/>
  <c r="I78" i="46"/>
  <c r="I49" i="46"/>
  <c r="I47" i="46"/>
  <c r="I45" i="46" s="1"/>
  <c r="H24" i="61"/>
  <c r="H49" i="61"/>
  <c r="H7" i="64"/>
  <c r="I99" i="46"/>
  <c r="I96" i="46"/>
  <c r="H52" i="63"/>
  <c r="H50" i="63"/>
  <c r="H105" i="61"/>
  <c r="H7" i="62"/>
  <c r="H9" i="58"/>
  <c r="I9" i="46"/>
  <c r="I12" i="46"/>
  <c r="H61" i="61"/>
  <c r="I26" i="57"/>
  <c r="I82" i="46"/>
  <c r="I55" i="46"/>
  <c r="I31" i="46"/>
  <c r="I26" i="46"/>
  <c r="I24" i="46"/>
  <c r="H107" i="61"/>
  <c r="H10" i="61"/>
  <c r="H55" i="61"/>
  <c r="I35" i="61"/>
  <c r="H10" i="63"/>
  <c r="I48" i="63" s="1"/>
  <c r="J59" i="46"/>
  <c r="I51" i="46"/>
  <c r="I20" i="46"/>
  <c r="I13" i="46"/>
  <c r="F101" i="46"/>
  <c r="H44" i="61"/>
  <c r="R44" i="61" s="1"/>
  <c r="J55" i="46"/>
  <c r="H95" i="61"/>
  <c r="H78" i="61"/>
  <c r="I78" i="61" s="1"/>
  <c r="H67" i="61"/>
  <c r="H65" i="61" s="1"/>
  <c r="H59" i="61"/>
  <c r="H58" i="61"/>
  <c r="H56" i="61"/>
  <c r="H52" i="61"/>
  <c r="H48" i="61"/>
  <c r="H46" i="61"/>
  <c r="H17" i="61"/>
  <c r="H55" i="63"/>
  <c r="H43" i="63"/>
  <c r="I43" i="63" s="1"/>
  <c r="H96" i="63"/>
  <c r="H95" i="63"/>
  <c r="H85" i="63"/>
  <c r="H78" i="63"/>
  <c r="H59" i="63"/>
  <c r="I17" i="61"/>
  <c r="H46" i="63"/>
  <c r="H41" i="63" s="1"/>
  <c r="H35" i="63"/>
  <c r="H37" i="63" s="1"/>
  <c r="I37" i="63" s="1"/>
  <c r="H17" i="63"/>
  <c r="H13" i="63" s="1"/>
  <c r="B11" i="61"/>
  <c r="B10" i="61" s="1"/>
  <c r="B8" i="61" s="1"/>
  <c r="B35" i="61"/>
  <c r="B37" i="61" s="1"/>
  <c r="C37" i="61" s="1"/>
  <c r="B30" i="61"/>
  <c r="B29" i="63"/>
  <c r="B35" i="63"/>
  <c r="B11" i="63"/>
  <c r="C78" i="63"/>
  <c r="I17" i="63"/>
  <c r="B15" i="61"/>
  <c r="B81" i="63"/>
  <c r="B74" i="63" s="1"/>
  <c r="B19" i="63"/>
  <c r="B35" i="50"/>
  <c r="B33" i="50"/>
  <c r="L35" i="50"/>
  <c r="L33" i="50"/>
  <c r="L31" i="50"/>
  <c r="L17" i="50"/>
  <c r="L15" i="50"/>
  <c r="L8" i="50"/>
  <c r="G35" i="50"/>
  <c r="G17" i="50"/>
  <c r="G15" i="50"/>
  <c r="H37" i="61"/>
  <c r="I37" i="61" s="1"/>
  <c r="V11" i="61"/>
  <c r="V10" i="61" s="1"/>
  <c r="V8" i="61" s="1"/>
  <c r="T11" i="61"/>
  <c r="R11" i="61"/>
  <c r="R10" i="61" s="1"/>
  <c r="R8" i="61" s="1"/>
  <c r="R61" i="61"/>
  <c r="B43" i="61"/>
  <c r="B53" i="61"/>
  <c r="C29" i="57" s="1"/>
  <c r="S33" i="50"/>
  <c r="C7" i="57"/>
  <c r="C6" i="57"/>
  <c r="C5" i="57"/>
  <c r="C39" i="57"/>
  <c r="C38" i="57"/>
  <c r="C37" i="57"/>
  <c r="C28" i="57"/>
  <c r="C30" i="57"/>
  <c r="O11" i="63"/>
  <c r="E50" i="57"/>
  <c r="I78" i="63"/>
  <c r="D7" i="64"/>
  <c r="U11" i="63"/>
  <c r="U10" i="63" s="1"/>
  <c r="S11" i="63"/>
  <c r="Q11" i="63"/>
  <c r="Q10" i="63" s="1"/>
  <c r="U54" i="63"/>
  <c r="S54" i="63"/>
  <c r="Q54" i="63"/>
  <c r="Q53" i="63"/>
  <c r="S53" i="63"/>
  <c r="U53" i="63"/>
  <c r="B55" i="63"/>
  <c r="C55" i="63" s="1"/>
  <c r="Q52" i="63"/>
  <c r="S52" i="63" s="1"/>
  <c r="U52" i="63" s="1"/>
  <c r="U50" i="63"/>
  <c r="S50" i="63"/>
  <c r="Q50" i="63"/>
  <c r="I45" i="63"/>
  <c r="I58" i="63"/>
  <c r="Q51" i="63"/>
  <c r="S51" i="63" s="1"/>
  <c r="O48" i="63"/>
  <c r="O47" i="63"/>
  <c r="T16" i="64"/>
  <c r="O16" i="64"/>
  <c r="J16" i="64"/>
  <c r="D16" i="64"/>
  <c r="V14" i="64"/>
  <c r="U80" i="63"/>
  <c r="U14" i="64"/>
  <c r="T14" i="64"/>
  <c r="Q14" i="64"/>
  <c r="S80" i="63"/>
  <c r="P14" i="64"/>
  <c r="O14" i="64"/>
  <c r="L14" i="64"/>
  <c r="Q80" i="63"/>
  <c r="K14" i="64"/>
  <c r="J14" i="64"/>
  <c r="G14" i="64"/>
  <c r="F14" i="64"/>
  <c r="E14" i="64"/>
  <c r="D14" i="64"/>
  <c r="W13" i="64"/>
  <c r="R13" i="64"/>
  <c r="M13" i="64"/>
  <c r="H13" i="64"/>
  <c r="W12" i="64"/>
  <c r="R12" i="64"/>
  <c r="M12" i="64"/>
  <c r="H12" i="64"/>
  <c r="W11" i="64"/>
  <c r="R11" i="64"/>
  <c r="M11" i="64"/>
  <c r="H11" i="64"/>
  <c r="W10" i="64"/>
  <c r="R10" i="64"/>
  <c r="M10" i="64"/>
  <c r="H10" i="64"/>
  <c r="W9" i="64"/>
  <c r="R9" i="64"/>
  <c r="M9" i="64"/>
  <c r="H9" i="64"/>
  <c r="W8" i="64"/>
  <c r="R8" i="64"/>
  <c r="M8" i="64"/>
  <c r="H8" i="64"/>
  <c r="W7" i="64"/>
  <c r="W14" i="64"/>
  <c r="R7" i="64"/>
  <c r="R14" i="64"/>
  <c r="M7" i="64"/>
  <c r="R18" i="64"/>
  <c r="S78" i="63"/>
  <c r="R21" i="64"/>
  <c r="S84" i="63"/>
  <c r="S85" i="63" s="1"/>
  <c r="S76" i="63"/>
  <c r="S81" i="63" s="1"/>
  <c r="W18" i="64"/>
  <c r="U78" i="63"/>
  <c r="W21" i="64"/>
  <c r="U76" i="63"/>
  <c r="U81" i="63" s="1"/>
  <c r="M14" i="64"/>
  <c r="H14" i="64"/>
  <c r="B70" i="63"/>
  <c r="B65" i="63" s="1"/>
  <c r="L19" i="50" s="1"/>
  <c r="Q68" i="63"/>
  <c r="S68" i="63" s="1"/>
  <c r="U68" i="63" s="1"/>
  <c r="C63" i="63"/>
  <c r="M17" i="50" s="1"/>
  <c r="C61" i="63"/>
  <c r="M15" i="50" s="1"/>
  <c r="C59" i="63"/>
  <c r="C58" i="63"/>
  <c r="C57" i="63"/>
  <c r="O56" i="63"/>
  <c r="C56" i="63"/>
  <c r="C54" i="63"/>
  <c r="C53" i="63"/>
  <c r="C52" i="63"/>
  <c r="C51" i="63"/>
  <c r="C50" i="63"/>
  <c r="C49" i="63"/>
  <c r="Q48" i="63"/>
  <c r="S48" i="63" s="1"/>
  <c r="U48" i="63" s="1"/>
  <c r="C48" i="63"/>
  <c r="C47" i="63"/>
  <c r="C46" i="63"/>
  <c r="C45" i="63"/>
  <c r="C44" i="63"/>
  <c r="C43" i="63"/>
  <c r="B17" i="63"/>
  <c r="C17" i="63" s="1"/>
  <c r="N8" i="63"/>
  <c r="H18" i="64"/>
  <c r="M18" i="64"/>
  <c r="M21" i="64"/>
  <c r="Q84" i="63"/>
  <c r="Q85" i="63" s="1"/>
  <c r="Q76" i="63"/>
  <c r="Q81" i="63" s="1"/>
  <c r="U84" i="63"/>
  <c r="U85" i="63"/>
  <c r="O53" i="63"/>
  <c r="Q55" i="63"/>
  <c r="O55" i="63"/>
  <c r="Q59" i="63"/>
  <c r="O59" i="63"/>
  <c r="Q58" i="63"/>
  <c r="S58" i="63" s="1"/>
  <c r="O58" i="63"/>
  <c r="O51" i="63"/>
  <c r="Q49" i="63"/>
  <c r="S49" i="63" s="1"/>
  <c r="U49" i="63" s="1"/>
  <c r="O49" i="63"/>
  <c r="O52" i="63"/>
  <c r="O54" i="63"/>
  <c r="O50" i="63"/>
  <c r="O43" i="63"/>
  <c r="O44" i="63"/>
  <c r="Q56" i="63"/>
  <c r="O81" i="63"/>
  <c r="Q78" i="63"/>
  <c r="O45" i="63"/>
  <c r="Q57" i="63"/>
  <c r="S57" i="63" s="1"/>
  <c r="U57" i="63" s="1"/>
  <c r="O57" i="63"/>
  <c r="N37" i="63"/>
  <c r="O37" i="63" s="1"/>
  <c r="O78" i="63"/>
  <c r="Q43" i="63"/>
  <c r="Q44" i="63"/>
  <c r="S44" i="63" s="1"/>
  <c r="U44" i="63" s="1"/>
  <c r="T15" i="62"/>
  <c r="O15" i="62"/>
  <c r="J15" i="62"/>
  <c r="D15" i="62"/>
  <c r="V13" i="62"/>
  <c r="U13" i="62"/>
  <c r="T13" i="62"/>
  <c r="Q13" i="62"/>
  <c r="P13" i="62"/>
  <c r="O13" i="62"/>
  <c r="L13" i="62"/>
  <c r="K13" i="62"/>
  <c r="J13" i="62"/>
  <c r="G13" i="62"/>
  <c r="F13" i="62"/>
  <c r="D13" i="62"/>
  <c r="W12" i="62"/>
  <c r="R12" i="62"/>
  <c r="M12" i="62"/>
  <c r="H12" i="62"/>
  <c r="W11" i="62"/>
  <c r="R11" i="62"/>
  <c r="M11" i="62"/>
  <c r="H11" i="62"/>
  <c r="W10" i="62"/>
  <c r="R10" i="62"/>
  <c r="M10" i="62"/>
  <c r="H10" i="62"/>
  <c r="W9" i="62"/>
  <c r="R9" i="62"/>
  <c r="M9" i="62"/>
  <c r="H9" i="62"/>
  <c r="W8" i="62"/>
  <c r="R8" i="62"/>
  <c r="M8" i="62"/>
  <c r="H8" i="62"/>
  <c r="H13" i="62"/>
  <c r="E13" i="62"/>
  <c r="W7" i="62"/>
  <c r="R7" i="62"/>
  <c r="R13" i="62"/>
  <c r="M7" i="62"/>
  <c r="V54" i="61"/>
  <c r="T54" i="61"/>
  <c r="R54" i="61"/>
  <c r="V53" i="61"/>
  <c r="T53" i="61"/>
  <c r="R53" i="61"/>
  <c r="H17" i="62"/>
  <c r="R17" i="62"/>
  <c r="T78" i="61"/>
  <c r="T76" i="61"/>
  <c r="W13" i="62"/>
  <c r="M13" i="62"/>
  <c r="O78" i="61"/>
  <c r="O81" i="61"/>
  <c r="M17" i="62"/>
  <c r="R78" i="61"/>
  <c r="M20" i="62"/>
  <c r="R84" i="61"/>
  <c r="R85" i="61" s="1"/>
  <c r="R76" i="61"/>
  <c r="W17" i="62"/>
  <c r="V78" i="61"/>
  <c r="V76" i="61"/>
  <c r="W20" i="62"/>
  <c r="V84" i="61"/>
  <c r="V85" i="61" s="1"/>
  <c r="R20" i="62"/>
  <c r="T84" i="61"/>
  <c r="T85" i="61" s="1"/>
  <c r="T10" i="61"/>
  <c r="T8" i="61" s="1"/>
  <c r="V50" i="61"/>
  <c r="T50" i="61"/>
  <c r="R50" i="61"/>
  <c r="B17" i="61"/>
  <c r="C78" i="61"/>
  <c r="B107" i="61"/>
  <c r="G33" i="50" s="1"/>
  <c r="B105" i="61"/>
  <c r="G31" i="50" s="1"/>
  <c r="R68" i="61"/>
  <c r="T68" i="61" s="1"/>
  <c r="V68" i="61" s="1"/>
  <c r="B55" i="61"/>
  <c r="B19" i="61"/>
  <c r="O35" i="61"/>
  <c r="V37" i="46"/>
  <c r="T37" i="46"/>
  <c r="V34" i="46"/>
  <c r="T34" i="46"/>
  <c r="V32" i="46"/>
  <c r="V12" i="46" s="1"/>
  <c r="V63" i="61" s="1"/>
  <c r="T32" i="46"/>
  <c r="T13" i="46" s="1"/>
  <c r="S63" i="63" s="1"/>
  <c r="V24" i="46"/>
  <c r="T24" i="46"/>
  <c r="V16" i="46"/>
  <c r="U46" i="63"/>
  <c r="V15" i="46"/>
  <c r="V46" i="61"/>
  <c r="T16" i="46"/>
  <c r="S46" i="63"/>
  <c r="T15" i="46"/>
  <c r="T46" i="61"/>
  <c r="Q46" i="63"/>
  <c r="R46" i="61"/>
  <c r="V80" i="46"/>
  <c r="V76" i="46"/>
  <c r="T80" i="46"/>
  <c r="T76" i="46"/>
  <c r="M7" i="58"/>
  <c r="G55" i="46"/>
  <c r="E14" i="58"/>
  <c r="W8" i="58"/>
  <c r="W9" i="58"/>
  <c r="W10" i="58"/>
  <c r="R8" i="58"/>
  <c r="R9" i="58"/>
  <c r="R10" i="58"/>
  <c r="R11" i="58"/>
  <c r="M8" i="58"/>
  <c r="M9" i="58"/>
  <c r="M10" i="58"/>
  <c r="M11" i="58"/>
  <c r="M12" i="58"/>
  <c r="M13" i="58"/>
  <c r="H8" i="58"/>
  <c r="H10" i="58"/>
  <c r="H11" i="58"/>
  <c r="H12" i="58"/>
  <c r="H13" i="58"/>
  <c r="H14" i="58"/>
  <c r="N65" i="63"/>
  <c r="N19" i="50" s="1"/>
  <c r="H65" i="63"/>
  <c r="V10" i="46"/>
  <c r="U61" i="63"/>
  <c r="T10" i="46"/>
  <c r="S61" i="63" s="1"/>
  <c r="V9" i="46"/>
  <c r="V61" i="61" s="1"/>
  <c r="T9" i="46"/>
  <c r="T61" i="61"/>
  <c r="V99" i="46"/>
  <c r="V96" i="46" s="1"/>
  <c r="V98" i="46"/>
  <c r="T99" i="46"/>
  <c r="T98" i="46"/>
  <c r="T96" i="46" s="1"/>
  <c r="R99" i="46"/>
  <c r="R96" i="46" s="1"/>
  <c r="R98" i="46"/>
  <c r="F99" i="46"/>
  <c r="F96" i="46" s="1"/>
  <c r="B31" i="50" s="1"/>
  <c r="V13" i="46"/>
  <c r="U63" i="63" s="1"/>
  <c r="T12" i="46"/>
  <c r="T63" i="61" s="1"/>
  <c r="B19" i="50"/>
  <c r="C45" i="46"/>
  <c r="C96" i="46"/>
  <c r="H18" i="58"/>
  <c r="C82" i="46"/>
  <c r="D80" i="46"/>
  <c r="C60" i="46"/>
  <c r="C78" i="46"/>
  <c r="D76" i="46"/>
  <c r="C55" i="46"/>
  <c r="D55" i="46"/>
  <c r="C59" i="46"/>
  <c r="C31" i="46"/>
  <c r="C26" i="46"/>
  <c r="C22" i="46"/>
  <c r="C10" i="46"/>
  <c r="C9" i="46"/>
  <c r="C7" i="46"/>
  <c r="C20" i="46"/>
  <c r="C74" i="46"/>
  <c r="C51" i="46"/>
  <c r="W11" i="58"/>
  <c r="W12" i="58"/>
  <c r="W13" i="58"/>
  <c r="W7" i="58"/>
  <c r="R12" i="58"/>
  <c r="R13" i="58"/>
  <c r="R7" i="58"/>
  <c r="J16" i="58"/>
  <c r="D16" i="58"/>
  <c r="V14" i="58"/>
  <c r="V60" i="46"/>
  <c r="U14" i="58"/>
  <c r="V54" i="46"/>
  <c r="Q14" i="58"/>
  <c r="T60" i="46"/>
  <c r="P14" i="58"/>
  <c r="T54" i="46"/>
  <c r="K14" i="58"/>
  <c r="L14" i="58"/>
  <c r="G14" i="58"/>
  <c r="T47" i="46"/>
  <c r="V47" i="46" s="1"/>
  <c r="F14" i="58"/>
  <c r="O16" i="58"/>
  <c r="T61" i="46"/>
  <c r="M14" i="58"/>
  <c r="J14" i="58"/>
  <c r="O14" i="58"/>
  <c r="T16" i="58"/>
  <c r="V61" i="46"/>
  <c r="T14" i="58"/>
  <c r="D14" i="58"/>
  <c r="R14" i="58"/>
  <c r="W14" i="58"/>
  <c r="V53" i="46"/>
  <c r="M18" i="58"/>
  <c r="T62" i="46"/>
  <c r="T63" i="46"/>
  <c r="T53" i="46"/>
  <c r="U55" i="46" s="1"/>
  <c r="R18" i="58"/>
  <c r="T55" i="46"/>
  <c r="W18" i="58"/>
  <c r="V55" i="46"/>
  <c r="W55" i="46" s="1"/>
  <c r="V62" i="46"/>
  <c r="V63" i="46" s="1"/>
  <c r="R12" i="46" l="1"/>
  <c r="R7" i="46" s="1"/>
  <c r="E19" i="50" s="1"/>
  <c r="R77" i="46"/>
  <c r="R74" i="46" s="1"/>
  <c r="D51" i="46"/>
  <c r="D20" i="46"/>
  <c r="M74" i="46"/>
  <c r="D74" i="46"/>
  <c r="R45" i="46"/>
  <c r="S55" i="46"/>
  <c r="R81" i="46"/>
  <c r="S80" i="46" s="1"/>
  <c r="I7" i="46"/>
  <c r="J51" i="46" s="1"/>
  <c r="I77" i="46"/>
  <c r="I74" i="46" s="1"/>
  <c r="T78" i="46"/>
  <c r="R59" i="46"/>
  <c r="R51" i="46" s="1"/>
  <c r="M51" i="46"/>
  <c r="T49" i="46"/>
  <c r="V49" i="46" s="1"/>
  <c r="V45" i="46" s="1"/>
  <c r="I8" i="50"/>
  <c r="M45" i="46"/>
  <c r="D45" i="46"/>
  <c r="V26" i="46"/>
  <c r="V31" i="46"/>
  <c r="F7" i="46"/>
  <c r="G74" i="46" s="1"/>
  <c r="C23" i="50" s="1"/>
  <c r="T7" i="46"/>
  <c r="U26" i="46" s="1"/>
  <c r="V7" i="46"/>
  <c r="M20" i="46"/>
  <c r="R20" i="46"/>
  <c r="V29" i="46"/>
  <c r="V39" i="46"/>
  <c r="C86" i="46"/>
  <c r="D86" i="46" s="1"/>
  <c r="T20" i="46"/>
  <c r="T59" i="46"/>
  <c r="T51" i="46" s="1"/>
  <c r="R63" i="61"/>
  <c r="S63" i="61" s="1"/>
  <c r="V59" i="46"/>
  <c r="V51" i="46" s="1"/>
  <c r="B21" i="50"/>
  <c r="B40" i="50" s="1"/>
  <c r="T82" i="46"/>
  <c r="V28" i="46"/>
  <c r="L86" i="46"/>
  <c r="N39" i="63"/>
  <c r="N11" i="50" s="1"/>
  <c r="O34" i="63"/>
  <c r="S43" i="63"/>
  <c r="U43" i="63" s="1"/>
  <c r="V43" i="63" s="1"/>
  <c r="Q41" i="63"/>
  <c r="U35" i="63"/>
  <c r="V35" i="63" s="1"/>
  <c r="S35" i="63"/>
  <c r="T35" i="63" s="1"/>
  <c r="Q35" i="63"/>
  <c r="I54" i="63"/>
  <c r="C35" i="63"/>
  <c r="I50" i="63"/>
  <c r="N13" i="50"/>
  <c r="I52" i="63"/>
  <c r="O61" i="63"/>
  <c r="B37" i="63"/>
  <c r="C37" i="63" s="1"/>
  <c r="I46" i="63"/>
  <c r="H74" i="63"/>
  <c r="I55" i="63"/>
  <c r="B13" i="63"/>
  <c r="B39" i="63" s="1"/>
  <c r="L11" i="50" s="1"/>
  <c r="I59" i="63"/>
  <c r="I51" i="63"/>
  <c r="I47" i="63"/>
  <c r="B10" i="63"/>
  <c r="I11" i="63"/>
  <c r="O46" i="63"/>
  <c r="H8" i="63"/>
  <c r="I41" i="63" s="1"/>
  <c r="I57" i="63"/>
  <c r="I53" i="63"/>
  <c r="I49" i="63"/>
  <c r="I44" i="63"/>
  <c r="I56" i="63"/>
  <c r="I35" i="63"/>
  <c r="H33" i="63"/>
  <c r="I33" i="63" s="1"/>
  <c r="U37" i="63"/>
  <c r="V37" i="63" s="1"/>
  <c r="U74" i="63"/>
  <c r="S74" i="63"/>
  <c r="R35" i="63"/>
  <c r="Q74" i="63"/>
  <c r="Q33" i="50"/>
  <c r="Q67" i="63"/>
  <c r="Q8" i="63"/>
  <c r="R55" i="63" s="1"/>
  <c r="U67" i="63"/>
  <c r="V44" i="63"/>
  <c r="U8" i="63"/>
  <c r="V46" i="63" s="1"/>
  <c r="C74" i="63"/>
  <c r="M21" i="50" s="1"/>
  <c r="L21" i="50"/>
  <c r="S56" i="63"/>
  <c r="S10" i="63"/>
  <c r="B41" i="63"/>
  <c r="C17" i="61"/>
  <c r="W78" i="61"/>
  <c r="U78" i="61"/>
  <c r="H13" i="61"/>
  <c r="I13" i="61" s="1"/>
  <c r="B13" i="61"/>
  <c r="B33" i="61" s="1"/>
  <c r="C33" i="61" s="1"/>
  <c r="N41" i="61"/>
  <c r="I13" i="50" s="1"/>
  <c r="S13" i="50" s="1"/>
  <c r="O17" i="61"/>
  <c r="W63" i="61"/>
  <c r="S78" i="61"/>
  <c r="S54" i="61"/>
  <c r="C52" i="61"/>
  <c r="C53" i="61"/>
  <c r="C55" i="61"/>
  <c r="C48" i="61"/>
  <c r="C58" i="61"/>
  <c r="W54" i="61"/>
  <c r="W45" i="61"/>
  <c r="W61" i="61"/>
  <c r="U50" i="61"/>
  <c r="U53" i="61"/>
  <c r="W53" i="61"/>
  <c r="O11" i="61"/>
  <c r="U61" i="61"/>
  <c r="W46" i="61"/>
  <c r="W50" i="61"/>
  <c r="C43" i="61"/>
  <c r="O54" i="61"/>
  <c r="O59" i="61"/>
  <c r="O65" i="61"/>
  <c r="O63" i="61"/>
  <c r="O13" i="61"/>
  <c r="B41" i="61"/>
  <c r="C41" i="61" s="1"/>
  <c r="H13" i="50" s="1"/>
  <c r="H74" i="61"/>
  <c r="C51" i="61"/>
  <c r="C63" i="61"/>
  <c r="H17" i="50" s="1"/>
  <c r="U63" i="61"/>
  <c r="U46" i="61"/>
  <c r="C44" i="61"/>
  <c r="H41" i="61"/>
  <c r="C49" i="61"/>
  <c r="C47" i="61"/>
  <c r="C56" i="61"/>
  <c r="C57" i="61"/>
  <c r="U45" i="61"/>
  <c r="C11" i="61"/>
  <c r="C59" i="61"/>
  <c r="C65" i="61"/>
  <c r="H19" i="50" s="1"/>
  <c r="C61" i="61"/>
  <c r="H15" i="50" s="1"/>
  <c r="C45" i="61"/>
  <c r="C50" i="61"/>
  <c r="C46" i="61"/>
  <c r="U54" i="61"/>
  <c r="C54" i="61"/>
  <c r="I11" i="61"/>
  <c r="H8" i="61"/>
  <c r="I54" i="61" s="1"/>
  <c r="R35" i="61"/>
  <c r="T35" i="61"/>
  <c r="V35" i="61"/>
  <c r="I63" i="61"/>
  <c r="S45" i="61"/>
  <c r="O44" i="61"/>
  <c r="S53" i="61"/>
  <c r="O48" i="61"/>
  <c r="G8" i="50"/>
  <c r="S46" i="61"/>
  <c r="S61" i="61"/>
  <c r="S50" i="61"/>
  <c r="C74" i="61"/>
  <c r="H21" i="50" s="1"/>
  <c r="T81" i="61"/>
  <c r="T74" i="61" s="1"/>
  <c r="U74" i="61" s="1"/>
  <c r="C65" i="63"/>
  <c r="M19" i="50" s="1"/>
  <c r="U58" i="63"/>
  <c r="S59" i="63"/>
  <c r="S55" i="63"/>
  <c r="U51" i="63"/>
  <c r="I13" i="63"/>
  <c r="O13" i="63"/>
  <c r="N33" i="63"/>
  <c r="O33" i="63" s="1"/>
  <c r="U57" i="61"/>
  <c r="V57" i="61"/>
  <c r="W57" i="61" s="1"/>
  <c r="S44" i="61"/>
  <c r="T44" i="61"/>
  <c r="S57" i="61"/>
  <c r="V81" i="61"/>
  <c r="V74" i="61" s="1"/>
  <c r="O74" i="63"/>
  <c r="O65" i="63"/>
  <c r="O63" i="63"/>
  <c r="N39" i="61"/>
  <c r="O56" i="61"/>
  <c r="O53" i="61"/>
  <c r="O50" i="61"/>
  <c r="O47" i="61"/>
  <c r="O46" i="61"/>
  <c r="O51" i="61"/>
  <c r="O52" i="61"/>
  <c r="O43" i="61"/>
  <c r="O55" i="61"/>
  <c r="O49" i="61"/>
  <c r="O57" i="61"/>
  <c r="O74" i="61"/>
  <c r="O61" i="61"/>
  <c r="O45" i="61"/>
  <c r="O58" i="61"/>
  <c r="Q21" i="50" l="1"/>
  <c r="S76" i="46"/>
  <c r="M25" i="46"/>
  <c r="J36" i="46"/>
  <c r="J28" i="46"/>
  <c r="M34" i="46"/>
  <c r="G28" i="46"/>
  <c r="G36" i="46"/>
  <c r="M26" i="46"/>
  <c r="G20" i="46"/>
  <c r="C13" i="50" s="1"/>
  <c r="M39" i="46"/>
  <c r="J45" i="46"/>
  <c r="W51" i="46"/>
  <c r="J30" i="46"/>
  <c r="J24" i="46"/>
  <c r="J20" i="46"/>
  <c r="J39" i="46"/>
  <c r="G23" i="46"/>
  <c r="J40" i="46"/>
  <c r="M32" i="46"/>
  <c r="J41" i="46"/>
  <c r="M41" i="46"/>
  <c r="G34" i="46"/>
  <c r="M43" i="46"/>
  <c r="M28" i="46"/>
  <c r="V54" i="63"/>
  <c r="J76" i="46"/>
  <c r="G25" i="46"/>
  <c r="M33" i="46"/>
  <c r="G32" i="46"/>
  <c r="B8" i="50"/>
  <c r="R35" i="50" s="1"/>
  <c r="J23" i="46"/>
  <c r="U23" i="46"/>
  <c r="G43" i="46"/>
  <c r="G40" i="46"/>
  <c r="M23" i="46"/>
  <c r="U30" i="46"/>
  <c r="U39" i="46"/>
  <c r="M27" i="46"/>
  <c r="G29" i="46"/>
  <c r="J31" i="46"/>
  <c r="S41" i="46"/>
  <c r="U24" i="46"/>
  <c r="U51" i="46"/>
  <c r="S33" i="46"/>
  <c r="P43" i="46"/>
  <c r="P40" i="46"/>
  <c r="P36" i="46"/>
  <c r="P32" i="46"/>
  <c r="P29" i="46"/>
  <c r="P25" i="46"/>
  <c r="P39" i="46"/>
  <c r="P35" i="46"/>
  <c r="P28" i="46"/>
  <c r="P38" i="46"/>
  <c r="P34" i="46"/>
  <c r="P27" i="46"/>
  <c r="P41" i="46"/>
  <c r="P37" i="46"/>
  <c r="P33" i="46"/>
  <c r="P30" i="46"/>
  <c r="P26" i="46"/>
  <c r="P23" i="46"/>
  <c r="P42" i="46"/>
  <c r="P24" i="46"/>
  <c r="P22" i="46"/>
  <c r="P31" i="46"/>
  <c r="I86" i="46"/>
  <c r="I94" i="46" s="1"/>
  <c r="J74" i="46"/>
  <c r="T77" i="46"/>
  <c r="V78" i="46"/>
  <c r="V77" i="46" s="1"/>
  <c r="T45" i="46"/>
  <c r="U45" i="46" s="1"/>
  <c r="I11" i="50"/>
  <c r="N93" i="61"/>
  <c r="N92" i="61" s="1"/>
  <c r="S45" i="46"/>
  <c r="S30" i="46"/>
  <c r="U33" i="46"/>
  <c r="U25" i="46"/>
  <c r="U36" i="46"/>
  <c r="U20" i="46"/>
  <c r="S40" i="46"/>
  <c r="S32" i="46"/>
  <c r="S36" i="46"/>
  <c r="S37" i="46"/>
  <c r="S20" i="46"/>
  <c r="W29" i="46"/>
  <c r="W45" i="46"/>
  <c r="W42" i="46"/>
  <c r="G27" i="46"/>
  <c r="G37" i="46"/>
  <c r="G39" i="46"/>
  <c r="W25" i="46"/>
  <c r="W31" i="46"/>
  <c r="W40" i="46"/>
  <c r="M30" i="46"/>
  <c r="J34" i="46"/>
  <c r="J38" i="46"/>
  <c r="G30" i="46"/>
  <c r="M37" i="46"/>
  <c r="F86" i="46"/>
  <c r="G86" i="46" s="1"/>
  <c r="C26" i="50" s="1"/>
  <c r="J37" i="46"/>
  <c r="G24" i="46"/>
  <c r="G31" i="46"/>
  <c r="U41" i="46"/>
  <c r="W28" i="46"/>
  <c r="S74" i="46"/>
  <c r="U42" i="46"/>
  <c r="W24" i="46"/>
  <c r="U35" i="46"/>
  <c r="U27" i="46"/>
  <c r="M35" i="46"/>
  <c r="J27" i="46"/>
  <c r="G35" i="46"/>
  <c r="M24" i="46"/>
  <c r="J42" i="46"/>
  <c r="M36" i="46"/>
  <c r="J32" i="46"/>
  <c r="M31" i="46"/>
  <c r="S27" i="46"/>
  <c r="S35" i="46"/>
  <c r="S34" i="46"/>
  <c r="U29" i="46"/>
  <c r="U28" i="46"/>
  <c r="G51" i="46"/>
  <c r="C21" i="50" s="1"/>
  <c r="U31" i="46"/>
  <c r="W43" i="46"/>
  <c r="W35" i="46"/>
  <c r="W36" i="46"/>
  <c r="W33" i="46"/>
  <c r="W34" i="46"/>
  <c r="W32" i="46"/>
  <c r="W23" i="46"/>
  <c r="W37" i="46"/>
  <c r="U34" i="46"/>
  <c r="U37" i="46"/>
  <c r="U43" i="46"/>
  <c r="S28" i="46"/>
  <c r="S43" i="46"/>
  <c r="S42" i="46"/>
  <c r="S25" i="46"/>
  <c r="S26" i="46"/>
  <c r="S22" i="46"/>
  <c r="W41" i="46"/>
  <c r="W22" i="46"/>
  <c r="W26" i="46"/>
  <c r="M38" i="46"/>
  <c r="M22" i="46"/>
  <c r="J22" i="46"/>
  <c r="G26" i="46"/>
  <c r="G22" i="46"/>
  <c r="M29" i="46"/>
  <c r="J35" i="46"/>
  <c r="J25" i="46"/>
  <c r="G33" i="46"/>
  <c r="G45" i="46"/>
  <c r="C19" i="50" s="1"/>
  <c r="U40" i="46"/>
  <c r="U22" i="46"/>
  <c r="S29" i="46"/>
  <c r="U32" i="46"/>
  <c r="S39" i="46"/>
  <c r="J29" i="46"/>
  <c r="G42" i="46"/>
  <c r="G41" i="46"/>
  <c r="J26" i="46"/>
  <c r="M40" i="46"/>
  <c r="J33" i="46"/>
  <c r="G38" i="46"/>
  <c r="J43" i="46"/>
  <c r="M42" i="46"/>
  <c r="S23" i="46"/>
  <c r="S24" i="46"/>
  <c r="S31" i="46"/>
  <c r="W39" i="46"/>
  <c r="S38" i="46"/>
  <c r="U38" i="46"/>
  <c r="W27" i="46"/>
  <c r="W38" i="46"/>
  <c r="W30" i="46"/>
  <c r="B39" i="61"/>
  <c r="G11" i="50" s="1"/>
  <c r="M86" i="46"/>
  <c r="L94" i="46"/>
  <c r="L85" i="46"/>
  <c r="M85" i="46" s="1"/>
  <c r="V20" i="46"/>
  <c r="E21" i="50"/>
  <c r="S51" i="46"/>
  <c r="V82" i="46"/>
  <c r="V81" i="46" s="1"/>
  <c r="W80" i="46" s="1"/>
  <c r="T81" i="46"/>
  <c r="U80" i="46" s="1"/>
  <c r="C94" i="46"/>
  <c r="C85" i="46"/>
  <c r="D85" i="46" s="1"/>
  <c r="R86" i="46"/>
  <c r="E23" i="50"/>
  <c r="R33" i="63"/>
  <c r="Q33" i="63" s="1"/>
  <c r="Q13" i="63" s="1"/>
  <c r="R13" i="63" s="1"/>
  <c r="R59" i="63"/>
  <c r="V58" i="63"/>
  <c r="V49" i="63"/>
  <c r="I74" i="63"/>
  <c r="C39" i="63"/>
  <c r="M11" i="50" s="1"/>
  <c r="B33" i="63"/>
  <c r="C33" i="63" s="1"/>
  <c r="C13" i="63"/>
  <c r="O13" i="50"/>
  <c r="T43" i="63"/>
  <c r="O41" i="63"/>
  <c r="H39" i="63"/>
  <c r="I61" i="63"/>
  <c r="I63" i="63"/>
  <c r="I65" i="63"/>
  <c r="Q37" i="63"/>
  <c r="R37" i="63" s="1"/>
  <c r="V51" i="63"/>
  <c r="V48" i="63"/>
  <c r="V57" i="63"/>
  <c r="V52" i="63"/>
  <c r="R52" i="63"/>
  <c r="R54" i="63"/>
  <c r="R57" i="63"/>
  <c r="R44" i="63"/>
  <c r="R45" i="63"/>
  <c r="R50" i="63"/>
  <c r="R53" i="63"/>
  <c r="R47" i="63"/>
  <c r="R58" i="63"/>
  <c r="R48" i="63"/>
  <c r="R49" i="63"/>
  <c r="R51" i="63"/>
  <c r="R43" i="63"/>
  <c r="U56" i="63"/>
  <c r="V56" i="63" s="1"/>
  <c r="R63" i="63"/>
  <c r="V50" i="63"/>
  <c r="V47" i="63"/>
  <c r="V53" i="63"/>
  <c r="V63" i="63"/>
  <c r="V45" i="63"/>
  <c r="R56" i="63"/>
  <c r="R61" i="63"/>
  <c r="S37" i="63"/>
  <c r="T37" i="63" s="1"/>
  <c r="R46" i="63"/>
  <c r="L13" i="50"/>
  <c r="C41" i="63"/>
  <c r="M13" i="50" s="1"/>
  <c r="B93" i="63"/>
  <c r="C93" i="63" s="1"/>
  <c r="M26" i="50" s="1"/>
  <c r="S8" i="63"/>
  <c r="T56" i="63" s="1"/>
  <c r="S67" i="63"/>
  <c r="T44" i="63"/>
  <c r="O17" i="50"/>
  <c r="O15" i="50"/>
  <c r="O19" i="50"/>
  <c r="R74" i="63"/>
  <c r="V74" i="63"/>
  <c r="V61" i="63"/>
  <c r="H33" i="61"/>
  <c r="I33" i="61" s="1"/>
  <c r="O41" i="61"/>
  <c r="I43" i="61"/>
  <c r="H39" i="61"/>
  <c r="I39" i="61" s="1"/>
  <c r="I49" i="61"/>
  <c r="I47" i="61"/>
  <c r="I65" i="61"/>
  <c r="I59" i="61"/>
  <c r="I58" i="61"/>
  <c r="I46" i="61"/>
  <c r="I41" i="61"/>
  <c r="I55" i="61"/>
  <c r="I56" i="61"/>
  <c r="I52" i="61"/>
  <c r="G13" i="50"/>
  <c r="Q13" i="50" s="1"/>
  <c r="W33" i="61"/>
  <c r="V33" i="61" s="1"/>
  <c r="V13" i="61" s="1"/>
  <c r="W13" i="61" s="1"/>
  <c r="I50" i="61"/>
  <c r="I61" i="61"/>
  <c r="I74" i="61"/>
  <c r="S33" i="61"/>
  <c r="R33" i="61" s="1"/>
  <c r="R13" i="61" s="1"/>
  <c r="S13" i="61" s="1"/>
  <c r="R81" i="61"/>
  <c r="R74" i="61" s="1"/>
  <c r="S74" i="61" s="1"/>
  <c r="U33" i="61"/>
  <c r="T33" i="61" s="1"/>
  <c r="T13" i="61" s="1"/>
  <c r="U13" i="61" s="1"/>
  <c r="I45" i="61"/>
  <c r="I51" i="61"/>
  <c r="I57" i="61"/>
  <c r="I44" i="61"/>
  <c r="I53" i="61"/>
  <c r="I48" i="61"/>
  <c r="W35" i="61"/>
  <c r="V37" i="61"/>
  <c r="W37" i="61" s="1"/>
  <c r="S35" i="61"/>
  <c r="R37" i="61"/>
  <c r="S37" i="61" s="1"/>
  <c r="T37" i="61"/>
  <c r="U37" i="61" s="1"/>
  <c r="U35" i="61"/>
  <c r="U55" i="63"/>
  <c r="S41" i="63"/>
  <c r="Q72" i="63"/>
  <c r="Q65" i="63" s="1"/>
  <c r="R65" i="63" s="1"/>
  <c r="R41" i="63"/>
  <c r="U59" i="63"/>
  <c r="V59" i="63" s="1"/>
  <c r="O21" i="50"/>
  <c r="O11" i="50"/>
  <c r="N40" i="50" s="1"/>
  <c r="V44" i="61"/>
  <c r="W44" i="61" s="1"/>
  <c r="U44" i="61"/>
  <c r="V67" i="61"/>
  <c r="W74" i="61"/>
  <c r="O39" i="63"/>
  <c r="N93" i="63"/>
  <c r="N26" i="50" s="1"/>
  <c r="O39" i="61"/>
  <c r="R11" i="50" l="1"/>
  <c r="R19" i="50"/>
  <c r="R23" i="50"/>
  <c r="F85" i="46"/>
  <c r="G85" i="46" s="1"/>
  <c r="B26" i="50"/>
  <c r="I85" i="46"/>
  <c r="J85" i="46" s="1"/>
  <c r="C39" i="61"/>
  <c r="H11" i="50" s="1"/>
  <c r="G40" i="50" s="1"/>
  <c r="B93" i="61"/>
  <c r="B92" i="61" s="1"/>
  <c r="C92" i="61" s="1"/>
  <c r="H25" i="50" s="1"/>
  <c r="R21" i="50"/>
  <c r="V74" i="46"/>
  <c r="W74" i="46" s="1"/>
  <c r="W76" i="46"/>
  <c r="J86" i="46"/>
  <c r="U76" i="46"/>
  <c r="T74" i="46"/>
  <c r="D40" i="50"/>
  <c r="F94" i="46"/>
  <c r="G94" i="46" s="1"/>
  <c r="C29" i="50" s="1"/>
  <c r="I26" i="50"/>
  <c r="H93" i="61"/>
  <c r="H92" i="61" s="1"/>
  <c r="I92" i="61" s="1"/>
  <c r="T33" i="63"/>
  <c r="V33" i="63" s="1"/>
  <c r="U33" i="63" s="1"/>
  <c r="U13" i="63" s="1"/>
  <c r="V13" i="63" s="1"/>
  <c r="D94" i="46"/>
  <c r="C105" i="46"/>
  <c r="D105" i="46" s="1"/>
  <c r="C93" i="46"/>
  <c r="D93" i="46" s="1"/>
  <c r="L93" i="46"/>
  <c r="M93" i="46" s="1"/>
  <c r="M94" i="46"/>
  <c r="L105" i="46"/>
  <c r="M105" i="46" s="1"/>
  <c r="R94" i="46"/>
  <c r="S86" i="46"/>
  <c r="R85" i="46"/>
  <c r="W20" i="46"/>
  <c r="I93" i="46"/>
  <c r="J93" i="46" s="1"/>
  <c r="J94" i="46"/>
  <c r="I105" i="46"/>
  <c r="J105" i="46" s="1"/>
  <c r="L40" i="50"/>
  <c r="S33" i="63"/>
  <c r="S13" i="63" s="1"/>
  <c r="T13" i="63" s="1"/>
  <c r="L26" i="50"/>
  <c r="Q39" i="63"/>
  <c r="R39" i="63" s="1"/>
  <c r="I39" i="63"/>
  <c r="H93" i="63"/>
  <c r="T59" i="63"/>
  <c r="T55" i="63"/>
  <c r="B92" i="63"/>
  <c r="C92" i="63" s="1"/>
  <c r="M25" i="50" s="1"/>
  <c r="B103" i="63"/>
  <c r="B111" i="63" s="1"/>
  <c r="T50" i="63"/>
  <c r="T63" i="63"/>
  <c r="T47" i="63"/>
  <c r="T57" i="63"/>
  <c r="T45" i="63"/>
  <c r="T54" i="63"/>
  <c r="T61" i="63"/>
  <c r="T46" i="63"/>
  <c r="T48" i="63"/>
  <c r="T53" i="63"/>
  <c r="T74" i="63"/>
  <c r="T51" i="63"/>
  <c r="T58" i="63"/>
  <c r="T52" i="63"/>
  <c r="T49" i="63"/>
  <c r="V39" i="61"/>
  <c r="W39" i="61" s="1"/>
  <c r="T39" i="61"/>
  <c r="U39" i="61" s="1"/>
  <c r="R13" i="50"/>
  <c r="R56" i="61"/>
  <c r="S56" i="61" s="1"/>
  <c r="T56" i="61" s="1"/>
  <c r="U56" i="61" s="1"/>
  <c r="V56" i="61" s="1"/>
  <c r="W56" i="61" s="1"/>
  <c r="J11" i="50"/>
  <c r="I40" i="50" s="1"/>
  <c r="D50" i="57"/>
  <c r="R39" i="61"/>
  <c r="S39" i="61" s="1"/>
  <c r="T41" i="63"/>
  <c r="S72" i="63"/>
  <c r="S65" i="63" s="1"/>
  <c r="T65" i="63" s="1"/>
  <c r="V55" i="63"/>
  <c r="U41" i="63"/>
  <c r="T67" i="61"/>
  <c r="R67" i="61"/>
  <c r="O93" i="63"/>
  <c r="O26" i="50" s="1"/>
  <c r="N92" i="63"/>
  <c r="N103" i="63"/>
  <c r="N109" i="63" s="1"/>
  <c r="N35" i="50" s="1"/>
  <c r="O93" i="61"/>
  <c r="N103" i="61"/>
  <c r="G26" i="50" l="1"/>
  <c r="G25" i="50"/>
  <c r="C93" i="61"/>
  <c r="H26" i="50" s="1"/>
  <c r="I29" i="50"/>
  <c r="N109" i="61"/>
  <c r="I35" i="50" s="1"/>
  <c r="S35" i="50" s="1"/>
  <c r="B25" i="50"/>
  <c r="N29" i="50"/>
  <c r="N111" i="63"/>
  <c r="I93" i="61"/>
  <c r="H103" i="61"/>
  <c r="H102" i="61" s="1"/>
  <c r="I102" i="61" s="1"/>
  <c r="V86" i="46"/>
  <c r="W86" i="46" s="1"/>
  <c r="F105" i="46"/>
  <c r="G105" i="46" s="1"/>
  <c r="C37" i="50" s="1"/>
  <c r="Q93" i="63"/>
  <c r="Q92" i="63" s="1"/>
  <c r="R92" i="63" s="1"/>
  <c r="Q40" i="50"/>
  <c r="B103" i="61"/>
  <c r="C103" i="61" s="1"/>
  <c r="H29" i="50" s="1"/>
  <c r="S40" i="50"/>
  <c r="F93" i="46"/>
  <c r="B28" i="50" s="1"/>
  <c r="B29" i="50"/>
  <c r="T86" i="46"/>
  <c r="U74" i="46"/>
  <c r="S26" i="50"/>
  <c r="U39" i="63"/>
  <c r="V39" i="63" s="1"/>
  <c r="R103" i="46"/>
  <c r="R93" i="46"/>
  <c r="S94" i="46"/>
  <c r="S85" i="46"/>
  <c r="C25" i="50"/>
  <c r="L25" i="50"/>
  <c r="S39" i="63"/>
  <c r="T39" i="63" s="1"/>
  <c r="Q26" i="50"/>
  <c r="R26" i="50" s="1"/>
  <c r="C103" i="63"/>
  <c r="M29" i="50" s="1"/>
  <c r="L29" i="50"/>
  <c r="B102" i="63"/>
  <c r="C102" i="63" s="1"/>
  <c r="M28" i="50" s="1"/>
  <c r="I93" i="63"/>
  <c r="H92" i="63"/>
  <c r="I92" i="63" s="1"/>
  <c r="H103" i="63"/>
  <c r="H109" i="63" s="1"/>
  <c r="V47" i="61"/>
  <c r="W47" i="61" s="1"/>
  <c r="T47" i="61"/>
  <c r="U47" i="61" s="1"/>
  <c r="R47" i="61"/>
  <c r="S47" i="61" s="1"/>
  <c r="R51" i="61"/>
  <c r="S51" i="61" s="1"/>
  <c r="V51" i="61"/>
  <c r="W51" i="61" s="1"/>
  <c r="T51" i="61"/>
  <c r="U51" i="61" s="1"/>
  <c r="V58" i="61"/>
  <c r="W58" i="61" s="1"/>
  <c r="T58" i="61"/>
  <c r="U58" i="61" s="1"/>
  <c r="R58" i="61"/>
  <c r="S58" i="61" s="1"/>
  <c r="E51" i="57"/>
  <c r="D51" i="57"/>
  <c r="T55" i="61"/>
  <c r="U55" i="61" s="1"/>
  <c r="V55" i="61"/>
  <c r="W55" i="61" s="1"/>
  <c r="R55" i="61"/>
  <c r="S55" i="61" s="1"/>
  <c r="V48" i="61"/>
  <c r="W48" i="61" s="1"/>
  <c r="R48" i="61"/>
  <c r="S48" i="61" s="1"/>
  <c r="T48" i="61"/>
  <c r="U48" i="61" s="1"/>
  <c r="T49" i="61"/>
  <c r="U49" i="61" s="1"/>
  <c r="V49" i="61"/>
  <c r="W49" i="61" s="1"/>
  <c r="R49" i="61"/>
  <c r="S49" i="61" s="1"/>
  <c r="R52" i="61"/>
  <c r="S52" i="61" s="1"/>
  <c r="V52" i="61"/>
  <c r="W52" i="61" s="1"/>
  <c r="T52" i="61"/>
  <c r="U52" i="61" s="1"/>
  <c r="J15" i="50"/>
  <c r="J13" i="50"/>
  <c r="J19" i="50"/>
  <c r="J21" i="50"/>
  <c r="J17" i="50"/>
  <c r="T59" i="61"/>
  <c r="U59" i="61" s="1"/>
  <c r="R59" i="61"/>
  <c r="S59" i="61" s="1"/>
  <c r="V59" i="61"/>
  <c r="W59" i="61" s="1"/>
  <c r="R43" i="61"/>
  <c r="T43" i="61"/>
  <c r="V43" i="61"/>
  <c r="O92" i="61"/>
  <c r="I25" i="50"/>
  <c r="V41" i="63"/>
  <c r="U72" i="63"/>
  <c r="U65" i="63" s="1"/>
  <c r="V65" i="63" s="1"/>
  <c r="O92" i="63"/>
  <c r="O25" i="50" s="1"/>
  <c r="N25" i="50"/>
  <c r="C111" i="63"/>
  <c r="M37" i="50" s="1"/>
  <c r="L37" i="50"/>
  <c r="O103" i="63"/>
  <c r="O29" i="50" s="1"/>
  <c r="N102" i="63"/>
  <c r="N102" i="61"/>
  <c r="N111" i="61"/>
  <c r="O103" i="61"/>
  <c r="Q25" i="50" l="1"/>
  <c r="R25" i="50" s="1"/>
  <c r="I103" i="61"/>
  <c r="S25" i="50"/>
  <c r="W26" i="50"/>
  <c r="X29" i="50" s="1"/>
  <c r="G29" i="50"/>
  <c r="Q29" i="50" s="1"/>
  <c r="Q37" i="50" s="1"/>
  <c r="R37" i="50" s="1"/>
  <c r="B102" i="61"/>
  <c r="C102" i="61" s="1"/>
  <c r="H28" i="50" s="1"/>
  <c r="V85" i="46"/>
  <c r="W85" i="46" s="1"/>
  <c r="V94" i="46"/>
  <c r="V93" i="46" s="1"/>
  <c r="W93" i="46" s="1"/>
  <c r="R93" i="63"/>
  <c r="Q103" i="63"/>
  <c r="Q109" i="63" s="1"/>
  <c r="Q111" i="63" s="1"/>
  <c r="R111" i="63" s="1"/>
  <c r="B37" i="50"/>
  <c r="G93" i="46"/>
  <c r="B111" i="61"/>
  <c r="C111" i="61" s="1"/>
  <c r="H37" i="50" s="1"/>
  <c r="U86" i="46"/>
  <c r="T85" i="46"/>
  <c r="U85" i="46" s="1"/>
  <c r="T94" i="46"/>
  <c r="T26" i="50"/>
  <c r="S29" i="50"/>
  <c r="R105" i="46"/>
  <c r="S93" i="63"/>
  <c r="T93" i="63" s="1"/>
  <c r="S93" i="46"/>
  <c r="L28" i="50"/>
  <c r="H102" i="63"/>
  <c r="I102" i="63" s="1"/>
  <c r="H111" i="63"/>
  <c r="I111" i="63" s="1"/>
  <c r="I103" i="63"/>
  <c r="J25" i="50"/>
  <c r="J26" i="50"/>
  <c r="R41" i="61"/>
  <c r="S43" i="61"/>
  <c r="W43" i="61"/>
  <c r="V41" i="61"/>
  <c r="T23" i="50"/>
  <c r="T19" i="50"/>
  <c r="T21" i="50"/>
  <c r="T13" i="50"/>
  <c r="T41" i="61"/>
  <c r="U43" i="61"/>
  <c r="O111" i="61"/>
  <c r="I37" i="50"/>
  <c r="O102" i="61"/>
  <c r="I28" i="50"/>
  <c r="U93" i="63"/>
  <c r="O102" i="63"/>
  <c r="O28" i="50" s="1"/>
  <c r="N28" i="50"/>
  <c r="O111" i="63"/>
  <c r="N37" i="50"/>
  <c r="T35" i="50"/>
  <c r="T29" i="50" l="1"/>
  <c r="S37" i="50"/>
  <c r="T37" i="50" s="1"/>
  <c r="V103" i="46"/>
  <c r="V105" i="46" s="1"/>
  <c r="W105" i="46" s="1"/>
  <c r="W94" i="46"/>
  <c r="O37" i="50"/>
  <c r="T25" i="50"/>
  <c r="W25" i="50"/>
  <c r="W29" i="50" s="1"/>
  <c r="G28" i="50"/>
  <c r="Q28" i="50" s="1"/>
  <c r="R28" i="50" s="1"/>
  <c r="G37" i="50"/>
  <c r="Q38" i="50" s="1"/>
  <c r="R103" i="63"/>
  <c r="Q102" i="63"/>
  <c r="R102" i="63" s="1"/>
  <c r="C28" i="50"/>
  <c r="T103" i="46"/>
  <c r="T105" i="46" s="1"/>
  <c r="U105" i="46" s="1"/>
  <c r="T93" i="46"/>
  <c r="U93" i="46" s="1"/>
  <c r="U94" i="46"/>
  <c r="S105" i="46"/>
  <c r="S92" i="63"/>
  <c r="T92" i="63" s="1"/>
  <c r="S103" i="63"/>
  <c r="S109" i="63" s="1"/>
  <c r="S111" i="63" s="1"/>
  <c r="T111" i="63" s="1"/>
  <c r="R29" i="50"/>
  <c r="T72" i="61"/>
  <c r="T65" i="61" s="1"/>
  <c r="U65" i="61" s="1"/>
  <c r="U41" i="61"/>
  <c r="V72" i="61"/>
  <c r="V65" i="61" s="1"/>
  <c r="W41" i="61"/>
  <c r="J28" i="50"/>
  <c r="J29" i="50"/>
  <c r="S41" i="61"/>
  <c r="R72" i="61"/>
  <c r="R65" i="61" s="1"/>
  <c r="S65" i="61" s="1"/>
  <c r="S28" i="50"/>
  <c r="T28" i="50" s="1"/>
  <c r="U92" i="63"/>
  <c r="V92" i="63" s="1"/>
  <c r="U103" i="63"/>
  <c r="V93" i="63"/>
  <c r="S38" i="50" l="1"/>
  <c r="T103" i="63"/>
  <c r="S102" i="63"/>
  <c r="T102" i="63" s="1"/>
  <c r="T93" i="61"/>
  <c r="W65" i="61"/>
  <c r="V93" i="61"/>
  <c r="H109" i="61"/>
  <c r="H111" i="61" s="1"/>
  <c r="I111" i="61" s="1"/>
  <c r="R93" i="61"/>
  <c r="V103" i="63"/>
  <c r="U102" i="63"/>
  <c r="V102" i="63" s="1"/>
  <c r="U109" i="63"/>
  <c r="U111" i="63" s="1"/>
  <c r="V111" i="63" s="1"/>
  <c r="J37" i="50"/>
  <c r="U93" i="61" l="1"/>
  <c r="T103" i="61"/>
  <c r="T92" i="61"/>
  <c r="U92" i="61" s="1"/>
  <c r="V103" i="61"/>
  <c r="W93" i="61"/>
  <c r="V92" i="61"/>
  <c r="W92" i="61" s="1"/>
  <c r="R103" i="61"/>
  <c r="S93" i="61"/>
  <c r="R92" i="61"/>
  <c r="S92" i="61" s="1"/>
  <c r="T102" i="61" l="1"/>
  <c r="U102" i="61" s="1"/>
  <c r="U103" i="61"/>
  <c r="T109" i="61"/>
  <c r="T111" i="61" s="1"/>
  <c r="U111" i="61" s="1"/>
  <c r="S103" i="61"/>
  <c r="R102" i="61"/>
  <c r="S102" i="61" s="1"/>
  <c r="R109" i="61"/>
  <c r="R111" i="61" s="1"/>
  <c r="S111" i="61" s="1"/>
  <c r="W103" i="61"/>
  <c r="V102" i="61"/>
  <c r="W102" i="61" s="1"/>
  <c r="V109" i="61"/>
  <c r="V111" i="61" s="1"/>
  <c r="W111" i="61" s="1"/>
</calcChain>
</file>

<file path=xl/comments1.xml><?xml version="1.0" encoding="utf-8"?>
<comments xmlns="http://schemas.openxmlformats.org/spreadsheetml/2006/main">
  <authors>
    <author>Alexandre DARDOL</author>
  </authors>
  <commentList>
    <comment ref="G55" authorId="0" shapeId="0">
      <text>
        <r>
          <rPr>
            <sz val="9"/>
            <color indexed="81"/>
            <rFont val="Tahoma"/>
            <family val="2"/>
          </rPr>
          <t>Présence de Laura DERBERNARDI sur 12 mois compte 15 jour sur l'exercice précédent. Son taux de charge est de 39,5% + présence de stagiaire</t>
        </r>
      </text>
    </comment>
    <comment ref="J55" authorId="0" shapeId="0">
      <text>
        <r>
          <rPr>
            <sz val="9"/>
            <color indexed="81"/>
            <rFont val="Tahoma"/>
            <family val="2"/>
          </rPr>
          <t>Présence de Laura DERBERNARDI sur 12 mois compte 15 jour sur l'exercice précédent. Son taux de charge est de 39,5% + présence de stagiaire</t>
        </r>
      </text>
    </comment>
  </commentList>
</comments>
</file>

<file path=xl/comments2.xml><?xml version="1.0" encoding="utf-8"?>
<comments xmlns="http://schemas.openxmlformats.org/spreadsheetml/2006/main">
  <authors>
    <author>Sorel YOUMBI</author>
    <author>Alexandre DARDOL (Comptabilite)</author>
  </authors>
  <commentList>
    <comment ref="N10" authorId="0" shapeId="0">
      <text>
        <r>
          <rPr>
            <sz val="9"/>
            <color indexed="81"/>
            <rFont val="Tahoma"/>
            <family val="2"/>
          </rPr>
          <t xml:space="preserve">CA client: </t>
        </r>
        <r>
          <rPr>
            <b/>
            <sz val="9"/>
            <color indexed="81"/>
            <rFont val="Tahoma"/>
            <family val="2"/>
          </rPr>
          <t>1 784 K€</t>
        </r>
        <r>
          <rPr>
            <sz val="9"/>
            <color indexed="81"/>
            <rFont val="Tahoma"/>
            <family val="2"/>
          </rPr>
          <t xml:space="preserve">, écart 38 K€ dont 23 FAE DGAC et 15 non justifié
</t>
        </r>
      </text>
    </comment>
    <comment ref="N11" authorId="0" shapeId="0">
      <text>
        <r>
          <rPr>
            <sz val="9"/>
            <color indexed="81"/>
            <rFont val="Tahoma"/>
            <family val="2"/>
          </rPr>
          <t xml:space="preserve">CA client: </t>
        </r>
        <r>
          <rPr>
            <b/>
            <sz val="9"/>
            <color indexed="81"/>
            <rFont val="Tahoma"/>
            <family val="2"/>
          </rPr>
          <t>3 199 K€</t>
        </r>
        <r>
          <rPr>
            <sz val="9"/>
            <color indexed="81"/>
            <rFont val="Tahoma"/>
            <family val="2"/>
          </rPr>
          <t xml:space="preserve">, pas d'écart
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Sorel YOUMBI:</t>
        </r>
        <r>
          <rPr>
            <sz val="9"/>
            <color indexed="81"/>
            <rFont val="Tahoma"/>
            <charset val="1"/>
          </rPr>
          <t xml:space="preserve">
Provision faite à tort en situation au 31/10/19 d'où la charge plus importante qu'en réel</t>
        </r>
      </text>
    </comment>
    <comment ref="N24" authorId="0" shapeId="0">
      <text>
        <r>
          <rPr>
            <b/>
            <sz val="9"/>
            <color indexed="81"/>
            <rFont val="Tahoma"/>
            <charset val="1"/>
          </rPr>
          <t>Sorel YOUMBI:</t>
        </r>
        <r>
          <rPr>
            <sz val="9"/>
            <color indexed="81"/>
            <rFont val="Tahoma"/>
            <charset val="1"/>
          </rPr>
          <t xml:space="preserve">
Indemnité licenciement Garbasi décembre 2019</t>
        </r>
      </text>
    </comment>
    <comment ref="I33" authorId="1" shapeId="0">
      <text>
        <r>
          <rPr>
            <sz val="9"/>
            <color indexed="81"/>
            <rFont val="Tahoma"/>
            <charset val="1"/>
          </rPr>
          <t>Taux de marge client : 33,43%</t>
        </r>
      </text>
    </comment>
    <comment ref="O33" authorId="0" shapeId="0">
      <text>
        <r>
          <rPr>
            <sz val="9"/>
            <color indexed="81"/>
            <rFont val="Tahoma"/>
            <family val="2"/>
          </rPr>
          <t xml:space="preserve">Marge client 30,6 %
</t>
        </r>
      </text>
    </comment>
    <comment ref="I37" authorId="1" shapeId="0">
      <text>
        <r>
          <rPr>
            <sz val="9"/>
            <color indexed="81"/>
            <rFont val="Tahoma"/>
            <charset val="1"/>
          </rPr>
          <t>Taux marge client : 16,41%</t>
        </r>
      </text>
    </comment>
    <comment ref="O37" authorId="0" shapeId="0">
      <text>
        <r>
          <rPr>
            <sz val="9"/>
            <color indexed="81"/>
            <rFont val="Tahoma"/>
            <charset val="1"/>
          </rPr>
          <t xml:space="preserve">Marge sous-traitants suivi facturation : 16,44 %,  
Ecart 0,5 %
</t>
        </r>
      </text>
    </comment>
    <comment ref="N74" authorId="1" shapeId="0">
      <text>
        <r>
          <rPr>
            <sz val="9"/>
            <color indexed="81"/>
            <rFont val="Tahoma"/>
            <family val="2"/>
          </rPr>
          <t xml:space="preserve">Salaire Laurent Montagne du 12/19 pour un cout de </t>
        </r>
        <r>
          <rPr>
            <b/>
            <u/>
            <sz val="9"/>
            <color indexed="81"/>
            <rFont val="Tahoma"/>
            <family val="2"/>
          </rPr>
          <t>19 K€</t>
        </r>
        <r>
          <rPr>
            <sz val="9"/>
            <color indexed="81"/>
            <rFont val="Tahoma"/>
            <family val="2"/>
          </rPr>
          <t xml:space="preserve">
Prime de résultat 2,6K€</t>
        </r>
      </text>
    </comment>
  </commentList>
</comments>
</file>

<file path=xl/comments3.xml><?xml version="1.0" encoding="utf-8"?>
<comments xmlns="http://schemas.openxmlformats.org/spreadsheetml/2006/main">
  <authors>
    <author>Alexandre DARDOL (Comptabilite)</author>
    <author>Alexandre DARDOL</author>
  </authors>
  <commentList>
    <comment ref="I33" authorId="0" shapeId="0">
      <text>
        <r>
          <rPr>
            <sz val="9"/>
            <color indexed="81"/>
            <rFont val="Tahoma"/>
            <family val="2"/>
          </rPr>
          <t>Taux de chareg social retenu pour la prod; = 45% alors que le taux de charge réel est de 40%</t>
        </r>
      </text>
    </comment>
    <comment ref="O33" authorId="0" shapeId="0">
      <text>
        <r>
          <rPr>
            <sz val="9"/>
            <color indexed="81"/>
            <rFont val="Tahoma"/>
            <family val="2"/>
          </rPr>
          <t xml:space="preserve">Taux de marge du client 30,81%
Soit un écart de 2,5%
Impact ecart taux de charge sociale 1,7%
</t>
        </r>
      </text>
    </comment>
    <comment ref="C37" authorId="1" shapeId="0">
      <text>
        <r>
          <rPr>
            <sz val="9"/>
            <color indexed="81"/>
            <rFont val="Tahoma"/>
            <family val="2"/>
          </rPr>
          <t xml:space="preserve">Entre 10% et 15% sur tableau de production 2018
</t>
        </r>
      </text>
    </comment>
    <comment ref="I37" authorId="0" shapeId="0">
      <text>
        <r>
          <rPr>
            <sz val="9"/>
            <color indexed="81"/>
            <rFont val="Tahoma"/>
            <family val="2"/>
          </rPr>
          <t>Ecart sur fature Arese power de janvier février mai. La facture du sous traitant été minoré pour intégrer l'indemnité du contrat de travail de décembre 2018</t>
        </r>
      </text>
    </comment>
    <comment ref="O37" authorId="0" shapeId="0">
      <text>
        <r>
          <rPr>
            <sz val="9"/>
            <color indexed="81"/>
            <rFont val="Tahoma"/>
            <family val="2"/>
          </rPr>
          <t>Taux marge client = 14,4%
Ecart de 1,87% expliqué par les facture Arese powertrain minorés pour 1,79%</t>
        </r>
      </text>
    </comment>
  </commentList>
</comments>
</file>

<file path=xl/sharedStrings.xml><?xml version="1.0" encoding="utf-8"?>
<sst xmlns="http://schemas.openxmlformats.org/spreadsheetml/2006/main" count="555" uniqueCount="230">
  <si>
    <t>(en k€)</t>
  </si>
  <si>
    <t>2020</t>
  </si>
  <si>
    <t>2019</t>
  </si>
  <si>
    <t>2018</t>
  </si>
  <si>
    <t>RESULTAT NET</t>
  </si>
  <si>
    <t>Résultat exceptionnel</t>
  </si>
  <si>
    <t>Résultat financier</t>
  </si>
  <si>
    <t>RESULTAT D'EXPLOITATION</t>
  </si>
  <si>
    <t>Dotations aux amortissements</t>
  </si>
  <si>
    <t>EXCEDENT BRUT D'EXPLOITATION</t>
  </si>
  <si>
    <t>CHIFFRE D'AFFAIRES</t>
  </si>
  <si>
    <t>PREVI</t>
  </si>
  <si>
    <t>2021</t>
  </si>
  <si>
    <t>2022</t>
  </si>
  <si>
    <t>Frais de recrutement</t>
  </si>
  <si>
    <t>AUTRES ACHATS ET CHARGES EXTERNES</t>
  </si>
  <si>
    <t>Assurances</t>
  </si>
  <si>
    <t>Frais de déplacement</t>
  </si>
  <si>
    <t>Frais de télécommunication</t>
  </si>
  <si>
    <t>Frais bancaires</t>
  </si>
  <si>
    <t>Liste salarié</t>
  </si>
  <si>
    <t>Intitulé de poste</t>
  </si>
  <si>
    <t>en %</t>
  </si>
  <si>
    <t>IMPOT ET TAXES</t>
  </si>
  <si>
    <t>Autre salarié 3</t>
  </si>
  <si>
    <t>Autre salarié 4</t>
  </si>
  <si>
    <t>Brut</t>
  </si>
  <si>
    <t>Charges sociales</t>
  </si>
  <si>
    <t>Ctrl</t>
  </si>
  <si>
    <t>Maintenance locaux</t>
  </si>
  <si>
    <t>Fournitures diverse</t>
  </si>
  <si>
    <t>IMPOT SUR LES SOCIETES</t>
  </si>
  <si>
    <t>REALISE</t>
  </si>
  <si>
    <t>ATTERISSAGE</t>
  </si>
  <si>
    <t>Freelance</t>
  </si>
  <si>
    <t>Loyers et charges</t>
  </si>
  <si>
    <t>Maintenance informatique</t>
  </si>
  <si>
    <t>Honoraires (comptables, juridique, cac, divers)</t>
  </si>
  <si>
    <t>Divers</t>
  </si>
  <si>
    <t>IMPOT ET TAXES (hors taxes sur salaires)</t>
  </si>
  <si>
    <t>Prov CP</t>
  </si>
  <si>
    <t>Prov Charge s/ CP</t>
  </si>
  <si>
    <t>Prov Primes</t>
  </si>
  <si>
    <t>Prov Charges s/ Primes</t>
  </si>
  <si>
    <t>Prov RTT</t>
  </si>
  <si>
    <t>Prov Charge s/ RTT</t>
  </si>
  <si>
    <t>Formations</t>
  </si>
  <si>
    <t>Taxe sur les véhicules de société</t>
  </si>
  <si>
    <t>Médecine du travail</t>
  </si>
  <si>
    <t>Tickets restaurants</t>
  </si>
  <si>
    <t>Transport</t>
  </si>
  <si>
    <t>MARGE SUR CONSULTANT</t>
  </si>
  <si>
    <t>Taxes (apprent. Fpc. Effort et ofi)</t>
  </si>
  <si>
    <t>TOTAL</t>
  </si>
  <si>
    <t>Maintenance (locaux&amp; véhicule)</t>
  </si>
  <si>
    <t>Indemnités</t>
  </si>
  <si>
    <t>Autres charges de personnel</t>
  </si>
  <si>
    <t>Taxes (apprent. Fpc. Effort)</t>
  </si>
  <si>
    <t>Autres produits de gestion</t>
  </si>
  <si>
    <t>Autres charges de gestion</t>
  </si>
  <si>
    <t>Reprises sur amortissments et provisions, transfert de charges</t>
  </si>
  <si>
    <t>Dotations aux provsions</t>
  </si>
  <si>
    <t xml:space="preserve"> </t>
  </si>
  <si>
    <t>Prov Charges s/ rsp</t>
  </si>
  <si>
    <t>GROUPE</t>
  </si>
  <si>
    <t>Clé d'affectation</t>
  </si>
  <si>
    <t>Effectif</t>
  </si>
  <si>
    <t>Masse Salariale Brut</t>
  </si>
  <si>
    <t>CHARGES SOCIALES PATRONALES</t>
  </si>
  <si>
    <t>Salaire Brut sur 12 mois</t>
  </si>
  <si>
    <t>Nbre de mois de présence</t>
  </si>
  <si>
    <t>Autre salarié 5</t>
  </si>
  <si>
    <t>Primes</t>
  </si>
  <si>
    <t>Taxes (apprentissage &amp; Fpc)</t>
  </si>
  <si>
    <t>Autres charges refacturées</t>
  </si>
  <si>
    <t>Cfe</t>
  </si>
  <si>
    <t>Cvae</t>
  </si>
  <si>
    <t>MARGE GLOBALE DIRECT</t>
  </si>
  <si>
    <t>MARGE SUR FREELANCE</t>
  </si>
  <si>
    <t>Montant annuel (enk€)</t>
  </si>
  <si>
    <t>Agefiph</t>
  </si>
  <si>
    <t>Subvention d'exploitation</t>
  </si>
  <si>
    <t>RSP</t>
  </si>
  <si>
    <t>pour un taux d'intercontrat de</t>
  </si>
  <si>
    <t>Marketing &amp; Communication</t>
  </si>
  <si>
    <t>Dépenses - Marketing &amp; Communication</t>
  </si>
  <si>
    <t>Frais de réception (alimentation)</t>
  </si>
  <si>
    <t>Dont CA Freelance</t>
  </si>
  <si>
    <t>Taux d'IC</t>
  </si>
  <si>
    <t>MASSE SALARIALE CONSULTANT</t>
  </si>
  <si>
    <t>CHIFFRE D'AFFAIRES - Consultant</t>
  </si>
  <si>
    <t>CHIFFRE D'AFFAIRES - Freelance</t>
  </si>
  <si>
    <t>EBITDA</t>
  </si>
  <si>
    <t>EBIT</t>
  </si>
  <si>
    <t>SEUIL DE RENTABILITE en chiffre d'affaires</t>
  </si>
  <si>
    <t>SYNTHESE BUSINESS PLAN DU GROUPE AVANISTA</t>
  </si>
  <si>
    <t>AVANISTA</t>
  </si>
  <si>
    <t>AVANISTA INGENIERIE</t>
  </si>
  <si>
    <t>30/06/2018</t>
  </si>
  <si>
    <t>Facturation Mandat Social - Avanista</t>
  </si>
  <si>
    <t>Facturation Mandat Social - Avanista Ingenierie</t>
  </si>
  <si>
    <t>Refacturation Autres charges - Avanista</t>
  </si>
  <si>
    <t>Refacturation Autres charges - Avanista Ingenierie</t>
  </si>
  <si>
    <t>Location bureau</t>
  </si>
  <si>
    <t>Location véhicule</t>
  </si>
  <si>
    <t>Formation</t>
  </si>
  <si>
    <t>Catalogues et imprimés</t>
  </si>
  <si>
    <t>Frais de séminaire</t>
  </si>
  <si>
    <t>Concours divers</t>
  </si>
  <si>
    <t>REMUNERATION DE LA DIRECTION</t>
  </si>
  <si>
    <t>Avantages en nature</t>
  </si>
  <si>
    <t>Olivier BENASSI - Brut</t>
  </si>
  <si>
    <t>Olivier BENASSI - Charges sociales obligatoires</t>
  </si>
  <si>
    <t>Olivier BENASSI - Charges sociales facultatives</t>
  </si>
  <si>
    <t>Cice</t>
  </si>
  <si>
    <t>Transfert de charge</t>
  </si>
  <si>
    <t>Avanista</t>
  </si>
  <si>
    <t>Avanista Ingenierie</t>
  </si>
  <si>
    <t>30/06/2019</t>
  </si>
  <si>
    <t>Dividendes Avanista</t>
  </si>
  <si>
    <t>Dividendes Avanista Ingenierie</t>
  </si>
  <si>
    <t>Avanista Group</t>
  </si>
  <si>
    <t>Carine JOSEPH - Brut</t>
  </si>
  <si>
    <t>Carine JOSEPH - Charges sociales obligatoires</t>
  </si>
  <si>
    <t>Carine JOSEPH - Charges sociales facultatives</t>
  </si>
  <si>
    <t xml:space="preserve">Location bureau - 5 rue Cousté </t>
  </si>
  <si>
    <t>Location parking</t>
  </si>
  <si>
    <t>Entretien véhicule</t>
  </si>
  <si>
    <t xml:space="preserve">Chiffre d'affaire </t>
  </si>
  <si>
    <r>
      <rPr>
        <b/>
        <sz val="11"/>
        <color theme="1"/>
        <rFont val="Calibri"/>
        <family val="2"/>
        <scheme val="minor"/>
      </rPr>
      <t>Avanista GROUP</t>
    </r>
    <r>
      <rPr>
        <sz val="11"/>
        <color theme="1"/>
        <rFont val="Calibri"/>
        <family val="2"/>
        <scheme val="minor"/>
      </rPr>
      <t xml:space="preserve"> - Management fees </t>
    </r>
  </si>
  <si>
    <r>
      <rPr>
        <b/>
        <sz val="11"/>
        <color theme="1"/>
        <rFont val="Calibri"/>
        <family val="2"/>
        <scheme val="minor"/>
      </rPr>
      <t>Avanista GROUP</t>
    </r>
    <r>
      <rPr>
        <sz val="11"/>
        <color theme="1"/>
        <rFont val="Calibri"/>
        <family val="2"/>
        <scheme val="minor"/>
      </rPr>
      <t xml:space="preserve"> - Autres charges</t>
    </r>
  </si>
  <si>
    <t>30/06/2020</t>
  </si>
  <si>
    <t>30/06/2021</t>
  </si>
  <si>
    <t>30/06/2022</t>
  </si>
  <si>
    <t>Refacturation Loyers - Avanista</t>
  </si>
  <si>
    <t>Refacturation Loyers - Avanista Ingenierie</t>
  </si>
  <si>
    <t>Marketing &amp; Communication - 100% Ingenierie</t>
  </si>
  <si>
    <t>31/12/2019</t>
  </si>
  <si>
    <t>BARTHELEMY Elodie</t>
  </si>
  <si>
    <t>DEBERNADI Laura</t>
  </si>
  <si>
    <t>IDHAMMOU iliès</t>
  </si>
  <si>
    <t>PLAVSIC Vanja</t>
  </si>
  <si>
    <t>fin 2019</t>
  </si>
  <si>
    <t>Salaire But 1s19</t>
  </si>
  <si>
    <t>Du 1er juillet 2019 au 30 juin 2020</t>
  </si>
  <si>
    <t>Du 1er juillet 2020 au 30 juin 2021</t>
  </si>
  <si>
    <t>Du 1er juillet 2021 au 30 juin 2022</t>
  </si>
  <si>
    <t>Rémunération - Carine Joseph</t>
  </si>
  <si>
    <t>Rémunération - Olivier BENASSI</t>
  </si>
  <si>
    <t>Dépenses - Recrutement</t>
  </si>
  <si>
    <t>MASSE SALARIALE ADMINISTRATIVE</t>
  </si>
  <si>
    <t>Chèques cadeaux</t>
  </si>
  <si>
    <t>Indemnités Consultants</t>
  </si>
  <si>
    <t>Crédit d'impôt compétitivité emploi</t>
  </si>
  <si>
    <t>Note  de frais salariés</t>
  </si>
  <si>
    <t>Cartes grises</t>
  </si>
  <si>
    <t>Taxes diverses</t>
  </si>
  <si>
    <t>MASSE SALARIALE DES ADMINISTRATIFS</t>
  </si>
  <si>
    <t>AVANISTA GROUP - REMUNARATION MANDAT</t>
  </si>
  <si>
    <t>Leasing (matériel é véhicule)</t>
  </si>
  <si>
    <t>Loyers &amp; charges Avanista Group</t>
  </si>
  <si>
    <t>Frais de colloque et séminaire</t>
  </si>
  <si>
    <t>Apporteur d'affaires (Am21, Zyneas)</t>
  </si>
  <si>
    <t>AVANISTA GROUP - REFACTURATION FRAIS</t>
  </si>
  <si>
    <t>Salarié Vimont</t>
  </si>
  <si>
    <t>Résultat exceptionnel (dont avoirs émis s/ prod 2018)</t>
  </si>
  <si>
    <t>HONORAIRE AVANISTA GROUPE - MANDAT</t>
  </si>
  <si>
    <t>HONORAIRE AVANISTA GROUPE - FRAIS</t>
  </si>
  <si>
    <t>MASSE SALARIALE DIRECTION</t>
  </si>
  <si>
    <t>Autre salarié 1</t>
  </si>
  <si>
    <t>Autre salarié 2</t>
  </si>
  <si>
    <t>GAUMER Elodie</t>
  </si>
  <si>
    <t>Commissions   &amp; primes probables</t>
  </si>
  <si>
    <t>Apporteur d'affaires</t>
  </si>
  <si>
    <t>Refacturation salaire avanista</t>
  </si>
  <si>
    <t>Marketing &amp; Communication &amp; Cadeaux</t>
  </si>
  <si>
    <t>KAZANDJAN Cécile</t>
  </si>
  <si>
    <t>KRASSO Jennifer</t>
  </si>
  <si>
    <t>Business Developer</t>
  </si>
  <si>
    <t>Chargé de recrutrement</t>
  </si>
  <si>
    <t>Rappel</t>
  </si>
  <si>
    <t>Salarié VIMONT</t>
  </si>
  <si>
    <t>Leasing (matériel &amp; véhicule)</t>
  </si>
  <si>
    <t>Honoraires (comptables, juridique, divers)</t>
  </si>
  <si>
    <t>Dépenses - Recrutement (Bankess, Ideuzo)</t>
  </si>
  <si>
    <t>en k€</t>
  </si>
  <si>
    <r>
      <t xml:space="preserve">Taux de marge sur refeacturation filiale </t>
    </r>
    <r>
      <rPr>
        <b/>
        <i/>
        <sz val="11"/>
        <color theme="1"/>
        <rFont val="Calibri"/>
        <family val="2"/>
        <scheme val="minor"/>
      </rPr>
      <t>(en%)</t>
    </r>
  </si>
  <si>
    <t>Dividende reçu d'Avanista</t>
  </si>
  <si>
    <t>Dividende reçu d'Avanista Ingénierie</t>
  </si>
  <si>
    <t>2019/2020</t>
  </si>
  <si>
    <t>2020/2021</t>
  </si>
  <si>
    <t>2021/2022</t>
  </si>
  <si>
    <t>Au 31/12/2019</t>
  </si>
  <si>
    <t>Rémunération 1S2019 - Carine Joseph</t>
  </si>
  <si>
    <t>Rémunération 1S2019 - Olivier BENASSI</t>
  </si>
  <si>
    <t>Dépenses - Marketing &amp; Communication (Jenny foray, rac 41, julie poupat)</t>
  </si>
  <si>
    <t>Dépenses - Séminaires (Puremotion)</t>
  </si>
  <si>
    <t>Au 30/06/2018</t>
  </si>
  <si>
    <t>Dépenses - Frais de colloque et séminaire (Ad'mission, Makotte,Luxa)</t>
  </si>
  <si>
    <t>Dépenses - Marketing &amp; Communication &amp; Cadeaux (papillons de jour, vgs)</t>
  </si>
  <si>
    <t>Au 30/06/2020</t>
  </si>
  <si>
    <t>Maintenance véhicule</t>
  </si>
  <si>
    <t>Prov CP / RTT</t>
  </si>
  <si>
    <t>Prov Charge s/ CP / RTT</t>
  </si>
  <si>
    <t>Dépenses - Frais de colloque et séminaires</t>
  </si>
  <si>
    <t>Prov CP &amp; RTT</t>
  </si>
  <si>
    <t>Prov Charge s/ CP &amp; RTT</t>
  </si>
  <si>
    <t>VARIATION CP</t>
  </si>
  <si>
    <t>Au 30/06/2019</t>
  </si>
  <si>
    <t>EVALUATION</t>
  </si>
  <si>
    <t>Moyenne</t>
  </si>
  <si>
    <t>Coeff.</t>
  </si>
  <si>
    <t>Valo.</t>
  </si>
  <si>
    <t>Refacturation Avanista Ingenierie</t>
  </si>
  <si>
    <t>Reacturation Avanista</t>
  </si>
  <si>
    <t>31/10/2019</t>
  </si>
  <si>
    <t>Autres produits</t>
  </si>
  <si>
    <t>Au 31/10/2019</t>
  </si>
  <si>
    <t>Version 31-10-2019</t>
  </si>
  <si>
    <t>=M63-P63</t>
  </si>
  <si>
    <t>Salaire au 31/10/2019</t>
  </si>
  <si>
    <t>A 31/12/2019</t>
  </si>
  <si>
    <t>AVANISTA GROUP</t>
  </si>
  <si>
    <t>AVANISTA - TABLEAU DE GESTION</t>
  </si>
  <si>
    <t>AVANISTA INGENIERIE - TABLEAU DE GESTION</t>
  </si>
  <si>
    <t>MASSE SALARIALE DES ADMINISTRATIFS ET COMMERCIAUX</t>
  </si>
  <si>
    <t>ATTERISAGE</t>
  </si>
  <si>
    <t>Fournitures diverses</t>
  </si>
  <si>
    <t>AVANISTA GROUP  - TABLEAU DE GESTION</t>
  </si>
  <si>
    <t>Chomage partiel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</si>
</sst>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#,##0.000"/>
    <numFmt numFmtId="167" formatCode="0.0%"/>
    <numFmt numFmtId="168" formatCode="#,##0.0000"/>
    <numFmt numFmtId="169" formatCode="_-* #,##0.000\ _€_-;\-* #,##0.000\ _€_-;_-* &quot;-&quot;??\ _€_-;_-@_-"/>
    <numFmt numFmtId="170" formatCode="0.000"/>
    <numFmt numFmtId="171" formatCode="[$-F400]h:mm:ss\ AM/PM"/>
  </numFmts>
  <fonts count="8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i/>
      <vertAlign val="superscript"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b/>
      <i/>
      <vertAlign val="superscript"/>
      <sz val="10"/>
      <name val="Calibri"/>
      <family val="2"/>
      <scheme val="minor"/>
    </font>
    <font>
      <i/>
      <vertAlign val="superscript"/>
      <sz val="10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i/>
      <vertAlign val="superscript"/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perscript"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vertAlign val="super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i/>
      <vertAlign val="superscript"/>
      <sz val="14"/>
      <name val="Calibri"/>
      <family val="2"/>
      <scheme val="minor"/>
    </font>
    <font>
      <i/>
      <vertAlign val="superscript"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i/>
      <vertAlign val="superscript"/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i/>
      <vertAlign val="superscript"/>
      <sz val="14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0000"/>
      <name val="Calibri"/>
      <family val="2"/>
    </font>
    <font>
      <b/>
      <i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i/>
      <sz val="11"/>
      <color rgb="FF000000"/>
      <name val="Calibri"/>
      <family val="2"/>
    </font>
    <font>
      <b/>
      <i/>
      <vertAlign val="superscript"/>
      <sz val="10"/>
      <color rgb="FF000000"/>
      <name val="Calibri"/>
      <family val="2"/>
    </font>
    <font>
      <i/>
      <vertAlign val="superscript"/>
      <sz val="10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i/>
      <vertAlign val="superscript"/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i/>
      <vertAlign val="superscript"/>
      <sz val="12"/>
      <color rgb="FF000000"/>
      <name val="Calibri"/>
      <family val="2"/>
    </font>
    <font>
      <i/>
      <sz val="10"/>
      <name val="Calibri"/>
      <family val="2"/>
    </font>
    <font>
      <b/>
      <i/>
      <sz val="11"/>
      <name val="Calibri"/>
      <family val="2"/>
    </font>
    <font>
      <sz val="11"/>
      <color theme="0"/>
      <name val="Calibri"/>
      <family val="2"/>
      <scheme val="minor"/>
    </font>
    <font>
      <b/>
      <u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>
        <bgColor theme="0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0"/>
        <bgColor rgb="FF000000"/>
      </patternFill>
    </fill>
    <fill>
      <patternFill patternType="lightDown">
        <bgColor theme="4" tint="0.79995117038483843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 applyFill="0" applyBorder="0"/>
    <xf numFmtId="44" fontId="1" fillId="0" borderId="0" applyFont="0" applyFill="0" applyBorder="0" applyAlignment="0" applyProtection="0"/>
    <xf numFmtId="0" fontId="5" fillId="0" borderId="0"/>
    <xf numFmtId="44" fontId="3" fillId="0" borderId="0" applyFont="0" applyFill="0" applyBorder="0" applyAlignment="0" applyProtection="0"/>
    <xf numFmtId="0" fontId="24" fillId="4" borderId="0" applyNumberFormat="0" applyBorder="0" applyAlignment="0" applyProtection="0"/>
  </cellStyleXfs>
  <cellXfs count="66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9" fontId="13" fillId="0" borderId="0" xfId="0" applyNumberFormat="1" applyFont="1" applyAlignment="1">
      <alignment horizontal="center"/>
    </xf>
    <xf numFmtId="10" fontId="13" fillId="0" borderId="0" xfId="0" applyNumberFormat="1" applyFont="1"/>
    <xf numFmtId="9" fontId="15" fillId="0" borderId="0" xfId="0" applyNumberFormat="1" applyFont="1" applyAlignment="1">
      <alignment horizontal="center"/>
    </xf>
    <xf numFmtId="9" fontId="14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7" fillId="0" borderId="0" xfId="0" applyFont="1"/>
    <xf numFmtId="165" fontId="15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8" fillId="0" borderId="0" xfId="0" applyFont="1"/>
    <xf numFmtId="0" fontId="5" fillId="2" borderId="0" xfId="33" applyFill="1"/>
    <xf numFmtId="0" fontId="0" fillId="2" borderId="0" xfId="0" applyFill="1"/>
    <xf numFmtId="9" fontId="16" fillId="2" borderId="0" xfId="0" applyNumberFormat="1" applyFont="1" applyFill="1" applyAlignment="1">
      <alignment horizontal="center"/>
    </xf>
    <xf numFmtId="9" fontId="15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0" xfId="33" applyFont="1" applyFill="1"/>
    <xf numFmtId="0" fontId="10" fillId="2" borderId="0" xfId="33" applyFont="1" applyFill="1" applyAlignment="1">
      <alignment horizontal="center"/>
    </xf>
    <xf numFmtId="4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left"/>
    </xf>
    <xf numFmtId="0" fontId="10" fillId="2" borderId="0" xfId="33" applyFont="1" applyFill="1" applyAlignment="1">
      <alignment horizontal="left" indent="2"/>
    </xf>
    <xf numFmtId="9" fontId="2" fillId="2" borderId="0" xfId="0" applyNumberFormat="1" applyFont="1" applyFill="1" applyAlignment="1">
      <alignment horizontal="left" indent="2"/>
    </xf>
    <xf numFmtId="9" fontId="5" fillId="2" borderId="0" xfId="33" applyNumberFormat="1" applyFill="1"/>
    <xf numFmtId="165" fontId="15" fillId="2" borderId="0" xfId="1" applyNumberFormat="1" applyFont="1" applyFill="1" applyAlignment="1">
      <alignment horizontal="center"/>
    </xf>
    <xf numFmtId="0" fontId="9" fillId="0" borderId="0" xfId="0" applyFont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165" fontId="10" fillId="2" borderId="0" xfId="33" applyNumberFormat="1" applyFont="1" applyFill="1" applyAlignment="1">
      <alignment horizontal="center"/>
    </xf>
    <xf numFmtId="0" fontId="24" fillId="2" borderId="0" xfId="35" applyFill="1"/>
    <xf numFmtId="0" fontId="2" fillId="2" borderId="0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49" fontId="12" fillId="2" borderId="0" xfId="0" applyNumberFormat="1" applyFont="1" applyFill="1" applyAlignment="1">
      <alignment horizontal="center" vertical="center" wrapText="1"/>
    </xf>
    <xf numFmtId="9" fontId="20" fillId="2" borderId="0" xfId="2" applyFont="1" applyFill="1" applyAlignment="1">
      <alignment horizontal="center" vertical="center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10" fontId="15" fillId="2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10" fillId="2" borderId="2" xfId="33" applyNumberFormat="1" applyFont="1" applyFill="1" applyBorder="1" applyAlignment="1">
      <alignment horizontal="center"/>
    </xf>
    <xf numFmtId="166" fontId="0" fillId="0" borderId="0" xfId="0" applyNumberFormat="1"/>
    <xf numFmtId="9" fontId="19" fillId="2" borderId="0" xfId="0" applyNumberFormat="1" applyFont="1" applyFill="1" applyAlignment="1">
      <alignment horizontal="center"/>
    </xf>
    <xf numFmtId="166" fontId="9" fillId="0" borderId="0" xfId="0" applyNumberFormat="1" applyFont="1"/>
    <xf numFmtId="0" fontId="0" fillId="2" borderId="0" xfId="0" applyFill="1" applyAlignment="1">
      <alignment horizontal="center"/>
    </xf>
    <xf numFmtId="49" fontId="15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0" fontId="30" fillId="0" borderId="0" xfId="0" applyFont="1" applyAlignment="1">
      <alignment horizontal="right"/>
    </xf>
    <xf numFmtId="0" fontId="27" fillId="2" borderId="0" xfId="0" applyFont="1" applyFill="1" applyAlignment="1">
      <alignment horizontal="center"/>
    </xf>
    <xf numFmtId="10" fontId="32" fillId="0" borderId="0" xfId="0" applyNumberFormat="1" applyFont="1"/>
    <xf numFmtId="166" fontId="30" fillId="0" borderId="0" xfId="0" applyNumberFormat="1" applyFont="1"/>
    <xf numFmtId="10" fontId="32" fillId="2" borderId="0" xfId="0" applyNumberFormat="1" applyFont="1" applyFill="1"/>
    <xf numFmtId="165" fontId="23" fillId="2" borderId="8" xfId="1" applyNumberFormat="1" applyFont="1" applyFill="1" applyBorder="1" applyAlignment="1">
      <alignment horizontal="center"/>
    </xf>
    <xf numFmtId="3" fontId="6" fillId="2" borderId="8" xfId="0" applyNumberFormat="1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right"/>
    </xf>
    <xf numFmtId="0" fontId="29" fillId="2" borderId="9" xfId="0" applyFont="1" applyFill="1" applyBorder="1" applyAlignment="1">
      <alignment horizontal="right" vertical="center"/>
    </xf>
    <xf numFmtId="3" fontId="0" fillId="2" borderId="8" xfId="0" applyNumberFormat="1" applyFill="1" applyBorder="1" applyAlignment="1">
      <alignment horizontal="right" indent="2"/>
    </xf>
    <xf numFmtId="0" fontId="30" fillId="2" borderId="9" xfId="0" applyFont="1" applyFill="1" applyBorder="1" applyAlignment="1">
      <alignment horizontal="right" indent="2"/>
    </xf>
    <xf numFmtId="3" fontId="2" fillId="2" borderId="8" xfId="0" applyNumberFormat="1" applyFont="1" applyFill="1" applyBorder="1" applyAlignment="1">
      <alignment horizontal="right" indent="2"/>
    </xf>
    <xf numFmtId="0" fontId="30" fillId="2" borderId="9" xfId="0" applyFont="1" applyFill="1" applyBorder="1" applyAlignment="1">
      <alignment horizontal="right"/>
    </xf>
    <xf numFmtId="0" fontId="13" fillId="2" borderId="8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right" wrapText="1"/>
    </xf>
    <xf numFmtId="0" fontId="13" fillId="2" borderId="8" xfId="0" applyFont="1" applyFill="1" applyBorder="1" applyAlignment="1">
      <alignment horizontal="left" indent="2"/>
    </xf>
    <xf numFmtId="0" fontId="29" fillId="2" borderId="9" xfId="0" applyFont="1" applyFill="1" applyBorder="1" applyAlignment="1">
      <alignment horizontal="right" indent="7"/>
    </xf>
    <xf numFmtId="0" fontId="12" fillId="2" borderId="4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29" fillId="2" borderId="14" xfId="0" applyFont="1" applyFill="1" applyBorder="1" applyAlignment="1">
      <alignment horizontal="right"/>
    </xf>
    <xf numFmtId="165" fontId="31" fillId="2" borderId="4" xfId="1" applyNumberFormat="1" applyFont="1" applyFill="1" applyBorder="1" applyAlignment="1">
      <alignment horizontal="center"/>
    </xf>
    <xf numFmtId="9" fontId="32" fillId="2" borderId="0" xfId="0" applyNumberFormat="1" applyFont="1" applyFill="1" applyBorder="1" applyAlignment="1">
      <alignment horizontal="center"/>
    </xf>
    <xf numFmtId="9" fontId="31" fillId="2" borderId="0" xfId="0" applyNumberFormat="1" applyFont="1" applyFill="1" applyBorder="1" applyAlignment="1">
      <alignment horizontal="center"/>
    </xf>
    <xf numFmtId="3" fontId="6" fillId="5" borderId="18" xfId="0" applyNumberFormat="1" applyFont="1" applyFill="1" applyBorder="1" applyAlignment="1">
      <alignment horizontal="center" vertical="center"/>
    </xf>
    <xf numFmtId="9" fontId="33" fillId="5" borderId="17" xfId="0" applyNumberFormat="1" applyFont="1" applyFill="1" applyBorder="1" applyAlignment="1">
      <alignment horizontal="center"/>
    </xf>
    <xf numFmtId="0" fontId="17" fillId="7" borderId="10" xfId="0" applyFont="1" applyFill="1" applyBorder="1"/>
    <xf numFmtId="3" fontId="6" fillId="5" borderId="18" xfId="0" applyNumberFormat="1" applyFont="1" applyFill="1" applyBorder="1" applyAlignment="1">
      <alignment horizontal="right" vertical="center" indent="2"/>
    </xf>
    <xf numFmtId="9" fontId="31" fillId="5" borderId="16" xfId="0" applyNumberFormat="1" applyFont="1" applyFill="1" applyBorder="1" applyAlignment="1">
      <alignment horizontal="center"/>
    </xf>
    <xf numFmtId="3" fontId="0" fillId="5" borderId="8" xfId="0" applyNumberFormat="1" applyFill="1" applyBorder="1" applyAlignment="1">
      <alignment horizontal="right" indent="2"/>
    </xf>
    <xf numFmtId="9" fontId="32" fillId="5" borderId="9" xfId="0" applyNumberFormat="1" applyFont="1" applyFill="1" applyBorder="1" applyAlignment="1">
      <alignment horizontal="center"/>
    </xf>
    <xf numFmtId="10" fontId="31" fillId="5" borderId="9" xfId="0" applyNumberFormat="1" applyFont="1" applyFill="1" applyBorder="1" applyAlignment="1">
      <alignment horizontal="center"/>
    </xf>
    <xf numFmtId="49" fontId="32" fillId="5" borderId="9" xfId="0" applyNumberFormat="1" applyFont="1" applyFill="1" applyBorder="1" applyAlignment="1">
      <alignment horizontal="center"/>
    </xf>
    <xf numFmtId="9" fontId="33" fillId="5" borderId="16" xfId="0" applyNumberFormat="1" applyFont="1" applyFill="1" applyBorder="1" applyAlignment="1">
      <alignment horizontal="center"/>
    </xf>
    <xf numFmtId="3" fontId="12" fillId="5" borderId="18" xfId="0" applyNumberFormat="1" applyFont="1" applyFill="1" applyBorder="1" applyAlignment="1">
      <alignment horizontal="right" vertical="center" indent="2"/>
    </xf>
    <xf numFmtId="0" fontId="12" fillId="5" borderId="19" xfId="0" applyFont="1" applyFill="1" applyBorder="1" applyAlignment="1">
      <alignment horizontal="left" vertical="center" indent="4"/>
    </xf>
    <xf numFmtId="0" fontId="0" fillId="2" borderId="13" xfId="0" applyFill="1" applyBorder="1"/>
    <xf numFmtId="0" fontId="2" fillId="2" borderId="13" xfId="0" applyFont="1" applyFill="1" applyBorder="1" applyAlignment="1">
      <alignment horizontal="left" vertical="center" indent="2"/>
    </xf>
    <xf numFmtId="0" fontId="2" fillId="2" borderId="13" xfId="0" applyFont="1" applyFill="1" applyBorder="1" applyAlignment="1">
      <alignment horizontal="left" vertical="center" indent="7"/>
    </xf>
    <xf numFmtId="0" fontId="0" fillId="2" borderId="13" xfId="0" applyFont="1" applyFill="1" applyBorder="1" applyAlignment="1">
      <alignment horizontal="left" indent="4"/>
    </xf>
    <xf numFmtId="0" fontId="2" fillId="2" borderId="13" xfId="0" applyFont="1" applyFill="1" applyBorder="1" applyAlignment="1">
      <alignment horizontal="left" indent="4"/>
    </xf>
    <xf numFmtId="0" fontId="0" fillId="2" borderId="13" xfId="0" applyFill="1" applyBorder="1" applyAlignment="1">
      <alignment horizontal="left" vertical="center" indent="6"/>
    </xf>
    <xf numFmtId="0" fontId="9" fillId="2" borderId="13" xfId="0" applyFont="1" applyFill="1" applyBorder="1" applyAlignment="1">
      <alignment horizontal="left" vertical="center" indent="6"/>
    </xf>
    <xf numFmtId="0" fontId="2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indent="4"/>
    </xf>
    <xf numFmtId="0" fontId="9" fillId="2" borderId="13" xfId="0" applyFont="1" applyFill="1" applyBorder="1" applyAlignment="1">
      <alignment horizontal="left" indent="2"/>
    </xf>
    <xf numFmtId="0" fontId="13" fillId="2" borderId="13" xfId="0" applyFont="1" applyFill="1" applyBorder="1" applyAlignment="1">
      <alignment horizontal="left" indent="1"/>
    </xf>
    <xf numFmtId="0" fontId="2" fillId="2" borderId="13" xfId="0" applyFont="1" applyFill="1" applyBorder="1" applyAlignment="1">
      <alignment horizontal="left" indent="2"/>
    </xf>
    <xf numFmtId="0" fontId="12" fillId="2" borderId="13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right"/>
    </xf>
    <xf numFmtId="0" fontId="0" fillId="2" borderId="13" xfId="0" applyFill="1" applyBorder="1" applyAlignment="1">
      <alignment wrapText="1"/>
    </xf>
    <xf numFmtId="0" fontId="13" fillId="2" borderId="13" xfId="0" applyFont="1" applyFill="1" applyBorder="1" applyAlignment="1">
      <alignment horizontal="left" indent="2"/>
    </xf>
    <xf numFmtId="0" fontId="2" fillId="2" borderId="13" xfId="0" applyFont="1" applyFill="1" applyBorder="1" applyAlignment="1">
      <alignment horizontal="left" indent="7"/>
    </xf>
    <xf numFmtId="0" fontId="12" fillId="3" borderId="19" xfId="0" applyFont="1" applyFill="1" applyBorder="1" applyAlignment="1">
      <alignment horizontal="left" vertical="center" indent="4"/>
    </xf>
    <xf numFmtId="165" fontId="23" fillId="2" borderId="0" xfId="1" applyNumberFormat="1" applyFont="1" applyFill="1" applyBorder="1" applyAlignment="1">
      <alignment horizontal="center"/>
    </xf>
    <xf numFmtId="165" fontId="12" fillId="2" borderId="15" xfId="1" applyNumberFormat="1" applyFon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6" fillId="2" borderId="8" xfId="0" applyNumberFormat="1" applyFont="1" applyFill="1" applyBorder="1" applyAlignment="1">
      <alignment horizontal="right" vertical="center" indent="3"/>
    </xf>
    <xf numFmtId="3" fontId="6" fillId="2" borderId="0" xfId="0" applyNumberFormat="1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right" indent="3"/>
    </xf>
    <xf numFmtId="3" fontId="2" fillId="2" borderId="8" xfId="0" applyNumberFormat="1" applyFont="1" applyFill="1" applyBorder="1" applyAlignment="1">
      <alignment horizontal="right" indent="3"/>
    </xf>
    <xf numFmtId="10" fontId="31" fillId="2" borderId="0" xfId="0" applyNumberFormat="1" applyFont="1" applyFill="1" applyBorder="1" applyAlignment="1">
      <alignment horizontal="center"/>
    </xf>
    <xf numFmtId="3" fontId="13" fillId="2" borderId="8" xfId="0" applyNumberFormat="1" applyFont="1" applyFill="1" applyBorder="1" applyAlignment="1">
      <alignment horizontal="right"/>
    </xf>
    <xf numFmtId="3" fontId="13" fillId="2" borderId="8" xfId="0" applyNumberFormat="1" applyFont="1" applyFill="1" applyBorder="1"/>
    <xf numFmtId="3" fontId="4" fillId="2" borderId="8" xfId="0" applyNumberFormat="1" applyFont="1" applyFill="1" applyBorder="1" applyAlignment="1">
      <alignment horizontal="center"/>
    </xf>
    <xf numFmtId="3" fontId="12" fillId="2" borderId="8" xfId="0" applyNumberFormat="1" applyFont="1" applyFill="1" applyBorder="1" applyAlignment="1">
      <alignment horizontal="center" vertical="center"/>
    </xf>
    <xf numFmtId="165" fontId="31" fillId="2" borderId="14" xfId="1" applyNumberFormat="1" applyFont="1" applyFill="1" applyBorder="1" applyAlignment="1">
      <alignment horizontal="center"/>
    </xf>
    <xf numFmtId="9" fontId="32" fillId="2" borderId="9" xfId="0" applyNumberFormat="1" applyFont="1" applyFill="1" applyBorder="1" applyAlignment="1">
      <alignment horizontal="center"/>
    </xf>
    <xf numFmtId="10" fontId="32" fillId="2" borderId="9" xfId="0" applyNumberFormat="1" applyFont="1" applyFill="1" applyBorder="1" applyAlignment="1">
      <alignment horizontal="center"/>
    </xf>
    <xf numFmtId="10" fontId="31" fillId="2" borderId="9" xfId="0" applyNumberFormat="1" applyFont="1" applyFill="1" applyBorder="1" applyAlignment="1">
      <alignment horizontal="center"/>
    </xf>
    <xf numFmtId="9" fontId="31" fillId="2" borderId="9" xfId="0" applyNumberFormat="1" applyFont="1" applyFill="1" applyBorder="1" applyAlignment="1">
      <alignment horizontal="center"/>
    </xf>
    <xf numFmtId="9" fontId="34" fillId="2" borderId="9" xfId="0" applyNumberFormat="1" applyFont="1" applyFill="1" applyBorder="1" applyAlignment="1">
      <alignment horizontal="center"/>
    </xf>
    <xf numFmtId="3" fontId="12" fillId="2" borderId="15" xfId="1" applyNumberFormat="1" applyFont="1" applyFill="1" applyBorder="1" applyAlignment="1">
      <alignment horizontal="center"/>
    </xf>
    <xf numFmtId="10" fontId="29" fillId="2" borderId="9" xfId="2" applyNumberFormat="1" applyFont="1" applyFill="1" applyBorder="1" applyAlignment="1">
      <alignment horizontal="center" vertical="center"/>
    </xf>
    <xf numFmtId="49" fontId="32" fillId="2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165" fontId="23" fillId="2" borderId="9" xfId="1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9" fontId="37" fillId="2" borderId="9" xfId="2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/>
    </xf>
    <xf numFmtId="9" fontId="32" fillId="0" borderId="9" xfId="0" applyNumberFormat="1" applyFont="1" applyBorder="1" applyAlignment="1">
      <alignment horizontal="center"/>
    </xf>
    <xf numFmtId="10" fontId="31" fillId="0" borderId="9" xfId="0" applyNumberFormat="1" applyFont="1" applyBorder="1" applyAlignment="1">
      <alignment horizontal="center"/>
    </xf>
    <xf numFmtId="49" fontId="32" fillId="0" borderId="9" xfId="0" applyNumberFormat="1" applyFont="1" applyBorder="1" applyAlignment="1">
      <alignment horizontal="center"/>
    </xf>
    <xf numFmtId="3" fontId="13" fillId="0" borderId="8" xfId="0" applyNumberFormat="1" applyFont="1" applyBorder="1" applyAlignment="1">
      <alignment horizontal="right"/>
    </xf>
    <xf numFmtId="9" fontId="31" fillId="0" borderId="9" xfId="0" applyNumberFormat="1" applyFont="1" applyBorder="1" applyAlignment="1">
      <alignment horizontal="center"/>
    </xf>
    <xf numFmtId="3" fontId="25" fillId="0" borderId="8" xfId="0" applyNumberFormat="1" applyFont="1" applyBorder="1" applyAlignment="1">
      <alignment horizontal="center"/>
    </xf>
    <xf numFmtId="3" fontId="12" fillId="0" borderId="8" xfId="0" applyNumberFormat="1" applyFont="1" applyBorder="1" applyAlignment="1">
      <alignment horizontal="center" vertical="center"/>
    </xf>
    <xf numFmtId="9" fontId="34" fillId="0" borderId="9" xfId="0" applyNumberFormat="1" applyFont="1" applyBorder="1" applyAlignment="1">
      <alignment horizontal="center"/>
    </xf>
    <xf numFmtId="165" fontId="12" fillId="0" borderId="8" xfId="1" applyNumberFormat="1" applyFont="1" applyBorder="1" applyAlignment="1">
      <alignment horizontal="center"/>
    </xf>
    <xf numFmtId="165" fontId="31" fillId="0" borderId="9" xfId="1" applyNumberFormat="1" applyFont="1" applyBorder="1" applyAlignment="1">
      <alignment horizontal="center"/>
    </xf>
    <xf numFmtId="9" fontId="37" fillId="5" borderId="9" xfId="2" applyFont="1" applyFill="1" applyBorder="1" applyAlignment="1">
      <alignment horizontal="center" vertical="center"/>
    </xf>
    <xf numFmtId="3" fontId="12" fillId="0" borderId="8" xfId="1" applyNumberFormat="1" applyFont="1" applyBorder="1" applyAlignment="1">
      <alignment horizontal="center"/>
    </xf>
    <xf numFmtId="165" fontId="31" fillId="0" borderId="0" xfId="1" applyNumberFormat="1" applyFont="1" applyBorder="1" applyAlignment="1">
      <alignment horizontal="center"/>
    </xf>
    <xf numFmtId="3" fontId="12" fillId="0" borderId="0" xfId="1" applyNumberFormat="1" applyFont="1" applyBorder="1" applyAlignment="1">
      <alignment horizontal="center"/>
    </xf>
    <xf numFmtId="9" fontId="37" fillId="2" borderId="0" xfId="2" applyFont="1" applyFill="1" applyBorder="1" applyAlignment="1">
      <alignment horizontal="center" vertical="center"/>
    </xf>
    <xf numFmtId="9" fontId="37" fillId="0" borderId="9" xfId="2" applyFont="1" applyBorder="1" applyAlignment="1">
      <alignment horizontal="center" vertical="center"/>
    </xf>
    <xf numFmtId="9" fontId="3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0" fontId="31" fillId="0" borderId="0" xfId="0" applyNumberFormat="1" applyFont="1" applyBorder="1" applyAlignment="1">
      <alignment horizontal="center"/>
    </xf>
    <xf numFmtId="49" fontId="32" fillId="0" borderId="0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right"/>
    </xf>
    <xf numFmtId="9" fontId="31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vertical="center" indent="4"/>
    </xf>
    <xf numFmtId="0" fontId="0" fillId="0" borderId="0" xfId="0" applyFill="1" applyAlignment="1">
      <alignment horizontal="left" vertical="center" indent="2"/>
    </xf>
    <xf numFmtId="0" fontId="0" fillId="0" borderId="0" xfId="0" applyFill="1"/>
    <xf numFmtId="0" fontId="2" fillId="0" borderId="0" xfId="0" applyFont="1" applyFill="1" applyAlignment="1">
      <alignment horizontal="left" vertical="center" indent="7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indent="2"/>
    </xf>
    <xf numFmtId="0" fontId="1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4"/>
    </xf>
    <xf numFmtId="0" fontId="2" fillId="0" borderId="0" xfId="0" applyFont="1" applyFill="1" applyAlignment="1">
      <alignment horizontal="left" indent="7"/>
    </xf>
    <xf numFmtId="0" fontId="13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 vertical="center"/>
    </xf>
    <xf numFmtId="0" fontId="0" fillId="0" borderId="0" xfId="0" applyFill="1" applyAlignment="1">
      <alignment wrapText="1"/>
    </xf>
    <xf numFmtId="0" fontId="13" fillId="0" borderId="0" xfId="0" applyFont="1" applyFill="1" applyAlignment="1">
      <alignment horizontal="left" indent="2"/>
    </xf>
    <xf numFmtId="9" fontId="39" fillId="5" borderId="16" xfId="0" applyNumberFormat="1" applyFont="1" applyFill="1" applyBorder="1" applyAlignment="1">
      <alignment horizontal="center"/>
    </xf>
    <xf numFmtId="3" fontId="38" fillId="5" borderId="17" xfId="0" applyNumberFormat="1" applyFont="1" applyFill="1" applyBorder="1" applyAlignment="1">
      <alignment horizontal="center" vertical="center"/>
    </xf>
    <xf numFmtId="3" fontId="38" fillId="5" borderId="16" xfId="0" applyNumberFormat="1" applyFont="1" applyFill="1" applyBorder="1" applyAlignment="1">
      <alignment horizontal="center" vertical="center"/>
    </xf>
    <xf numFmtId="0" fontId="0" fillId="0" borderId="13" xfId="0" applyBorder="1"/>
    <xf numFmtId="0" fontId="2" fillId="0" borderId="13" xfId="0" applyFont="1" applyBorder="1" applyAlignment="1">
      <alignment horizontal="left" vertical="center" indent="7"/>
    </xf>
    <xf numFmtId="0" fontId="2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left" indent="1"/>
    </xf>
    <xf numFmtId="0" fontId="2" fillId="0" borderId="13" xfId="0" applyFont="1" applyBorder="1" applyAlignment="1">
      <alignment horizontal="left" indent="7"/>
    </xf>
    <xf numFmtId="0" fontId="13" fillId="0" borderId="13" xfId="0" applyFont="1" applyBorder="1" applyAlignment="1">
      <alignment horizontal="right"/>
    </xf>
    <xf numFmtId="0" fontId="12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13" fillId="0" borderId="13" xfId="0" applyFont="1" applyBorder="1" applyAlignment="1">
      <alignment horizontal="left" indent="2"/>
    </xf>
    <xf numFmtId="0" fontId="2" fillId="2" borderId="0" xfId="0" applyFont="1" applyFill="1"/>
    <xf numFmtId="3" fontId="6" fillId="3" borderId="1" xfId="0" applyNumberFormat="1" applyFont="1" applyFill="1" applyBorder="1" applyAlignment="1">
      <alignment horizontal="center" vertical="center"/>
    </xf>
    <xf numFmtId="10" fontId="43" fillId="5" borderId="9" xfId="2" applyNumberFormat="1" applyFont="1" applyFill="1" applyBorder="1" applyAlignment="1">
      <alignment horizontal="right" vertical="center" indent="2"/>
    </xf>
    <xf numFmtId="10" fontId="43" fillId="5" borderId="14" xfId="2" applyNumberFormat="1" applyFont="1" applyFill="1" applyBorder="1" applyAlignment="1">
      <alignment horizontal="right" vertical="center" indent="2"/>
    </xf>
    <xf numFmtId="10" fontId="43" fillId="2" borderId="9" xfId="2" applyNumberFormat="1" applyFont="1" applyFill="1" applyBorder="1" applyAlignment="1">
      <alignment horizontal="right" vertical="center" indent="2"/>
    </xf>
    <xf numFmtId="10" fontId="45" fillId="2" borderId="9" xfId="2" applyNumberFormat="1" applyFont="1" applyFill="1" applyBorder="1" applyAlignment="1">
      <alignment horizontal="right" vertical="center" indent="2"/>
    </xf>
    <xf numFmtId="10" fontId="43" fillId="3" borderId="3" xfId="2" applyNumberFormat="1" applyFont="1" applyFill="1" applyBorder="1" applyAlignment="1">
      <alignment horizontal="right" vertical="center" indent="2"/>
    </xf>
    <xf numFmtId="10" fontId="43" fillId="2" borderId="22" xfId="2" applyNumberFormat="1" applyFont="1" applyFill="1" applyBorder="1" applyAlignment="1">
      <alignment horizontal="right" vertical="center" indent="2"/>
    </xf>
    <xf numFmtId="9" fontId="32" fillId="2" borderId="22" xfId="0" applyNumberFormat="1" applyFont="1" applyFill="1" applyBorder="1" applyAlignment="1">
      <alignment horizontal="center"/>
    </xf>
    <xf numFmtId="10" fontId="45" fillId="2" borderId="22" xfId="2" applyNumberFormat="1" applyFont="1" applyFill="1" applyBorder="1" applyAlignment="1">
      <alignment horizontal="right" vertical="center" indent="2"/>
    </xf>
    <xf numFmtId="10" fontId="43" fillId="3" borderId="16" xfId="2" applyNumberFormat="1" applyFont="1" applyFill="1" applyBorder="1" applyAlignment="1">
      <alignment horizontal="right" vertical="center" indent="2"/>
    </xf>
    <xf numFmtId="10" fontId="43" fillId="3" borderId="23" xfId="2" applyNumberFormat="1" applyFont="1" applyFill="1" applyBorder="1" applyAlignment="1">
      <alignment horizontal="right" vertical="center" indent="2"/>
    </xf>
    <xf numFmtId="0" fontId="0" fillId="2" borderId="5" xfId="0" applyFill="1" applyBorder="1"/>
    <xf numFmtId="0" fontId="27" fillId="2" borderId="14" xfId="0" applyFont="1" applyFill="1" applyBorder="1" applyAlignment="1">
      <alignment horizontal="right"/>
    </xf>
    <xf numFmtId="3" fontId="0" fillId="2" borderId="15" xfId="0" applyNumberFormat="1" applyFill="1" applyBorder="1" applyAlignment="1">
      <alignment horizontal="center"/>
    </xf>
    <xf numFmtId="9" fontId="32" fillId="2" borderId="14" xfId="0" applyNumberFormat="1" applyFont="1" applyFill="1" applyBorder="1" applyAlignment="1">
      <alignment horizontal="center"/>
    </xf>
    <xf numFmtId="3" fontId="0" fillId="5" borderId="5" xfId="0" applyNumberFormat="1" applyFill="1" applyBorder="1" applyAlignment="1">
      <alignment horizontal="right" indent="2"/>
    </xf>
    <xf numFmtId="10" fontId="44" fillId="2" borderId="22" xfId="2" applyNumberFormat="1" applyFont="1" applyFill="1" applyBorder="1" applyAlignment="1">
      <alignment horizontal="right" vertical="center" indent="2"/>
    </xf>
    <xf numFmtId="10" fontId="25" fillId="5" borderId="14" xfId="2" applyNumberFormat="1" applyFont="1" applyFill="1" applyBorder="1" applyAlignment="1">
      <alignment horizontal="right" vertical="center" indent="2"/>
    </xf>
    <xf numFmtId="0" fontId="12" fillId="3" borderId="18" xfId="0" applyFont="1" applyFill="1" applyBorder="1" applyAlignment="1">
      <alignment horizontal="left" vertical="center" indent="4"/>
    </xf>
    <xf numFmtId="3" fontId="0" fillId="3" borderId="1" xfId="0" applyNumberFormat="1" applyFill="1" applyBorder="1" applyAlignment="1">
      <alignment horizontal="center"/>
    </xf>
    <xf numFmtId="9" fontId="37" fillId="3" borderId="2" xfId="2" applyFont="1" applyFill="1" applyBorder="1" applyAlignment="1">
      <alignment horizontal="center" vertical="center"/>
    </xf>
    <xf numFmtId="9" fontId="37" fillId="5" borderId="7" xfId="2" applyFont="1" applyFill="1" applyBorder="1" applyAlignment="1">
      <alignment horizontal="center" vertical="center"/>
    </xf>
    <xf numFmtId="10" fontId="6" fillId="3" borderId="16" xfId="2" applyNumberFormat="1" applyFont="1" applyFill="1" applyBorder="1" applyAlignment="1">
      <alignment horizontal="right" vertical="center" indent="2"/>
    </xf>
    <xf numFmtId="0" fontId="12" fillId="2" borderId="13" xfId="0" applyFont="1" applyFill="1" applyBorder="1" applyAlignment="1">
      <alignment horizontal="left" vertical="center" indent="4"/>
    </xf>
    <xf numFmtId="9" fontId="33" fillId="2" borderId="9" xfId="0" applyNumberFormat="1" applyFont="1" applyFill="1" applyBorder="1" applyAlignment="1">
      <alignment horizontal="center"/>
    </xf>
    <xf numFmtId="3" fontId="6" fillId="5" borderId="8" xfId="0" applyNumberFormat="1" applyFont="1" applyFill="1" applyBorder="1" applyAlignment="1">
      <alignment horizontal="right" indent="2"/>
    </xf>
    <xf numFmtId="3" fontId="6" fillId="3" borderId="1" xfId="0" applyNumberFormat="1" applyFont="1" applyFill="1" applyBorder="1" applyAlignment="1">
      <alignment horizontal="right" vertical="center" indent="2"/>
    </xf>
    <xf numFmtId="3" fontId="6" fillId="5" borderId="15" xfId="0" applyNumberFormat="1" applyFont="1" applyFill="1" applyBorder="1" applyAlignment="1">
      <alignment horizontal="right" vertical="center" indent="2"/>
    </xf>
    <xf numFmtId="3" fontId="6" fillId="3" borderId="18" xfId="0" applyNumberFormat="1" applyFont="1" applyFill="1" applyBorder="1" applyAlignment="1">
      <alignment horizontal="right" vertical="center" indent="2"/>
    </xf>
    <xf numFmtId="0" fontId="2" fillId="0" borderId="0" xfId="0" applyFont="1" applyAlignment="1">
      <alignment horizontal="center"/>
    </xf>
    <xf numFmtId="165" fontId="24" fillId="4" borderId="0" xfId="35" applyNumberFormat="1" applyBorder="1"/>
    <xf numFmtId="165" fontId="2" fillId="2" borderId="9" xfId="0" applyNumberFormat="1" applyFont="1" applyFill="1" applyBorder="1"/>
    <xf numFmtId="0" fontId="24" fillId="4" borderId="8" xfId="35" applyBorder="1"/>
    <xf numFmtId="49" fontId="12" fillId="2" borderId="0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Border="1"/>
    <xf numFmtId="165" fontId="10" fillId="2" borderId="0" xfId="33" applyNumberFormat="1" applyFont="1" applyFill="1" applyBorder="1" applyAlignment="1">
      <alignment horizontal="center"/>
    </xf>
    <xf numFmtId="0" fontId="11" fillId="2" borderId="8" xfId="33" applyFont="1" applyFill="1" applyBorder="1"/>
    <xf numFmtId="0" fontId="11" fillId="2" borderId="9" xfId="33" applyFont="1" applyFill="1" applyBorder="1"/>
    <xf numFmtId="0" fontId="24" fillId="4" borderId="9" xfId="35" applyBorder="1"/>
    <xf numFmtId="9" fontId="46" fillId="4" borderId="0" xfId="2" applyFont="1" applyFill="1" applyBorder="1" applyAlignment="1">
      <alignment horizontal="center"/>
    </xf>
    <xf numFmtId="165" fontId="10" fillId="2" borderId="1" xfId="33" applyNumberFormat="1" applyFont="1" applyFill="1" applyBorder="1" applyAlignment="1">
      <alignment horizontal="center"/>
    </xf>
    <xf numFmtId="165" fontId="10" fillId="2" borderId="3" xfId="33" applyNumberFormat="1" applyFont="1" applyFill="1" applyBorder="1" applyAlignment="1">
      <alignment horizontal="center"/>
    </xf>
    <xf numFmtId="165" fontId="24" fillId="4" borderId="8" xfId="35" applyNumberFormat="1" applyBorder="1"/>
    <xf numFmtId="0" fontId="22" fillId="2" borderId="11" xfId="33" applyFont="1" applyFill="1" applyBorder="1" applyAlignment="1">
      <alignment horizontal="left" indent="2"/>
    </xf>
    <xf numFmtId="0" fontId="9" fillId="2" borderId="11" xfId="0" applyFont="1" applyFill="1" applyBorder="1"/>
    <xf numFmtId="9" fontId="21" fillId="2" borderId="11" xfId="33" applyNumberFormat="1" applyFont="1" applyFill="1" applyBorder="1" applyAlignment="1">
      <alignment horizontal="center"/>
    </xf>
    <xf numFmtId="165" fontId="40" fillId="2" borderId="11" xfId="0" applyNumberFormat="1" applyFont="1" applyFill="1" applyBorder="1"/>
    <xf numFmtId="165" fontId="9" fillId="2" borderId="11" xfId="0" applyNumberFormat="1" applyFont="1" applyFill="1" applyBorder="1"/>
    <xf numFmtId="0" fontId="5" fillId="2" borderId="8" xfId="33" applyFont="1" applyFill="1" applyBorder="1"/>
    <xf numFmtId="0" fontId="9" fillId="2" borderId="9" xfId="0" applyFont="1" applyFill="1" applyBorder="1"/>
    <xf numFmtId="0" fontId="5" fillId="2" borderId="9" xfId="33" applyFont="1" applyFill="1" applyBorder="1"/>
    <xf numFmtId="3" fontId="0" fillId="2" borderId="8" xfId="0" applyNumberFormat="1" applyFill="1" applyBorder="1" applyAlignment="1">
      <alignment horizontal="right" indent="4"/>
    </xf>
    <xf numFmtId="3" fontId="6" fillId="5" borderId="18" xfId="0" applyNumberFormat="1" applyFont="1" applyFill="1" applyBorder="1" applyAlignment="1">
      <alignment horizontal="right" vertical="center" indent="3"/>
    </xf>
    <xf numFmtId="3" fontId="6" fillId="5" borderId="18" xfId="0" applyNumberFormat="1" applyFont="1" applyFill="1" applyBorder="1" applyAlignment="1">
      <alignment horizontal="right" vertical="center" indent="4"/>
    </xf>
    <xf numFmtId="3" fontId="2" fillId="0" borderId="8" xfId="0" applyNumberFormat="1" applyFont="1" applyBorder="1" applyAlignment="1">
      <alignment horizontal="right" indent="4"/>
    </xf>
    <xf numFmtId="9" fontId="44" fillId="2" borderId="0" xfId="2" applyNumberFormat="1" applyFont="1" applyFill="1" applyBorder="1" applyAlignment="1">
      <alignment horizontal="right" vertical="center" indent="2"/>
    </xf>
    <xf numFmtId="3" fontId="32" fillId="0" borderId="0" xfId="0" applyNumberFormat="1" applyFont="1"/>
    <xf numFmtId="3" fontId="13" fillId="0" borderId="0" xfId="0" applyNumberFormat="1" applyFont="1"/>
    <xf numFmtId="0" fontId="21" fillId="2" borderId="0" xfId="33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left"/>
    </xf>
    <xf numFmtId="0" fontId="22" fillId="2" borderId="0" xfId="33" applyFont="1" applyFill="1" applyBorder="1" applyAlignment="1">
      <alignment horizontal="left" indent="2"/>
    </xf>
    <xf numFmtId="3" fontId="25" fillId="0" borderId="8" xfId="0" applyNumberFormat="1" applyFont="1" applyBorder="1" applyAlignment="1">
      <alignment horizontal="right" indent="4"/>
    </xf>
    <xf numFmtId="3" fontId="38" fillId="2" borderId="0" xfId="0" applyNumberFormat="1" applyFont="1" applyFill="1" applyBorder="1" applyAlignment="1">
      <alignment horizontal="center" vertical="center"/>
    </xf>
    <xf numFmtId="3" fontId="38" fillId="2" borderId="9" xfId="0" applyNumberFormat="1" applyFont="1" applyFill="1" applyBorder="1" applyAlignment="1">
      <alignment horizontal="center" vertical="center"/>
    </xf>
    <xf numFmtId="0" fontId="0" fillId="8" borderId="13" xfId="0" applyFill="1" applyBorder="1" applyAlignment="1">
      <alignment horizontal="left" indent="4"/>
    </xf>
    <xf numFmtId="9" fontId="22" fillId="9" borderId="21" xfId="33" applyNumberFormat="1" applyFont="1" applyFill="1" applyBorder="1" applyAlignment="1">
      <alignment horizontal="center"/>
    </xf>
    <xf numFmtId="165" fontId="9" fillId="2" borderId="0" xfId="0" applyNumberFormat="1" applyFont="1" applyFill="1"/>
    <xf numFmtId="9" fontId="44" fillId="2" borderId="9" xfId="2" applyNumberFormat="1" applyFont="1" applyFill="1" applyBorder="1" applyAlignment="1">
      <alignment horizontal="right" vertical="center" indent="2"/>
    </xf>
    <xf numFmtId="0" fontId="47" fillId="2" borderId="0" xfId="0" applyFont="1" applyFill="1"/>
    <xf numFmtId="0" fontId="9" fillId="8" borderId="0" xfId="0" applyFont="1" applyFill="1"/>
    <xf numFmtId="10" fontId="44" fillId="2" borderId="9" xfId="2" applyNumberFormat="1" applyFont="1" applyFill="1" applyBorder="1" applyAlignment="1">
      <alignment horizontal="right" vertical="center" indent="2"/>
    </xf>
    <xf numFmtId="167" fontId="26" fillId="2" borderId="22" xfId="2" applyNumberFormat="1" applyFont="1" applyFill="1" applyBorder="1" applyAlignment="1">
      <alignment horizontal="right" vertical="center" indent="3"/>
    </xf>
    <xf numFmtId="167" fontId="26" fillId="2" borderId="9" xfId="2" applyNumberFormat="1" applyFont="1" applyFill="1" applyBorder="1" applyAlignment="1">
      <alignment horizontal="right" vertical="center" indent="3"/>
    </xf>
    <xf numFmtId="3" fontId="0" fillId="0" borderId="8" xfId="0" applyNumberFormat="1" applyBorder="1" applyAlignment="1">
      <alignment horizontal="right" indent="4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left" vertical="center" indent="6"/>
    </xf>
    <xf numFmtId="0" fontId="12" fillId="3" borderId="21" xfId="0" applyFont="1" applyFill="1" applyBorder="1" applyAlignment="1">
      <alignment horizontal="left" vertical="center" indent="4"/>
    </xf>
    <xf numFmtId="10" fontId="43" fillId="3" borderId="9" xfId="2" applyNumberFormat="1" applyFont="1" applyFill="1" applyBorder="1" applyAlignment="1">
      <alignment horizontal="right" vertical="center" indent="2"/>
    </xf>
    <xf numFmtId="3" fontId="35" fillId="3" borderId="8" xfId="0" applyNumberFormat="1" applyFont="1" applyFill="1" applyBorder="1" applyAlignment="1">
      <alignment horizontal="center" vertical="center"/>
    </xf>
    <xf numFmtId="9" fontId="32" fillId="2" borderId="24" xfId="0" applyNumberFormat="1" applyFont="1" applyFill="1" applyBorder="1" applyAlignment="1">
      <alignment horizontal="center"/>
    </xf>
    <xf numFmtId="3" fontId="0" fillId="6" borderId="8" xfId="0" applyNumberFormat="1" applyFill="1" applyBorder="1"/>
    <xf numFmtId="0" fontId="24" fillId="4" borderId="0" xfId="35" applyBorder="1" applyAlignment="1">
      <alignment horizontal="left" indent="5"/>
    </xf>
    <xf numFmtId="0" fontId="47" fillId="0" borderId="0" xfId="0" applyFont="1"/>
    <xf numFmtId="3" fontId="6" fillId="2" borderId="8" xfId="0" applyNumberFormat="1" applyFont="1" applyFill="1" applyBorder="1" applyAlignment="1">
      <alignment horizontal="right" vertical="center" indent="2"/>
    </xf>
    <xf numFmtId="10" fontId="43" fillId="5" borderId="17" xfId="2" applyNumberFormat="1" applyFont="1" applyFill="1" applyBorder="1" applyAlignment="1">
      <alignment horizontal="right" vertical="center" indent="2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8" xfId="0" applyNumberFormat="1" applyBorder="1" applyAlignment="1">
      <alignment horizontal="right" indent="1"/>
    </xf>
    <xf numFmtId="9" fontId="46" fillId="4" borderId="9" xfId="2" applyFont="1" applyFill="1" applyBorder="1" applyAlignment="1">
      <alignment horizontal="center"/>
    </xf>
    <xf numFmtId="0" fontId="49" fillId="2" borderId="0" xfId="0" applyFont="1" applyFill="1"/>
    <xf numFmtId="165" fontId="9" fillId="2" borderId="7" xfId="1" applyNumberFormat="1" applyFont="1" applyFill="1" applyBorder="1" applyAlignment="1">
      <alignment horizontal="center"/>
    </xf>
    <xf numFmtId="0" fontId="20" fillId="0" borderId="8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9" xfId="0" applyFont="1" applyBorder="1" applyAlignment="1">
      <alignment horizontal="center" wrapText="1"/>
    </xf>
    <xf numFmtId="9" fontId="32" fillId="2" borderId="11" xfId="0" applyNumberFormat="1" applyFont="1" applyFill="1" applyBorder="1" applyAlignment="1">
      <alignment horizontal="center"/>
    </xf>
    <xf numFmtId="10" fontId="43" fillId="3" borderId="2" xfId="2" applyNumberFormat="1" applyFont="1" applyFill="1" applyBorder="1" applyAlignment="1">
      <alignment horizontal="right" vertical="center" indent="2"/>
    </xf>
    <xf numFmtId="3" fontId="25" fillId="2" borderId="8" xfId="0" applyNumberFormat="1" applyFont="1" applyFill="1" applyBorder="1" applyAlignment="1">
      <alignment horizontal="right" vertical="center" indent="2"/>
    </xf>
    <xf numFmtId="10" fontId="43" fillId="2" borderId="0" xfId="2" applyNumberFormat="1" applyFont="1" applyFill="1" applyBorder="1" applyAlignment="1">
      <alignment horizontal="right" vertical="center" indent="2"/>
    </xf>
    <xf numFmtId="165" fontId="24" fillId="2" borderId="0" xfId="35" applyNumberFormat="1" applyFill="1" applyBorder="1"/>
    <xf numFmtId="9" fontId="24" fillId="4" borderId="0" xfId="2" applyFont="1" applyFill="1" applyBorder="1" applyAlignment="1">
      <alignment horizontal="left" indent="4"/>
    </xf>
    <xf numFmtId="9" fontId="24" fillId="4" borderId="0" xfId="2" applyFont="1" applyFill="1" applyBorder="1" applyAlignment="1">
      <alignment horizontal="left" indent="5"/>
    </xf>
    <xf numFmtId="3" fontId="0" fillId="2" borderId="10" xfId="0" applyNumberFormat="1" applyFill="1" applyBorder="1" applyAlignment="1">
      <alignment horizontal="center"/>
    </xf>
    <xf numFmtId="9" fontId="32" fillId="2" borderId="12" xfId="0" applyNumberFormat="1" applyFont="1" applyFill="1" applyBorder="1" applyAlignment="1">
      <alignment horizontal="center"/>
    </xf>
    <xf numFmtId="0" fontId="40" fillId="3" borderId="8" xfId="0" applyFont="1" applyFill="1" applyBorder="1" applyAlignment="1">
      <alignment horizontal="left" vertical="center" indent="8"/>
    </xf>
    <xf numFmtId="3" fontId="0" fillId="3" borderId="8" xfId="0" applyNumberForma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10" fontId="25" fillId="3" borderId="9" xfId="2" applyNumberFormat="1" applyFont="1" applyFill="1" applyBorder="1" applyAlignment="1">
      <alignment horizontal="right" indent="2"/>
    </xf>
    <xf numFmtId="3" fontId="12" fillId="3" borderId="8" xfId="0" applyNumberFormat="1" applyFont="1" applyFill="1" applyBorder="1" applyAlignment="1">
      <alignment horizontal="right" indent="2"/>
    </xf>
    <xf numFmtId="3" fontId="12" fillId="3" borderId="8" xfId="0" applyNumberFormat="1" applyFont="1" applyFill="1" applyBorder="1" applyAlignment="1">
      <alignment horizontal="right" indent="3"/>
    </xf>
    <xf numFmtId="0" fontId="2" fillId="2" borderId="15" xfId="0" applyFont="1" applyFill="1" applyBorder="1" applyAlignment="1">
      <alignment horizontal="left" indent="7"/>
    </xf>
    <xf numFmtId="0" fontId="27" fillId="2" borderId="7" xfId="0" applyFont="1" applyFill="1" applyBorder="1" applyAlignment="1">
      <alignment horizontal="right"/>
    </xf>
    <xf numFmtId="3" fontId="6" fillId="3" borderId="2" xfId="0" applyNumberFormat="1" applyFont="1" applyFill="1" applyBorder="1" applyAlignment="1">
      <alignment horizontal="right" vertical="center" indent="2"/>
    </xf>
    <xf numFmtId="1" fontId="12" fillId="3" borderId="18" xfId="0" applyNumberFormat="1" applyFont="1" applyFill="1" applyBorder="1" applyAlignment="1">
      <alignment horizontal="right" vertical="center" indent="2"/>
    </xf>
    <xf numFmtId="10" fontId="45" fillId="2" borderId="9" xfId="2" applyNumberFormat="1" applyFont="1" applyFill="1" applyBorder="1" applyAlignment="1">
      <alignment horizontal="right" indent="2"/>
    </xf>
    <xf numFmtId="9" fontId="32" fillId="2" borderId="9" xfId="0" applyNumberFormat="1" applyFont="1" applyFill="1" applyBorder="1" applyAlignment="1">
      <alignment horizontal="center" vertical="center"/>
    </xf>
    <xf numFmtId="10" fontId="45" fillId="2" borderId="9" xfId="2" applyNumberFormat="1" applyFont="1" applyFill="1" applyBorder="1" applyAlignment="1">
      <alignment horizontal="center" vertical="center"/>
    </xf>
    <xf numFmtId="9" fontId="31" fillId="2" borderId="16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0" fontId="6" fillId="5" borderId="16" xfId="2" applyNumberFormat="1" applyFont="1" applyFill="1" applyBorder="1" applyAlignment="1">
      <alignment horizontal="right" vertical="center" indent="2"/>
    </xf>
    <xf numFmtId="10" fontId="6" fillId="5" borderId="14" xfId="2" applyNumberFormat="1" applyFont="1" applyFill="1" applyBorder="1" applyAlignment="1">
      <alignment horizontal="right" vertical="center" indent="2"/>
    </xf>
    <xf numFmtId="0" fontId="50" fillId="2" borderId="0" xfId="0" applyFont="1" applyFill="1" applyAlignment="1">
      <alignment horizontal="right"/>
    </xf>
    <xf numFmtId="10" fontId="43" fillId="5" borderId="4" xfId="2" applyNumberFormat="1" applyFont="1" applyFill="1" applyBorder="1" applyAlignment="1">
      <alignment horizontal="right" vertical="center" indent="2"/>
    </xf>
    <xf numFmtId="9" fontId="32" fillId="2" borderId="4" xfId="0" applyNumberFormat="1" applyFont="1" applyFill="1" applyBorder="1" applyAlignment="1">
      <alignment horizontal="center"/>
    </xf>
    <xf numFmtId="9" fontId="51" fillId="2" borderId="0" xfId="0" applyNumberFormat="1" applyFont="1" applyFill="1" applyAlignment="1">
      <alignment horizontal="center"/>
    </xf>
    <xf numFmtId="0" fontId="40" fillId="10" borderId="19" xfId="0" applyFont="1" applyFill="1" applyBorder="1" applyAlignment="1">
      <alignment horizontal="left" vertical="center" indent="4"/>
    </xf>
    <xf numFmtId="3" fontId="51" fillId="10" borderId="18" xfId="0" applyNumberFormat="1" applyFont="1" applyFill="1" applyBorder="1" applyAlignment="1">
      <alignment horizontal="right" vertical="center" indent="2"/>
    </xf>
    <xf numFmtId="10" fontId="51" fillId="10" borderId="14" xfId="2" applyNumberFormat="1" applyFont="1" applyFill="1" applyBorder="1" applyAlignment="1">
      <alignment horizontal="right" vertical="center" indent="2"/>
    </xf>
    <xf numFmtId="3" fontId="51" fillId="10" borderId="18" xfId="0" applyNumberFormat="1" applyFont="1" applyFill="1" applyBorder="1" applyAlignment="1">
      <alignment horizontal="right" vertical="center" indent="3"/>
    </xf>
    <xf numFmtId="10" fontId="51" fillId="10" borderId="4" xfId="2" applyNumberFormat="1" applyFont="1" applyFill="1" applyBorder="1" applyAlignment="1">
      <alignment horizontal="right" vertical="center" indent="2"/>
    </xf>
    <xf numFmtId="3" fontId="51" fillId="10" borderId="15" xfId="0" applyNumberFormat="1" applyFont="1" applyFill="1" applyBorder="1" applyAlignment="1">
      <alignment horizontal="right" vertical="center" indent="2"/>
    </xf>
    <xf numFmtId="3" fontId="51" fillId="10" borderId="15" xfId="0" applyNumberFormat="1" applyFont="1" applyFill="1" applyBorder="1" applyAlignment="1">
      <alignment horizontal="right" vertical="center" indent="3"/>
    </xf>
    <xf numFmtId="0" fontId="0" fillId="2" borderId="19" xfId="0" applyFill="1" applyBorder="1"/>
    <xf numFmtId="3" fontId="12" fillId="2" borderId="18" xfId="0" applyNumberFormat="1" applyFont="1" applyFill="1" applyBorder="1" applyAlignment="1">
      <alignment horizontal="center" vertical="center"/>
    </xf>
    <xf numFmtId="9" fontId="31" fillId="2" borderId="17" xfId="0" applyNumberFormat="1" applyFont="1" applyFill="1" applyBorder="1" applyAlignment="1">
      <alignment horizontal="center"/>
    </xf>
    <xf numFmtId="3" fontId="0" fillId="2" borderId="15" xfId="0" applyNumberFormat="1" applyFill="1" applyBorder="1" applyAlignment="1">
      <alignment horizontal="right" indent="2"/>
    </xf>
    <xf numFmtId="3" fontId="51" fillId="10" borderId="15" xfId="0" applyNumberFormat="1" applyFont="1" applyFill="1" applyBorder="1" applyAlignment="1">
      <alignment horizontal="right" vertical="center" indent="4"/>
    </xf>
    <xf numFmtId="10" fontId="19" fillId="10" borderId="14" xfId="2" applyNumberFormat="1" applyFont="1" applyFill="1" applyBorder="1" applyAlignment="1">
      <alignment horizontal="right" vertical="center" indent="2"/>
    </xf>
    <xf numFmtId="3" fontId="0" fillId="2" borderId="15" xfId="0" applyNumberFormat="1" applyFill="1" applyBorder="1" applyAlignment="1">
      <alignment horizontal="right" indent="4"/>
    </xf>
    <xf numFmtId="10" fontId="44" fillId="2" borderId="14" xfId="2" applyNumberFormat="1" applyFont="1" applyFill="1" applyBorder="1" applyAlignment="1">
      <alignment horizontal="right" vertical="center" indent="2"/>
    </xf>
    <xf numFmtId="9" fontId="31" fillId="0" borderId="4" xfId="0" applyNumberFormat="1" applyFont="1" applyBorder="1" applyAlignment="1">
      <alignment horizontal="center"/>
    </xf>
    <xf numFmtId="9" fontId="31" fillId="0" borderId="14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 vertical="center"/>
    </xf>
    <xf numFmtId="9" fontId="31" fillId="0" borderId="16" xfId="0" applyNumberFormat="1" applyFont="1" applyBorder="1" applyAlignment="1">
      <alignment horizontal="center"/>
    </xf>
    <xf numFmtId="9" fontId="31" fillId="0" borderId="17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 vertical="center"/>
    </xf>
    <xf numFmtId="10" fontId="6" fillId="5" borderId="17" xfId="2" applyNumberFormat="1" applyFont="1" applyFill="1" applyBorder="1" applyAlignment="1">
      <alignment horizontal="right" vertical="center" indent="2"/>
    </xf>
    <xf numFmtId="10" fontId="13" fillId="0" borderId="8" xfId="0" applyNumberFormat="1" applyFont="1" applyBorder="1"/>
    <xf numFmtId="3" fontId="6" fillId="5" borderId="15" xfId="0" applyNumberFormat="1" applyFont="1" applyFill="1" applyBorder="1" applyAlignment="1">
      <alignment horizontal="right" indent="2"/>
    </xf>
    <xf numFmtId="0" fontId="2" fillId="2" borderId="4" xfId="0" applyFont="1" applyFill="1" applyBorder="1" applyAlignment="1">
      <alignment horizontal="left" indent="7"/>
    </xf>
    <xf numFmtId="3" fontId="0" fillId="0" borderId="4" xfId="0" applyNumberFormat="1" applyBorder="1"/>
    <xf numFmtId="0" fontId="0" fillId="0" borderId="4" xfId="0" applyBorder="1"/>
    <xf numFmtId="10" fontId="13" fillId="0" borderId="4" xfId="0" applyNumberFormat="1" applyFont="1" applyBorder="1"/>
    <xf numFmtId="168" fontId="0" fillId="0" borderId="0" xfId="0" applyNumberFormat="1"/>
    <xf numFmtId="3" fontId="6" fillId="5" borderId="15" xfId="0" applyNumberFormat="1" applyFont="1" applyFill="1" applyBorder="1" applyAlignment="1">
      <alignment horizontal="right" vertical="center" indent="4"/>
    </xf>
    <xf numFmtId="3" fontId="13" fillId="0" borderId="8" xfId="0" applyNumberFormat="1" applyFont="1" applyBorder="1" applyAlignment="1">
      <alignment horizontal="right" indent="4"/>
    </xf>
    <xf numFmtId="3" fontId="4" fillId="0" borderId="8" xfId="0" applyNumberFormat="1" applyFont="1" applyBorder="1" applyAlignment="1">
      <alignment horizontal="right" indent="4"/>
    </xf>
    <xf numFmtId="3" fontId="6" fillId="3" borderId="18" xfId="0" applyNumberFormat="1" applyFont="1" applyFill="1" applyBorder="1" applyAlignment="1">
      <alignment horizontal="right" vertical="center" indent="4"/>
    </xf>
    <xf numFmtId="3" fontId="0" fillId="0" borderId="15" xfId="0" applyNumberFormat="1" applyBorder="1" applyAlignment="1">
      <alignment horizontal="right" indent="4"/>
    </xf>
    <xf numFmtId="9" fontId="32" fillId="0" borderId="14" xfId="0" applyNumberFormat="1" applyFon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165" fontId="0" fillId="0" borderId="0" xfId="0" applyNumberFormat="1"/>
    <xf numFmtId="169" fontId="0" fillId="0" borderId="0" xfId="0" applyNumberFormat="1"/>
    <xf numFmtId="0" fontId="0" fillId="0" borderId="13" xfId="0" applyFont="1" applyBorder="1" applyAlignment="1">
      <alignment horizontal="left" indent="3"/>
    </xf>
    <xf numFmtId="10" fontId="19" fillId="3" borderId="9" xfId="2" applyNumberFormat="1" applyFont="1" applyFill="1" applyBorder="1" applyAlignment="1">
      <alignment horizontal="right" vertical="center" indent="2"/>
    </xf>
    <xf numFmtId="9" fontId="32" fillId="2" borderId="26" xfId="0" applyNumberFormat="1" applyFont="1" applyFill="1" applyBorder="1" applyAlignment="1">
      <alignment horizontal="center"/>
    </xf>
    <xf numFmtId="3" fontId="27" fillId="2" borderId="9" xfId="0" applyNumberFormat="1" applyFont="1" applyFill="1" applyBorder="1" applyAlignment="1">
      <alignment horizontal="center"/>
    </xf>
    <xf numFmtId="10" fontId="43" fillId="5" borderId="16" xfId="2" applyNumberFormat="1" applyFont="1" applyFill="1" applyBorder="1" applyAlignment="1">
      <alignment horizontal="right" vertical="center" indent="2"/>
    </xf>
    <xf numFmtId="3" fontId="2" fillId="10" borderId="8" xfId="0" applyNumberFormat="1" applyFont="1" applyFill="1" applyBorder="1" applyAlignment="1">
      <alignment horizontal="right" indent="4"/>
    </xf>
    <xf numFmtId="49" fontId="40" fillId="2" borderId="0" xfId="0" applyNumberFormat="1" applyFont="1" applyFill="1" applyBorder="1" applyAlignment="1">
      <alignment horizontal="center"/>
    </xf>
    <xf numFmtId="9" fontId="33" fillId="2" borderId="0" xfId="0" applyNumberFormat="1" applyFont="1" applyFill="1" applyBorder="1" applyAlignment="1">
      <alignment horizontal="center"/>
    </xf>
    <xf numFmtId="10" fontId="44" fillId="2" borderId="0" xfId="2" applyNumberFormat="1" applyFont="1" applyFill="1" applyBorder="1" applyAlignment="1">
      <alignment horizontal="right" vertical="center" indent="2"/>
    </xf>
    <xf numFmtId="167" fontId="26" fillId="2" borderId="0" xfId="2" applyNumberFormat="1" applyFont="1" applyFill="1" applyBorder="1" applyAlignment="1">
      <alignment horizontal="right" vertical="center" indent="3"/>
    </xf>
    <xf numFmtId="9" fontId="44" fillId="2" borderId="0" xfId="2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10" fontId="19" fillId="2" borderId="0" xfId="2" applyNumberFormat="1" applyFont="1" applyFill="1" applyBorder="1" applyAlignment="1">
      <alignment horizontal="right" vertical="center" indent="2"/>
    </xf>
    <xf numFmtId="10" fontId="25" fillId="2" borderId="0" xfId="2" applyNumberFormat="1" applyFont="1" applyFill="1" applyBorder="1" applyAlignment="1">
      <alignment horizontal="right" vertical="center" indent="2"/>
    </xf>
    <xf numFmtId="9" fontId="34" fillId="2" borderId="0" xfId="0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10" fontId="32" fillId="2" borderId="0" xfId="0" applyNumberFormat="1" applyFont="1" applyFill="1" applyBorder="1"/>
    <xf numFmtId="3" fontId="32" fillId="2" borderId="0" xfId="0" applyNumberFormat="1" applyFont="1" applyFill="1" applyBorder="1"/>
    <xf numFmtId="0" fontId="24" fillId="4" borderId="0" xfId="35" applyBorder="1" applyAlignment="1">
      <alignment horizontal="right" indent="2"/>
    </xf>
    <xf numFmtId="3" fontId="0" fillId="11" borderId="8" xfId="0" applyNumberFormat="1" applyFill="1" applyBorder="1" applyAlignment="1">
      <alignment horizontal="right" indent="4"/>
    </xf>
    <xf numFmtId="10" fontId="44" fillId="11" borderId="9" xfId="2" applyNumberFormat="1" applyFont="1" applyFill="1" applyBorder="1" applyAlignment="1">
      <alignment horizontal="right" vertical="center" indent="2"/>
    </xf>
    <xf numFmtId="3" fontId="0" fillId="0" borderId="8" xfId="0" applyNumberFormat="1" applyBorder="1" applyAlignment="1">
      <alignment horizontal="right" indent="2"/>
    </xf>
    <xf numFmtId="9" fontId="32" fillId="0" borderId="9" xfId="0" applyNumberFormat="1" applyFont="1" applyBorder="1" applyAlignment="1">
      <alignment horizontal="right" indent="4"/>
    </xf>
    <xf numFmtId="3" fontId="0" fillId="0" borderId="0" xfId="0" applyNumberFormat="1" applyBorder="1" applyAlignment="1">
      <alignment horizontal="right" indent="4"/>
    </xf>
    <xf numFmtId="9" fontId="34" fillId="0" borderId="9" xfId="0" applyNumberFormat="1" applyFont="1" applyBorder="1" applyAlignment="1">
      <alignment horizontal="right" indent="4"/>
    </xf>
    <xf numFmtId="0" fontId="9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17" fillId="0" borderId="10" xfId="0" applyFont="1" applyBorder="1"/>
    <xf numFmtId="0" fontId="17" fillId="0" borderId="12" xfId="0" applyFont="1" applyBorder="1"/>
    <xf numFmtId="0" fontId="17" fillId="2" borderId="0" xfId="0" applyFont="1" applyFill="1"/>
    <xf numFmtId="49" fontId="29" fillId="7" borderId="12" xfId="0" applyNumberFormat="1" applyFont="1" applyFill="1" applyBorder="1"/>
    <xf numFmtId="165" fontId="29" fillId="2" borderId="0" xfId="1" applyNumberFormat="1" applyFont="1" applyFill="1" applyAlignment="1">
      <alignment horizontal="center"/>
    </xf>
    <xf numFmtId="0" fontId="29" fillId="2" borderId="0" xfId="0" applyFont="1" applyFill="1" applyAlignment="1">
      <alignment horizontal="right"/>
    </xf>
    <xf numFmtId="0" fontId="29" fillId="2" borderId="0" xfId="0" applyFont="1" applyFill="1" applyAlignment="1">
      <alignment horizontal="right" vertical="center" indent="4"/>
    </xf>
    <xf numFmtId="9" fontId="32" fillId="2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left" vertical="center" indent="7"/>
    </xf>
    <xf numFmtId="10" fontId="25" fillId="3" borderId="0" xfId="2" applyNumberFormat="1" applyFont="1" applyFill="1" applyAlignment="1">
      <alignment horizontal="right" indent="2"/>
    </xf>
    <xf numFmtId="10" fontId="19" fillId="3" borderId="0" xfId="2" applyNumberFormat="1" applyFont="1" applyFill="1" applyAlignment="1">
      <alignment horizontal="right" vertical="center" indent="2"/>
    </xf>
    <xf numFmtId="1" fontId="0" fillId="2" borderId="8" xfId="0" applyNumberFormat="1" applyFill="1" applyBorder="1" applyAlignment="1">
      <alignment horizontal="right" indent="3"/>
    </xf>
    <xf numFmtId="1" fontId="0" fillId="2" borderId="8" xfId="0" applyNumberFormat="1" applyFill="1" applyBorder="1" applyAlignment="1">
      <alignment horizontal="right" indent="2"/>
    </xf>
    <xf numFmtId="10" fontId="45" fillId="2" borderId="0" xfId="2" applyNumberFormat="1" applyFont="1" applyFill="1" applyAlignment="1">
      <alignment horizontal="right" vertical="center" indent="2"/>
    </xf>
    <xf numFmtId="10" fontId="43" fillId="3" borderId="0" xfId="2" applyNumberFormat="1" applyFont="1" applyFill="1" applyAlignment="1">
      <alignment horizontal="right" vertical="center" indent="2"/>
    </xf>
    <xf numFmtId="10" fontId="28" fillId="2" borderId="0" xfId="0" applyNumberFormat="1" applyFont="1" applyFill="1" applyAlignment="1">
      <alignment horizontal="right"/>
    </xf>
    <xf numFmtId="10" fontId="43" fillId="2" borderId="0" xfId="2" applyNumberFormat="1" applyFont="1" applyFill="1" applyAlignment="1">
      <alignment horizontal="right" vertical="center" indent="2"/>
    </xf>
    <xf numFmtId="0" fontId="29" fillId="2" borderId="0" xfId="0" applyFont="1" applyFill="1" applyAlignment="1">
      <alignment horizontal="right" vertical="center"/>
    </xf>
    <xf numFmtId="10" fontId="32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right" indent="2"/>
    </xf>
    <xf numFmtId="3" fontId="2" fillId="0" borderId="8" xfId="0" applyNumberFormat="1" applyFont="1" applyBorder="1" applyAlignment="1">
      <alignment horizontal="right" indent="2"/>
    </xf>
    <xf numFmtId="0" fontId="28" fillId="2" borderId="0" xfId="0" applyFont="1" applyFill="1" applyAlignment="1">
      <alignment horizontal="right" indent="2"/>
    </xf>
    <xf numFmtId="3" fontId="6" fillId="0" borderId="8" xfId="0" applyNumberFormat="1" applyFont="1" applyBorder="1" applyAlignment="1">
      <alignment horizontal="right" vertical="center" indent="2"/>
    </xf>
    <xf numFmtId="0" fontId="30" fillId="2" borderId="0" xfId="0" applyFont="1" applyFill="1" applyAlignment="1">
      <alignment horizontal="right" indent="1"/>
    </xf>
    <xf numFmtId="10" fontId="31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right" vertical="center" indent="7"/>
    </xf>
    <xf numFmtId="0" fontId="30" fillId="2" borderId="0" xfId="0" applyFont="1" applyFill="1" applyAlignment="1">
      <alignment horizontal="right"/>
    </xf>
    <xf numFmtId="49" fontId="32" fillId="2" borderId="0" xfId="0" applyNumberFormat="1" applyFont="1" applyFill="1" applyAlignment="1">
      <alignment horizontal="center"/>
    </xf>
    <xf numFmtId="3" fontId="27" fillId="2" borderId="0" xfId="0" applyNumberFormat="1" applyFont="1" applyFill="1" applyAlignment="1">
      <alignment horizontal="center"/>
    </xf>
    <xf numFmtId="10" fontId="48" fillId="0" borderId="9" xfId="2" applyNumberFormat="1" applyFont="1" applyBorder="1" applyAlignment="1">
      <alignment horizontal="right" vertical="center" indent="2"/>
    </xf>
    <xf numFmtId="0" fontId="28" fillId="2" borderId="0" xfId="0" applyFont="1" applyFill="1" applyAlignment="1">
      <alignment horizontal="right" vertical="center" indent="4"/>
    </xf>
    <xf numFmtId="3" fontId="0" fillId="2" borderId="8" xfId="0" applyNumberFormat="1" applyFill="1" applyBorder="1" applyAlignment="1">
      <alignment horizontal="right" vertical="center" indent="2"/>
    </xf>
    <xf numFmtId="3" fontId="0" fillId="2" borderId="8" xfId="0" applyNumberFormat="1" applyFill="1" applyBorder="1" applyAlignment="1">
      <alignment horizontal="center" vertical="center"/>
    </xf>
    <xf numFmtId="9" fontId="31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right" wrapText="1"/>
    </xf>
    <xf numFmtId="0" fontId="29" fillId="2" borderId="0" xfId="0" applyFont="1" applyFill="1" applyAlignment="1">
      <alignment horizontal="right" indent="7"/>
    </xf>
    <xf numFmtId="3" fontId="6" fillId="3" borderId="2" xfId="0" applyNumberFormat="1" applyFont="1" applyFill="1" applyBorder="1" applyAlignment="1">
      <alignment horizontal="right" vertical="center" indent="3"/>
    </xf>
    <xf numFmtId="4" fontId="0" fillId="0" borderId="0" xfId="0" applyNumberFormat="1"/>
    <xf numFmtId="1" fontId="0" fillId="0" borderId="8" xfId="0" applyNumberFormat="1" applyBorder="1" applyAlignment="1">
      <alignment horizontal="right" indent="2"/>
    </xf>
    <xf numFmtId="3" fontId="0" fillId="2" borderId="8" xfId="0" applyNumberFormat="1" applyFont="1" applyFill="1" applyBorder="1" applyAlignment="1">
      <alignment horizontal="right" indent="3"/>
    </xf>
    <xf numFmtId="3" fontId="0" fillId="2" borderId="8" xfId="0" applyNumberFormat="1" applyFont="1" applyFill="1" applyBorder="1" applyAlignment="1">
      <alignment horizontal="right" indent="2"/>
    </xf>
    <xf numFmtId="170" fontId="0" fillId="0" borderId="0" xfId="0" applyNumberFormat="1"/>
    <xf numFmtId="9" fontId="0" fillId="0" borderId="0" xfId="2" applyFont="1"/>
    <xf numFmtId="0" fontId="2" fillId="0" borderId="0" xfId="0" applyFont="1" applyAlignment="1">
      <alignment horizontal="center"/>
    </xf>
    <xf numFmtId="9" fontId="24" fillId="2" borderId="0" xfId="2" applyFont="1" applyFill="1" applyBorder="1" applyAlignment="1">
      <alignment horizontal="left" indent="4"/>
    </xf>
    <xf numFmtId="0" fontId="15" fillId="0" borderId="0" xfId="0" applyFont="1" applyAlignment="1">
      <alignment horizontal="center"/>
    </xf>
    <xf numFmtId="9" fontId="24" fillId="4" borderId="0" xfId="2" applyFont="1" applyFill="1" applyBorder="1" applyAlignment="1">
      <alignment horizontal="right" indent="1"/>
    </xf>
    <xf numFmtId="165" fontId="4" fillId="2" borderId="0" xfId="35" applyNumberFormat="1" applyFont="1" applyFill="1" applyBorder="1"/>
    <xf numFmtId="0" fontId="40" fillId="0" borderId="0" xfId="0" applyFont="1" applyFill="1" applyAlignment="1">
      <alignment horizontal="left" indent="2"/>
    </xf>
    <xf numFmtId="3" fontId="2" fillId="2" borderId="8" xfId="0" applyNumberFormat="1" applyFont="1" applyFill="1" applyBorder="1" applyAlignment="1">
      <alignment horizontal="right" indent="4"/>
    </xf>
    <xf numFmtId="49" fontId="31" fillId="2" borderId="9" xfId="0" applyNumberFormat="1" applyFont="1" applyFill="1" applyBorder="1" applyAlignment="1">
      <alignment horizontal="center"/>
    </xf>
    <xf numFmtId="167" fontId="44" fillId="2" borderId="9" xfId="2" applyNumberFormat="1" applyFont="1" applyFill="1" applyBorder="1" applyAlignment="1">
      <alignment horizontal="right" vertical="center" indent="3"/>
    </xf>
    <xf numFmtId="167" fontId="44" fillId="2" borderId="0" xfId="2" applyNumberFormat="1" applyFont="1" applyFill="1" applyBorder="1" applyAlignment="1">
      <alignment horizontal="right" vertical="center" indent="3"/>
    </xf>
    <xf numFmtId="167" fontId="44" fillId="2" borderId="22" xfId="2" applyNumberFormat="1" applyFont="1" applyFill="1" applyBorder="1" applyAlignment="1">
      <alignment horizontal="right" vertical="center" indent="3"/>
    </xf>
    <xf numFmtId="171" fontId="4" fillId="11" borderId="0" xfId="35" applyNumberFormat="1" applyFont="1" applyFill="1" applyBorder="1"/>
    <xf numFmtId="171" fontId="24" fillId="11" borderId="0" xfId="35" applyNumberFormat="1" applyFill="1" applyBorder="1"/>
    <xf numFmtId="0" fontId="9" fillId="0" borderId="0" xfId="0" applyFont="1" applyAlignment="1">
      <alignment horizontal="center"/>
    </xf>
    <xf numFmtId="10" fontId="25" fillId="3" borderId="9" xfId="2" applyNumberFormat="1" applyFont="1" applyFill="1" applyBorder="1" applyAlignment="1">
      <alignment horizontal="right" vertical="center" indent="2"/>
    </xf>
    <xf numFmtId="165" fontId="0" fillId="2" borderId="0" xfId="0" applyNumberFormat="1" applyFill="1"/>
    <xf numFmtId="0" fontId="9" fillId="0" borderId="0" xfId="0" applyFont="1" applyAlignment="1">
      <alignment horizontal="right" indent="2"/>
    </xf>
    <xf numFmtId="3" fontId="9" fillId="0" borderId="0" xfId="0" applyNumberFormat="1" applyFont="1" applyAlignment="1">
      <alignment horizontal="right" indent="2"/>
    </xf>
    <xf numFmtId="0" fontId="5" fillId="2" borderId="0" xfId="33" applyFont="1" applyFill="1" applyAlignment="1">
      <alignment horizontal="left"/>
    </xf>
    <xf numFmtId="10" fontId="43" fillId="3" borderId="17" xfId="2" applyNumberFormat="1" applyFont="1" applyFill="1" applyBorder="1" applyAlignment="1">
      <alignment horizontal="right" vertical="center" indent="2"/>
    </xf>
    <xf numFmtId="1" fontId="0" fillId="0" borderId="0" xfId="0" applyNumberFormat="1"/>
    <xf numFmtId="0" fontId="12" fillId="5" borderId="18" xfId="0" applyFont="1" applyFill="1" applyBorder="1" applyAlignment="1">
      <alignment horizontal="left" vertical="center" indent="4"/>
    </xf>
    <xf numFmtId="0" fontId="12" fillId="3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indent="7"/>
    </xf>
    <xf numFmtId="0" fontId="2" fillId="2" borderId="8" xfId="0" applyFont="1" applyFill="1" applyBorder="1" applyAlignment="1">
      <alignment horizontal="left" vertical="center" indent="2"/>
    </xf>
    <xf numFmtId="0" fontId="9" fillId="2" borderId="8" xfId="0" applyFont="1" applyFill="1" applyBorder="1" applyAlignment="1">
      <alignment horizontal="left" indent="2"/>
    </xf>
    <xf numFmtId="0" fontId="13" fillId="2" borderId="8" xfId="0" applyFont="1" applyFill="1" applyBorder="1" applyAlignment="1">
      <alignment horizontal="left" indent="1"/>
    </xf>
    <xf numFmtId="0" fontId="0" fillId="2" borderId="8" xfId="0" applyFill="1" applyBorder="1" applyAlignment="1">
      <alignment horizontal="left" indent="4"/>
    </xf>
    <xf numFmtId="0" fontId="2" fillId="2" borderId="8" xfId="0" applyFont="1" applyFill="1" applyBorder="1" applyAlignment="1">
      <alignment horizontal="left" indent="2"/>
    </xf>
    <xf numFmtId="0" fontId="12" fillId="2" borderId="8" xfId="0" applyFont="1" applyFill="1" applyBorder="1" applyAlignment="1">
      <alignment horizontal="left" vertical="center" indent="4"/>
    </xf>
    <xf numFmtId="0" fontId="0" fillId="2" borderId="8" xfId="0" applyFill="1" applyBorder="1" applyAlignment="1">
      <alignment wrapText="1"/>
    </xf>
    <xf numFmtId="0" fontId="2" fillId="2" borderId="8" xfId="0" applyFont="1" applyFill="1" applyBorder="1" applyAlignment="1">
      <alignment horizontal="left" indent="7"/>
    </xf>
    <xf numFmtId="9" fontId="39" fillId="5" borderId="17" xfId="0" applyNumberFormat="1" applyFont="1" applyFill="1" applyBorder="1" applyAlignment="1">
      <alignment horizontal="center"/>
    </xf>
    <xf numFmtId="10" fontId="19" fillId="10" borderId="4" xfId="2" applyNumberFormat="1" applyFont="1" applyFill="1" applyBorder="1" applyAlignment="1">
      <alignment horizontal="right" vertical="center" indent="2"/>
    </xf>
    <xf numFmtId="49" fontId="32" fillId="2" borderId="0" xfId="0" applyNumberFormat="1" applyFont="1" applyFill="1" applyBorder="1" applyAlignment="1">
      <alignment horizontal="center"/>
    </xf>
    <xf numFmtId="9" fontId="39" fillId="2" borderId="0" xfId="0" applyNumberFormat="1" applyFont="1" applyFill="1" applyBorder="1" applyAlignment="1">
      <alignment horizontal="center"/>
    </xf>
    <xf numFmtId="10" fontId="6" fillId="2" borderId="0" xfId="2" applyNumberFormat="1" applyFont="1" applyFill="1" applyBorder="1" applyAlignment="1">
      <alignment horizontal="right" vertical="center" indent="2"/>
    </xf>
    <xf numFmtId="10" fontId="13" fillId="0" borderId="0" xfId="0" applyNumberFormat="1" applyFont="1" applyBorder="1"/>
    <xf numFmtId="10" fontId="2" fillId="2" borderId="0" xfId="0" applyNumberFormat="1" applyFont="1" applyFill="1" applyBorder="1" applyAlignment="1">
      <alignment horizontal="center"/>
    </xf>
    <xf numFmtId="10" fontId="13" fillId="2" borderId="0" xfId="0" applyNumberFormat="1" applyFont="1" applyFill="1" applyBorder="1"/>
    <xf numFmtId="10" fontId="13" fillId="0" borderId="9" xfId="0" applyNumberFormat="1" applyFont="1" applyBorder="1"/>
    <xf numFmtId="9" fontId="37" fillId="3" borderId="3" xfId="2" applyFont="1" applyFill="1" applyBorder="1" applyAlignment="1">
      <alignment horizontal="center" vertical="center"/>
    </xf>
    <xf numFmtId="0" fontId="40" fillId="10" borderId="18" xfId="0" applyFont="1" applyFill="1" applyBorder="1" applyAlignment="1">
      <alignment horizontal="left" vertical="center" indent="4"/>
    </xf>
    <xf numFmtId="3" fontId="0" fillId="0" borderId="9" xfId="0" applyNumberFormat="1" applyBorder="1"/>
    <xf numFmtId="3" fontId="0" fillId="0" borderId="8" xfId="0" applyNumberFormat="1" applyBorder="1"/>
    <xf numFmtId="10" fontId="13" fillId="0" borderId="15" xfId="0" applyNumberFormat="1" applyFont="1" applyBorder="1"/>
    <xf numFmtId="0" fontId="0" fillId="0" borderId="14" xfId="0" applyBorder="1"/>
    <xf numFmtId="3" fontId="0" fillId="2" borderId="5" xfId="0" applyNumberFormat="1" applyFill="1" applyBorder="1" applyAlignment="1">
      <alignment horizontal="right" indent="2"/>
    </xf>
    <xf numFmtId="9" fontId="37" fillId="2" borderId="7" xfId="2" applyFont="1" applyFill="1" applyBorder="1" applyAlignment="1">
      <alignment horizontal="center" vertical="center"/>
    </xf>
    <xf numFmtId="3" fontId="6" fillId="2" borderId="8" xfId="0" applyNumberFormat="1" applyFont="1" applyFill="1" applyBorder="1" applyAlignment="1">
      <alignment horizontal="right" indent="2"/>
    </xf>
    <xf numFmtId="3" fontId="6" fillId="2" borderId="15" xfId="0" applyNumberFormat="1" applyFont="1" applyFill="1" applyBorder="1" applyAlignment="1">
      <alignment horizontal="right" indent="2"/>
    </xf>
    <xf numFmtId="10" fontId="43" fillId="2" borderId="4" xfId="2" applyNumberFormat="1" applyFont="1" applyFill="1" applyBorder="1" applyAlignment="1">
      <alignment horizontal="right" vertical="center" indent="2"/>
    </xf>
    <xf numFmtId="10" fontId="43" fillId="2" borderId="14" xfId="2" applyNumberFormat="1" applyFont="1" applyFill="1" applyBorder="1" applyAlignment="1">
      <alignment horizontal="right" vertical="center" indent="2"/>
    </xf>
    <xf numFmtId="3" fontId="6" fillId="2" borderId="18" xfId="0" applyNumberFormat="1" applyFont="1" applyFill="1" applyBorder="1" applyAlignment="1">
      <alignment horizontal="right" vertical="center" indent="2"/>
    </xf>
    <xf numFmtId="10" fontId="6" fillId="2" borderId="17" xfId="2" applyNumberFormat="1" applyFont="1" applyFill="1" applyBorder="1" applyAlignment="1">
      <alignment horizontal="right" vertical="center" indent="2"/>
    </xf>
    <xf numFmtId="10" fontId="6" fillId="2" borderId="16" xfId="2" applyNumberFormat="1" applyFont="1" applyFill="1" applyBorder="1" applyAlignment="1">
      <alignment horizontal="right" vertical="center" indent="2"/>
    </xf>
    <xf numFmtId="10" fontId="31" fillId="2" borderId="4" xfId="0" applyNumberFormat="1" applyFont="1" applyFill="1" applyBorder="1" applyAlignment="1">
      <alignment horizontal="center"/>
    </xf>
    <xf numFmtId="10" fontId="31" fillId="2" borderId="14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0" fontId="29" fillId="2" borderId="0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9" fillId="0" borderId="0" xfId="0" applyNumberFormat="1" applyFont="1" applyFill="1" applyBorder="1"/>
    <xf numFmtId="165" fontId="9" fillId="0" borderId="0" xfId="1" applyNumberFormat="1" applyFont="1" applyFill="1" applyBorder="1" applyAlignment="1">
      <alignment horizontal="center"/>
    </xf>
    <xf numFmtId="165" fontId="31" fillId="0" borderId="0" xfId="1" applyNumberFormat="1" applyFont="1" applyFill="1" applyBorder="1" applyAlignment="1">
      <alignment horizontal="center"/>
    </xf>
    <xf numFmtId="9" fontId="33" fillId="0" borderId="0" xfId="0" applyNumberFormat="1" applyFont="1" applyFill="1" applyBorder="1" applyAlignment="1">
      <alignment horizontal="center"/>
    </xf>
    <xf numFmtId="10" fontId="45" fillId="0" borderId="0" xfId="2" applyNumberFormat="1" applyFont="1" applyFill="1" applyBorder="1" applyAlignment="1">
      <alignment horizontal="right" vertical="center" indent="2"/>
    </xf>
    <xf numFmtId="9" fontId="32" fillId="0" borderId="0" xfId="0" applyNumberFormat="1" applyFont="1" applyFill="1" applyBorder="1" applyAlignment="1">
      <alignment horizontal="center"/>
    </xf>
    <xf numFmtId="10" fontId="43" fillId="0" borderId="0" xfId="2" applyNumberFormat="1" applyFont="1" applyFill="1" applyBorder="1" applyAlignment="1">
      <alignment horizontal="right" vertical="center" indent="2"/>
    </xf>
    <xf numFmtId="10" fontId="25" fillId="0" borderId="0" xfId="2" applyNumberFormat="1" applyFont="1" applyFill="1" applyBorder="1" applyAlignment="1">
      <alignment horizontal="right" indent="2"/>
    </xf>
    <xf numFmtId="10" fontId="19" fillId="0" borderId="0" xfId="2" applyNumberFormat="1" applyFont="1" applyFill="1" applyBorder="1" applyAlignment="1">
      <alignment horizontal="right" vertical="center" indent="2"/>
    </xf>
    <xf numFmtId="10" fontId="25" fillId="0" borderId="0" xfId="2" applyNumberFormat="1" applyFont="1" applyFill="1" applyBorder="1" applyAlignment="1">
      <alignment horizontal="right" vertical="center" indent="2"/>
    </xf>
    <xf numFmtId="10" fontId="32" fillId="0" borderId="0" xfId="0" applyNumberFormat="1" applyFont="1" applyFill="1" applyBorder="1" applyAlignment="1">
      <alignment horizontal="center"/>
    </xf>
    <xf numFmtId="10" fontId="31" fillId="0" borderId="0" xfId="0" applyNumberFormat="1" applyFont="1" applyFill="1" applyBorder="1" applyAlignment="1">
      <alignment horizontal="center"/>
    </xf>
    <xf numFmtId="10" fontId="48" fillId="0" borderId="0" xfId="2" applyNumberFormat="1" applyFont="1" applyFill="1" applyBorder="1" applyAlignment="1">
      <alignment horizontal="right" vertical="center" indent="2"/>
    </xf>
    <xf numFmtId="10" fontId="51" fillId="0" borderId="0" xfId="2" applyNumberFormat="1" applyFont="1" applyFill="1" applyBorder="1" applyAlignment="1">
      <alignment horizontal="right" vertical="center" indent="2"/>
    </xf>
    <xf numFmtId="9" fontId="31" fillId="0" borderId="0" xfId="0" applyNumberFormat="1" applyFont="1" applyFill="1" applyBorder="1" applyAlignment="1">
      <alignment horizontal="center"/>
    </xf>
    <xf numFmtId="9" fontId="34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right" vertical="center" indent="3"/>
    </xf>
    <xf numFmtId="165" fontId="15" fillId="2" borderId="0" xfId="1" applyNumberFormat="1" applyFont="1" applyFill="1" applyBorder="1" applyAlignment="1">
      <alignment horizontal="center"/>
    </xf>
    <xf numFmtId="3" fontId="4" fillId="2" borderId="8" xfId="0" applyNumberFormat="1" applyFont="1" applyFill="1" applyBorder="1" applyAlignment="1">
      <alignment horizontal="right" indent="3"/>
    </xf>
    <xf numFmtId="9" fontId="13" fillId="2" borderId="8" xfId="0" applyNumberFormat="1" applyFont="1" applyFill="1" applyBorder="1" applyAlignment="1">
      <alignment horizontal="center"/>
    </xf>
    <xf numFmtId="0" fontId="17" fillId="10" borderId="10" xfId="0" applyFont="1" applyFill="1" applyBorder="1"/>
    <xf numFmtId="49" fontId="29" fillId="10" borderId="12" xfId="0" applyNumberFormat="1" applyFont="1" applyFill="1" applyBorder="1"/>
    <xf numFmtId="49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 vertical="center"/>
    </xf>
    <xf numFmtId="165" fontId="9" fillId="2" borderId="0" xfId="1" applyNumberFormat="1" applyFont="1" applyFill="1" applyBorder="1" applyAlignment="1">
      <alignment horizontal="center"/>
    </xf>
    <xf numFmtId="165" fontId="31" fillId="2" borderId="0" xfId="1" applyNumberFormat="1" applyFont="1" applyFill="1" applyBorder="1" applyAlignment="1">
      <alignment horizontal="center"/>
    </xf>
    <xf numFmtId="10" fontId="45" fillId="2" borderId="0" xfId="2" applyNumberFormat="1" applyFont="1" applyFill="1" applyBorder="1" applyAlignment="1">
      <alignment horizontal="right" vertical="center" indent="2"/>
    </xf>
    <xf numFmtId="10" fontId="25" fillId="2" borderId="0" xfId="2" applyNumberFormat="1" applyFont="1" applyFill="1" applyBorder="1" applyAlignment="1">
      <alignment horizontal="right" indent="2"/>
    </xf>
    <xf numFmtId="49" fontId="42" fillId="2" borderId="0" xfId="0" applyNumberFormat="1" applyFont="1" applyFill="1" applyBorder="1" applyAlignment="1">
      <alignment horizontal="center"/>
    </xf>
    <xf numFmtId="10" fontId="41" fillId="2" borderId="0" xfId="0" applyNumberFormat="1" applyFont="1" applyFill="1" applyBorder="1" applyAlignment="1">
      <alignment horizontal="center"/>
    </xf>
    <xf numFmtId="10" fontId="48" fillId="2" borderId="0" xfId="2" applyNumberFormat="1" applyFont="1" applyFill="1" applyBorder="1" applyAlignment="1">
      <alignment horizontal="right" vertical="center" indent="2"/>
    </xf>
    <xf numFmtId="10" fontId="51" fillId="2" borderId="0" xfId="2" applyNumberFormat="1" applyFont="1" applyFill="1" applyBorder="1" applyAlignment="1">
      <alignment horizontal="right" vertical="center" indent="2"/>
    </xf>
    <xf numFmtId="167" fontId="48" fillId="2" borderId="0" xfId="2" applyNumberFormat="1" applyFont="1" applyFill="1" applyBorder="1" applyAlignment="1">
      <alignment horizontal="right" vertical="center" indent="2"/>
    </xf>
    <xf numFmtId="49" fontId="42" fillId="2" borderId="13" xfId="0" applyNumberFormat="1" applyFont="1" applyFill="1" applyBorder="1" applyAlignment="1">
      <alignment horizontal="center"/>
    </xf>
    <xf numFmtId="2" fontId="54" fillId="2" borderId="0" xfId="0" applyNumberFormat="1" applyFont="1" applyFill="1" applyBorder="1" applyAlignment="1">
      <alignment horizontal="center"/>
    </xf>
    <xf numFmtId="2" fontId="55" fillId="2" borderId="0" xfId="0" applyNumberFormat="1" applyFont="1" applyFill="1" applyBorder="1" applyAlignment="1">
      <alignment horizontal="center"/>
    </xf>
    <xf numFmtId="2" fontId="56" fillId="2" borderId="0" xfId="0" applyNumberFormat="1" applyFont="1" applyFill="1" applyBorder="1" applyAlignment="1">
      <alignment horizontal="center"/>
    </xf>
    <xf numFmtId="2" fontId="57" fillId="2" borderId="0" xfId="1" applyNumberFormat="1" applyFont="1" applyFill="1" applyBorder="1" applyAlignment="1">
      <alignment horizontal="center"/>
    </xf>
    <xf numFmtId="2" fontId="58" fillId="2" borderId="0" xfId="0" applyNumberFormat="1" applyFont="1" applyFill="1" applyBorder="1" applyAlignment="1">
      <alignment horizontal="center"/>
    </xf>
    <xf numFmtId="2" fontId="59" fillId="2" borderId="0" xfId="0" applyNumberFormat="1" applyFont="1" applyFill="1" applyBorder="1" applyAlignment="1">
      <alignment horizontal="center"/>
    </xf>
    <xf numFmtId="2" fontId="54" fillId="2" borderId="0" xfId="2" applyNumberFormat="1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horizontal="center"/>
    </xf>
    <xf numFmtId="2" fontId="61" fillId="2" borderId="0" xfId="2" applyNumberFormat="1" applyFont="1" applyFill="1" applyBorder="1" applyAlignment="1">
      <alignment horizontal="right" vertical="center" indent="2"/>
    </xf>
    <xf numFmtId="2" fontId="62" fillId="2" borderId="0" xfId="2" applyNumberFormat="1" applyFont="1" applyFill="1" applyBorder="1" applyAlignment="1">
      <alignment horizontal="right" vertical="center" indent="3"/>
    </xf>
    <xf numFmtId="2" fontId="61" fillId="2" borderId="0" xfId="2" applyNumberFormat="1" applyFont="1" applyFill="1" applyBorder="1" applyAlignment="1">
      <alignment horizontal="right" vertical="center" indent="3"/>
    </xf>
    <xf numFmtId="2" fontId="63" fillId="2" borderId="0" xfId="0" applyNumberFormat="1" applyFont="1" applyFill="1" applyBorder="1" applyAlignment="1">
      <alignment horizontal="center"/>
    </xf>
    <xf numFmtId="2" fontId="61" fillId="2" borderId="0" xfId="2" applyNumberFormat="1" applyFont="1" applyFill="1" applyBorder="1" applyAlignment="1">
      <alignment horizontal="left" vertical="center"/>
    </xf>
    <xf numFmtId="2" fontId="64" fillId="2" borderId="0" xfId="2" applyNumberFormat="1" applyFont="1" applyFill="1" applyBorder="1" applyAlignment="1">
      <alignment horizontal="right" vertical="center" indent="2"/>
    </xf>
    <xf numFmtId="2" fontId="65" fillId="2" borderId="0" xfId="0" applyNumberFormat="1" applyFont="1" applyFill="1" applyBorder="1" applyAlignment="1">
      <alignment horizontal="center"/>
    </xf>
    <xf numFmtId="2" fontId="60" fillId="2" borderId="0" xfId="0" applyNumberFormat="1" applyFont="1" applyFill="1" applyBorder="1"/>
    <xf numFmtId="0" fontId="27" fillId="0" borderId="0" xfId="0" applyFont="1" applyFill="1" applyBorder="1" applyAlignment="1">
      <alignment horizontal="center"/>
    </xf>
    <xf numFmtId="49" fontId="40" fillId="0" borderId="0" xfId="0" applyNumberFormat="1" applyFont="1" applyFill="1" applyBorder="1" applyAlignment="1">
      <alignment horizontal="center"/>
    </xf>
    <xf numFmtId="165" fontId="23" fillId="0" borderId="0" xfId="1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9" fontId="37" fillId="0" borderId="0" xfId="2" applyFont="1" applyFill="1" applyBorder="1" applyAlignment="1">
      <alignment horizontal="center" vertical="center"/>
    </xf>
    <xf numFmtId="10" fontId="44" fillId="0" borderId="0" xfId="2" applyNumberFormat="1" applyFont="1" applyFill="1" applyBorder="1" applyAlignment="1">
      <alignment horizontal="right" vertical="center" indent="2"/>
    </xf>
    <xf numFmtId="167" fontId="26" fillId="0" borderId="0" xfId="2" applyNumberFormat="1" applyFont="1" applyFill="1" applyBorder="1" applyAlignment="1">
      <alignment horizontal="right" vertical="center" indent="3"/>
    </xf>
    <xf numFmtId="167" fontId="44" fillId="0" borderId="0" xfId="2" applyNumberFormat="1" applyFont="1" applyFill="1" applyBorder="1" applyAlignment="1">
      <alignment horizontal="right" vertical="center" indent="3"/>
    </xf>
    <xf numFmtId="9" fontId="44" fillId="0" borderId="0" xfId="2" applyNumberFormat="1" applyFont="1" applyFill="1" applyBorder="1" applyAlignment="1">
      <alignment horizontal="right" vertical="center" indent="2"/>
    </xf>
    <xf numFmtId="10" fontId="32" fillId="0" borderId="0" xfId="0" applyNumberFormat="1" applyFont="1" applyFill="1" applyBorder="1"/>
    <xf numFmtId="3" fontId="32" fillId="0" borderId="0" xfId="0" applyNumberFormat="1" applyFont="1" applyFill="1" applyBorder="1"/>
    <xf numFmtId="3" fontId="6" fillId="3" borderId="15" xfId="0" applyNumberFormat="1" applyFont="1" applyFill="1" applyBorder="1" applyAlignment="1">
      <alignment horizontal="right" vertical="center" indent="4"/>
    </xf>
    <xf numFmtId="10" fontId="43" fillId="3" borderId="4" xfId="2" applyNumberFormat="1" applyFont="1" applyFill="1" applyBorder="1" applyAlignment="1">
      <alignment horizontal="right" vertical="center" indent="2"/>
    </xf>
    <xf numFmtId="3" fontId="0" fillId="0" borderId="10" xfId="0" applyNumberFormat="1" applyBorder="1" applyAlignment="1">
      <alignment horizontal="center"/>
    </xf>
    <xf numFmtId="9" fontId="32" fillId="0" borderId="12" xfId="0" applyNumberFormat="1" applyFont="1" applyBorder="1" applyAlignment="1">
      <alignment horizontal="center"/>
    </xf>
    <xf numFmtId="3" fontId="6" fillId="3" borderId="25" xfId="0" applyNumberFormat="1" applyFont="1" applyFill="1" applyBorder="1" applyAlignment="1">
      <alignment horizontal="right" vertical="center" indent="4"/>
    </xf>
    <xf numFmtId="10" fontId="43" fillId="3" borderId="27" xfId="2" applyNumberFormat="1" applyFont="1" applyFill="1" applyBorder="1" applyAlignment="1">
      <alignment horizontal="right" vertical="center" indent="2"/>
    </xf>
    <xf numFmtId="3" fontId="0" fillId="13" borderId="8" xfId="0" applyNumberFormat="1" applyFill="1" applyBorder="1" applyAlignment="1">
      <alignment horizontal="right" indent="3"/>
    </xf>
    <xf numFmtId="3" fontId="0" fillId="13" borderId="8" xfId="0" applyNumberFormat="1" applyFill="1" applyBorder="1" applyAlignment="1">
      <alignment horizontal="right" indent="4"/>
    </xf>
    <xf numFmtId="9" fontId="72" fillId="14" borderId="16" xfId="0" applyNumberFormat="1" applyFont="1" applyFill="1" applyBorder="1" applyAlignment="1">
      <alignment horizontal="center"/>
    </xf>
    <xf numFmtId="10" fontId="80" fillId="15" borderId="14" xfId="2" applyNumberFormat="1" applyFont="1" applyFill="1" applyBorder="1" applyAlignment="1">
      <alignment horizontal="right" vertical="center" indent="2"/>
    </xf>
    <xf numFmtId="10" fontId="75" fillId="14" borderId="14" xfId="2" applyNumberFormat="1" applyFont="1" applyFill="1" applyBorder="1" applyAlignment="1">
      <alignment horizontal="right" vertical="center" indent="2"/>
    </xf>
    <xf numFmtId="10" fontId="75" fillId="14" borderId="16" xfId="2" applyNumberFormat="1" applyFont="1" applyFill="1" applyBorder="1" applyAlignment="1">
      <alignment horizontal="right" vertical="center" indent="2"/>
    </xf>
    <xf numFmtId="10" fontId="32" fillId="2" borderId="0" xfId="0" applyNumberFormat="1" applyFont="1" applyFill="1" applyBorder="1" applyAlignment="1">
      <alignment horizontal="center"/>
    </xf>
    <xf numFmtId="10" fontId="48" fillId="0" borderId="0" xfId="2" applyNumberFormat="1" applyFont="1" applyBorder="1" applyAlignment="1">
      <alignment horizontal="right" vertical="center" indent="2"/>
    </xf>
    <xf numFmtId="49" fontId="29" fillId="2" borderId="0" xfId="0" applyNumberFormat="1" applyFont="1" applyFill="1" applyBorder="1"/>
    <xf numFmtId="166" fontId="30" fillId="2" borderId="0" xfId="0" applyNumberFormat="1" applyFont="1" applyFill="1" applyBorder="1"/>
    <xf numFmtId="165" fontId="70" fillId="16" borderId="8" xfId="1" applyNumberFormat="1" applyFont="1" applyFill="1" applyBorder="1" applyAlignment="1">
      <alignment horizontal="center"/>
    </xf>
    <xf numFmtId="165" fontId="71" fillId="16" borderId="9" xfId="1" applyNumberFormat="1" applyFont="1" applyFill="1" applyBorder="1" applyAlignment="1">
      <alignment horizontal="center"/>
    </xf>
    <xf numFmtId="165" fontId="68" fillId="16" borderId="8" xfId="1" applyNumberFormat="1" applyFont="1" applyFill="1" applyBorder="1" applyAlignment="1">
      <alignment horizontal="center"/>
    </xf>
    <xf numFmtId="165" fontId="72" fillId="16" borderId="9" xfId="1" applyNumberFormat="1" applyFont="1" applyFill="1" applyBorder="1" applyAlignment="1">
      <alignment horizontal="center"/>
    </xf>
    <xf numFmtId="9" fontId="72" fillId="16" borderId="9" xfId="0" applyNumberFormat="1" applyFont="1" applyFill="1" applyBorder="1" applyAlignment="1">
      <alignment horizontal="center"/>
    </xf>
    <xf numFmtId="9" fontId="73" fillId="16" borderId="9" xfId="0" applyNumberFormat="1" applyFont="1" applyFill="1" applyBorder="1" applyAlignment="1">
      <alignment horizontal="center"/>
    </xf>
    <xf numFmtId="10" fontId="74" fillId="16" borderId="9" xfId="2" applyNumberFormat="1" applyFont="1" applyFill="1" applyBorder="1" applyAlignment="1">
      <alignment horizontal="right" vertical="center" indent="2"/>
    </xf>
    <xf numFmtId="10" fontId="75" fillId="16" borderId="9" xfId="2" applyNumberFormat="1" applyFont="1" applyFill="1" applyBorder="1" applyAlignment="1">
      <alignment horizontal="right" vertical="center" indent="2"/>
    </xf>
    <xf numFmtId="49" fontId="76" fillId="16" borderId="9" xfId="0" applyNumberFormat="1" applyFont="1" applyFill="1" applyBorder="1" applyAlignment="1">
      <alignment horizontal="center"/>
    </xf>
    <xf numFmtId="10" fontId="78" fillId="16" borderId="9" xfId="0" applyNumberFormat="1" applyFont="1" applyFill="1" applyBorder="1" applyAlignment="1">
      <alignment horizontal="center"/>
    </xf>
    <xf numFmtId="49" fontId="73" fillId="16" borderId="9" xfId="0" applyNumberFormat="1" applyFont="1" applyFill="1" applyBorder="1" applyAlignment="1">
      <alignment horizontal="center"/>
    </xf>
    <xf numFmtId="10" fontId="79" fillId="16" borderId="9" xfId="2" applyNumberFormat="1" applyFont="1" applyFill="1" applyBorder="1" applyAlignment="1">
      <alignment horizontal="right" vertical="center" indent="2"/>
    </xf>
    <xf numFmtId="9" fontId="73" fillId="16" borderId="14" xfId="0" applyNumberFormat="1" applyFont="1" applyFill="1" applyBorder="1" applyAlignment="1">
      <alignment horizontal="center"/>
    </xf>
    <xf numFmtId="9" fontId="72" fillId="16" borderId="16" xfId="0" applyNumberFormat="1" applyFont="1" applyFill="1" applyBorder="1" applyAlignment="1">
      <alignment horizontal="center"/>
    </xf>
    <xf numFmtId="167" fontId="79" fillId="16" borderId="9" xfId="2" applyNumberFormat="1" applyFont="1" applyFill="1" applyBorder="1" applyAlignment="1">
      <alignment horizontal="right" vertical="center" indent="2"/>
    </xf>
    <xf numFmtId="167" fontId="79" fillId="16" borderId="14" xfId="2" applyNumberFormat="1" applyFont="1" applyFill="1" applyBorder="1" applyAlignment="1">
      <alignment horizontal="right" vertical="center" indent="2"/>
    </xf>
    <xf numFmtId="3" fontId="23" fillId="3" borderId="8" xfId="0" applyNumberFormat="1" applyFont="1" applyFill="1" applyBorder="1" applyAlignment="1">
      <alignment horizontal="right" indent="3"/>
    </xf>
    <xf numFmtId="166" fontId="30" fillId="2" borderId="0" xfId="0" applyNumberFormat="1" applyFont="1" applyFill="1"/>
    <xf numFmtId="3" fontId="6" fillId="3" borderId="1" xfId="0" applyNumberFormat="1" applyFont="1" applyFill="1" applyBorder="1" applyAlignment="1">
      <alignment horizontal="left" vertical="center" indent="5"/>
    </xf>
    <xf numFmtId="10" fontId="2" fillId="3" borderId="16" xfId="2" applyNumberFormat="1" applyFont="1" applyFill="1" applyBorder="1" applyAlignment="1">
      <alignment horizontal="left" vertical="center" indent="4"/>
    </xf>
    <xf numFmtId="3" fontId="2" fillId="3" borderId="8" xfId="0" applyNumberFormat="1" applyFont="1" applyFill="1" applyBorder="1" applyAlignment="1">
      <alignment horizontal="left" indent="4"/>
    </xf>
    <xf numFmtId="0" fontId="81" fillId="2" borderId="0" xfId="0" applyFont="1" applyFill="1"/>
    <xf numFmtId="10" fontId="83" fillId="2" borderId="9" xfId="2" applyNumberFormat="1" applyFont="1" applyFill="1" applyBorder="1" applyAlignment="1">
      <alignment horizontal="right" vertical="center" indent="2"/>
    </xf>
    <xf numFmtId="3" fontId="81" fillId="2" borderId="0" xfId="0" applyNumberFormat="1" applyFont="1" applyFill="1"/>
    <xf numFmtId="167" fontId="81" fillId="2" borderId="0" xfId="2" applyNumberFormat="1" applyFont="1" applyFill="1"/>
    <xf numFmtId="0" fontId="81" fillId="0" borderId="0" xfId="0" applyFont="1"/>
    <xf numFmtId="10" fontId="81" fillId="0" borderId="0" xfId="2" applyNumberFormat="1" applyFont="1"/>
    <xf numFmtId="3" fontId="0" fillId="0" borderId="8" xfId="0" applyNumberFormat="1" applyFill="1" applyBorder="1" applyAlignment="1">
      <alignment horizontal="right" indent="4"/>
    </xf>
    <xf numFmtId="10" fontId="25" fillId="2" borderId="9" xfId="2" applyNumberFormat="1" applyFont="1" applyFill="1" applyBorder="1" applyAlignment="1">
      <alignment horizontal="right" vertical="center" indent="2"/>
    </xf>
    <xf numFmtId="10" fontId="25" fillId="2" borderId="9" xfId="2" applyNumberFormat="1" applyFont="1" applyFill="1" applyBorder="1" applyAlignment="1">
      <alignment horizontal="right" indent="2"/>
    </xf>
    <xf numFmtId="10" fontId="43" fillId="2" borderId="3" xfId="2" applyNumberFormat="1" applyFont="1" applyFill="1" applyBorder="1" applyAlignment="1">
      <alignment horizontal="right" vertical="center" indent="2"/>
    </xf>
    <xf numFmtId="0" fontId="2" fillId="12" borderId="28" xfId="0" applyFont="1" applyFill="1" applyBorder="1"/>
    <xf numFmtId="165" fontId="2" fillId="12" borderId="29" xfId="1" applyNumberFormat="1" applyFont="1" applyFill="1" applyBorder="1"/>
    <xf numFmtId="165" fontId="2" fillId="12" borderId="30" xfId="1" applyNumberFormat="1" applyFont="1" applyFill="1" applyBorder="1"/>
    <xf numFmtId="3" fontId="0" fillId="13" borderId="8" xfId="0" applyNumberFormat="1" applyFill="1" applyBorder="1" applyAlignment="1">
      <alignment horizontal="right" indent="2"/>
    </xf>
    <xf numFmtId="3" fontId="6" fillId="17" borderId="8" xfId="0" applyNumberFormat="1" applyFont="1" applyFill="1" applyBorder="1" applyAlignment="1">
      <alignment horizontal="right" indent="2"/>
    </xf>
    <xf numFmtId="3" fontId="13" fillId="13" borderId="0" xfId="0" applyNumberFormat="1" applyFont="1" applyFill="1"/>
    <xf numFmtId="3" fontId="6" fillId="3" borderId="1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40" fillId="2" borderId="10" xfId="0" applyNumberFormat="1" applyFont="1" applyFill="1" applyBorder="1" applyAlignment="1">
      <alignment horizontal="center"/>
    </xf>
    <xf numFmtId="49" fontId="40" fillId="2" borderId="12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49" fontId="40" fillId="12" borderId="10" xfId="0" applyNumberFormat="1" applyFont="1" applyFill="1" applyBorder="1" applyAlignment="1">
      <alignment horizontal="center"/>
    </xf>
    <xf numFmtId="49" fontId="40" fillId="12" borderId="12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77" fillId="14" borderId="10" xfId="0" applyNumberFormat="1" applyFont="1" applyFill="1" applyBorder="1" applyAlignment="1">
      <alignment horizontal="center" vertical="center"/>
    </xf>
    <xf numFmtId="49" fontId="77" fillId="14" borderId="12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69" fillId="14" borderId="5" xfId="0" applyFont="1" applyFill="1" applyBorder="1" applyAlignment="1">
      <alignment horizontal="center"/>
    </xf>
    <xf numFmtId="0" fontId="69" fillId="14" borderId="7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10" borderId="8" xfId="0" applyNumberFormat="1" applyFont="1" applyFill="1" applyBorder="1" applyAlignment="1">
      <alignment horizontal="center"/>
    </xf>
    <xf numFmtId="49" fontId="2" fillId="10" borderId="9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67" fillId="14" borderId="8" xfId="0" applyNumberFormat="1" applyFont="1" applyFill="1" applyBorder="1" applyAlignment="1">
      <alignment horizontal="center"/>
    </xf>
    <xf numFmtId="49" fontId="67" fillId="14" borderId="9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2" fillId="5" borderId="8" xfId="0" applyNumberFormat="1" applyFont="1" applyFill="1" applyBorder="1" applyAlignment="1">
      <alignment horizontal="center"/>
    </xf>
    <xf numFmtId="49" fontId="2" fillId="5" borderId="9" xfId="0" applyNumberFormat="1" applyFont="1" applyFill="1" applyBorder="1" applyAlignment="1">
      <alignment horizontal="center"/>
    </xf>
    <xf numFmtId="49" fontId="15" fillId="5" borderId="10" xfId="0" applyNumberFormat="1" applyFont="1" applyFill="1" applyBorder="1" applyAlignment="1">
      <alignment horizontal="center" vertical="center"/>
    </xf>
    <xf numFmtId="49" fontId="15" fillId="5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10" fillId="2" borderId="10" xfId="33" applyFont="1" applyFill="1" applyBorder="1" applyAlignment="1">
      <alignment horizontal="right"/>
    </xf>
    <xf numFmtId="0" fontId="10" fillId="2" borderId="12" xfId="33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</cellXfs>
  <cellStyles count="36"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Milliers" xfId="1" builtinId="3"/>
    <cellStyle name="Milliers 2" xfId="4"/>
    <cellStyle name="Monétaire 2" xfId="34"/>
    <cellStyle name="Monétaire 8" xfId="32"/>
    <cellStyle name="Neutre" xfId="35" builtinId="28"/>
    <cellStyle name="Normal" xfId="0" builtinId="0"/>
    <cellStyle name="Normal 2" xfId="5"/>
    <cellStyle name="Normal 2 2" xfId="3"/>
    <cellStyle name="Normal 2 3" xfId="33"/>
    <cellStyle name="Normal 3" xfId="6"/>
    <cellStyle name="Normal 3 2" xfId="7"/>
    <cellStyle name="Normal 4" xfId="8"/>
    <cellStyle name="Normal 6" xfId="9"/>
    <cellStyle name="Normal 6 2" xfId="31"/>
    <cellStyle name="Normal 8" xfId="10"/>
    <cellStyle name="Pourcentage" xfId="2" builtinId="5"/>
    <cellStyle name="Pourcentage 2" xfId="11"/>
    <cellStyle name="Pourcentage 3" xfId="12"/>
  </cellStyles>
  <dxfs count="0"/>
  <tableStyles count="0" defaultTableStyle="TableStyleMedium9" defaultPivotStyle="PivotStyleLight16"/>
  <colors>
    <mruColors>
      <color rgb="FFD8E4BC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WC-STATION-2\AppData\Roaming\Microsoft\Excel\Business\Suivi%20des%20Besoins%20-%20Candidat%20V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omas\AppData\Local\Microsoft\Windows\Temporary%20Internet%20Files\Content.Outlook\PV7V7BGW\Suivi%20des%20Besoins%20-%20Candidat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oins"/>
      <sheetName val="Candidats"/>
      <sheetName val="Actions Stars"/>
      <sheetName val="Intercontrats"/>
      <sheetName val="AO CDC "/>
      <sheetName val="Suivi consultants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PIST</v>
          </cell>
          <cell r="D4" t="str">
            <v>FPA</v>
          </cell>
          <cell r="F4" t="str">
            <v>Junior - 0-2ans</v>
          </cell>
        </row>
        <row r="5">
          <cell r="B5" t="str">
            <v>KAM</v>
          </cell>
          <cell r="D5" t="str">
            <v>FDE</v>
          </cell>
          <cell r="F5" t="str">
            <v>Confirmé - 2-5 ans</v>
          </cell>
        </row>
        <row r="6">
          <cell r="B6" t="str">
            <v>KLIF</v>
          </cell>
          <cell r="D6" t="str">
            <v>PYE</v>
          </cell>
          <cell r="F6" t="str">
            <v>Senior - 5-10ans</v>
          </cell>
        </row>
        <row r="7">
          <cell r="B7" t="str">
            <v>ADR</v>
          </cell>
          <cell r="D7" t="str">
            <v>RL</v>
          </cell>
          <cell r="F7" t="str">
            <v>Expert - 10 et plus</v>
          </cell>
        </row>
        <row r="8">
          <cell r="B8" t="str">
            <v>OK</v>
          </cell>
          <cell r="D8" t="str">
            <v>OT</v>
          </cell>
          <cell r="F8" t="str">
            <v>Equipe mixte</v>
          </cell>
        </row>
        <row r="9">
          <cell r="B9" t="str">
            <v>DEAD</v>
          </cell>
          <cell r="D9" t="str">
            <v>MSC</v>
          </cell>
        </row>
        <row r="13">
          <cell r="B13" t="str">
            <v>Market Risk</v>
          </cell>
          <cell r="C13" t="str">
            <v>Quant</v>
          </cell>
        </row>
        <row r="14">
          <cell r="B14" t="str">
            <v>Credit Risk</v>
          </cell>
          <cell r="C14" t="str">
            <v>Ingé Fi</v>
          </cell>
        </row>
        <row r="15">
          <cell r="B15" t="str">
            <v>FIC</v>
          </cell>
          <cell r="C15" t="str">
            <v>Gestion Projet</v>
          </cell>
        </row>
        <row r="16">
          <cell r="B16" t="str">
            <v>GED</v>
          </cell>
          <cell r="C16" t="str">
            <v>Opérationnel</v>
          </cell>
        </row>
        <row r="17">
          <cell r="B17" t="str">
            <v>Assurance</v>
          </cell>
        </row>
        <row r="18">
          <cell r="B18" t="str">
            <v>AM</v>
          </cell>
        </row>
        <row r="19">
          <cell r="B19" t="str">
            <v>Dir Fi - ALM</v>
          </cell>
        </row>
        <row r="20">
          <cell r="B20" t="str">
            <v>Dir Fi - Bale II/III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outlinePr summaryBelow="0"/>
  </sheetPr>
  <dimension ref="A1:Y41"/>
  <sheetViews>
    <sheetView tabSelected="1" topLeftCell="B7" zoomScale="85" zoomScaleNormal="85" workbookViewId="0">
      <selection activeCell="S37" sqref="S37"/>
    </sheetView>
  </sheetViews>
  <sheetFormatPr baseColWidth="10" defaultRowHeight="14.4" x14ac:dyDescent="0.3"/>
  <cols>
    <col min="1" max="1" width="62.21875" bestFit="1" customWidth="1"/>
    <col min="2" max="2" width="15.5546875" customWidth="1"/>
    <col min="3" max="3" width="10.44140625" bestFit="1" customWidth="1"/>
    <col min="5" max="5" width="11.5546875" bestFit="1" customWidth="1"/>
    <col min="6" max="6" width="3.5546875" style="29" customWidth="1"/>
    <col min="7" max="8" width="11.5546875" customWidth="1"/>
    <col min="9" max="9" width="13.77734375" style="4" bestFit="1" customWidth="1"/>
    <col min="10" max="10" width="11.44140625" style="4"/>
    <col min="11" max="11" width="3.21875" style="464" customWidth="1"/>
    <col min="12" max="13" width="11.44140625" style="4"/>
    <col min="15" max="15" width="11.44140625" style="4"/>
    <col min="16" max="16" width="8.21875" style="15" customWidth="1"/>
    <col min="17" max="17" width="14.21875" style="15" customWidth="1"/>
    <col min="18" max="18" width="9.77734375" style="15" bestFit="1" customWidth="1"/>
    <col min="19" max="19" width="12.77734375" style="4" bestFit="1" customWidth="1"/>
    <col min="21" max="21" width="5.21875" style="4" customWidth="1"/>
  </cols>
  <sheetData>
    <row r="1" spans="1:23" ht="16.2" thickBot="1" x14ac:dyDescent="0.35">
      <c r="A1" s="609" t="s">
        <v>95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  <c r="R1" s="609"/>
      <c r="S1" s="609"/>
      <c r="T1" s="609"/>
    </row>
    <row r="2" spans="1:23" ht="36" customHeight="1" thickTop="1" x14ac:dyDescent="0.3">
      <c r="A2" s="483"/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</row>
    <row r="3" spans="1:23" x14ac:dyDescent="0.3">
      <c r="D3" s="604"/>
      <c r="E3" s="604"/>
      <c r="F3" s="604"/>
      <c r="G3" s="604"/>
      <c r="H3" s="604"/>
      <c r="I3" s="604"/>
      <c r="J3" s="604"/>
      <c r="K3" s="604"/>
      <c r="L3" s="604"/>
      <c r="M3" s="604"/>
      <c r="N3" s="604"/>
      <c r="O3" s="604"/>
      <c r="P3" s="604"/>
      <c r="Q3" s="604"/>
      <c r="R3" s="604"/>
      <c r="S3" s="604"/>
      <c r="T3" s="604"/>
    </row>
    <row r="4" spans="1:23" x14ac:dyDescent="0.3">
      <c r="B4" s="607" t="s">
        <v>222</v>
      </c>
      <c r="C4" s="608"/>
      <c r="D4" s="607" t="s">
        <v>222</v>
      </c>
      <c r="E4" s="608"/>
      <c r="F4" s="33"/>
      <c r="G4" s="610" t="s">
        <v>96</v>
      </c>
      <c r="H4" s="611"/>
      <c r="I4" s="610" t="s">
        <v>96</v>
      </c>
      <c r="J4" s="611"/>
      <c r="K4" s="463"/>
      <c r="L4" s="607" t="s">
        <v>97</v>
      </c>
      <c r="M4" s="608"/>
      <c r="N4" s="607" t="s">
        <v>97</v>
      </c>
      <c r="O4" s="608"/>
      <c r="Q4" s="607" t="s">
        <v>64</v>
      </c>
      <c r="R4" s="608"/>
      <c r="S4" s="607" t="s">
        <v>64</v>
      </c>
      <c r="T4" s="608"/>
    </row>
    <row r="5" spans="1:23" x14ac:dyDescent="0.3">
      <c r="B5" s="58" t="s">
        <v>0</v>
      </c>
      <c r="C5" s="107" t="s">
        <v>22</v>
      </c>
      <c r="D5" s="58" t="s">
        <v>0</v>
      </c>
      <c r="E5" s="130" t="s">
        <v>22</v>
      </c>
      <c r="F5" s="107"/>
      <c r="G5" s="58" t="s">
        <v>0</v>
      </c>
      <c r="H5" s="130" t="s">
        <v>22</v>
      </c>
      <c r="I5" s="58" t="s">
        <v>0</v>
      </c>
      <c r="J5" s="130" t="s">
        <v>22</v>
      </c>
      <c r="K5" s="107"/>
      <c r="L5" s="58" t="s">
        <v>0</v>
      </c>
      <c r="M5" s="130" t="s">
        <v>22</v>
      </c>
      <c r="N5" s="58" t="s">
        <v>0</v>
      </c>
      <c r="O5" s="130" t="s">
        <v>22</v>
      </c>
      <c r="Q5" s="58" t="s">
        <v>0</v>
      </c>
      <c r="R5" s="130" t="s">
        <v>22</v>
      </c>
      <c r="S5" s="58" t="s">
        <v>0</v>
      </c>
      <c r="T5" s="130" t="s">
        <v>22</v>
      </c>
    </row>
    <row r="6" spans="1:23" x14ac:dyDescent="0.3">
      <c r="B6" s="606" t="s">
        <v>208</v>
      </c>
      <c r="C6" s="604"/>
      <c r="D6" s="604" t="s">
        <v>200</v>
      </c>
      <c r="E6" s="605"/>
      <c r="F6" s="33"/>
      <c r="G6" s="606">
        <v>2018</v>
      </c>
      <c r="H6" s="605"/>
      <c r="I6" s="604">
        <v>2019</v>
      </c>
      <c r="J6" s="605"/>
      <c r="K6" s="33"/>
      <c r="L6" s="606">
        <v>2018</v>
      </c>
      <c r="M6" s="604"/>
      <c r="N6" s="604">
        <v>2019</v>
      </c>
      <c r="O6" s="605"/>
      <c r="P6" s="186"/>
      <c r="Q6" s="606">
        <v>2018</v>
      </c>
      <c r="R6" s="604"/>
      <c r="S6" s="604">
        <v>2019</v>
      </c>
      <c r="T6" s="605"/>
    </row>
    <row r="7" spans="1:23" ht="15" thickBot="1" x14ac:dyDescent="0.35">
      <c r="B7" s="273"/>
      <c r="C7" s="274"/>
      <c r="D7" s="274"/>
      <c r="E7" s="275"/>
      <c r="G7" s="273"/>
      <c r="H7" s="274"/>
      <c r="I7" s="462"/>
      <c r="J7" s="465"/>
      <c r="L7" s="338"/>
      <c r="M7" s="462"/>
      <c r="N7" s="274"/>
      <c r="O7" s="465"/>
      <c r="Q7" s="470"/>
      <c r="R7" s="342"/>
      <c r="S7" s="343"/>
      <c r="T7" s="471"/>
      <c r="W7" s="2"/>
    </row>
    <row r="8" spans="1:23" ht="16.8" thickTop="1" thickBot="1" x14ac:dyDescent="0.35">
      <c r="A8" s="446" t="s">
        <v>10</v>
      </c>
      <c r="B8" s="80">
        <f>'AVANISTA GROUP - BP 2022'!F7</f>
        <v>841.27000299999997</v>
      </c>
      <c r="C8" s="457"/>
      <c r="D8" s="80">
        <f>'AVANISTA GROUP - BP 2022'!O7</f>
        <v>879.63118200000008</v>
      </c>
      <c r="E8" s="174"/>
      <c r="F8" s="460"/>
      <c r="G8" s="80">
        <f>'AVANISTA - BP 2022'!B8</f>
        <v>4052.6970000000001</v>
      </c>
      <c r="H8" s="174"/>
      <c r="I8" s="80">
        <f>'AVANISTA - BP 2022'!N8</f>
        <v>5013.6073999999999</v>
      </c>
      <c r="J8" s="174"/>
      <c r="K8" s="460"/>
      <c r="L8" s="80">
        <f>'AVANISTA INGENIERIE - BP 2022'!B8</f>
        <v>1356.7929999999999</v>
      </c>
      <c r="M8" s="174"/>
      <c r="N8" s="80">
        <f>'AVANISTA INGENIERIE - BP 2022'!N8</f>
        <v>1713.3872899999999</v>
      </c>
      <c r="O8" s="174"/>
      <c r="Q8" s="80">
        <f>L8+G8</f>
        <v>5409.49</v>
      </c>
      <c r="R8" s="174"/>
      <c r="S8" s="80">
        <f>N8+I8</f>
        <v>6726.9946899999995</v>
      </c>
      <c r="T8" s="174"/>
      <c r="W8" s="2"/>
    </row>
    <row r="9" spans="1:23" ht="15.6" thickTop="1" x14ac:dyDescent="0.3">
      <c r="A9" s="28"/>
      <c r="B9" s="109"/>
      <c r="C9" s="149"/>
      <c r="D9" s="109"/>
      <c r="E9" s="133"/>
      <c r="F9" s="149"/>
      <c r="G9" s="109"/>
      <c r="H9" s="133"/>
      <c r="I9" s="109"/>
      <c r="J9" s="133"/>
      <c r="K9" s="149"/>
      <c r="L9" s="62"/>
      <c r="M9" s="133"/>
      <c r="N9" s="62"/>
      <c r="O9" s="133"/>
      <c r="Q9" s="82"/>
      <c r="R9" s="145"/>
      <c r="S9" s="82"/>
      <c r="T9" s="145"/>
      <c r="V9" s="2"/>
      <c r="W9" s="2"/>
    </row>
    <row r="10" spans="1:23" ht="15" x14ac:dyDescent="0.3">
      <c r="A10" s="263"/>
      <c r="B10" s="109"/>
      <c r="C10" s="149"/>
      <c r="D10" s="109"/>
      <c r="E10" s="133"/>
      <c r="F10" s="149"/>
      <c r="G10" s="109"/>
      <c r="H10" s="133"/>
      <c r="I10" s="109"/>
      <c r="J10" s="133"/>
      <c r="K10" s="149"/>
      <c r="L10" s="62"/>
      <c r="M10" s="133"/>
      <c r="N10" s="62"/>
      <c r="O10" s="133"/>
      <c r="Q10" s="82"/>
      <c r="R10" s="145"/>
      <c r="S10" s="82"/>
      <c r="T10" s="145"/>
      <c r="W10" s="2"/>
    </row>
    <row r="11" spans="1:23" ht="15.6" x14ac:dyDescent="0.3">
      <c r="A11" s="447" t="s">
        <v>77</v>
      </c>
      <c r="B11" s="206"/>
      <c r="C11" s="207"/>
      <c r="D11" s="206"/>
      <c r="E11" s="466"/>
      <c r="F11" s="149"/>
      <c r="G11" s="213">
        <f>'AVANISTA - BP 2022'!B39</f>
        <v>945.74900000000048</v>
      </c>
      <c r="H11" s="192">
        <f>'AVANISTA - BP 2022'!C39</f>
        <v>0.23336286922017621</v>
      </c>
      <c r="I11" s="213">
        <f>'AVANISTA - BP 2022'!N39</f>
        <v>1032.2787999999996</v>
      </c>
      <c r="J11" s="192">
        <f>I11/I8</f>
        <v>0.20589541973310468</v>
      </c>
      <c r="K11" s="289"/>
      <c r="L11" s="213">
        <f>'AVANISTA INGENIERIE - BP 2022'!B39</f>
        <v>340.36099999999993</v>
      </c>
      <c r="M11" s="192">
        <f>'AVANISTA INGENIERIE - BP 2022'!C39</f>
        <v>0.25085698407936946</v>
      </c>
      <c r="N11" s="213">
        <f>'AVANISTA INGENIERIE - BP 2022'!N39</f>
        <v>516.10207999999966</v>
      </c>
      <c r="O11" s="192">
        <f>N11/N8</f>
        <v>0.30121740893735688</v>
      </c>
      <c r="Q11" s="213">
        <f>B11+G11+L11</f>
        <v>1286.1100000000004</v>
      </c>
      <c r="R11" s="192">
        <f>Q11/(Q8-B8)</f>
        <v>0.28153416447644874</v>
      </c>
      <c r="S11" s="213">
        <f>D11+I11+N11</f>
        <v>1548.3808799999993</v>
      </c>
      <c r="T11" s="192">
        <f>S11/(S8-D8)</f>
        <v>0.26479983293010617</v>
      </c>
      <c r="W11" s="2"/>
    </row>
    <row r="12" spans="1:23" ht="15" x14ac:dyDescent="0.3">
      <c r="A12" s="448"/>
      <c r="B12" s="109"/>
      <c r="C12" s="149"/>
      <c r="D12" s="109"/>
      <c r="E12" s="133"/>
      <c r="F12" s="149"/>
      <c r="G12" s="109"/>
      <c r="H12" s="133"/>
      <c r="I12" s="109"/>
      <c r="J12" s="133"/>
      <c r="K12" s="149"/>
      <c r="L12" s="472"/>
      <c r="M12" s="473"/>
      <c r="N12" s="472"/>
      <c r="O12" s="473"/>
      <c r="Q12" s="202"/>
      <c r="R12" s="208"/>
      <c r="S12" s="202"/>
      <c r="T12" s="208"/>
      <c r="W12" s="2"/>
    </row>
    <row r="13" spans="1:23" ht="15.6" x14ac:dyDescent="0.3">
      <c r="A13" s="449" t="s">
        <v>15</v>
      </c>
      <c r="B13" s="474">
        <f>'AVANISTA GROUP - BP 2022'!F20</f>
        <v>228.00704000000002</v>
      </c>
      <c r="C13" s="289">
        <f>'AVANISTA GROUP - BP 2022'!G20</f>
        <v>0.27102718412271742</v>
      </c>
      <c r="D13" s="474">
        <f>'AVANISTA GROUP - BP 2022'!O20</f>
        <v>292.62312000000003</v>
      </c>
      <c r="E13" s="190">
        <f>'AVANISTA GROUP - BP 2022'!P20</f>
        <v>0.33266569670105217</v>
      </c>
      <c r="F13" s="289"/>
      <c r="G13" s="474">
        <f>'AVANISTA - BP 2022'!B41</f>
        <v>191.93</v>
      </c>
      <c r="H13" s="190">
        <f>'AVANISTA - BP 2022'!C41</f>
        <v>4.7358586146459998E-2</v>
      </c>
      <c r="I13" s="474">
        <f>'AVANISTA - BP 2022'!N41</f>
        <v>240.33261000000002</v>
      </c>
      <c r="J13" s="190">
        <f>I13/I8</f>
        <v>4.7936064957938278E-2</v>
      </c>
      <c r="K13" s="289"/>
      <c r="L13" s="474">
        <f>'AVANISTA INGENIERIE - BP 2022'!B41</f>
        <v>26.841999999999995</v>
      </c>
      <c r="M13" s="190">
        <f>'AVANISTA INGENIERIE - BP 2022'!C41</f>
        <v>1.9783415745806471E-2</v>
      </c>
      <c r="N13" s="474">
        <f>'AVANISTA INGENIERIE - BP 2022'!N41</f>
        <v>44.439479999999989</v>
      </c>
      <c r="O13" s="190">
        <f>N13/N8</f>
        <v>2.5936622886936433E-2</v>
      </c>
      <c r="Q13" s="212">
        <f>B13+G13+L13</f>
        <v>446.77904000000001</v>
      </c>
      <c r="R13" s="188">
        <f>Q13/Q8</f>
        <v>8.2591711972847717E-2</v>
      </c>
      <c r="S13" s="212">
        <f>D13+I13+N13</f>
        <v>577.39521000000002</v>
      </c>
      <c r="T13" s="188">
        <f>S13/S8</f>
        <v>8.5832565151021403E-2</v>
      </c>
      <c r="W13" s="2"/>
    </row>
    <row r="14" spans="1:23" ht="15" x14ac:dyDescent="0.3">
      <c r="A14" s="450"/>
      <c r="B14" s="62"/>
      <c r="C14" s="75"/>
      <c r="D14" s="62"/>
      <c r="E14" s="120"/>
      <c r="F14" s="75"/>
      <c r="G14" s="62"/>
      <c r="H14" s="120"/>
      <c r="I14" s="62"/>
      <c r="J14" s="120"/>
      <c r="K14" s="75"/>
      <c r="L14" s="62"/>
      <c r="M14" s="120"/>
      <c r="N14" s="62"/>
      <c r="O14" s="120"/>
      <c r="Q14" s="82"/>
      <c r="R14" s="83"/>
      <c r="S14" s="82"/>
      <c r="T14" s="83"/>
      <c r="W14" s="2"/>
    </row>
    <row r="15" spans="1:23" ht="15.6" x14ac:dyDescent="0.3">
      <c r="A15" s="449" t="s">
        <v>166</v>
      </c>
      <c r="B15" s="474"/>
      <c r="C15" s="289"/>
      <c r="D15" s="474"/>
      <c r="E15" s="190"/>
      <c r="F15" s="289"/>
      <c r="G15" s="474">
        <f>'AVANISTA - BP 2022'!B61</f>
        <v>560</v>
      </c>
      <c r="H15" s="190">
        <f>'AVANISTA - BP 2022'!C61</f>
        <v>0.13817958756847601</v>
      </c>
      <c r="I15" s="474">
        <f>'AVANISTA - BP 2022'!N61</f>
        <v>468</v>
      </c>
      <c r="J15" s="190">
        <f>I15/I8</f>
        <v>9.3345960834508107E-2</v>
      </c>
      <c r="K15" s="289"/>
      <c r="L15" s="474">
        <f>'AVANISTA INGENIERIE - BP 2022'!B61</f>
        <v>160</v>
      </c>
      <c r="M15" s="190">
        <f>'AVANISTA INGENIERIE - BP 2022'!C61</f>
        <v>0.11792513670102957</v>
      </c>
      <c r="N15" s="474">
        <f>'AVANISTA INGENIERIE - BP 2022'!N61</f>
        <v>251.99999999999997</v>
      </c>
      <c r="O15" s="190">
        <f>N15/N8</f>
        <v>0.14707708027879673</v>
      </c>
      <c r="Q15" s="212">
        <f>B15+G15+L15</f>
        <v>720</v>
      </c>
      <c r="R15" s="188">
        <f>Q15/Q8</f>
        <v>0.13309942342069217</v>
      </c>
      <c r="S15" s="212">
        <f>D15+I15+N15</f>
        <v>720</v>
      </c>
      <c r="T15" s="188">
        <f>S15/S8</f>
        <v>0.10703145062241755</v>
      </c>
      <c r="W15" s="2"/>
    </row>
    <row r="16" spans="1:23" ht="15" x14ac:dyDescent="0.3">
      <c r="A16" s="450"/>
      <c r="B16" s="62"/>
      <c r="C16" s="459"/>
      <c r="D16" s="62"/>
      <c r="E16" s="127"/>
      <c r="F16" s="459"/>
      <c r="G16" s="62"/>
      <c r="H16" s="127"/>
      <c r="I16" s="62"/>
      <c r="J16" s="127"/>
      <c r="K16" s="459"/>
      <c r="L16" s="62"/>
      <c r="M16" s="127"/>
      <c r="N16" s="62"/>
      <c r="O16" s="127"/>
      <c r="Q16" s="82"/>
      <c r="R16" s="85"/>
      <c r="S16" s="82"/>
      <c r="T16" s="85"/>
      <c r="W16" s="2"/>
    </row>
    <row r="17" spans="1:25" ht="15.6" x14ac:dyDescent="0.3">
      <c r="A17" s="449" t="s">
        <v>167</v>
      </c>
      <c r="B17" s="474"/>
      <c r="C17" s="289"/>
      <c r="D17" s="474"/>
      <c r="E17" s="190"/>
      <c r="F17" s="289"/>
      <c r="G17" s="474">
        <f>'AVANISTA - BP 2022'!B63</f>
        <v>0</v>
      </c>
      <c r="H17" s="190">
        <f>'AVANISTA - BP 2022'!C63</f>
        <v>0</v>
      </c>
      <c r="I17" s="474">
        <f>'AVANISTA - BP 2022'!N63</f>
        <v>72.228000000000009</v>
      </c>
      <c r="J17" s="190">
        <f>I17/I8</f>
        <v>1.4406393288792419E-2</v>
      </c>
      <c r="K17" s="289"/>
      <c r="L17" s="474">
        <f>'AVANISTA INGENIERIE - BP 2022'!B63</f>
        <v>0</v>
      </c>
      <c r="M17" s="190">
        <f>'AVANISTA INGENIERIE - BP 2022'!C63</f>
        <v>0</v>
      </c>
      <c r="N17" s="474">
        <f>'AVANISTA INGENIERIE - BP 2022'!N63</f>
        <v>38.891999999999996</v>
      </c>
      <c r="O17" s="190">
        <f>N17/N8</f>
        <v>2.2698896056360964E-2</v>
      </c>
      <c r="Q17" s="601"/>
      <c r="R17" s="188">
        <f>Q17/Q8</f>
        <v>0</v>
      </c>
      <c r="S17" s="601"/>
      <c r="T17" s="188">
        <f>S17/S8</f>
        <v>0</v>
      </c>
      <c r="W17" s="2"/>
    </row>
    <row r="18" spans="1:25" x14ac:dyDescent="0.3">
      <c r="A18" s="451"/>
      <c r="B18" s="62"/>
      <c r="C18" s="289"/>
      <c r="D18" s="62"/>
      <c r="E18" s="190"/>
      <c r="F18" s="289"/>
      <c r="G18" s="62"/>
      <c r="H18" s="190"/>
      <c r="I18" s="62"/>
      <c r="J18" s="190"/>
      <c r="K18" s="289"/>
      <c r="L18" s="62"/>
      <c r="M18" s="190"/>
      <c r="N18" s="62"/>
      <c r="O18" s="190"/>
      <c r="Q18" s="82"/>
      <c r="R18" s="188"/>
      <c r="S18" s="82"/>
      <c r="T18" s="188"/>
      <c r="V18" s="2"/>
      <c r="W18" s="2"/>
    </row>
    <row r="19" spans="1:25" ht="15.6" x14ac:dyDescent="0.3">
      <c r="A19" s="449" t="s">
        <v>39</v>
      </c>
      <c r="B19" s="474">
        <f>'AVANISTA GROUP - BP 2022'!F45</f>
        <v>8.2824999999999989</v>
      </c>
      <c r="C19" s="289">
        <f>'AVANISTA GROUP - BP 2022'!G45</f>
        <v>9.845233956356815E-3</v>
      </c>
      <c r="D19" s="474">
        <f>'AVANISTA GROUP - BP 2022'!O45</f>
        <v>2.718</v>
      </c>
      <c r="E19" s="190">
        <f>D19/$D$8</f>
        <v>3.0899313889943473E-3</v>
      </c>
      <c r="F19" s="289"/>
      <c r="G19" s="474">
        <f>'AVANISTA - BP 2022'!B65</f>
        <v>20.906000000000002</v>
      </c>
      <c r="H19" s="190">
        <f>'AVANISTA - BP 2022'!C65</f>
        <v>5.1585401030474279E-3</v>
      </c>
      <c r="I19" s="474">
        <f>'AVANISTA - BP 2022'!N65</f>
        <v>22.213000000000001</v>
      </c>
      <c r="J19" s="190">
        <f>I19/I8</f>
        <v>4.4305423675575399E-3</v>
      </c>
      <c r="K19" s="289"/>
      <c r="L19" s="474">
        <f>'AVANISTA INGENIERIE - BP 2022'!B65</f>
        <v>1.4319999999999999</v>
      </c>
      <c r="M19" s="190">
        <f>'AVANISTA INGENIERIE - BP 2022'!C65</f>
        <v>1.0554299734742145E-3</v>
      </c>
      <c r="N19" s="474">
        <f>'AVANISTA INGENIERIE - BP 2022'!N65</f>
        <v>0.82199999999999995</v>
      </c>
      <c r="O19" s="190">
        <f>N19/N8</f>
        <v>4.7975142852845604E-4</v>
      </c>
      <c r="Q19" s="212">
        <f>B19+G19+L19</f>
        <v>30.6205</v>
      </c>
      <c r="R19" s="188">
        <f>Q19/Q8</f>
        <v>5.6605151317407005E-3</v>
      </c>
      <c r="S19" s="212">
        <f>D19+I19+N19</f>
        <v>25.753</v>
      </c>
      <c r="T19" s="188">
        <f>S19/S8</f>
        <v>3.828306872054332E-3</v>
      </c>
      <c r="V19" s="2"/>
    </row>
    <row r="20" spans="1:25" ht="15" x14ac:dyDescent="0.3">
      <c r="A20" s="452"/>
      <c r="B20" s="62"/>
      <c r="C20" s="459"/>
      <c r="D20" s="62"/>
      <c r="E20" s="127"/>
      <c r="F20" s="459"/>
      <c r="G20" s="62"/>
      <c r="H20" s="127"/>
      <c r="I20" s="62"/>
      <c r="J20" s="127"/>
      <c r="K20" s="459"/>
      <c r="L20" s="62"/>
      <c r="M20" s="127"/>
      <c r="N20" s="62"/>
      <c r="O20" s="127"/>
      <c r="Q20" s="82"/>
      <c r="R20" s="85"/>
      <c r="S20" s="82"/>
      <c r="T20" s="85"/>
    </row>
    <row r="21" spans="1:25" ht="15.6" x14ac:dyDescent="0.3">
      <c r="A21" s="453" t="s">
        <v>150</v>
      </c>
      <c r="B21" s="474">
        <f>'AVANISTA GROUP - BP 2022'!F51</f>
        <v>120.67721000000002</v>
      </c>
      <c r="C21" s="289">
        <f>'AVANISTA GROUP - BP 2022'!G51</f>
        <v>0.14344646732875369</v>
      </c>
      <c r="D21" s="474">
        <f>'AVANISTA GROUP - BP 2022'!O51</f>
        <v>98.394259999999989</v>
      </c>
      <c r="E21" s="190">
        <f>D21/$D$8</f>
        <v>0.11185854027625862</v>
      </c>
      <c r="F21" s="289"/>
      <c r="G21" s="474">
        <f>'AVANISTA - BP 2022'!B74</f>
        <v>74.818999999999988</v>
      </c>
      <c r="H21" s="190">
        <f>'AVANISTA - BP 2022'!C74</f>
        <v>1.8461533146938935E-2</v>
      </c>
      <c r="I21" s="474">
        <f>'AVANISTA - BP 2022'!N74</f>
        <v>97.08644000000001</v>
      </c>
      <c r="J21" s="190">
        <f>I21/I8</f>
        <v>1.9364587661969704E-2</v>
      </c>
      <c r="K21" s="289"/>
      <c r="L21" s="474">
        <f>'AVANISTA INGENIERIE - BP 2022'!B74</f>
        <v>124.97099999999996</v>
      </c>
      <c r="M21" s="190">
        <f>'AVANISTA INGENIERIE - BP 2022'!C74</f>
        <v>9.2107639116652262E-2</v>
      </c>
      <c r="N21" s="474">
        <f>'AVANISTA INGENIERIE - BP 2022'!N74</f>
        <v>93.595020000000019</v>
      </c>
      <c r="O21" s="190">
        <f>N21/N11</f>
        <v>0.18134982133767041</v>
      </c>
      <c r="Q21" s="212">
        <f>B21+G21+L21</f>
        <v>320.46720999999997</v>
      </c>
      <c r="R21" s="188">
        <f>Q21/Q8</f>
        <v>5.9241667883663703E-2</v>
      </c>
      <c r="S21" s="212">
        <f>D21+I21+N21</f>
        <v>289.07572000000005</v>
      </c>
      <c r="T21" s="188">
        <f>S21/S8</f>
        <v>4.297249118238862E-2</v>
      </c>
      <c r="W21" s="445"/>
    </row>
    <row r="22" spans="1:25" ht="15.6" x14ac:dyDescent="0.3">
      <c r="A22" s="453"/>
      <c r="B22" s="474"/>
      <c r="C22" s="289"/>
      <c r="D22" s="474"/>
      <c r="E22" s="190"/>
      <c r="F22" s="289"/>
      <c r="G22" s="474"/>
      <c r="H22" s="190"/>
      <c r="I22" s="474"/>
      <c r="J22" s="190"/>
      <c r="K22" s="289"/>
      <c r="L22" s="474"/>
      <c r="M22" s="190"/>
      <c r="N22" s="474"/>
      <c r="O22" s="190"/>
      <c r="Q22" s="212"/>
      <c r="R22" s="188"/>
      <c r="S22" s="212"/>
      <c r="T22" s="188"/>
    </row>
    <row r="23" spans="1:25" ht="15.6" x14ac:dyDescent="0.3">
      <c r="A23" s="453" t="s">
        <v>168</v>
      </c>
      <c r="B23" s="474">
        <f>'AVANISTA GROUP - BP 2022'!F74</f>
        <v>527.34130000000005</v>
      </c>
      <c r="C23" s="289">
        <f>'AVANISTA GROUP - BP 2022'!G74</f>
        <v>0.62683953798362169</v>
      </c>
      <c r="D23" s="474">
        <f>'AVANISTA GROUP - BP 2022'!O74</f>
        <v>497.46246000000002</v>
      </c>
      <c r="E23" s="190">
        <f>D23/$D$8</f>
        <v>0.56553527225914091</v>
      </c>
      <c r="F23" s="289"/>
      <c r="G23" s="474"/>
      <c r="H23" s="190"/>
      <c r="I23" s="474"/>
      <c r="J23" s="190"/>
      <c r="K23" s="289"/>
      <c r="L23" s="474"/>
      <c r="M23" s="190"/>
      <c r="N23" s="474"/>
      <c r="O23" s="190"/>
      <c r="Q23" s="212">
        <f>B23+G23+L23</f>
        <v>527.34130000000005</v>
      </c>
      <c r="R23" s="188">
        <f>Q23/Q8</f>
        <v>9.7484476355442023E-2</v>
      </c>
      <c r="S23" s="212">
        <f>D23+I23+N23</f>
        <v>497.46246000000002</v>
      </c>
      <c r="T23" s="188">
        <f>S23/S8</f>
        <v>7.3950178783328283E-2</v>
      </c>
      <c r="V23" s="607" t="s">
        <v>209</v>
      </c>
      <c r="W23" s="608"/>
    </row>
    <row r="24" spans="1:25" ht="16.2" thickBot="1" x14ac:dyDescent="0.35">
      <c r="A24" s="453"/>
      <c r="B24" s="475"/>
      <c r="C24" s="476"/>
      <c r="D24" s="475"/>
      <c r="E24" s="477"/>
      <c r="F24" s="289"/>
      <c r="G24" s="475"/>
      <c r="H24" s="477"/>
      <c r="I24" s="475"/>
      <c r="J24" s="477"/>
      <c r="K24" s="289"/>
      <c r="L24" s="475"/>
      <c r="M24" s="477"/>
      <c r="N24" s="475"/>
      <c r="O24" s="477"/>
      <c r="Q24" s="339"/>
      <c r="R24" s="189"/>
      <c r="S24" s="339"/>
      <c r="T24" s="189"/>
      <c r="V24" s="273"/>
      <c r="W24" s="468"/>
    </row>
    <row r="25" spans="1:25" ht="15.6" thickTop="1" thickBot="1" x14ac:dyDescent="0.35">
      <c r="A25" s="467" t="s">
        <v>92</v>
      </c>
      <c r="B25" s="321">
        <f>'AVANISTA GROUP - BP 2022'!F85</f>
        <v>-34.755547000000178</v>
      </c>
      <c r="C25" s="458">
        <f>'AVANISTA GROUP - BP 2022'!G85</f>
        <v>-4.1313189435092906E-2</v>
      </c>
      <c r="D25" s="321">
        <f>'AVANISTA GROUP - BP 2022'!O85</f>
        <v>-8.8486579999998476</v>
      </c>
      <c r="E25" s="328">
        <f>'AVANISTA GROUP - BP 2022'!P85</f>
        <v>-1.0059509236451609E-2</v>
      </c>
      <c r="F25" s="367"/>
      <c r="G25" s="321">
        <f>'AVANISTA - BP 2022'!B92</f>
        <v>119.00000000000043</v>
      </c>
      <c r="H25" s="328">
        <f>'AVANISTA - BP 2022'!C92</f>
        <v>2.9363162358301255E-2</v>
      </c>
      <c r="I25" s="321">
        <f>'AVANISTA - BP 2022'!N92</f>
        <v>154.63174999999953</v>
      </c>
      <c r="J25" s="328">
        <f>'AVANISTA - BP 2022'!L92</f>
        <v>3.4903669519061514E-2</v>
      </c>
      <c r="K25" s="367"/>
      <c r="L25" s="321">
        <f>'AVANISTA INGENIERIE - BP 2022'!B92</f>
        <v>28.547999999999998</v>
      </c>
      <c r="M25" s="328">
        <f>'AVANISTA INGENIERIE - BP 2022'!C92</f>
        <v>2.1040792515881198E-2</v>
      </c>
      <c r="N25" s="321">
        <f>'AVANISTA INGENIERIE - BP 2022'!N92</f>
        <v>87.17557999999967</v>
      </c>
      <c r="O25" s="328">
        <f>'AVANISTA INGENIERIE - BP 2022'!O92</f>
        <v>5.0879086420677067E-2</v>
      </c>
      <c r="Q25" s="321">
        <f>B25+G25+L25</f>
        <v>112.79245300000025</v>
      </c>
      <c r="R25" s="328">
        <f>Q25/Q8</f>
        <v>2.0850847861813269E-2</v>
      </c>
      <c r="S25" s="321">
        <f>D25+I25+N25</f>
        <v>232.95867199999935</v>
      </c>
      <c r="T25" s="328">
        <f>S25/S8</f>
        <v>3.4630423054488747E-2</v>
      </c>
      <c r="V25" s="469" t="s">
        <v>210</v>
      </c>
      <c r="W25" s="468">
        <f>(Q25+S25)/2</f>
        <v>172.8755624999998</v>
      </c>
      <c r="Y25" s="2"/>
    </row>
    <row r="26" spans="1:25" ht="16.8" thickTop="1" thickBot="1" x14ac:dyDescent="0.35">
      <c r="A26" s="446" t="s">
        <v>9</v>
      </c>
      <c r="B26" s="214">
        <f>'AVANISTA GROUP - BP 2022'!F86</f>
        <v>-43.038047000000176</v>
      </c>
      <c r="C26" s="337">
        <f>'AVANISTA GROUP - BP 2022'!G86</f>
        <v>-5.1158423391449721E-2</v>
      </c>
      <c r="D26" s="214">
        <f>'AVANISTA GROUP - BP 2022'!O86</f>
        <v>-11.566657999999848</v>
      </c>
      <c r="E26" s="310">
        <f>'AVANISTA GROUP - BP 2022'!P86</f>
        <v>-1.3149440625445957E-2</v>
      </c>
      <c r="F26" s="461"/>
      <c r="G26" s="80">
        <f>'AVANISTA - BP 2022'!B93</f>
        <v>98.09400000000042</v>
      </c>
      <c r="H26" s="311">
        <f>'AVANISTA - BP 2022'!C93</f>
        <v>2.4204622255253827E-2</v>
      </c>
      <c r="I26" s="80">
        <f>'AVANISTA - BP 2022'!N93</f>
        <v>132.41874999999953</v>
      </c>
      <c r="J26" s="311">
        <f>'AVANISTA - BP 2022'!L93</f>
        <v>3.0267038622768125E-2</v>
      </c>
      <c r="K26" s="461"/>
      <c r="L26" s="80">
        <f>'AVANISTA INGENIERIE - BP 2022'!B93</f>
        <v>27.116</v>
      </c>
      <c r="M26" s="311">
        <f>'AVANISTA INGENIERIE - BP 2022'!C93</f>
        <v>1.9985362542406987E-2</v>
      </c>
      <c r="N26" s="80">
        <f>'AVANISTA INGENIERIE - BP 2022'!N93</f>
        <v>86.353579999999667</v>
      </c>
      <c r="O26" s="311">
        <f>'AVANISTA INGENIERIE - BP 2022'!O93</f>
        <v>5.0399334992148603E-2</v>
      </c>
      <c r="P26" s="29"/>
      <c r="Q26" s="80">
        <f>B26+G26+L26</f>
        <v>82.171953000000244</v>
      </c>
      <c r="R26" s="310">
        <f>Q26/Q8</f>
        <v>1.5190332730072566E-2</v>
      </c>
      <c r="S26" s="80">
        <f>D26+I26+N26</f>
        <v>207.20567199999937</v>
      </c>
      <c r="T26" s="310">
        <f>S26/S8</f>
        <v>3.0802116182434416E-2</v>
      </c>
      <c r="V26" s="469" t="s">
        <v>210</v>
      </c>
      <c r="W26" s="468">
        <f>(Q26+S26)/2</f>
        <v>144.68881249999981</v>
      </c>
    </row>
    <row r="27" spans="1:25" ht="16.8" thickTop="1" thickBot="1" x14ac:dyDescent="0.35">
      <c r="A27" s="454"/>
      <c r="B27" s="478"/>
      <c r="C27" s="479"/>
      <c r="D27" s="478"/>
      <c r="E27" s="480"/>
      <c r="F27" s="461"/>
      <c r="G27" s="478"/>
      <c r="H27" s="480"/>
      <c r="I27" s="478"/>
      <c r="J27" s="480"/>
      <c r="K27" s="461"/>
      <c r="L27" s="478"/>
      <c r="M27" s="480"/>
      <c r="N27" s="478"/>
      <c r="O27" s="480"/>
      <c r="P27" s="29"/>
      <c r="Q27" s="80"/>
      <c r="R27" s="310"/>
      <c r="S27" s="80"/>
      <c r="T27" s="310"/>
      <c r="U27" s="338"/>
      <c r="V27" s="273" t="s">
        <v>211</v>
      </c>
      <c r="W27" s="275">
        <v>7</v>
      </c>
    </row>
    <row r="28" spans="1:25" ht="15.6" thickTop="1" thickBot="1" x14ac:dyDescent="0.35">
      <c r="A28" s="467" t="s">
        <v>93</v>
      </c>
      <c r="B28" s="321">
        <f>'AVANISTA GROUP - BP 2022'!F93</f>
        <v>-43.520447000000182</v>
      </c>
      <c r="C28" s="458">
        <f>'AVANISTA GROUP - BP 2022'!G93</f>
        <v>-5.1731842149137203E-2</v>
      </c>
      <c r="D28" s="321">
        <f>'AVANISTA GROUP - BP 2022'!O93</f>
        <v>-23.586447999999844</v>
      </c>
      <c r="E28" s="328">
        <f>'AVANISTA GROUP - BP 2022'!P93</f>
        <v>-2.6814019878617538E-2</v>
      </c>
      <c r="F28" s="367"/>
      <c r="G28" s="321">
        <f>'AVANISTA - BP 2022'!B102</f>
        <v>111.29300000000043</v>
      </c>
      <c r="H28" s="328">
        <f>'AVANISTA - BP 2022'!C102</f>
        <v>2.7461465784390106E-2</v>
      </c>
      <c r="I28" s="321">
        <f>'AVANISTA - BP 2022'!N102</f>
        <v>141.70747999999952</v>
      </c>
      <c r="J28" s="328">
        <f>'AVANISTA - BP 2022'!L102</f>
        <v>3.2550892021486345E-2</v>
      </c>
      <c r="K28" s="367"/>
      <c r="L28" s="321">
        <f>'AVANISTA INGENIERIE - BP 2022'!B102</f>
        <v>28.52</v>
      </c>
      <c r="M28" s="328">
        <f>'AVANISTA INGENIERIE - BP 2022'!C102</f>
        <v>2.1020155616958521E-2</v>
      </c>
      <c r="N28" s="321">
        <f>'AVANISTA INGENIERIE - BP 2022'!N102</f>
        <v>89.845359999999673</v>
      </c>
      <c r="O28" s="328">
        <f>'AVANISTA INGENIERIE - BP 2022'!O102</f>
        <v>5.2437274703957724E-2</v>
      </c>
      <c r="Q28" s="321">
        <f>B28+G28+L28</f>
        <v>96.29255300000024</v>
      </c>
      <c r="R28" s="328">
        <f>Q28/Q8</f>
        <v>1.7800671227786769E-2</v>
      </c>
      <c r="S28" s="321">
        <f>D28+I28+N28</f>
        <v>207.96639199999936</v>
      </c>
      <c r="T28" s="328">
        <f>S28/S8</f>
        <v>3.0915200856208698E-2</v>
      </c>
      <c r="V28" s="273"/>
      <c r="W28" s="275"/>
    </row>
    <row r="29" spans="1:25" ht="16.8" thickTop="1" thickBot="1" x14ac:dyDescent="0.35">
      <c r="A29" s="446" t="s">
        <v>7</v>
      </c>
      <c r="B29" s="80">
        <f>'AVANISTA GROUP - BP 2022'!F94</f>
        <v>-51.802947000000181</v>
      </c>
      <c r="C29" s="337">
        <f>'AVANISTA GROUP - BP 2022'!G94</f>
        <v>-6.1577076105494018E-2</v>
      </c>
      <c r="D29" s="80">
        <f>'AVANISTA GROUP - BP 2022'!O94</f>
        <v>-26.304447999999844</v>
      </c>
      <c r="E29" s="310">
        <f>'AVANISTA GROUP - BP 2022'!P94</f>
        <v>-2.9903951267611886E-2</v>
      </c>
      <c r="F29" s="461"/>
      <c r="G29" s="80">
        <f>'AVANISTA - BP 2022'!B103</f>
        <v>90.387000000000427</v>
      </c>
      <c r="H29" s="310">
        <f>'AVANISTA - BP 2022'!C103</f>
        <v>2.2302925681342678E-2</v>
      </c>
      <c r="I29" s="80">
        <f>'AVANISTA - BP 2022'!N103</f>
        <v>119.49447999999953</v>
      </c>
      <c r="J29" s="310">
        <f>'AVANISTA - BP 2022'!L103</f>
        <v>2.7914261125192956E-2</v>
      </c>
      <c r="K29" s="461"/>
      <c r="L29" s="80">
        <f>'AVANISTA INGENIERIE - BP 2022'!B103</f>
        <v>27.088000000000001</v>
      </c>
      <c r="M29" s="310">
        <f>'AVANISTA INGENIERIE - BP 2022'!C103</f>
        <v>1.9964725643484307E-2</v>
      </c>
      <c r="N29" s="80">
        <f>'AVANISTA INGENIERIE - BP 2022'!N103</f>
        <v>89.02335999999967</v>
      </c>
      <c r="O29" s="310">
        <f>'AVANISTA INGENIERIE - BP 2022'!O103</f>
        <v>5.1957523275429268E-2</v>
      </c>
      <c r="Q29" s="214">
        <f>B29+G29+L29</f>
        <v>65.672053000000247</v>
      </c>
      <c r="R29" s="311">
        <f>Q29/Q8</f>
        <v>1.214015609604607E-2</v>
      </c>
      <c r="S29" s="214">
        <f>D29+I29+N29</f>
        <v>182.21339199999937</v>
      </c>
      <c r="T29" s="311">
        <f>S29/S8</f>
        <v>2.708689398415437E-2</v>
      </c>
      <c r="V29" s="597" t="s">
        <v>212</v>
      </c>
      <c r="W29" s="598">
        <f>W25*W27</f>
        <v>1210.1289374999985</v>
      </c>
      <c r="X29" s="599">
        <f>W27*W26</f>
        <v>1012.8216874999987</v>
      </c>
    </row>
    <row r="30" spans="1:25" ht="16.2" thickTop="1" x14ac:dyDescent="0.3">
      <c r="A30" s="67"/>
      <c r="B30" s="62"/>
      <c r="C30" s="459"/>
      <c r="D30" s="62"/>
      <c r="E30" s="127"/>
      <c r="F30" s="459"/>
      <c r="G30" s="62"/>
      <c r="H30" s="127"/>
      <c r="I30" s="62"/>
      <c r="J30" s="127"/>
      <c r="K30" s="459"/>
      <c r="L30" s="62"/>
      <c r="M30" s="127"/>
      <c r="N30" s="62"/>
      <c r="O30" s="127"/>
      <c r="Q30" s="82"/>
      <c r="R30" s="85"/>
      <c r="S30" s="82"/>
      <c r="T30" s="85"/>
    </row>
    <row r="31" spans="1:25" ht="15" x14ac:dyDescent="0.3">
      <c r="A31" s="28" t="s">
        <v>6</v>
      </c>
      <c r="B31" s="62">
        <f>'AVANISTA GROUP - BP 2022'!F96</f>
        <v>50.169249999999998</v>
      </c>
      <c r="C31" s="459"/>
      <c r="D31" s="600">
        <f>'AVANISTA GROUP - BP 2022'!O96</f>
        <v>-1.1739999999999999</v>
      </c>
      <c r="E31" s="127"/>
      <c r="F31" s="459"/>
      <c r="G31" s="62">
        <f>'AVANISTA - BP 2022'!B105</f>
        <v>-2.9620000000000002</v>
      </c>
      <c r="H31" s="127"/>
      <c r="I31" s="62">
        <f>'AVANISTA - BP 2022'!N105</f>
        <v>-8.6006800000000005</v>
      </c>
      <c r="J31" s="127"/>
      <c r="K31" s="459"/>
      <c r="L31" s="62">
        <f>'AVANISTA INGENIERIE - BP 2022'!B105</f>
        <v>0</v>
      </c>
      <c r="M31" s="127"/>
      <c r="N31" s="62">
        <f>'AVANISTA INGENIERIE - BP 2022'!N105</f>
        <v>1.89028</v>
      </c>
      <c r="O31" s="127"/>
      <c r="Q31" s="82">
        <f>G31+L31</f>
        <v>-2.9620000000000002</v>
      </c>
      <c r="R31" s="85"/>
      <c r="S31" s="82">
        <f>I31+N31</f>
        <v>-6.7104000000000008</v>
      </c>
      <c r="T31" s="85"/>
    </row>
    <row r="32" spans="1:25" ht="9.75" customHeight="1" x14ac:dyDescent="0.3">
      <c r="A32" s="66"/>
      <c r="B32" s="62"/>
      <c r="C32" s="459"/>
      <c r="D32" s="62"/>
      <c r="E32" s="127"/>
      <c r="F32" s="459"/>
      <c r="G32" s="62"/>
      <c r="H32" s="127"/>
      <c r="I32" s="62"/>
      <c r="J32" s="127"/>
      <c r="K32" s="459"/>
      <c r="L32" s="62"/>
      <c r="M32" s="127"/>
      <c r="N32" s="62"/>
      <c r="O32" s="127"/>
      <c r="Q32" s="82"/>
      <c r="R32" s="85"/>
      <c r="S32" s="82"/>
      <c r="T32" s="85"/>
    </row>
    <row r="33" spans="1:20" ht="15" x14ac:dyDescent="0.3">
      <c r="A33" s="455" t="s">
        <v>5</v>
      </c>
      <c r="B33" s="62">
        <f>'AVANISTA GROUP - BP 2022'!F101</f>
        <v>3.6657199999999999</v>
      </c>
      <c r="C33" s="459"/>
      <c r="D33" s="62">
        <f>'AVANISTA GROUP - BP 2022'!O101</f>
        <v>0.41199999999999998</v>
      </c>
      <c r="E33" s="127"/>
      <c r="F33" s="459"/>
      <c r="G33" s="62">
        <f>'AVANISTA - BP 2022'!B107</f>
        <v>20.763999999999999</v>
      </c>
      <c r="H33" s="127"/>
      <c r="I33" s="62">
        <f>'AVANISTA - BP 2022'!N107</f>
        <v>-22.235939999999999</v>
      </c>
      <c r="J33" s="127"/>
      <c r="K33" s="459"/>
      <c r="L33" s="62">
        <f>'AVANISTA INGENIERIE - BP 2022'!B107</f>
        <v>0</v>
      </c>
      <c r="M33" s="127"/>
      <c r="N33" s="62">
        <f>'AVANISTA INGENIERIE - BP 2022'!N107</f>
        <v>10.452870000000001</v>
      </c>
      <c r="O33" s="127"/>
      <c r="Q33" s="82">
        <f>B33+G33+L33</f>
        <v>24.42972</v>
      </c>
      <c r="R33" s="85"/>
      <c r="S33" s="82">
        <f>D33+I33+N33</f>
        <v>-11.37107</v>
      </c>
      <c r="T33" s="85"/>
    </row>
    <row r="34" spans="1:20" ht="15" x14ac:dyDescent="0.3">
      <c r="A34" s="69"/>
      <c r="B34" s="62"/>
      <c r="C34" s="459"/>
      <c r="D34" s="62"/>
      <c r="E34" s="127"/>
      <c r="F34" s="459"/>
      <c r="G34" s="62"/>
      <c r="H34" s="127"/>
      <c r="I34" s="62"/>
      <c r="J34" s="127"/>
      <c r="K34" s="459"/>
      <c r="L34" s="62"/>
      <c r="M34" s="127"/>
      <c r="N34" s="62"/>
      <c r="O34" s="127"/>
      <c r="Q34" s="82"/>
      <c r="R34" s="85"/>
      <c r="S34" s="82"/>
      <c r="T34" s="85"/>
    </row>
    <row r="35" spans="1:20" ht="15" x14ac:dyDescent="0.3">
      <c r="A35" s="456" t="s">
        <v>31</v>
      </c>
      <c r="B35" s="62">
        <f>'AVANISTA GROUP - BP 2022'!F103</f>
        <v>0</v>
      </c>
      <c r="C35" s="114"/>
      <c r="D35" s="62">
        <f>'AVANISTA GROUP - BP 2022'!O103</f>
        <v>0</v>
      </c>
      <c r="E35" s="122"/>
      <c r="F35" s="114"/>
      <c r="G35" s="62">
        <f>'AVANISTA - BP 2022'!B109</f>
        <v>-22.306000000000001</v>
      </c>
      <c r="H35" s="122"/>
      <c r="I35" s="62">
        <f>'AVANISTA - BP 2022'!N109</f>
        <v>-24.824200799999872</v>
      </c>
      <c r="J35" s="122"/>
      <c r="K35" s="114"/>
      <c r="L35" s="62">
        <f>'AVANISTA INGENIERIE - BP 2022'!B109</f>
        <v>-2.2189999999999999</v>
      </c>
      <c r="M35" s="122"/>
      <c r="N35" s="62">
        <f>'AVANISTA INGENIERIE - BP 2022'!N109</f>
        <v>-28.382622799999911</v>
      </c>
      <c r="O35" s="122"/>
      <c r="Q35" s="82">
        <f>B35+G35+L35</f>
        <v>-24.525000000000002</v>
      </c>
      <c r="R35" s="188">
        <f>-Q35/Q8</f>
        <v>4.5336991102673269E-3</v>
      </c>
      <c r="S35" s="82">
        <f>D35+I35+N35</f>
        <v>-53.20682359999978</v>
      </c>
      <c r="T35" s="188">
        <f>-S35/S8</f>
        <v>7.9094493234986903E-3</v>
      </c>
    </row>
    <row r="36" spans="1:20" ht="15.6" thickBot="1" x14ac:dyDescent="0.35">
      <c r="A36" s="456"/>
      <c r="B36" s="326"/>
      <c r="C36" s="481"/>
      <c r="D36" s="326"/>
      <c r="E36" s="482"/>
      <c r="F36" s="114"/>
      <c r="G36" s="62"/>
      <c r="H36" s="122"/>
      <c r="I36" s="62"/>
      <c r="J36" s="122"/>
      <c r="K36" s="114"/>
      <c r="L36" s="62"/>
      <c r="M36" s="122"/>
      <c r="N36" s="62"/>
      <c r="O36" s="122"/>
      <c r="Q36" s="82"/>
      <c r="R36" s="84"/>
      <c r="S36" s="82"/>
      <c r="T36" s="84"/>
    </row>
    <row r="37" spans="1:20" ht="16.8" thickTop="1" thickBot="1" x14ac:dyDescent="0.35">
      <c r="A37" s="205" t="s">
        <v>4</v>
      </c>
      <c r="B37" s="215">
        <f>'AVANISTA GROUP - BP 2022'!F105</f>
        <v>2.0320229999998172</v>
      </c>
      <c r="C37" s="444">
        <f>'AVANISTA GROUP - BP 2022'!G105</f>
        <v>2.415423101683821E-3</v>
      </c>
      <c r="D37" s="215">
        <f>'AVANISTA GROUP - BP 2022'!O105</f>
        <v>-27.066447999999845</v>
      </c>
      <c r="E37" s="196">
        <f>'AVANISTA GROUP - BP 2022'!P105</f>
        <v>-3.0770223423025312E-2</v>
      </c>
      <c r="F37" s="289"/>
      <c r="G37" s="215">
        <f>'AVANISTA - BP 2022'!B111</f>
        <v>85.883000000000422</v>
      </c>
      <c r="H37" s="196">
        <f>'AVANISTA - BP 2022'!C111</f>
        <v>2.1191566998470506E-2</v>
      </c>
      <c r="I37" s="215">
        <f>'AVANISTA - BP 2022'!N111</f>
        <v>63.833659199999659</v>
      </c>
      <c r="J37" s="196">
        <f>I37/I8</f>
        <v>1.2732081734201936E-2</v>
      </c>
      <c r="K37" s="289"/>
      <c r="L37" s="215">
        <f>'AVANISTA INGENIERIE - BP 2022'!B111</f>
        <v>24.869</v>
      </c>
      <c r="M37" s="196">
        <f>'AVANISTA INGENIERIE - BP 2022'!C111</f>
        <v>1.8329251403861904E-2</v>
      </c>
      <c r="N37" s="215">
        <f>'AVANISTA INGENIERIE - BP 2022'!N111</f>
        <v>72.983887199999771</v>
      </c>
      <c r="O37" s="196">
        <f>N37/N8</f>
        <v>4.2596258082432593E-2</v>
      </c>
      <c r="Q37" s="215">
        <f>Q29+Q31+Q33+Q35</f>
        <v>62.614773000000241</v>
      </c>
      <c r="R37" s="209">
        <f>Q37/Q8</f>
        <v>1.1574986366552161E-2</v>
      </c>
      <c r="S37" s="215">
        <f>S29+S31+S33+S35</f>
        <v>110.9250983999996</v>
      </c>
      <c r="T37" s="209">
        <f>S37/S8</f>
        <v>1.6489547489147729E-2</v>
      </c>
    </row>
    <row r="38" spans="1:20" ht="15" thickTop="1" x14ac:dyDescent="0.3">
      <c r="P38" s="312" t="s">
        <v>28</v>
      </c>
      <c r="Q38" s="602">
        <f>B37+G37+L37-Q37</f>
        <v>50.169249999999991</v>
      </c>
      <c r="R38"/>
      <c r="S38" s="244">
        <f>D37+I37+N37-S37</f>
        <v>-1.1740000000000066</v>
      </c>
    </row>
    <row r="39" spans="1:20" ht="15" thickBot="1" x14ac:dyDescent="0.35">
      <c r="A39" s="340"/>
      <c r="B39" s="340"/>
      <c r="C39" s="340"/>
      <c r="D39" s="341"/>
      <c r="E39" s="342"/>
      <c r="G39" s="342"/>
      <c r="H39" s="342"/>
      <c r="I39" s="343"/>
      <c r="J39" s="343"/>
      <c r="L39" s="343"/>
      <c r="M39" s="343"/>
      <c r="N39" s="342"/>
      <c r="O39" s="343"/>
      <c r="P39" s="29"/>
      <c r="Q39" s="343"/>
      <c r="R39" s="342"/>
      <c r="S39" s="343"/>
      <c r="T39" s="342"/>
    </row>
    <row r="40" spans="1:20" ht="16.8" thickTop="1" thickBot="1" x14ac:dyDescent="0.35">
      <c r="A40" s="205" t="s">
        <v>94</v>
      </c>
      <c r="B40" s="603">
        <f>B13+B15+B17+B19+B21</f>
        <v>356.96675000000005</v>
      </c>
      <c r="C40" s="603"/>
      <c r="D40" s="603">
        <f>D13+D15+D17+D19+D21</f>
        <v>393.73538000000002</v>
      </c>
      <c r="E40" s="603"/>
      <c r="F40" s="111"/>
      <c r="G40" s="603">
        <f>(G13+G15+G17+G19+G21)/H11</f>
        <v>3632.3473517127677</v>
      </c>
      <c r="H40" s="603"/>
      <c r="I40" s="603">
        <f>(I13+I15+I17+I19+I21)/J11</f>
        <v>4370.4714323730868</v>
      </c>
      <c r="J40" s="603"/>
      <c r="K40" s="111"/>
      <c r="L40" s="603">
        <f>(L13+L15+L17+L19)/M11</f>
        <v>750.52325408022659</v>
      </c>
      <c r="M40" s="603"/>
      <c r="N40" s="603">
        <f>(N13+N15+N17+N19)/O11</f>
        <v>1115.9829081124212</v>
      </c>
      <c r="O40" s="603"/>
      <c r="P40" s="29"/>
      <c r="Q40" s="603">
        <f>B40+G40+L40</f>
        <v>4739.8373557929945</v>
      </c>
      <c r="R40" s="603"/>
      <c r="S40" s="603">
        <f>D40+I40+N40</f>
        <v>5880.1897204855086</v>
      </c>
      <c r="T40" s="603"/>
    </row>
    <row r="41" spans="1:20" ht="15" thickTop="1" x14ac:dyDescent="0.3">
      <c r="P41" s="29"/>
      <c r="Q41" s="29"/>
      <c r="R41" s="29"/>
    </row>
  </sheetData>
  <mergeCells count="27">
    <mergeCell ref="V23:W23"/>
    <mergeCell ref="A1:T1"/>
    <mergeCell ref="D4:E4"/>
    <mergeCell ref="I4:J4"/>
    <mergeCell ref="N4:O4"/>
    <mergeCell ref="S4:T4"/>
    <mergeCell ref="D3:T3"/>
    <mergeCell ref="L4:M4"/>
    <mergeCell ref="B4:C4"/>
    <mergeCell ref="B6:C6"/>
    <mergeCell ref="Q4:R4"/>
    <mergeCell ref="Q6:R6"/>
    <mergeCell ref="G4:H4"/>
    <mergeCell ref="G6:H6"/>
    <mergeCell ref="B40:C40"/>
    <mergeCell ref="G40:H40"/>
    <mergeCell ref="L40:M40"/>
    <mergeCell ref="S6:T6"/>
    <mergeCell ref="Q40:R40"/>
    <mergeCell ref="S40:T40"/>
    <mergeCell ref="D6:E6"/>
    <mergeCell ref="D40:E40"/>
    <mergeCell ref="I40:J40"/>
    <mergeCell ref="N40:O40"/>
    <mergeCell ref="I6:J6"/>
    <mergeCell ref="N6:O6"/>
    <mergeCell ref="L6:M6"/>
  </mergeCells>
  <pageMargins left="0.51181102362204722" right="0.59055118110236227" top="1.5354330708661419" bottom="0.35433070866141736" header="0.11811023622047245" footer="0.31496062992125984"/>
  <pageSetup paperSize="8" scale="70" orientation="landscape" horizontalDpi="4294967295" verticalDpi="4294967295" r:id="rId1"/>
  <headerFooter>
    <oddFooter>Page &amp;P&amp;R&amp;A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outlinePr summaryBelow="0"/>
    <pageSetUpPr fitToPage="1"/>
  </sheetPr>
  <dimension ref="A1:Z110"/>
  <sheetViews>
    <sheetView showGridLines="0" topLeftCell="A45" zoomScale="85" zoomScaleNormal="85" workbookViewId="0">
      <pane xSplit="1" topLeftCell="B1" activePane="topRight" state="frozen"/>
      <selection pane="topRight" activeCell="O12" sqref="O12:O13"/>
    </sheetView>
  </sheetViews>
  <sheetFormatPr baseColWidth="10" defaultRowHeight="19.8" outlineLevelRow="1" x14ac:dyDescent="0.35"/>
  <cols>
    <col min="1" max="1" width="69.21875" bestFit="1" customWidth="1"/>
    <col min="2" max="2" width="4.77734375" customWidth="1"/>
    <col min="3" max="3" width="15.77734375" customWidth="1"/>
    <col min="4" max="4" width="11.44140625" customWidth="1"/>
    <col min="5" max="5" width="4.77734375" customWidth="1"/>
    <col min="6" max="6" width="16.33203125" style="4" customWidth="1"/>
    <col min="7" max="7" width="9.77734375" style="55" customWidth="1"/>
    <col min="8" max="8" width="3.33203125" style="371" customWidth="1"/>
    <col min="9" max="9" width="18.44140625" style="4" hidden="1" customWidth="1"/>
    <col min="10" max="10" width="11.44140625" style="55" hidden="1" customWidth="1"/>
    <col min="11" max="11" width="2" style="548" customWidth="1"/>
    <col min="12" max="12" width="18.44140625" style="4" customWidth="1"/>
    <col min="13" max="13" width="11.44140625" style="55" customWidth="1"/>
    <col min="14" max="14" width="3.5546875" style="538" customWidth="1"/>
    <col min="15" max="15" width="18.44140625" style="4" customWidth="1"/>
    <col min="16" max="16" width="11.44140625" style="55" customWidth="1"/>
    <col min="17" max="17" width="4.44140625" style="4" customWidth="1"/>
    <col min="18" max="18" width="16.5546875" hidden="1" customWidth="1"/>
    <col min="19" max="19" width="10.77734375" style="55" hidden="1" customWidth="1"/>
    <col min="20" max="20" width="18.21875" hidden="1" customWidth="1"/>
    <col min="21" max="21" width="13.44140625" style="55" hidden="1" customWidth="1"/>
    <col min="22" max="22" width="18.77734375" hidden="1" customWidth="1"/>
    <col min="23" max="23" width="13.77734375" style="55" hidden="1" customWidth="1"/>
    <col min="24" max="24" width="11.44140625" customWidth="1"/>
  </cols>
  <sheetData>
    <row r="1" spans="1:25" ht="26.25" customHeight="1" thickBot="1" x14ac:dyDescent="0.35">
      <c r="A1" s="609" t="s">
        <v>228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  <c r="R1" s="609"/>
      <c r="S1" s="609"/>
      <c r="T1" s="609"/>
      <c r="U1" s="609"/>
      <c r="V1" s="609"/>
      <c r="W1" s="609"/>
    </row>
    <row r="2" spans="1:25" ht="45" customHeight="1" thickTop="1" x14ac:dyDescent="0.35">
      <c r="A2" s="1"/>
      <c r="B2" s="128"/>
      <c r="C2" s="128"/>
      <c r="D2" s="128"/>
      <c r="E2" s="128"/>
      <c r="F2" s="43"/>
      <c r="G2" s="129"/>
      <c r="H2" s="370"/>
      <c r="I2" s="128"/>
      <c r="J2" s="129"/>
      <c r="K2" s="539"/>
      <c r="L2" s="128"/>
      <c r="M2" s="129"/>
      <c r="N2" s="523"/>
      <c r="O2" s="128"/>
      <c r="P2" s="129"/>
      <c r="Q2" s="43"/>
      <c r="R2" s="1"/>
      <c r="S2" s="129"/>
      <c r="T2" s="1"/>
      <c r="U2" s="129"/>
      <c r="V2" s="1"/>
      <c r="W2" s="129"/>
    </row>
    <row r="3" spans="1:25" ht="18" x14ac:dyDescent="0.35">
      <c r="A3" s="1"/>
      <c r="B3" s="158"/>
      <c r="C3" s="612" t="s">
        <v>32</v>
      </c>
      <c r="D3" s="613"/>
      <c r="E3" s="158"/>
      <c r="F3" s="612" t="s">
        <v>32</v>
      </c>
      <c r="G3" s="613"/>
      <c r="H3" s="365"/>
      <c r="I3" s="612" t="s">
        <v>32</v>
      </c>
      <c r="J3" s="613"/>
      <c r="K3" s="486"/>
      <c r="L3" s="617" t="s">
        <v>32</v>
      </c>
      <c r="M3" s="618"/>
      <c r="N3" s="524"/>
      <c r="O3" s="617" t="s">
        <v>226</v>
      </c>
      <c r="P3" s="618"/>
      <c r="Q3" s="43"/>
      <c r="R3" s="607" t="s">
        <v>11</v>
      </c>
      <c r="S3" s="616"/>
      <c r="T3" s="607" t="s">
        <v>11</v>
      </c>
      <c r="U3" s="608"/>
      <c r="V3" s="616" t="s">
        <v>11</v>
      </c>
      <c r="W3" s="608"/>
    </row>
    <row r="4" spans="1:25" s="9" customFormat="1" ht="18" x14ac:dyDescent="0.35">
      <c r="A4" s="12"/>
      <c r="B4" s="159"/>
      <c r="C4" s="614" t="s">
        <v>98</v>
      </c>
      <c r="D4" s="615"/>
      <c r="E4" s="159"/>
      <c r="F4" s="614" t="s">
        <v>118</v>
      </c>
      <c r="G4" s="615"/>
      <c r="H4" s="360"/>
      <c r="I4" s="614" t="s">
        <v>215</v>
      </c>
      <c r="J4" s="615"/>
      <c r="K4" s="540"/>
      <c r="L4" s="619" t="s">
        <v>137</v>
      </c>
      <c r="M4" s="620"/>
      <c r="N4" s="525"/>
      <c r="O4" s="619" t="s">
        <v>131</v>
      </c>
      <c r="P4" s="620"/>
      <c r="Q4" s="42"/>
      <c r="R4" s="614" t="s">
        <v>131</v>
      </c>
      <c r="S4" s="615"/>
      <c r="T4" s="614" t="s">
        <v>132</v>
      </c>
      <c r="U4" s="615"/>
      <c r="V4" s="614" t="s">
        <v>133</v>
      </c>
      <c r="W4" s="615"/>
    </row>
    <row r="5" spans="1:25" s="9" customFormat="1" ht="18" x14ac:dyDescent="0.35">
      <c r="A5" s="11"/>
      <c r="B5" s="160"/>
      <c r="C5" s="58" t="s">
        <v>0</v>
      </c>
      <c r="D5" s="130" t="s">
        <v>22</v>
      </c>
      <c r="E5" s="160"/>
      <c r="F5" s="58" t="s">
        <v>0</v>
      </c>
      <c r="G5" s="130" t="s">
        <v>22</v>
      </c>
      <c r="H5" s="107"/>
      <c r="I5" s="58" t="s">
        <v>0</v>
      </c>
      <c r="J5" s="130" t="s">
        <v>22</v>
      </c>
      <c r="K5" s="541"/>
      <c r="L5" s="58" t="s">
        <v>0</v>
      </c>
      <c r="M5" s="130" t="s">
        <v>22</v>
      </c>
      <c r="N5" s="526"/>
      <c r="O5" s="58" t="s">
        <v>0</v>
      </c>
      <c r="P5" s="130" t="s">
        <v>22</v>
      </c>
      <c r="Q5" s="26"/>
      <c r="R5" s="58" t="s">
        <v>0</v>
      </c>
      <c r="S5" s="107" t="s">
        <v>22</v>
      </c>
      <c r="T5" s="58" t="s">
        <v>0</v>
      </c>
      <c r="U5" s="130" t="s">
        <v>22</v>
      </c>
      <c r="V5" s="107" t="s">
        <v>0</v>
      </c>
      <c r="W5" s="130" t="s">
        <v>22</v>
      </c>
    </row>
    <row r="6" spans="1:25" s="9" customFormat="1" ht="20.399999999999999" thickBot="1" x14ac:dyDescent="0.4">
      <c r="A6" s="11"/>
      <c r="B6" s="160"/>
      <c r="C6" s="131"/>
      <c r="D6" s="132"/>
      <c r="E6" s="160"/>
      <c r="F6" s="131"/>
      <c r="G6" s="132"/>
      <c r="H6" s="366"/>
      <c r="I6" s="131"/>
      <c r="J6" s="132"/>
      <c r="K6" s="542"/>
      <c r="L6" s="131"/>
      <c r="M6" s="132"/>
      <c r="N6" s="527"/>
      <c r="O6" s="131"/>
      <c r="P6" s="132"/>
      <c r="Q6" s="10"/>
      <c r="R6" s="146"/>
      <c r="S6" s="147"/>
      <c r="T6" s="143"/>
      <c r="U6" s="144"/>
      <c r="V6" s="148"/>
      <c r="W6" s="144"/>
    </row>
    <row r="7" spans="1:25" ht="21" thickTop="1" thickBot="1" x14ac:dyDescent="0.4">
      <c r="A7" s="88" t="s">
        <v>10</v>
      </c>
      <c r="B7" s="161"/>
      <c r="C7" s="240">
        <f>SUM(C9:C16)</f>
        <v>659.94</v>
      </c>
      <c r="D7" s="86"/>
      <c r="E7" s="161"/>
      <c r="F7" s="240">
        <f>SUM(F9:F16)</f>
        <v>841.27000299999997</v>
      </c>
      <c r="G7" s="86"/>
      <c r="H7" s="361"/>
      <c r="I7" s="240">
        <f>SUM(I9:I18)</f>
        <v>274.54577900000004</v>
      </c>
      <c r="J7" s="86"/>
      <c r="K7" s="491"/>
      <c r="L7" s="240">
        <f>SUM(L9:L18)</f>
        <v>430.15268000000003</v>
      </c>
      <c r="M7" s="86"/>
      <c r="N7" s="528"/>
      <c r="O7" s="240">
        <f>SUM(O9:O18)</f>
        <v>879.63118200000008</v>
      </c>
      <c r="P7" s="86"/>
      <c r="Q7" s="16"/>
      <c r="R7" s="240">
        <f>SUM(R9:R16)</f>
        <v>889.65600000000006</v>
      </c>
      <c r="S7" s="175"/>
      <c r="T7" s="240">
        <f>SUM(T9:T16)</f>
        <v>910.65600000000006</v>
      </c>
      <c r="U7" s="176"/>
      <c r="V7" s="240">
        <f>SUM(V9:V16)</f>
        <v>931.65600000000006</v>
      </c>
      <c r="W7" s="176"/>
    </row>
    <row r="8" spans="1:25" ht="12" customHeight="1" outlineLevel="1" thickTop="1" x14ac:dyDescent="0.35">
      <c r="A8" s="210"/>
      <c r="B8" s="161"/>
      <c r="C8" s="59"/>
      <c r="D8" s="211"/>
      <c r="E8" s="161"/>
      <c r="F8" s="59"/>
      <c r="G8" s="211"/>
      <c r="H8" s="361"/>
      <c r="I8" s="59"/>
      <c r="J8" s="211"/>
      <c r="K8" s="491"/>
      <c r="L8" s="59"/>
      <c r="M8" s="211"/>
      <c r="N8" s="528"/>
      <c r="O8" s="59"/>
      <c r="P8" s="211"/>
      <c r="Q8" s="16"/>
      <c r="R8" s="59"/>
      <c r="S8" s="249"/>
      <c r="T8" s="59"/>
      <c r="U8" s="250"/>
      <c r="V8" s="111"/>
      <c r="W8" s="250"/>
    </row>
    <row r="9" spans="1:25" outlineLevel="1" x14ac:dyDescent="0.3">
      <c r="A9" s="97" t="s">
        <v>99</v>
      </c>
      <c r="B9" s="162"/>
      <c r="C9" s="238">
        <f>300+(43.33*6)</f>
        <v>559.98</v>
      </c>
      <c r="D9" s="133"/>
      <c r="E9" s="162"/>
      <c r="F9" s="238">
        <f>VARIABLE!C46*VARIABLE!D46</f>
        <v>520.05600000000004</v>
      </c>
      <c r="G9" s="133"/>
      <c r="H9" s="149"/>
      <c r="I9" s="238">
        <f>(VARIABLE!F46*VARIABLE!G46)/12*4</f>
        <v>173.352</v>
      </c>
      <c r="J9" s="133"/>
      <c r="K9" s="543"/>
      <c r="L9" s="238">
        <f>(VARIABLE!F46*VARIABLE!G46)/12*6</f>
        <v>260.02800000000002</v>
      </c>
      <c r="M9" s="133"/>
      <c r="N9" s="529"/>
      <c r="O9" s="238">
        <f>(VARIABLE!I46*VARIABLE!J46)/12*12</f>
        <v>520.05600000000004</v>
      </c>
      <c r="P9" s="133"/>
      <c r="Q9" s="37"/>
      <c r="R9" s="238">
        <f>VARIABLE!F46*VARIABLE!G46</f>
        <v>520.05600000000004</v>
      </c>
      <c r="S9" s="149"/>
      <c r="T9" s="238">
        <f>VARIABLE!I46*VARIABLE!J46</f>
        <v>520.05600000000004</v>
      </c>
      <c r="U9" s="133"/>
      <c r="V9" s="238">
        <f>VARIABLE!L46*VARIABLE!M46</f>
        <v>520.05600000000004</v>
      </c>
      <c r="W9" s="150"/>
    </row>
    <row r="10" spans="1:25" outlineLevel="1" x14ac:dyDescent="0.3">
      <c r="A10" s="97" t="s">
        <v>100</v>
      </c>
      <c r="B10" s="162"/>
      <c r="C10" s="238">
        <f>16.66*6</f>
        <v>99.960000000000008</v>
      </c>
      <c r="D10" s="133"/>
      <c r="E10" s="162"/>
      <c r="F10" s="238">
        <f>VARIABLE!C46*VARIABLE!E46</f>
        <v>199.94399999999999</v>
      </c>
      <c r="G10" s="133"/>
      <c r="H10" s="149"/>
      <c r="I10" s="238">
        <f>(VARIABLE!F46*VARIABLE!H46)/12*4</f>
        <v>66.647999999999996</v>
      </c>
      <c r="J10" s="133"/>
      <c r="K10" s="543"/>
      <c r="L10" s="238">
        <f>(VARIABLE!F46*VARIABLE!H46)/12*6</f>
        <v>99.971999999999994</v>
      </c>
      <c r="M10" s="133"/>
      <c r="N10" s="529"/>
      <c r="O10" s="238">
        <f>(VARIABLE!I46*VARIABLE!K46)/12*12</f>
        <v>199.94399999999999</v>
      </c>
      <c r="P10" s="133"/>
      <c r="Q10" s="37"/>
      <c r="R10" s="238">
        <f>VARIABLE!F46*VARIABLE!H46</f>
        <v>199.94399999999999</v>
      </c>
      <c r="S10" s="149"/>
      <c r="T10" s="238">
        <f>VARIABLE!I46*VARIABLE!K46</f>
        <v>199.94399999999999</v>
      </c>
      <c r="U10" s="133"/>
      <c r="V10" s="238">
        <f>VARIABLE!L46*VARIABLE!N46</f>
        <v>199.94399999999999</v>
      </c>
      <c r="W10" s="150"/>
    </row>
    <row r="11" spans="1:25" outlineLevel="1" x14ac:dyDescent="0.3">
      <c r="A11" s="97"/>
      <c r="B11" s="162"/>
      <c r="C11" s="238"/>
      <c r="D11" s="133"/>
      <c r="E11" s="162"/>
      <c r="F11" s="238"/>
      <c r="G11" s="133"/>
      <c r="H11" s="149"/>
      <c r="I11" s="238"/>
      <c r="J11" s="133"/>
      <c r="K11" s="543"/>
      <c r="L11" s="238"/>
      <c r="M11" s="133"/>
      <c r="N11" s="529"/>
      <c r="O11" s="238"/>
      <c r="P11" s="133"/>
      <c r="Q11" s="37"/>
      <c r="R11" s="238"/>
      <c r="S11" s="149"/>
      <c r="T11" s="238"/>
      <c r="U11" s="133"/>
      <c r="V11" s="238"/>
      <c r="W11" s="150"/>
    </row>
    <row r="12" spans="1:25" outlineLevel="1" x14ac:dyDescent="0.3">
      <c r="A12" s="97" t="s">
        <v>101</v>
      </c>
      <c r="B12" s="162"/>
      <c r="C12" s="238">
        <v>0</v>
      </c>
      <c r="D12" s="133"/>
      <c r="E12" s="162"/>
      <c r="F12" s="238">
        <f>(F32+F34+F37)*(1+VARIABLE!D9)*VARIABLE!D47</f>
        <v>66.894372066900004</v>
      </c>
      <c r="G12" s="133"/>
      <c r="H12" s="149"/>
      <c r="I12" s="238">
        <f>(I32+I34+I37)*(1+VARIABLE!G9)*VARIABLE!G47</f>
        <v>0.95255407170000017</v>
      </c>
      <c r="J12" s="133"/>
      <c r="K12" s="543"/>
      <c r="L12" s="557">
        <v>16.359860000000001</v>
      </c>
      <c r="M12" s="133"/>
      <c r="N12" s="529"/>
      <c r="O12" s="238">
        <f>(O32+O34+O37)*(1.05)*72%</f>
        <v>50.022131039999991</v>
      </c>
      <c r="P12" s="133"/>
      <c r="Q12" s="37"/>
      <c r="R12" s="238">
        <f>(R32+R34+R37)*(1+VARIABLE!E9)*VARIABLE!G47</f>
        <v>60.673200000000001</v>
      </c>
      <c r="S12" s="149"/>
      <c r="T12" s="238">
        <f>(T32+T34+T37)*(1+VARIABLE!F9)*VARIABLE!J47</f>
        <v>75.841500000000011</v>
      </c>
      <c r="U12" s="133"/>
      <c r="V12" s="238">
        <f>(V32+V34+V37)*(1+VARIABLE!G9)*VARIABLE!M47</f>
        <v>91.009800000000013</v>
      </c>
      <c r="W12" s="150"/>
      <c r="Y12" s="419"/>
    </row>
    <row r="13" spans="1:25" outlineLevel="1" x14ac:dyDescent="0.3">
      <c r="A13" s="97" t="s">
        <v>102</v>
      </c>
      <c r="B13" s="162"/>
      <c r="C13" s="238">
        <v>0</v>
      </c>
      <c r="D13" s="133"/>
      <c r="E13" s="162"/>
      <c r="F13" s="238">
        <f>(F32+F34+F37)*(1+VARIABLE!D9)*VARIABLE!E47+(F35*(1+VARIABLE!D9))</f>
        <v>29.393630933100003</v>
      </c>
      <c r="G13" s="133"/>
      <c r="H13" s="149"/>
      <c r="I13" s="238">
        <f>(I32+I34+I37)*(1+VARIABLE!G9)*VARIABLE!H47+(I35*(1+VARIABLE!G9))</f>
        <v>4.0412249283000001</v>
      </c>
      <c r="J13" s="133"/>
      <c r="K13" s="543"/>
      <c r="L13" s="557">
        <f>9.96482</f>
        <v>9.9648199999999996</v>
      </c>
      <c r="M13" s="133"/>
      <c r="N13" s="529"/>
      <c r="O13" s="238">
        <f>(O32+O34+O37)*(1.05)*28%+O35</f>
        <v>22.953050959999999</v>
      </c>
      <c r="P13" s="133"/>
      <c r="Q13" s="37"/>
      <c r="R13" s="238">
        <f>(R32+R34+R37)*(1+VARIABLE!E9)*VARIABLE!H47</f>
        <v>23.326799999999999</v>
      </c>
      <c r="S13" s="149"/>
      <c r="T13" s="238">
        <f>(T32+T34+T37)*(1+VARIABLE!F9)*VARIABLE!K47</f>
        <v>29.1585</v>
      </c>
      <c r="U13" s="133"/>
      <c r="V13" s="238">
        <f>(V32+V34+V37)*(1+VARIABLE!G9)*VARIABLE!N47</f>
        <v>34.990200000000002</v>
      </c>
      <c r="W13" s="150"/>
    </row>
    <row r="14" spans="1:25" outlineLevel="1" x14ac:dyDescent="0.3">
      <c r="A14" s="97"/>
      <c r="B14" s="162"/>
      <c r="C14" s="238"/>
      <c r="D14" s="133"/>
      <c r="E14" s="162"/>
      <c r="F14" s="238"/>
      <c r="G14" s="133"/>
      <c r="H14" s="149"/>
      <c r="I14" s="238"/>
      <c r="J14" s="133"/>
      <c r="K14" s="543"/>
      <c r="L14" s="238"/>
      <c r="M14" s="133"/>
      <c r="N14" s="529"/>
      <c r="O14" s="238"/>
      <c r="P14" s="133"/>
      <c r="Q14" s="37"/>
      <c r="R14" s="238"/>
      <c r="S14" s="149"/>
      <c r="T14" s="238"/>
      <c r="U14" s="133"/>
      <c r="V14" s="238"/>
      <c r="W14" s="150"/>
    </row>
    <row r="15" spans="1:25" outlineLevel="1" x14ac:dyDescent="0.3">
      <c r="A15" s="97" t="s">
        <v>134</v>
      </c>
      <c r="B15" s="162"/>
      <c r="C15" s="238">
        <v>0</v>
      </c>
      <c r="D15" s="133"/>
      <c r="E15" s="162"/>
      <c r="F15" s="238">
        <f>18.865+0.531</f>
        <v>19.395999999999997</v>
      </c>
      <c r="G15" s="133"/>
      <c r="H15" s="149"/>
      <c r="I15" s="238">
        <f>0.608+21.56</f>
        <v>22.167999999999999</v>
      </c>
      <c r="J15" s="133"/>
      <c r="K15" s="543"/>
      <c r="L15" s="238">
        <f>32.34+0.912</f>
        <v>33.252000000000002</v>
      </c>
      <c r="M15" s="133"/>
      <c r="N15" s="529"/>
      <c r="O15" s="593">
        <f>64.68+1.824</f>
        <v>66.504000000000005</v>
      </c>
      <c r="P15" s="133"/>
      <c r="Q15" s="37"/>
      <c r="R15" s="238">
        <f>(5.39*12)+(0.152*12)</f>
        <v>66.503999999999991</v>
      </c>
      <c r="S15" s="149"/>
      <c r="T15" s="238">
        <f>(5.39*12)+(0.152*12)</f>
        <v>66.503999999999991</v>
      </c>
      <c r="U15" s="133"/>
      <c r="V15" s="238">
        <f>(5.39*12)+(0.152*12)</f>
        <v>66.503999999999991</v>
      </c>
      <c r="W15" s="150"/>
    </row>
    <row r="16" spans="1:25" outlineLevel="1" x14ac:dyDescent="0.3">
      <c r="A16" s="97" t="s">
        <v>135</v>
      </c>
      <c r="B16" s="162"/>
      <c r="C16" s="238">
        <v>0</v>
      </c>
      <c r="D16" s="133"/>
      <c r="E16" s="162"/>
      <c r="F16" s="238">
        <f>5.387+0.199</f>
        <v>5.5859999999999994</v>
      </c>
      <c r="G16" s="133"/>
      <c r="H16" s="149"/>
      <c r="I16" s="238">
        <f>6.156+0.228</f>
        <v>6.3839999999999995</v>
      </c>
      <c r="J16" s="133"/>
      <c r="K16" s="543"/>
      <c r="L16" s="238">
        <f>9.234+0.342</f>
        <v>9.5760000000000005</v>
      </c>
      <c r="M16" s="133"/>
      <c r="N16" s="529"/>
      <c r="O16" s="593">
        <f>18.468+0.684</f>
        <v>19.152000000000001</v>
      </c>
      <c r="P16" s="133"/>
      <c r="Q16" s="37"/>
      <c r="R16" s="238">
        <f>(1.539*12)+(0.057*12)</f>
        <v>19.152000000000001</v>
      </c>
      <c r="S16" s="149"/>
      <c r="T16" s="238">
        <f>(1.539*12)+(0.057*12)</f>
        <v>19.152000000000001</v>
      </c>
      <c r="U16" s="133"/>
      <c r="V16" s="238">
        <f>(1.539*12)+(0.057*12)</f>
        <v>19.152000000000001</v>
      </c>
      <c r="W16" s="150"/>
    </row>
    <row r="17" spans="1:26" outlineLevel="1" x14ac:dyDescent="0.3">
      <c r="A17" s="97"/>
      <c r="B17" s="162"/>
      <c r="C17" s="238"/>
      <c r="D17" s="133"/>
      <c r="E17" s="162"/>
      <c r="F17" s="238"/>
      <c r="G17" s="133"/>
      <c r="H17" s="149"/>
      <c r="I17" s="238"/>
      <c r="J17" s="133"/>
      <c r="K17" s="543"/>
      <c r="L17" s="238"/>
      <c r="M17" s="133"/>
      <c r="N17" s="529"/>
      <c r="O17" s="238"/>
      <c r="P17" s="133"/>
      <c r="Q17" s="37"/>
      <c r="R17" s="238"/>
      <c r="S17" s="149"/>
      <c r="T17" s="238"/>
      <c r="U17" s="133"/>
      <c r="V17" s="238"/>
      <c r="W17" s="150"/>
    </row>
    <row r="18" spans="1:26" outlineLevel="1" x14ac:dyDescent="0.3">
      <c r="A18" s="97" t="s">
        <v>216</v>
      </c>
      <c r="B18" s="162"/>
      <c r="C18" s="238"/>
      <c r="D18" s="133"/>
      <c r="E18" s="162"/>
      <c r="F18" s="238"/>
      <c r="G18" s="133"/>
      <c r="H18" s="149"/>
      <c r="I18" s="238">
        <v>1</v>
      </c>
      <c r="J18" s="133"/>
      <c r="K18" s="543"/>
      <c r="L18" s="238">
        <v>1</v>
      </c>
      <c r="M18" s="133"/>
      <c r="N18" s="529"/>
      <c r="O18" s="238">
        <v>1</v>
      </c>
      <c r="P18" s="133"/>
      <c r="Q18" s="37"/>
      <c r="R18" s="238"/>
      <c r="S18" s="149"/>
      <c r="T18" s="238"/>
      <c r="U18" s="133"/>
      <c r="V18" s="238"/>
      <c r="W18" s="150"/>
    </row>
    <row r="19" spans="1:26" x14ac:dyDescent="0.35">
      <c r="A19" s="177"/>
      <c r="B19" s="163"/>
      <c r="C19" s="238"/>
      <c r="D19" s="135"/>
      <c r="E19" s="163"/>
      <c r="F19" s="238"/>
      <c r="G19" s="135"/>
      <c r="H19" s="75"/>
      <c r="I19" s="238"/>
      <c r="J19" s="135"/>
      <c r="K19" s="493"/>
      <c r="L19" s="238"/>
      <c r="M19" s="135"/>
      <c r="N19" s="530"/>
      <c r="O19" s="238"/>
      <c r="P19" s="135"/>
      <c r="Q19" s="3"/>
      <c r="R19" s="238"/>
      <c r="S19" s="151"/>
      <c r="T19" s="238"/>
      <c r="U19" s="135"/>
      <c r="V19" s="238"/>
      <c r="W19" s="135"/>
    </row>
    <row r="20" spans="1:26" ht="18" collapsed="1" x14ac:dyDescent="0.3">
      <c r="A20" s="178" t="s">
        <v>15</v>
      </c>
      <c r="B20" s="164"/>
      <c r="C20" s="241">
        <f>SUM(C22:C43)</f>
        <v>142.739</v>
      </c>
      <c r="D20" s="257">
        <f>C20/C7</f>
        <v>0.21629087492802374</v>
      </c>
      <c r="E20" s="164"/>
      <c r="F20" s="241">
        <f>SUM(F22:F44)</f>
        <v>228.00704000000002</v>
      </c>
      <c r="G20" s="257">
        <f>F20/F7</f>
        <v>0.27102718412271742</v>
      </c>
      <c r="H20" s="362"/>
      <c r="I20" s="241">
        <f>SUM(I22:I44)</f>
        <v>81.082840000000019</v>
      </c>
      <c r="J20" s="257">
        <f>I20/I7</f>
        <v>0.29533449865932926</v>
      </c>
      <c r="K20" s="544"/>
      <c r="L20" s="241">
        <f>SUM(L22:L44)</f>
        <v>133.27883</v>
      </c>
      <c r="M20" s="257">
        <f>L20/L7</f>
        <v>0.3098407523579767</v>
      </c>
      <c r="N20" s="531"/>
      <c r="O20" s="241">
        <f>SUM(O22:O44)</f>
        <v>292.62312000000003</v>
      </c>
      <c r="P20" s="257">
        <f>O20/O7</f>
        <v>0.33266569670105217</v>
      </c>
      <c r="Q20" s="8"/>
      <c r="R20" s="241">
        <f>SUM(R22:R41)</f>
        <v>299.93534000000011</v>
      </c>
      <c r="S20" s="203">
        <f>R20/R7</f>
        <v>0.33713630886544921</v>
      </c>
      <c r="T20" s="241">
        <f>SUM(T22:T41)</f>
        <v>320.58391340000009</v>
      </c>
      <c r="U20" s="203">
        <f>T20/T7</f>
        <v>0.35203623915067828</v>
      </c>
      <c r="V20" s="241">
        <f>SUM(V22:V41)</f>
        <v>346.50175253400005</v>
      </c>
      <c r="W20" s="257">
        <f>V20/V7</f>
        <v>0.37192027157448676</v>
      </c>
    </row>
    <row r="21" spans="1:26" ht="12" hidden="1" customHeight="1" outlineLevel="1" x14ac:dyDescent="0.3">
      <c r="A21" s="179"/>
      <c r="B21" s="165"/>
      <c r="C21" s="351"/>
      <c r="D21" s="137"/>
      <c r="E21" s="165"/>
      <c r="F21" s="351"/>
      <c r="G21" s="259"/>
      <c r="H21" s="363"/>
      <c r="I21" s="351"/>
      <c r="J21" s="259"/>
      <c r="K21" s="545"/>
      <c r="L21" s="351"/>
      <c r="M21" s="259"/>
      <c r="N21" s="532"/>
      <c r="O21" s="351"/>
      <c r="P21" s="259"/>
      <c r="Q21" s="7"/>
      <c r="R21" s="238"/>
      <c r="S21" s="154"/>
      <c r="T21" s="238"/>
      <c r="U21" s="137"/>
      <c r="V21" s="238"/>
      <c r="W21" s="137"/>
    </row>
    <row r="22" spans="1:26" ht="18" hidden="1" outlineLevel="1" x14ac:dyDescent="0.3">
      <c r="A22" s="97" t="s">
        <v>227</v>
      </c>
      <c r="B22" s="166"/>
      <c r="C22" s="238">
        <f>0.382+0.225</f>
        <v>0.60699999999999998</v>
      </c>
      <c r="D22" s="137"/>
      <c r="E22" s="166"/>
      <c r="F22" s="238">
        <v>5.2089499999999997</v>
      </c>
      <c r="G22" s="259">
        <f>F22/$F$7</f>
        <v>6.191769564378489E-3</v>
      </c>
      <c r="H22" s="363"/>
      <c r="I22" s="238">
        <v>2.7543000000000002</v>
      </c>
      <c r="J22" s="259">
        <f>I22/$F$7</f>
        <v>3.2739786158760735E-3</v>
      </c>
      <c r="K22" s="545"/>
      <c r="L22" s="238">
        <f>4.10215+0.569+0.53302+0.0023+0.582</f>
        <v>5.7884699999999993</v>
      </c>
      <c r="M22" s="259">
        <f>L22/$F$7</f>
        <v>6.8806328281741901E-3</v>
      </c>
      <c r="N22" s="532"/>
      <c r="O22" s="238">
        <f>11.58636+0.0023+0.01047+0.05</f>
        <v>11.649130000000001</v>
      </c>
      <c r="P22" s="259">
        <f>O22/$F$7</f>
        <v>1.3847076394568655E-2</v>
      </c>
      <c r="Q22" s="7"/>
      <c r="R22" s="238">
        <f>L22*2</f>
        <v>11.576939999999999</v>
      </c>
      <c r="S22" s="258">
        <f>R22/$R$7</f>
        <v>1.3012827429927969E-2</v>
      </c>
      <c r="T22" s="238">
        <f>R22*1.01</f>
        <v>11.692709399999998</v>
      </c>
      <c r="U22" s="258">
        <f>T22/$T$7</f>
        <v>1.283987521083702E-2</v>
      </c>
      <c r="V22" s="238">
        <f>T22*1.01</f>
        <v>11.809636493999998</v>
      </c>
      <c r="W22" s="259">
        <f>V22/$V$7</f>
        <v>1.2675962473273393E-2</v>
      </c>
    </row>
    <row r="23" spans="1:26" ht="18" hidden="1" outlineLevel="1" x14ac:dyDescent="0.3">
      <c r="A23" s="92" t="s">
        <v>103</v>
      </c>
      <c r="B23" s="166"/>
      <c r="C23" s="238">
        <v>34.389000000000003</v>
      </c>
      <c r="D23" s="127"/>
      <c r="E23" s="166"/>
      <c r="F23" s="238">
        <v>27.347999999999999</v>
      </c>
      <c r="G23" s="259">
        <f t="shared" ref="G23:G43" si="0">F23/$F$7</f>
        <v>3.2507993750491543E-2</v>
      </c>
      <c r="H23" s="363"/>
      <c r="I23" s="238">
        <v>0</v>
      </c>
      <c r="J23" s="259">
        <f t="shared" ref="J23:J43" si="1">I23/$F$7</f>
        <v>0</v>
      </c>
      <c r="K23" s="545"/>
      <c r="L23" s="238">
        <v>0</v>
      </c>
      <c r="M23" s="259">
        <f t="shared" ref="M23:M43" si="2">L23/$F$7</f>
        <v>0</v>
      </c>
      <c r="N23" s="532"/>
      <c r="O23" s="238">
        <v>0</v>
      </c>
      <c r="P23" s="259">
        <f t="shared" ref="P23:P43" si="3">O23/$F$7</f>
        <v>0</v>
      </c>
      <c r="Q23" s="21"/>
      <c r="R23" s="238">
        <f>L23*2</f>
        <v>0</v>
      </c>
      <c r="S23" s="258">
        <f t="shared" ref="S23:S43" si="4">R23/$R$7</f>
        <v>0</v>
      </c>
      <c r="T23" s="238">
        <v>0</v>
      </c>
      <c r="U23" s="258">
        <f t="shared" ref="U23:U43" si="5">T23/$T$7</f>
        <v>0</v>
      </c>
      <c r="V23" s="238">
        <v>0</v>
      </c>
      <c r="W23" s="259">
        <f t="shared" ref="W23:W43" si="6">V23/$V$7</f>
        <v>0</v>
      </c>
    </row>
    <row r="24" spans="1:26" ht="18" hidden="1" outlineLevel="1" x14ac:dyDescent="0.3">
      <c r="A24" s="93" t="s">
        <v>125</v>
      </c>
      <c r="B24" s="430"/>
      <c r="C24" s="431">
        <v>0</v>
      </c>
      <c r="D24" s="432"/>
      <c r="E24" s="430"/>
      <c r="F24" s="431">
        <f>22.2+7.5</f>
        <v>29.7</v>
      </c>
      <c r="G24" s="433">
        <f t="shared" si="0"/>
        <v>3.530376679792302E-2</v>
      </c>
      <c r="H24" s="434"/>
      <c r="I24" s="431">
        <f>29.6+10.44995</f>
        <v>40.049950000000003</v>
      </c>
      <c r="J24" s="433">
        <f t="shared" si="1"/>
        <v>4.7606535187490813E-2</v>
      </c>
      <c r="K24" s="546"/>
      <c r="L24" s="431">
        <f>44.4+15</f>
        <v>59.4</v>
      </c>
      <c r="M24" s="433">
        <f t="shared" si="2"/>
        <v>7.0607533595846039E-2</v>
      </c>
      <c r="N24" s="533"/>
      <c r="O24" s="431">
        <f>88.8+27.71678</f>
        <v>116.51678</v>
      </c>
      <c r="P24" s="433">
        <f t="shared" si="3"/>
        <v>0.13850105148703371</v>
      </c>
      <c r="Q24" s="49"/>
      <c r="R24" s="431">
        <f>(7.4*12)+(2.5*12)</f>
        <v>118.80000000000001</v>
      </c>
      <c r="S24" s="435">
        <f t="shared" si="4"/>
        <v>0.13353475950254931</v>
      </c>
      <c r="T24" s="431">
        <f>(7.4*12)+(2.5*12)</f>
        <v>118.80000000000001</v>
      </c>
      <c r="U24" s="435">
        <f t="shared" si="5"/>
        <v>0.13045540796963948</v>
      </c>
      <c r="V24" s="431">
        <f>(7.4*12)+(2.5*12)</f>
        <v>118.80000000000001</v>
      </c>
      <c r="W24" s="433">
        <f t="shared" si="6"/>
        <v>0.12751487673561915</v>
      </c>
      <c r="Z24" s="2"/>
    </row>
    <row r="25" spans="1:26" ht="18" hidden="1" outlineLevel="1" x14ac:dyDescent="0.3">
      <c r="A25" s="92" t="s">
        <v>126</v>
      </c>
      <c r="B25" s="166"/>
      <c r="C25" s="238">
        <v>1.83</v>
      </c>
      <c r="D25" s="127"/>
      <c r="E25" s="166"/>
      <c r="F25" s="238">
        <v>3.3079999999999998</v>
      </c>
      <c r="G25" s="259">
        <f t="shared" si="0"/>
        <v>3.9321501874589005E-3</v>
      </c>
      <c r="H25" s="363"/>
      <c r="I25" s="238">
        <v>3.64</v>
      </c>
      <c r="J25" s="259">
        <f t="shared" si="1"/>
        <v>4.3267916210249094E-3</v>
      </c>
      <c r="K25" s="545"/>
      <c r="L25" s="238">
        <v>2.73</v>
      </c>
      <c r="M25" s="259">
        <f t="shared" si="2"/>
        <v>3.2450937157686818E-3</v>
      </c>
      <c r="N25" s="532"/>
      <c r="O25" s="238">
        <v>5.0999999999999996</v>
      </c>
      <c r="P25" s="259">
        <f t="shared" si="3"/>
        <v>6.0622629855019323E-3</v>
      </c>
      <c r="Q25" s="21"/>
      <c r="R25" s="238">
        <f>L25*2</f>
        <v>5.46</v>
      </c>
      <c r="S25" s="258">
        <f t="shared" si="4"/>
        <v>6.1372035932989828E-3</v>
      </c>
      <c r="T25" s="238">
        <f t="shared" ref="T25:T31" si="7">R25*1.01</f>
        <v>5.5145999999999997</v>
      </c>
      <c r="U25" s="258">
        <f t="shared" si="5"/>
        <v>6.0556346194391725E-3</v>
      </c>
      <c r="V25" s="238">
        <f t="shared" ref="V25:V31" si="8">T25*1.01</f>
        <v>5.5697459999999994</v>
      </c>
      <c r="W25" s="259">
        <f t="shared" si="6"/>
        <v>5.9783289111002332E-3</v>
      </c>
    </row>
    <row r="26" spans="1:26" ht="18" hidden="1" outlineLevel="1" x14ac:dyDescent="0.3">
      <c r="A26" s="92" t="s">
        <v>104</v>
      </c>
      <c r="B26" s="166"/>
      <c r="C26" s="238">
        <f>9.183+1.376</f>
        <v>10.558999999999999</v>
      </c>
      <c r="D26" s="127"/>
      <c r="E26" s="166"/>
      <c r="F26" s="238">
        <f>12.72924+3.78422</f>
        <v>16.513460000000002</v>
      </c>
      <c r="G26" s="259">
        <f t="shared" si="0"/>
        <v>1.9629203396189562E-2</v>
      </c>
      <c r="H26" s="363"/>
      <c r="I26" s="238">
        <f>3.18231+1.37608</f>
        <v>4.5583900000000002</v>
      </c>
      <c r="J26" s="259">
        <f t="shared" si="1"/>
        <v>5.4184625432317952E-3</v>
      </c>
      <c r="K26" s="545"/>
      <c r="L26" s="238">
        <v>8.7727599999999999</v>
      </c>
      <c r="M26" s="259">
        <f t="shared" si="2"/>
        <v>1.0427995731116066E-2</v>
      </c>
      <c r="N26" s="532"/>
      <c r="O26" s="238">
        <v>16.857479999999999</v>
      </c>
      <c r="P26" s="259">
        <f t="shared" si="3"/>
        <v>2.0038132751537083E-2</v>
      </c>
      <c r="Q26" s="21"/>
      <c r="R26" s="238">
        <f t="shared" ref="R26:R31" si="9">L26*2</f>
        <v>17.54552</v>
      </c>
      <c r="S26" s="258">
        <f t="shared" si="4"/>
        <v>1.9721690181373472E-2</v>
      </c>
      <c r="T26" s="238">
        <f t="shared" si="7"/>
        <v>17.720975200000002</v>
      </c>
      <c r="U26" s="258">
        <f t="shared" si="5"/>
        <v>1.9459571122355752E-2</v>
      </c>
      <c r="V26" s="238">
        <f t="shared" si="8"/>
        <v>17.898184952000001</v>
      </c>
      <c r="W26" s="259">
        <f t="shared" si="6"/>
        <v>1.9211151918733953E-2</v>
      </c>
    </row>
    <row r="27" spans="1:26" ht="18" hidden="1" outlineLevel="1" x14ac:dyDescent="0.3">
      <c r="A27" s="92" t="s">
        <v>127</v>
      </c>
      <c r="B27" s="166"/>
      <c r="C27" s="238">
        <v>0</v>
      </c>
      <c r="D27" s="127"/>
      <c r="E27" s="166"/>
      <c r="F27" s="238">
        <v>1.3680000000000001</v>
      </c>
      <c r="G27" s="259">
        <f t="shared" si="0"/>
        <v>1.6261128949346363E-3</v>
      </c>
      <c r="H27" s="363"/>
      <c r="I27" s="238">
        <v>0</v>
      </c>
      <c r="J27" s="259">
        <f t="shared" si="1"/>
        <v>0</v>
      </c>
      <c r="K27" s="545"/>
      <c r="L27" s="238">
        <v>0</v>
      </c>
      <c r="M27" s="259">
        <f t="shared" si="2"/>
        <v>0</v>
      </c>
      <c r="N27" s="532"/>
      <c r="O27" s="238">
        <v>0</v>
      </c>
      <c r="P27" s="259">
        <f t="shared" si="3"/>
        <v>0</v>
      </c>
      <c r="Q27" s="21"/>
      <c r="R27" s="238">
        <f t="shared" si="9"/>
        <v>0</v>
      </c>
      <c r="S27" s="258">
        <f t="shared" si="4"/>
        <v>0</v>
      </c>
      <c r="T27" s="238">
        <f t="shared" si="7"/>
        <v>0</v>
      </c>
      <c r="U27" s="258">
        <f t="shared" si="5"/>
        <v>0</v>
      </c>
      <c r="V27" s="238">
        <f t="shared" si="8"/>
        <v>0</v>
      </c>
      <c r="W27" s="259">
        <f t="shared" si="6"/>
        <v>0</v>
      </c>
    </row>
    <row r="28" spans="1:26" ht="18" hidden="1" outlineLevel="1" x14ac:dyDescent="0.3">
      <c r="A28" s="92" t="s">
        <v>29</v>
      </c>
      <c r="B28" s="166"/>
      <c r="C28" s="238">
        <v>9.2999999999999999E-2</v>
      </c>
      <c r="D28" s="127"/>
      <c r="E28" s="166"/>
      <c r="F28" s="238">
        <v>1.6682399999999999</v>
      </c>
      <c r="G28" s="259">
        <f t="shared" si="0"/>
        <v>1.9830018829281853E-3</v>
      </c>
      <c r="H28" s="363"/>
      <c r="I28" s="238">
        <v>1.8565</v>
      </c>
      <c r="J28" s="259">
        <f t="shared" si="1"/>
        <v>2.2067825946243801E-3</v>
      </c>
      <c r="K28" s="545"/>
      <c r="L28" s="238">
        <v>2.9944999999999999</v>
      </c>
      <c r="M28" s="259">
        <f t="shared" si="2"/>
        <v>3.5594993157030469E-3</v>
      </c>
      <c r="N28" s="532"/>
      <c r="O28" s="238">
        <v>6.4085000000000001</v>
      </c>
      <c r="P28" s="259">
        <f t="shared" si="3"/>
        <v>7.6176494789390471E-3</v>
      </c>
      <c r="Q28" s="21"/>
      <c r="R28" s="238">
        <f t="shared" si="9"/>
        <v>5.9889999999999999</v>
      </c>
      <c r="S28" s="258">
        <f t="shared" si="4"/>
        <v>6.7318154432724556E-3</v>
      </c>
      <c r="T28" s="238">
        <f t="shared" si="7"/>
        <v>6.0488900000000001</v>
      </c>
      <c r="U28" s="258">
        <f t="shared" si="5"/>
        <v>6.6423435413591955E-3</v>
      </c>
      <c r="V28" s="238">
        <f t="shared" si="8"/>
        <v>6.1093789000000003</v>
      </c>
      <c r="W28" s="259">
        <f t="shared" si="6"/>
        <v>6.5575479576152566E-3</v>
      </c>
    </row>
    <row r="29" spans="1:26" ht="18" hidden="1" outlineLevel="1" x14ac:dyDescent="0.3">
      <c r="A29" s="92" t="s">
        <v>36</v>
      </c>
      <c r="B29" s="166"/>
      <c r="C29" s="238">
        <v>0</v>
      </c>
      <c r="D29" s="127"/>
      <c r="E29" s="166"/>
      <c r="F29" s="238">
        <v>0.35</v>
      </c>
      <c r="G29" s="259">
        <f t="shared" si="0"/>
        <v>4.160376558677797E-4</v>
      </c>
      <c r="H29" s="363"/>
      <c r="I29" s="238">
        <v>2.2050000000000001</v>
      </c>
      <c r="J29" s="259">
        <f t="shared" si="1"/>
        <v>2.6210372319670121E-3</v>
      </c>
      <c r="K29" s="545"/>
      <c r="L29" s="238">
        <v>2.9049999999999998</v>
      </c>
      <c r="M29" s="259">
        <f t="shared" si="2"/>
        <v>3.4531125437025716E-3</v>
      </c>
      <c r="N29" s="532"/>
      <c r="O29" s="238">
        <v>5.0049999999999999</v>
      </c>
      <c r="P29" s="259">
        <f t="shared" si="3"/>
        <v>5.9493384789092501E-3</v>
      </c>
      <c r="Q29" s="21"/>
      <c r="R29" s="238">
        <f t="shared" si="9"/>
        <v>5.81</v>
      </c>
      <c r="S29" s="258">
        <f t="shared" si="4"/>
        <v>6.5306140800489168E-3</v>
      </c>
      <c r="T29" s="238">
        <f t="shared" si="7"/>
        <v>5.8681000000000001</v>
      </c>
      <c r="U29" s="258">
        <f t="shared" si="5"/>
        <v>6.4438163258134793E-3</v>
      </c>
      <c r="V29" s="238">
        <f t="shared" si="8"/>
        <v>5.9267810000000001</v>
      </c>
      <c r="W29" s="259">
        <f t="shared" si="6"/>
        <v>6.3615551233502489E-3</v>
      </c>
    </row>
    <row r="30" spans="1:26" ht="18" hidden="1" outlineLevel="1" x14ac:dyDescent="0.3">
      <c r="A30" s="97" t="s">
        <v>16</v>
      </c>
      <c r="B30" s="166"/>
      <c r="C30" s="238">
        <v>14.853</v>
      </c>
      <c r="D30" s="127"/>
      <c r="E30" s="166"/>
      <c r="F30" s="238">
        <v>20.782170000000001</v>
      </c>
      <c r="G30" s="259">
        <f t="shared" si="0"/>
        <v>2.4703329401844845E-2</v>
      </c>
      <c r="H30" s="363"/>
      <c r="I30" s="238">
        <v>11.17567</v>
      </c>
      <c r="J30" s="259">
        <f t="shared" si="1"/>
        <v>1.3284284427291057E-2</v>
      </c>
      <c r="K30" s="545"/>
      <c r="L30" s="238">
        <v>11.66015</v>
      </c>
      <c r="M30" s="259">
        <f t="shared" si="2"/>
        <v>1.3860175637333404E-2</v>
      </c>
      <c r="N30" s="532"/>
      <c r="O30" s="238">
        <v>34.22401</v>
      </c>
      <c r="P30" s="259">
        <f t="shared" si="3"/>
        <v>4.068136255655843E-2</v>
      </c>
      <c r="Q30" s="21"/>
      <c r="R30" s="238">
        <f t="shared" si="9"/>
        <v>23.3203</v>
      </c>
      <c r="S30" s="258">
        <f t="shared" si="4"/>
        <v>2.6212715926155726E-2</v>
      </c>
      <c r="T30" s="238">
        <f t="shared" si="7"/>
        <v>23.553502999999999</v>
      </c>
      <c r="U30" s="258">
        <f t="shared" si="5"/>
        <v>2.5864325277602077E-2</v>
      </c>
      <c r="V30" s="238">
        <f t="shared" si="8"/>
        <v>23.78903803</v>
      </c>
      <c r="W30" s="259">
        <f t="shared" si="6"/>
        <v>2.5534143535811502E-2</v>
      </c>
    </row>
    <row r="31" spans="1:26" ht="18" hidden="1" outlineLevel="1" x14ac:dyDescent="0.3">
      <c r="A31" s="97" t="s">
        <v>183</v>
      </c>
      <c r="B31" s="166"/>
      <c r="C31" s="238">
        <f>8.347+6.047+0.003</f>
        <v>14.396999999999998</v>
      </c>
      <c r="D31" s="127"/>
      <c r="E31" s="166"/>
      <c r="F31" s="238">
        <f>8.454+3+7.04+0.45911</f>
        <v>18.953109999999999</v>
      </c>
      <c r="G31" s="259">
        <f t="shared" si="0"/>
        <v>2.2529164159440496E-2</v>
      </c>
      <c r="H31" s="363"/>
      <c r="I31" s="238">
        <f>4.146+0.1+0.004</f>
        <v>4.2499999999999991</v>
      </c>
      <c r="J31" s="259">
        <f t="shared" si="1"/>
        <v>5.05188582125161E-3</v>
      </c>
      <c r="K31" s="545"/>
      <c r="L31" s="238">
        <f>6.522</f>
        <v>6.5220000000000002</v>
      </c>
      <c r="M31" s="259">
        <f t="shared" si="2"/>
        <v>7.7525645473418845E-3</v>
      </c>
      <c r="N31" s="532"/>
      <c r="O31" s="238">
        <v>12.472</v>
      </c>
      <c r="P31" s="259">
        <f t="shared" si="3"/>
        <v>1.4825204697094139E-2</v>
      </c>
      <c r="Q31" s="21"/>
      <c r="R31" s="238">
        <f t="shared" si="9"/>
        <v>13.044</v>
      </c>
      <c r="S31" s="258">
        <f t="shared" si="4"/>
        <v>1.4661846826188998E-2</v>
      </c>
      <c r="T31" s="238">
        <f t="shared" si="7"/>
        <v>13.174440000000001</v>
      </c>
      <c r="U31" s="258">
        <f t="shared" si="5"/>
        <v>1.4466977651275564E-2</v>
      </c>
      <c r="V31" s="238">
        <f t="shared" si="8"/>
        <v>13.306184400000001</v>
      </c>
      <c r="W31" s="259">
        <f t="shared" si="6"/>
        <v>1.428229346454056E-2</v>
      </c>
    </row>
    <row r="32" spans="1:26" ht="18" hidden="1" outlineLevel="1" x14ac:dyDescent="0.3">
      <c r="A32" s="251" t="s">
        <v>14</v>
      </c>
      <c r="B32" s="166"/>
      <c r="C32" s="238">
        <v>16.074999999999999</v>
      </c>
      <c r="D32" s="127"/>
      <c r="E32" s="166"/>
      <c r="F32" s="238">
        <v>44.189599999999999</v>
      </c>
      <c r="G32" s="259">
        <f t="shared" si="0"/>
        <v>5.2527250279242398E-2</v>
      </c>
      <c r="H32" s="363"/>
      <c r="I32" s="238">
        <v>0.51559999999999995</v>
      </c>
      <c r="J32" s="259">
        <f t="shared" si="1"/>
        <v>6.1288290104407771E-4</v>
      </c>
      <c r="K32" s="545"/>
      <c r="L32" s="238">
        <v>21.093399999999999</v>
      </c>
      <c r="M32" s="259">
        <f t="shared" si="2"/>
        <v>2.5073281972232641E-2</v>
      </c>
      <c r="N32" s="532"/>
      <c r="O32" s="238">
        <v>55.426459999999999</v>
      </c>
      <c r="P32" s="259">
        <f t="shared" si="3"/>
        <v>6.5884269975569301E-2</v>
      </c>
      <c r="Q32" s="21"/>
      <c r="R32" s="238">
        <f>VARIABLE!E5</f>
        <v>20</v>
      </c>
      <c r="S32" s="258">
        <f t="shared" si="4"/>
        <v>2.2480599242853415E-2</v>
      </c>
      <c r="T32" s="238">
        <f>VARIABLE!F5</f>
        <v>25</v>
      </c>
      <c r="U32" s="258">
        <f t="shared" si="5"/>
        <v>2.7452737367348372E-2</v>
      </c>
      <c r="V32" s="238">
        <f>VARIABLE!G5</f>
        <v>30</v>
      </c>
      <c r="W32" s="259">
        <f t="shared" si="6"/>
        <v>3.2200726448388672E-2</v>
      </c>
      <c r="X32" s="419"/>
    </row>
    <row r="33" spans="1:23" ht="18" hidden="1" outlineLevel="1" x14ac:dyDescent="0.3">
      <c r="A33" s="97" t="s">
        <v>105</v>
      </c>
      <c r="B33" s="166"/>
      <c r="C33" s="238">
        <v>6.75</v>
      </c>
      <c r="D33" s="127"/>
      <c r="E33" s="166"/>
      <c r="F33" s="238">
        <v>2.8</v>
      </c>
      <c r="G33" s="259">
        <f t="shared" si="0"/>
        <v>3.3283012469422376E-3</v>
      </c>
      <c r="H33" s="363"/>
      <c r="I33" s="238">
        <v>0.47772999999999999</v>
      </c>
      <c r="J33" s="259">
        <f t="shared" si="1"/>
        <v>5.6786762667918403E-4</v>
      </c>
      <c r="K33" s="545"/>
      <c r="L33" s="238">
        <v>0.47772999999999999</v>
      </c>
      <c r="M33" s="259">
        <f t="shared" si="2"/>
        <v>5.6786762667918403E-4</v>
      </c>
      <c r="N33" s="532"/>
      <c r="O33" s="238">
        <v>0.47772999999999999</v>
      </c>
      <c r="P33" s="259">
        <f t="shared" si="3"/>
        <v>5.6786762667918403E-4</v>
      </c>
      <c r="Q33" s="21"/>
      <c r="R33" s="238">
        <v>5</v>
      </c>
      <c r="S33" s="258">
        <f t="shared" si="4"/>
        <v>5.6201498107133537E-3</v>
      </c>
      <c r="T33" s="238">
        <v>10</v>
      </c>
      <c r="U33" s="258">
        <f t="shared" si="5"/>
        <v>1.0981094946939348E-2</v>
      </c>
      <c r="V33" s="238">
        <v>15</v>
      </c>
      <c r="W33" s="259">
        <f t="shared" si="6"/>
        <v>1.6100363224194336E-2</v>
      </c>
    </row>
    <row r="34" spans="1:23" ht="18" hidden="1" outlineLevel="1" x14ac:dyDescent="0.3">
      <c r="A34" s="251" t="s">
        <v>84</v>
      </c>
      <c r="B34" s="166"/>
      <c r="C34" s="238">
        <v>22.774999999999999</v>
      </c>
      <c r="D34" s="127"/>
      <c r="E34" s="166"/>
      <c r="F34" s="238">
        <v>41.243259999999999</v>
      </c>
      <c r="G34" s="259">
        <f t="shared" si="0"/>
        <v>4.9024997744986754E-2</v>
      </c>
      <c r="H34" s="363"/>
      <c r="I34" s="238">
        <v>0</v>
      </c>
      <c r="J34" s="259">
        <f t="shared" si="1"/>
        <v>0</v>
      </c>
      <c r="K34" s="545"/>
      <c r="L34" s="238">
        <v>0</v>
      </c>
      <c r="M34" s="259">
        <f t="shared" si="2"/>
        <v>0</v>
      </c>
      <c r="N34" s="532"/>
      <c r="O34" s="238">
        <v>10</v>
      </c>
      <c r="P34" s="259">
        <f t="shared" si="3"/>
        <v>1.1886790167650849E-2</v>
      </c>
      <c r="Q34" s="21"/>
      <c r="R34" s="238">
        <f>VARIABLE!E7</f>
        <v>40</v>
      </c>
      <c r="S34" s="258">
        <f t="shared" si="4"/>
        <v>4.496119848570683E-2</v>
      </c>
      <c r="T34" s="238">
        <f>VARIABLE!F7</f>
        <v>50</v>
      </c>
      <c r="U34" s="258">
        <f t="shared" si="5"/>
        <v>5.4905474734696744E-2</v>
      </c>
      <c r="V34" s="238">
        <f>VARIABLE!G7</f>
        <v>60</v>
      </c>
      <c r="W34" s="259">
        <f t="shared" si="6"/>
        <v>6.4401452896777345E-2</v>
      </c>
    </row>
    <row r="35" spans="1:23" ht="18" hidden="1" outlineLevel="1" x14ac:dyDescent="0.3">
      <c r="A35" s="251" t="s">
        <v>136</v>
      </c>
      <c r="B35" s="166"/>
      <c r="C35" s="238">
        <v>0</v>
      </c>
      <c r="D35" s="127"/>
      <c r="E35" s="166"/>
      <c r="F35" s="238">
        <v>3.5</v>
      </c>
      <c r="G35" s="259">
        <f t="shared" si="0"/>
        <v>4.1603765586777971E-3</v>
      </c>
      <c r="H35" s="363"/>
      <c r="I35" s="238">
        <v>3.5</v>
      </c>
      <c r="J35" s="259">
        <f t="shared" si="1"/>
        <v>4.1603765586777971E-3</v>
      </c>
      <c r="K35" s="545"/>
      <c r="L35" s="238">
        <v>3.5</v>
      </c>
      <c r="M35" s="259">
        <f t="shared" si="2"/>
        <v>4.1603765586777971E-3</v>
      </c>
      <c r="N35" s="532"/>
      <c r="O35" s="238">
        <v>3.5</v>
      </c>
      <c r="P35" s="259">
        <f t="shared" si="3"/>
        <v>4.1603765586777971E-3</v>
      </c>
      <c r="Q35" s="21"/>
      <c r="R35" s="238">
        <v>0</v>
      </c>
      <c r="S35" s="258">
        <f>R35/$R$7</f>
        <v>0</v>
      </c>
      <c r="T35" s="238">
        <v>0</v>
      </c>
      <c r="U35" s="258">
        <f>T35/$T$7</f>
        <v>0</v>
      </c>
      <c r="V35" s="238">
        <v>0</v>
      </c>
      <c r="W35" s="259">
        <f>V35/$V$7</f>
        <v>0</v>
      </c>
    </row>
    <row r="36" spans="1:23" ht="18" hidden="1" outlineLevel="1" x14ac:dyDescent="0.3">
      <c r="A36" s="97" t="s">
        <v>106</v>
      </c>
      <c r="B36" s="166"/>
      <c r="C36" s="238">
        <v>1.2</v>
      </c>
      <c r="D36" s="127"/>
      <c r="E36" s="166"/>
      <c r="F36" s="238">
        <v>0</v>
      </c>
      <c r="G36" s="259">
        <f t="shared" si="0"/>
        <v>0</v>
      </c>
      <c r="H36" s="363"/>
      <c r="I36" s="238">
        <v>0</v>
      </c>
      <c r="J36" s="259">
        <f t="shared" si="1"/>
        <v>0</v>
      </c>
      <c r="K36" s="545"/>
      <c r="L36" s="238">
        <v>0</v>
      </c>
      <c r="M36" s="259">
        <f t="shared" si="2"/>
        <v>0</v>
      </c>
      <c r="N36" s="532"/>
      <c r="O36" s="238">
        <v>0</v>
      </c>
      <c r="P36" s="259">
        <f t="shared" si="3"/>
        <v>0</v>
      </c>
      <c r="Q36" s="21"/>
      <c r="R36" s="238">
        <v>0</v>
      </c>
      <c r="S36" s="258">
        <f t="shared" si="4"/>
        <v>0</v>
      </c>
      <c r="T36" s="238">
        <v>0</v>
      </c>
      <c r="U36" s="258">
        <f t="shared" si="5"/>
        <v>0</v>
      </c>
      <c r="V36" s="238">
        <v>0</v>
      </c>
      <c r="W36" s="259">
        <f t="shared" si="6"/>
        <v>0</v>
      </c>
    </row>
    <row r="37" spans="1:23" ht="18" hidden="1" outlineLevel="1" x14ac:dyDescent="0.3">
      <c r="A37" s="251" t="s">
        <v>107</v>
      </c>
      <c r="B37" s="166"/>
      <c r="C37" s="238">
        <v>14.679</v>
      </c>
      <c r="D37" s="127"/>
      <c r="E37" s="166"/>
      <c r="F37" s="238">
        <v>2.77</v>
      </c>
      <c r="G37" s="259">
        <f t="shared" si="0"/>
        <v>3.2926408764392852E-3</v>
      </c>
      <c r="H37" s="363"/>
      <c r="I37" s="238">
        <v>0.74038000000000004</v>
      </c>
      <c r="J37" s="259">
        <f t="shared" si="1"/>
        <v>8.8007417043253365E-4</v>
      </c>
      <c r="K37" s="545"/>
      <c r="L37" s="238">
        <v>0</v>
      </c>
      <c r="M37" s="259">
        <f t="shared" si="2"/>
        <v>0</v>
      </c>
      <c r="N37" s="532"/>
      <c r="O37" s="238">
        <v>0.74038000000000004</v>
      </c>
      <c r="P37" s="259">
        <f t="shared" si="3"/>
        <v>8.8007417043253365E-4</v>
      </c>
      <c r="Q37" s="21"/>
      <c r="R37" s="238">
        <f>VARIABLE!E6</f>
        <v>20</v>
      </c>
      <c r="S37" s="258">
        <f t="shared" si="4"/>
        <v>2.2480599242853415E-2</v>
      </c>
      <c r="T37" s="238">
        <f>VARIABLE!F6</f>
        <v>25</v>
      </c>
      <c r="U37" s="258">
        <f t="shared" si="5"/>
        <v>2.7452737367348372E-2</v>
      </c>
      <c r="V37" s="238">
        <f>VARIABLE!G6</f>
        <v>30</v>
      </c>
      <c r="W37" s="259">
        <f t="shared" si="6"/>
        <v>3.2200726448388672E-2</v>
      </c>
    </row>
    <row r="38" spans="1:23" ht="18" hidden="1" outlineLevel="1" x14ac:dyDescent="0.3">
      <c r="A38" s="97" t="s">
        <v>17</v>
      </c>
      <c r="B38" s="166"/>
      <c r="C38" s="238">
        <v>0.57299999999999995</v>
      </c>
      <c r="D38" s="127"/>
      <c r="E38" s="166"/>
      <c r="F38" s="238">
        <f>38.02/1000</f>
        <v>3.8020000000000005E-2</v>
      </c>
      <c r="G38" s="259">
        <f t="shared" si="0"/>
        <v>4.5193576217408538E-5</v>
      </c>
      <c r="H38" s="363"/>
      <c r="I38" s="238">
        <v>4.3700000000000003E-2</v>
      </c>
      <c r="J38" s="259">
        <f t="shared" si="1"/>
        <v>5.1945273032634213E-5</v>
      </c>
      <c r="K38" s="545"/>
      <c r="L38" s="238">
        <v>0.08</v>
      </c>
      <c r="M38" s="259">
        <f t="shared" si="2"/>
        <v>9.5094321341206798E-5</v>
      </c>
      <c r="N38" s="532"/>
      <c r="O38" s="238">
        <v>0.08</v>
      </c>
      <c r="P38" s="259">
        <f t="shared" si="3"/>
        <v>9.5094321341206798E-5</v>
      </c>
      <c r="Q38" s="21"/>
      <c r="R38" s="238">
        <f>L38*2</f>
        <v>0.16</v>
      </c>
      <c r="S38" s="258">
        <f t="shared" si="4"/>
        <v>1.7984479394282733E-4</v>
      </c>
      <c r="T38" s="238">
        <f>R38*1.01</f>
        <v>0.16159999999999999</v>
      </c>
      <c r="U38" s="258">
        <f t="shared" si="5"/>
        <v>1.7745449434253987E-4</v>
      </c>
      <c r="V38" s="238">
        <f>T38*1.01</f>
        <v>0.163216</v>
      </c>
      <c r="W38" s="259">
        <f t="shared" si="6"/>
        <v>1.7518912560000687E-4</v>
      </c>
    </row>
    <row r="39" spans="1:23" ht="18" hidden="1" outlineLevel="1" x14ac:dyDescent="0.3">
      <c r="A39" s="97" t="s">
        <v>86</v>
      </c>
      <c r="B39" s="166"/>
      <c r="C39" s="238">
        <v>0</v>
      </c>
      <c r="D39" s="127"/>
      <c r="E39" s="166"/>
      <c r="F39" s="238">
        <v>0.57199999999999995</v>
      </c>
      <c r="G39" s="259">
        <f t="shared" si="0"/>
        <v>6.7992439758962847E-4</v>
      </c>
      <c r="H39" s="363"/>
      <c r="I39" s="238">
        <v>0.89024999999999999</v>
      </c>
      <c r="J39" s="259">
        <f t="shared" si="1"/>
        <v>1.0582214946751169E-3</v>
      </c>
      <c r="K39" s="545"/>
      <c r="L39" s="238">
        <v>1.0766500000000001</v>
      </c>
      <c r="M39" s="259">
        <f t="shared" si="2"/>
        <v>1.2797912634001287E-3</v>
      </c>
      <c r="N39" s="532"/>
      <c r="O39" s="238">
        <v>2.5310000000000001</v>
      </c>
      <c r="P39" s="259">
        <f t="shared" si="3"/>
        <v>3.0085465914324299E-3</v>
      </c>
      <c r="Q39" s="21"/>
      <c r="R39" s="238">
        <f>L39*2</f>
        <v>2.1533000000000002</v>
      </c>
      <c r="S39" s="258">
        <f t="shared" si="4"/>
        <v>2.4203737174818131E-3</v>
      </c>
      <c r="T39" s="238">
        <f>R39*1.01</f>
        <v>2.174833</v>
      </c>
      <c r="U39" s="258">
        <f t="shared" si="5"/>
        <v>2.3882047666736943E-3</v>
      </c>
      <c r="V39" s="238">
        <f>T39*1.01</f>
        <v>2.1965813299999999</v>
      </c>
      <c r="W39" s="259">
        <f t="shared" si="6"/>
        <v>2.3577171509655921E-3</v>
      </c>
    </row>
    <row r="40" spans="1:23" ht="18" hidden="1" outlineLevel="1" x14ac:dyDescent="0.3">
      <c r="A40" s="97" t="s">
        <v>18</v>
      </c>
      <c r="B40" s="166"/>
      <c r="C40" s="238">
        <v>1.583</v>
      </c>
      <c r="D40" s="127"/>
      <c r="E40" s="166"/>
      <c r="F40" s="238">
        <v>3.1190000000000002</v>
      </c>
      <c r="G40" s="259">
        <f t="shared" si="0"/>
        <v>3.7074898532903E-3</v>
      </c>
      <c r="H40" s="363"/>
      <c r="I40" s="238">
        <v>2.1466400000000001</v>
      </c>
      <c r="J40" s="259">
        <f t="shared" si="1"/>
        <v>2.551665924548602E-3</v>
      </c>
      <c r="K40" s="545"/>
      <c r="L40" s="238">
        <v>2.8817499999999998</v>
      </c>
      <c r="M40" s="259">
        <f t="shared" si="2"/>
        <v>3.4254757565627832E-3</v>
      </c>
      <c r="N40" s="532"/>
      <c r="O40" s="238">
        <v>5.07355</v>
      </c>
      <c r="P40" s="259">
        <f t="shared" si="3"/>
        <v>6.0308224255084964E-3</v>
      </c>
      <c r="Q40" s="21"/>
      <c r="R40" s="238">
        <f>L40*2</f>
        <v>5.7634999999999996</v>
      </c>
      <c r="S40" s="258">
        <f t="shared" si="4"/>
        <v>6.4783466868092825E-3</v>
      </c>
      <c r="T40" s="238">
        <f>R40*1.01</f>
        <v>5.8211349999999999</v>
      </c>
      <c r="U40" s="258">
        <f t="shared" si="5"/>
        <v>6.3922436133951781E-3</v>
      </c>
      <c r="V40" s="238">
        <f>T40*1.01</f>
        <v>5.8793463499999996</v>
      </c>
      <c r="W40" s="259">
        <f t="shared" si="6"/>
        <v>6.3106407837227466E-3</v>
      </c>
    </row>
    <row r="41" spans="1:23" ht="18" hidden="1" outlineLevel="1" x14ac:dyDescent="0.3">
      <c r="A41" s="97" t="s">
        <v>19</v>
      </c>
      <c r="B41" s="166"/>
      <c r="C41" s="238">
        <v>2.3479999999999999</v>
      </c>
      <c r="D41" s="127"/>
      <c r="E41" s="166"/>
      <c r="F41" s="238">
        <v>4.4130000000000003</v>
      </c>
      <c r="G41" s="259">
        <f t="shared" si="0"/>
        <v>5.2456405009843202E-3</v>
      </c>
      <c r="H41" s="363"/>
      <c r="I41" s="238">
        <v>2.2662300000000002</v>
      </c>
      <c r="J41" s="259">
        <f t="shared" si="1"/>
        <v>2.6938200481635387E-3</v>
      </c>
      <c r="K41" s="545"/>
      <c r="L41" s="238">
        <v>2.65639</v>
      </c>
      <c r="M41" s="259">
        <f t="shared" si="2"/>
        <v>3.1575950533446039E-3</v>
      </c>
      <c r="N41" s="532"/>
      <c r="O41" s="238">
        <v>4.8620999999999999</v>
      </c>
      <c r="P41" s="259">
        <f t="shared" si="3"/>
        <v>5.7794762474135189E-3</v>
      </c>
      <c r="Q41" s="21"/>
      <c r="R41" s="238">
        <f>L41*2</f>
        <v>5.3127800000000001</v>
      </c>
      <c r="S41" s="258">
        <f t="shared" si="4"/>
        <v>5.9717239022723384E-3</v>
      </c>
      <c r="T41" s="238">
        <f>R41*0.01</f>
        <v>5.3127800000000003E-2</v>
      </c>
      <c r="U41" s="258">
        <f t="shared" si="5"/>
        <v>5.8340141612200435E-5</v>
      </c>
      <c r="V41" s="238">
        <f>T41*1.01</f>
        <v>5.3659078000000006E-2</v>
      </c>
      <c r="W41" s="259">
        <f t="shared" si="6"/>
        <v>5.7595376405025035E-5</v>
      </c>
    </row>
    <row r="42" spans="1:23" ht="18" hidden="1" outlineLevel="1" x14ac:dyDescent="0.3">
      <c r="A42" s="97" t="s">
        <v>108</v>
      </c>
      <c r="B42" s="166"/>
      <c r="C42" s="238">
        <v>0.5</v>
      </c>
      <c r="D42" s="127"/>
      <c r="E42" s="166"/>
      <c r="F42" s="238">
        <v>0.16223000000000001</v>
      </c>
      <c r="G42" s="259">
        <f t="shared" si="0"/>
        <v>1.9283939688979974E-4</v>
      </c>
      <c r="H42" s="363"/>
      <c r="I42" s="238">
        <v>1.2500000000000001E-2</v>
      </c>
      <c r="J42" s="259">
        <f t="shared" si="1"/>
        <v>1.4858487709563562E-5</v>
      </c>
      <c r="K42" s="545"/>
      <c r="L42" s="238">
        <f>0.0245+0.00753</f>
        <v>3.2030000000000003E-2</v>
      </c>
      <c r="M42" s="259">
        <f t="shared" si="2"/>
        <v>3.8073388906985676E-5</v>
      </c>
      <c r="N42" s="532"/>
      <c r="O42" s="238">
        <v>0.63700000000000001</v>
      </c>
      <c r="P42" s="259">
        <f t="shared" si="3"/>
        <v>7.5718853367935906E-4</v>
      </c>
      <c r="Q42" s="21"/>
      <c r="R42" s="238">
        <f>L42*2</f>
        <v>6.4060000000000006E-2</v>
      </c>
      <c r="S42" s="258">
        <f t="shared" si="4"/>
        <v>7.2005359374859501E-5</v>
      </c>
      <c r="T42" s="238">
        <f>R42*1.01</f>
        <v>6.4700600000000011E-2</v>
      </c>
      <c r="U42" s="258">
        <f t="shared" si="5"/>
        <v>7.1048343172394406E-5</v>
      </c>
      <c r="V42" s="238">
        <f>T42*1.01</f>
        <v>6.5347606000000016E-2</v>
      </c>
      <c r="W42" s="259">
        <f t="shared" si="6"/>
        <v>7.0141346162102758E-5</v>
      </c>
    </row>
    <row r="43" spans="1:23" ht="18" hidden="1" outlineLevel="1" x14ac:dyDescent="0.3">
      <c r="A43" s="97" t="s">
        <v>115</v>
      </c>
      <c r="B43" s="166"/>
      <c r="C43" s="238">
        <v>-0.47199999999999998</v>
      </c>
      <c r="D43" s="127"/>
      <c r="E43" s="166"/>
      <c r="F43" s="238">
        <v>0</v>
      </c>
      <c r="G43" s="259">
        <f t="shared" si="0"/>
        <v>0</v>
      </c>
      <c r="H43" s="363"/>
      <c r="I43" s="238">
        <v>0</v>
      </c>
      <c r="J43" s="259">
        <f t="shared" si="1"/>
        <v>0</v>
      </c>
      <c r="K43" s="545"/>
      <c r="L43" s="238">
        <v>0.70799999999999996</v>
      </c>
      <c r="M43" s="259">
        <f t="shared" si="2"/>
        <v>8.4158474386968008E-4</v>
      </c>
      <c r="N43" s="532"/>
      <c r="O43" s="238">
        <v>1.0620000000000001</v>
      </c>
      <c r="P43" s="259">
        <f t="shared" si="3"/>
        <v>1.2623771158045203E-3</v>
      </c>
      <c r="Q43" s="21"/>
      <c r="R43" s="238">
        <v>0</v>
      </c>
      <c r="S43" s="258">
        <f t="shared" si="4"/>
        <v>0</v>
      </c>
      <c r="T43" s="238">
        <v>0</v>
      </c>
      <c r="U43" s="258">
        <f t="shared" si="5"/>
        <v>0</v>
      </c>
      <c r="V43" s="238">
        <v>0</v>
      </c>
      <c r="W43" s="259">
        <f t="shared" si="6"/>
        <v>0</v>
      </c>
    </row>
    <row r="44" spans="1:23" x14ac:dyDescent="0.35">
      <c r="A44" s="180"/>
      <c r="B44" s="167"/>
      <c r="C44" s="138"/>
      <c r="D44" s="136"/>
      <c r="E44" s="167"/>
      <c r="F44" s="138"/>
      <c r="G44" s="136"/>
      <c r="H44" s="114"/>
      <c r="I44" s="138"/>
      <c r="J44" s="136"/>
      <c r="K44" s="499"/>
      <c r="L44" s="138"/>
      <c r="M44" s="136"/>
      <c r="N44" s="534"/>
      <c r="O44" s="138"/>
      <c r="P44" s="136"/>
      <c r="Q44" s="8"/>
      <c r="R44" s="138"/>
      <c r="S44" s="153"/>
      <c r="T44" s="138"/>
      <c r="U44" s="136"/>
      <c r="V44" s="138"/>
      <c r="W44" s="136"/>
    </row>
    <row r="45" spans="1:23" ht="18" collapsed="1" x14ac:dyDescent="0.3">
      <c r="A45" s="178" t="s">
        <v>23</v>
      </c>
      <c r="B45" s="164"/>
      <c r="C45" s="241">
        <f>SUM(C46:C50)</f>
        <v>0.45</v>
      </c>
      <c r="D45" s="257">
        <f>C45/C7</f>
        <v>6.8188017092462943E-4</v>
      </c>
      <c r="E45" s="164"/>
      <c r="F45" s="241">
        <f>SUM(F46:F49)</f>
        <v>8.2824999999999989</v>
      </c>
      <c r="G45" s="257">
        <f>F45/F7</f>
        <v>9.845233956356815E-3</v>
      </c>
      <c r="H45" s="362"/>
      <c r="I45" s="241">
        <f>SUM(I46:I49)</f>
        <v>2.7608333333333333</v>
      </c>
      <c r="J45" s="257">
        <f>I45/I7</f>
        <v>1.0056003568473486E-2</v>
      </c>
      <c r="K45" s="544"/>
      <c r="L45" s="241">
        <f>SUM(L46:L49)</f>
        <v>-0.4355</v>
      </c>
      <c r="M45" s="257">
        <f>L45/L7</f>
        <v>-1.0124312139587273E-3</v>
      </c>
      <c r="N45" s="531"/>
      <c r="O45" s="241">
        <f>SUM(O46:O49)</f>
        <v>2.718</v>
      </c>
      <c r="P45" s="257">
        <f>O45/O7</f>
        <v>3.0899313889943473E-3</v>
      </c>
      <c r="Q45" s="8"/>
      <c r="R45" s="241">
        <f>SUM(R46:R50)</f>
        <v>0.79449999999999998</v>
      </c>
      <c r="S45" s="203">
        <f>R45/R7</f>
        <v>8.9304180492235188E-4</v>
      </c>
      <c r="T45" s="241">
        <f>SUM(T46:T50)</f>
        <v>0.80909999999999993</v>
      </c>
      <c r="U45" s="203">
        <f>T45/T7</f>
        <v>8.8848039215686262E-4</v>
      </c>
      <c r="V45" s="241">
        <f>SUM(V46:V50)</f>
        <v>0.82384599999999986</v>
      </c>
      <c r="W45" s="257">
        <f>V45/V7</f>
        <v>8.8428132271997368E-4</v>
      </c>
    </row>
    <row r="46" spans="1:23" hidden="1" outlineLevel="1" x14ac:dyDescent="0.35">
      <c r="A46" s="178"/>
      <c r="B46" s="164"/>
      <c r="C46" s="134"/>
      <c r="D46" s="136"/>
      <c r="E46" s="164"/>
      <c r="F46" s="134"/>
      <c r="G46" s="136"/>
      <c r="H46" s="114"/>
      <c r="I46" s="134"/>
      <c r="J46" s="136"/>
      <c r="K46" s="499"/>
      <c r="L46" s="134"/>
      <c r="M46" s="136"/>
      <c r="N46" s="534"/>
      <c r="O46" s="134"/>
      <c r="P46" s="136"/>
      <c r="Q46" s="8"/>
      <c r="R46" s="134"/>
      <c r="S46" s="153"/>
      <c r="T46" s="134"/>
      <c r="U46" s="136"/>
      <c r="V46" s="134"/>
      <c r="W46" s="136"/>
    </row>
    <row r="47" spans="1:23" hidden="1" outlineLevel="1" x14ac:dyDescent="0.35">
      <c r="A47" s="97" t="s">
        <v>75</v>
      </c>
      <c r="B47" s="164"/>
      <c r="C47" s="238">
        <v>0.45</v>
      </c>
      <c r="D47" s="136"/>
      <c r="E47" s="164"/>
      <c r="F47" s="238">
        <v>3.0065</v>
      </c>
      <c r="G47" s="136"/>
      <c r="H47" s="114"/>
      <c r="I47" s="238">
        <f>F47/12*4</f>
        <v>1.0021666666666667</v>
      </c>
      <c r="J47" s="136"/>
      <c r="K47" s="499"/>
      <c r="L47" s="238">
        <v>-1.1655</v>
      </c>
      <c r="M47" s="136"/>
      <c r="N47" s="534"/>
      <c r="O47" s="238">
        <v>0.53500000000000003</v>
      </c>
      <c r="P47" s="136"/>
      <c r="Q47" s="8"/>
      <c r="R47" s="260">
        <f>L47</f>
        <v>-1.1655</v>
      </c>
      <c r="S47" s="153"/>
      <c r="T47" s="260">
        <f>R47</f>
        <v>-1.1655</v>
      </c>
      <c r="U47" s="136"/>
      <c r="V47" s="260">
        <f>T47</f>
        <v>-1.1655</v>
      </c>
      <c r="W47" s="136"/>
    </row>
    <row r="48" spans="1:23" hidden="1" outlineLevel="1" x14ac:dyDescent="0.35">
      <c r="A48" s="97" t="s">
        <v>76</v>
      </c>
      <c r="B48" s="168"/>
      <c r="C48" s="238">
        <v>0</v>
      </c>
      <c r="D48" s="136"/>
      <c r="E48" s="168"/>
      <c r="F48" s="238"/>
      <c r="G48" s="136"/>
      <c r="H48" s="114"/>
      <c r="I48" s="238"/>
      <c r="J48" s="136"/>
      <c r="K48" s="499"/>
      <c r="L48" s="238"/>
      <c r="M48" s="136"/>
      <c r="N48" s="534"/>
      <c r="O48" s="238"/>
      <c r="P48" s="136"/>
      <c r="Q48" s="8"/>
      <c r="R48" s="238">
        <v>0.5</v>
      </c>
      <c r="S48" s="153"/>
      <c r="T48" s="238">
        <v>0.5</v>
      </c>
      <c r="U48" s="136"/>
      <c r="V48" s="238">
        <v>0.5</v>
      </c>
      <c r="W48" s="136"/>
    </row>
    <row r="49" spans="1:26" hidden="1" outlineLevel="1" x14ac:dyDescent="0.35">
      <c r="A49" s="97" t="s">
        <v>47</v>
      </c>
      <c r="B49" s="168"/>
      <c r="C49" s="238">
        <v>0</v>
      </c>
      <c r="D49" s="136"/>
      <c r="E49" s="168"/>
      <c r="F49" s="238">
        <v>5.2759999999999998</v>
      </c>
      <c r="G49" s="136"/>
      <c r="H49" s="114"/>
      <c r="I49" s="238">
        <f>F49/12*4</f>
        <v>1.7586666666666666</v>
      </c>
      <c r="J49" s="136"/>
      <c r="K49" s="499"/>
      <c r="L49" s="238">
        <v>0.73</v>
      </c>
      <c r="M49" s="136"/>
      <c r="N49" s="534"/>
      <c r="O49" s="238">
        <v>2.1829999999999998</v>
      </c>
      <c r="P49" s="136"/>
      <c r="Q49" s="8"/>
      <c r="R49" s="238">
        <f>L49*2</f>
        <v>1.46</v>
      </c>
      <c r="S49" s="153"/>
      <c r="T49" s="238">
        <f>R49*1.01</f>
        <v>1.4745999999999999</v>
      </c>
      <c r="U49" s="136"/>
      <c r="V49" s="238">
        <f>T49*1.01</f>
        <v>1.4893459999999998</v>
      </c>
      <c r="W49" s="136"/>
    </row>
    <row r="50" spans="1:26" x14ac:dyDescent="0.35">
      <c r="A50" s="97"/>
      <c r="B50" s="168"/>
      <c r="C50" s="134"/>
      <c r="D50" s="136"/>
      <c r="E50" s="168"/>
      <c r="F50" s="134"/>
      <c r="G50" s="136"/>
      <c r="H50" s="114"/>
      <c r="I50" s="134"/>
      <c r="J50" s="136"/>
      <c r="K50" s="499"/>
      <c r="L50" s="134"/>
      <c r="M50" s="136"/>
      <c r="N50" s="534"/>
      <c r="O50" s="134"/>
      <c r="P50" s="136"/>
      <c r="Q50" s="8"/>
      <c r="R50" s="134"/>
      <c r="S50" s="153"/>
      <c r="T50" s="134"/>
      <c r="U50" s="136"/>
      <c r="V50" s="134"/>
      <c r="W50" s="136"/>
      <c r="Z50" s="2"/>
    </row>
    <row r="51" spans="1:26" ht="18" collapsed="1" x14ac:dyDescent="0.3">
      <c r="A51" s="181" t="s">
        <v>150</v>
      </c>
      <c r="B51" s="169"/>
      <c r="C51" s="248">
        <f>SUM(C53:C71)</f>
        <v>104.29300000000001</v>
      </c>
      <c r="D51" s="257">
        <f>+C51/C7</f>
        <v>0.15803406370276085</v>
      </c>
      <c r="E51" s="169"/>
      <c r="F51" s="248">
        <f>SUM(F53:F71)</f>
        <v>120.67721000000002</v>
      </c>
      <c r="G51" s="257">
        <f>F51/F7</f>
        <v>0.14344646732875369</v>
      </c>
      <c r="H51" s="362"/>
      <c r="I51" s="248">
        <f>SUM(I53:I71)</f>
        <v>20.989229999999996</v>
      </c>
      <c r="J51" s="257">
        <f>I51/I7</f>
        <v>7.6450747399762403E-2</v>
      </c>
      <c r="K51" s="544"/>
      <c r="L51" s="248">
        <f>SUM(L53:L71)</f>
        <v>33.428780000000003</v>
      </c>
      <c r="M51" s="257">
        <f>L51/L7</f>
        <v>7.7713755032282963E-2</v>
      </c>
      <c r="N51" s="531"/>
      <c r="O51" s="248">
        <f>SUM(O53:O72)</f>
        <v>98.394259999999989</v>
      </c>
      <c r="P51" s="257">
        <f>O51/O7</f>
        <v>0.11185854027625862</v>
      </c>
      <c r="Q51" s="5"/>
      <c r="R51" s="241">
        <f>SUM(R53:R71)</f>
        <v>108.92496618289275</v>
      </c>
      <c r="S51" s="203">
        <f>+R51/R7</f>
        <v>0.12243492561494863</v>
      </c>
      <c r="T51" s="241">
        <f>SUM(T53:T71)</f>
        <v>143.14889100352394</v>
      </c>
      <c r="U51" s="203">
        <f>+T51/T7</f>
        <v>0.15719315636587683</v>
      </c>
      <c r="V51" s="241">
        <f>SUM(V53:V71)</f>
        <v>137.71889100352396</v>
      </c>
      <c r="W51" s="257">
        <f>+V51/V7</f>
        <v>0.14782161119933104</v>
      </c>
    </row>
    <row r="52" spans="1:26" ht="6.75" hidden="1" customHeight="1" outlineLevel="1" x14ac:dyDescent="0.3">
      <c r="A52" s="181"/>
      <c r="B52" s="169"/>
      <c r="C52" s="140"/>
      <c r="D52" s="257"/>
      <c r="E52" s="169"/>
      <c r="F52" s="140"/>
      <c r="G52" s="257"/>
      <c r="H52" s="362"/>
      <c r="I52" s="140"/>
      <c r="J52" s="257"/>
      <c r="K52" s="544"/>
      <c r="L52" s="140"/>
      <c r="M52" s="257"/>
      <c r="N52" s="531"/>
      <c r="O52" s="140"/>
      <c r="P52" s="257"/>
      <c r="Q52" s="5"/>
      <c r="R52" s="140"/>
      <c r="S52" s="156"/>
      <c r="T52" s="140"/>
      <c r="U52" s="139"/>
      <c r="V52" s="140"/>
      <c r="W52" s="139"/>
    </row>
    <row r="53" spans="1:26" ht="18" hidden="1" outlineLevel="1" x14ac:dyDescent="0.3">
      <c r="A53" s="97" t="s">
        <v>26</v>
      </c>
      <c r="B53" s="169"/>
      <c r="C53" s="238">
        <v>56.213000000000001</v>
      </c>
      <c r="D53" s="257"/>
      <c r="E53" s="169"/>
      <c r="F53" s="238">
        <v>75.623000000000005</v>
      </c>
      <c r="G53" s="257"/>
      <c r="H53" s="362"/>
      <c r="I53" s="238">
        <v>16.237839999999998</v>
      </c>
      <c r="J53" s="257"/>
      <c r="K53" s="544"/>
      <c r="L53" s="238">
        <v>20.6785</v>
      </c>
      <c r="M53" s="257"/>
      <c r="N53" s="531"/>
      <c r="O53" s="238">
        <f>52.77449</f>
        <v>52.77449</v>
      </c>
      <c r="P53" s="257"/>
      <c r="Q53" s="5"/>
      <c r="R53" s="238">
        <f>'AVANISTA GROUP - MS 2019 à 2022'!M14/1000-R54</f>
        <v>65.474999999999994</v>
      </c>
      <c r="S53" s="156"/>
      <c r="T53" s="238">
        <f>('AVANISTA GROUP - MS 2019 à 2022'!R14-'AVANISTA GROUP - MS 2019 à 2022'!P14)/1000</f>
        <v>88.1</v>
      </c>
      <c r="U53" s="139"/>
      <c r="V53" s="238">
        <f>('AVANISTA GROUP - MS 2019 à 2022'!W14-'AVANISTA GROUP - MS 2019 à 2022'!U14)/1000</f>
        <v>88.1</v>
      </c>
      <c r="W53" s="139"/>
    </row>
    <row r="54" spans="1:26" ht="18" hidden="1" outlineLevel="1" x14ac:dyDescent="0.3">
      <c r="A54" s="97" t="s">
        <v>72</v>
      </c>
      <c r="B54" s="169"/>
      <c r="C54" s="238">
        <v>11.377000000000001</v>
      </c>
      <c r="D54" s="257"/>
      <c r="E54" s="169"/>
      <c r="F54" s="238">
        <v>5.82</v>
      </c>
      <c r="G54" s="257"/>
      <c r="H54" s="362"/>
      <c r="I54" s="238">
        <v>4.74071</v>
      </c>
      <c r="J54" s="257"/>
      <c r="K54" s="544"/>
      <c r="L54" s="238">
        <v>6.6265700000000001</v>
      </c>
      <c r="M54" s="257"/>
      <c r="N54" s="531"/>
      <c r="O54" s="238">
        <v>17.47</v>
      </c>
      <c r="P54" s="257"/>
      <c r="Q54" s="5"/>
      <c r="R54" s="238">
        <f>'AVANISTA GROUP - MS 2019 à 2022'!K14/1000</f>
        <v>6</v>
      </c>
      <c r="S54" s="156"/>
      <c r="T54" s="238">
        <f>'AVANISTA GROUP - MS 2019 à 2022'!P14/1000</f>
        <v>6</v>
      </c>
      <c r="U54" s="139"/>
      <c r="V54" s="238">
        <f>'AVANISTA GROUP - MS 2019 à 2022'!U14/1000</f>
        <v>6</v>
      </c>
      <c r="W54" s="139"/>
    </row>
    <row r="55" spans="1:26" ht="18" hidden="1" outlineLevel="1" x14ac:dyDescent="0.3">
      <c r="A55" s="97" t="s">
        <v>27</v>
      </c>
      <c r="B55" s="169"/>
      <c r="C55" s="238">
        <f>21.43+5.179+2.689</f>
        <v>29.298000000000002</v>
      </c>
      <c r="D55" s="254">
        <f>C55/(C53+C54)</f>
        <v>0.43346648912561031</v>
      </c>
      <c r="E55" s="169"/>
      <c r="F55" s="238">
        <f>23.01847+5.84436+3.0383</f>
        <v>31.901130000000002</v>
      </c>
      <c r="G55" s="254">
        <f>F55/(F53+F54)</f>
        <v>0.3916988568692214</v>
      </c>
      <c r="H55" s="364"/>
      <c r="I55" s="238">
        <f>4.98971+0.92624+1.04361+0.8403</f>
        <v>7.7998599999999998</v>
      </c>
      <c r="J55" s="254">
        <f>I55/(I53+I54)</f>
        <v>0.37180167361423933</v>
      </c>
      <c r="K55" s="547"/>
      <c r="L55" s="238">
        <v>10.29834</v>
      </c>
      <c r="M55" s="254">
        <f>L55/(L53+L54)</f>
        <v>0.3771585277019982</v>
      </c>
      <c r="N55" s="535"/>
      <c r="O55" s="238">
        <v>26.86853</v>
      </c>
      <c r="P55" s="254">
        <f>O55/(O53+O54)</f>
        <v>0.38250017901759981</v>
      </c>
      <c r="Q55" s="5"/>
      <c r="R55" s="238">
        <f>'AVANISTA GROUP - MS 2019 à 2022'!M18/1000</f>
        <v>28.59</v>
      </c>
      <c r="S55" s="242">
        <f>R55/(R53+R54)</f>
        <v>0.4</v>
      </c>
      <c r="T55" s="238">
        <f>'AVANISTA GROUP - MS 2019 à 2022'!R18/1000</f>
        <v>37.64</v>
      </c>
      <c r="U55" s="242">
        <f>T55/(T53+T54)</f>
        <v>0.4</v>
      </c>
      <c r="V55" s="238">
        <f>'AVANISTA GROUP - MS 2019 à 2022'!W18/1000</f>
        <v>37.64</v>
      </c>
      <c r="W55" s="254">
        <f>V55/(V53+V54)</f>
        <v>0.4</v>
      </c>
    </row>
    <row r="56" spans="1:26" ht="18" hidden="1" outlineLevel="1" x14ac:dyDescent="0.3">
      <c r="A56" s="97" t="s">
        <v>55</v>
      </c>
      <c r="B56" s="169"/>
      <c r="C56" s="238">
        <v>0.25700000000000001</v>
      </c>
      <c r="D56" s="257"/>
      <c r="E56" s="169"/>
      <c r="F56" s="238">
        <v>5.8000000000000003E-2</v>
      </c>
      <c r="G56" s="257"/>
      <c r="H56" s="362"/>
      <c r="I56" s="238">
        <v>2.9180000000000001E-2</v>
      </c>
      <c r="J56" s="257"/>
      <c r="K56" s="544"/>
      <c r="L56" s="238">
        <v>0.28405000000000002</v>
      </c>
      <c r="M56" s="257"/>
      <c r="N56" s="531"/>
      <c r="O56" s="238">
        <v>0.28405000000000002</v>
      </c>
      <c r="P56" s="257"/>
      <c r="Q56" s="5"/>
      <c r="R56" s="238">
        <v>0</v>
      </c>
      <c r="S56" s="156"/>
      <c r="T56" s="238">
        <v>0</v>
      </c>
      <c r="U56" s="139"/>
      <c r="V56" s="238">
        <v>0</v>
      </c>
      <c r="W56" s="139"/>
    </row>
    <row r="57" spans="1:26" ht="18" hidden="1" outlineLevel="1" x14ac:dyDescent="0.3">
      <c r="A57" s="97" t="s">
        <v>110</v>
      </c>
      <c r="B57" s="169"/>
      <c r="C57" s="238">
        <v>0.47199999999999998</v>
      </c>
      <c r="D57" s="257"/>
      <c r="E57" s="169"/>
      <c r="F57" s="238">
        <v>1.4159999999999999</v>
      </c>
      <c r="G57" s="257"/>
      <c r="H57" s="362"/>
      <c r="I57" s="238">
        <v>0.47199999999999998</v>
      </c>
      <c r="J57" s="257"/>
      <c r="K57" s="544"/>
      <c r="L57" s="238">
        <v>0.70799999999999996</v>
      </c>
      <c r="M57" s="257"/>
      <c r="N57" s="531"/>
      <c r="O57" s="238">
        <v>1.77</v>
      </c>
      <c r="P57" s="257"/>
      <c r="Q57" s="5"/>
      <c r="R57" s="374"/>
      <c r="S57" s="375"/>
      <c r="T57" s="374"/>
      <c r="U57" s="375"/>
      <c r="V57" s="374"/>
      <c r="W57" s="375"/>
    </row>
    <row r="58" spans="1:26" ht="18" hidden="1" outlineLevel="1" x14ac:dyDescent="0.3">
      <c r="A58" s="97" t="s">
        <v>110</v>
      </c>
      <c r="B58" s="169"/>
      <c r="C58" s="238">
        <v>0</v>
      </c>
      <c r="D58" s="257"/>
      <c r="E58" s="169"/>
      <c r="F58" s="238">
        <v>-1.4159999999999999</v>
      </c>
      <c r="G58" s="257"/>
      <c r="H58" s="362"/>
      <c r="I58" s="238">
        <v>-0.47199999999999998</v>
      </c>
      <c r="J58" s="257"/>
      <c r="K58" s="544"/>
      <c r="L58" s="238">
        <v>0</v>
      </c>
      <c r="M58" s="257"/>
      <c r="N58" s="531"/>
      <c r="O58" s="238"/>
      <c r="P58" s="257"/>
      <c r="Q58" s="5"/>
      <c r="R58" s="374"/>
      <c r="S58" s="375"/>
      <c r="T58" s="374"/>
      <c r="U58" s="375"/>
      <c r="V58" s="374"/>
      <c r="W58" s="375"/>
    </row>
    <row r="59" spans="1:26" ht="18" hidden="1" outlineLevel="1" x14ac:dyDescent="0.3">
      <c r="A59" s="97" t="s">
        <v>73</v>
      </c>
      <c r="B59" s="169"/>
      <c r="C59" s="238">
        <f>0.463+0.405</f>
        <v>0.8680000000000001</v>
      </c>
      <c r="D59" s="257"/>
      <c r="E59" s="169"/>
      <c r="F59" s="238">
        <f>0.564+0.941</f>
        <v>1.5049999999999999</v>
      </c>
      <c r="G59" s="257">
        <f>F59/(F53+F54)</f>
        <v>1.8479181759021641E-2</v>
      </c>
      <c r="H59" s="362"/>
      <c r="I59" s="238">
        <f>-0.42135-0.29587</f>
        <v>-0.71721999999999997</v>
      </c>
      <c r="J59" s="257">
        <f>I59/(I53+I54)</f>
        <v>-3.4188254192973298E-2</v>
      </c>
      <c r="K59" s="544"/>
      <c r="L59" s="238">
        <v>-2.6589999999999999E-2</v>
      </c>
      <c r="M59" s="257">
        <f>L59/(L53+L54)</f>
        <v>-9.7381182322550349E-4</v>
      </c>
      <c r="N59" s="531"/>
      <c r="O59" s="238">
        <f>-0.07135-0.29587</f>
        <v>-0.36721999999999999</v>
      </c>
      <c r="P59" s="257">
        <f>O59/(O53+O54)</f>
        <v>-5.2277409943470299E-3</v>
      </c>
      <c r="Q59" s="5"/>
      <c r="R59" s="238">
        <f>$G$59*(R53+R54)</f>
        <v>1.3207995162260717</v>
      </c>
      <c r="S59" s="156"/>
      <c r="T59" s="238">
        <f>$G$59*(T53+T54)</f>
        <v>1.7388910035239364</v>
      </c>
      <c r="U59" s="139"/>
      <c r="V59" s="238">
        <f>$G$59*(V53+V54)</f>
        <v>1.7388910035239364</v>
      </c>
      <c r="W59" s="139"/>
    </row>
    <row r="60" spans="1:26" ht="18" hidden="1" outlineLevel="1" x14ac:dyDescent="0.3">
      <c r="A60" s="97" t="s">
        <v>49</v>
      </c>
      <c r="B60" s="169"/>
      <c r="C60" s="238">
        <f>1.017-2.034</f>
        <v>-1.0169999999999999</v>
      </c>
      <c r="D60" s="257"/>
      <c r="E60" s="169"/>
      <c r="F60" s="238">
        <v>3.7669999999999999</v>
      </c>
      <c r="G60" s="257"/>
      <c r="H60" s="362"/>
      <c r="I60" s="238">
        <v>0.26500000000000001</v>
      </c>
      <c r="J60" s="257"/>
      <c r="K60" s="544"/>
      <c r="L60" s="238">
        <v>0.26550000000000001</v>
      </c>
      <c r="M60" s="257"/>
      <c r="N60" s="531"/>
      <c r="O60" s="238">
        <f>3.674+0.582</f>
        <v>4.2560000000000002</v>
      </c>
      <c r="P60" s="257"/>
      <c r="Q60" s="5"/>
      <c r="R60" s="238">
        <f>'AVANISTA GROUP - MS 2019 à 2022'!L14*80/1000</f>
        <v>2</v>
      </c>
      <c r="S60" s="156"/>
      <c r="T60" s="238">
        <f>'AVANISTA GROUP - MS 2019 à 2022'!Q14*80/1000</f>
        <v>3.84</v>
      </c>
      <c r="U60" s="139"/>
      <c r="V60" s="238">
        <f>'AVANISTA GROUP - MS 2019 à 2022'!V14*80/1000</f>
        <v>3.84</v>
      </c>
      <c r="W60" s="139"/>
    </row>
    <row r="61" spans="1:26" ht="18" hidden="1" outlineLevel="1" x14ac:dyDescent="0.3">
      <c r="A61" s="97" t="s">
        <v>48</v>
      </c>
      <c r="B61" s="169"/>
      <c r="C61" s="238">
        <v>0.20399999999999999</v>
      </c>
      <c r="D61" s="257"/>
      <c r="E61" s="169"/>
      <c r="F61" s="238">
        <v>0.214</v>
      </c>
      <c r="G61" s="257"/>
      <c r="H61" s="362"/>
      <c r="I61" s="238">
        <v>0</v>
      </c>
      <c r="J61" s="257"/>
      <c r="K61" s="544"/>
      <c r="L61" s="238">
        <v>0</v>
      </c>
      <c r="M61" s="257"/>
      <c r="N61" s="531"/>
      <c r="O61" s="238">
        <v>0.34399999999999997</v>
      </c>
      <c r="P61" s="257"/>
      <c r="Q61" s="5"/>
      <c r="R61" s="238">
        <f>'AVANISTA GROUP - MS 2019 à 2022'!J16*100/1000</f>
        <v>0.4</v>
      </c>
      <c r="S61" s="156"/>
      <c r="T61" s="238">
        <f>'AVANISTA GROUP - MS 2019 à 2022'!O16*100/1000</f>
        <v>0.4</v>
      </c>
      <c r="U61" s="139"/>
      <c r="V61" s="238">
        <f>'AVANISTA GROUP - MS 2019 à 2022'!T16*100/1000</f>
        <v>0.4</v>
      </c>
      <c r="W61" s="139"/>
    </row>
    <row r="62" spans="1:26" ht="18" hidden="1" outlineLevel="1" x14ac:dyDescent="0.3">
      <c r="A62" s="97" t="s">
        <v>40</v>
      </c>
      <c r="B62" s="169"/>
      <c r="C62" s="238">
        <v>6.1719999999999997</v>
      </c>
      <c r="D62" s="257"/>
      <c r="E62" s="169"/>
      <c r="F62" s="238">
        <v>1.7390000000000001</v>
      </c>
      <c r="G62" s="257"/>
      <c r="H62" s="362"/>
      <c r="I62" s="238">
        <v>-5.5148200000000003</v>
      </c>
      <c r="J62" s="257"/>
      <c r="K62" s="544"/>
      <c r="L62" s="238">
        <v>-4.10745</v>
      </c>
      <c r="M62" s="257"/>
      <c r="N62" s="531"/>
      <c r="O62" s="238">
        <v>1.2925500000000001</v>
      </c>
      <c r="P62" s="257"/>
      <c r="Q62" s="5"/>
      <c r="R62" s="238">
        <f>('AVANISTA GROUP - MS 2019 à 2022'!M14-'AVANISTA GROUP - MS 2019 à 2022'!H14)*10%/1000</f>
        <v>3.6708333333333338</v>
      </c>
      <c r="S62" s="156"/>
      <c r="T62" s="238">
        <f>('AVANISTA GROUP - MS 2019 à 2022'!R14-'AVANISTA GROUP - MS 2019 à 2022'!M14)*10%/1000</f>
        <v>2.2625000000000002</v>
      </c>
      <c r="U62" s="139"/>
      <c r="V62" s="238">
        <f>('AVANISTA GROUP - MS 2019 à 2022'!W14-'AVANISTA GROUP - MS 2019 à 2022'!R14)*10%/1000</f>
        <v>0</v>
      </c>
      <c r="W62" s="139"/>
    </row>
    <row r="63" spans="1:26" ht="18" hidden="1" outlineLevel="1" x14ac:dyDescent="0.3">
      <c r="A63" s="97" t="s">
        <v>41</v>
      </c>
      <c r="B63" s="169"/>
      <c r="C63" s="238">
        <v>2.6709999999999998</v>
      </c>
      <c r="D63" s="257"/>
      <c r="E63" s="169"/>
      <c r="F63" s="238">
        <v>0.14568</v>
      </c>
      <c r="G63" s="257"/>
      <c r="H63" s="362"/>
      <c r="I63" s="238">
        <v>-1.87432</v>
      </c>
      <c r="J63" s="257"/>
      <c r="K63" s="544"/>
      <c r="L63" s="238">
        <v>-1.2981400000000001</v>
      </c>
      <c r="M63" s="257"/>
      <c r="N63" s="531"/>
      <c r="O63" s="238">
        <v>-1.2981400000000001</v>
      </c>
      <c r="P63" s="257"/>
      <c r="Q63" s="5"/>
      <c r="R63" s="238">
        <f>R62*'AVANISTA GROUP - MS 2019 à 2022'!A19</f>
        <v>1.4683333333333337</v>
      </c>
      <c r="S63" s="156"/>
      <c r="T63" s="238">
        <f>T62*(1+'AVANISTA GROUP - MS 2019 à 2022'!A19)</f>
        <v>3.1675</v>
      </c>
      <c r="U63" s="139"/>
      <c r="V63" s="238">
        <f>V62*(1+'AVANISTA GROUP - MS 2019 à 2022'!A19)</f>
        <v>0</v>
      </c>
      <c r="W63" s="139"/>
    </row>
    <row r="64" spans="1:26" ht="18" hidden="1" outlineLevel="1" x14ac:dyDescent="0.3">
      <c r="A64" s="97" t="s">
        <v>44</v>
      </c>
      <c r="B64" s="169"/>
      <c r="C64" s="238">
        <v>0</v>
      </c>
      <c r="D64" s="257"/>
      <c r="E64" s="169"/>
      <c r="F64" s="238">
        <v>0</v>
      </c>
      <c r="G64" s="257"/>
      <c r="H64" s="362"/>
      <c r="I64" s="238">
        <v>0</v>
      </c>
      <c r="J64" s="257"/>
      <c r="K64" s="544"/>
      <c r="L64" s="238">
        <v>0</v>
      </c>
      <c r="M64" s="257"/>
      <c r="N64" s="531"/>
      <c r="O64" s="238">
        <v>0</v>
      </c>
      <c r="P64" s="257"/>
      <c r="Q64" s="5"/>
      <c r="R64" s="238">
        <v>0</v>
      </c>
      <c r="S64" s="156"/>
      <c r="T64" s="238">
        <v>0</v>
      </c>
      <c r="U64" s="139"/>
      <c r="V64" s="238">
        <v>0</v>
      </c>
      <c r="W64" s="139"/>
    </row>
    <row r="65" spans="1:23" ht="18" hidden="1" outlineLevel="1" x14ac:dyDescent="0.3">
      <c r="A65" s="97" t="s">
        <v>45</v>
      </c>
      <c r="B65" s="169"/>
      <c r="C65" s="238">
        <v>0</v>
      </c>
      <c r="D65" s="257"/>
      <c r="E65" s="169"/>
      <c r="F65" s="238">
        <v>0</v>
      </c>
      <c r="G65" s="257"/>
      <c r="H65" s="362"/>
      <c r="I65" s="238">
        <v>0</v>
      </c>
      <c r="J65" s="257"/>
      <c r="K65" s="544"/>
      <c r="L65" s="238">
        <v>0</v>
      </c>
      <c r="M65" s="257"/>
      <c r="N65" s="531"/>
      <c r="O65" s="238">
        <v>0</v>
      </c>
      <c r="P65" s="257"/>
      <c r="Q65" s="5"/>
      <c r="R65" s="238">
        <v>0</v>
      </c>
      <c r="S65" s="156"/>
      <c r="T65" s="238">
        <v>0</v>
      </c>
      <c r="U65" s="139"/>
      <c r="V65" s="238">
        <v>0</v>
      </c>
      <c r="W65" s="139"/>
    </row>
    <row r="66" spans="1:23" ht="18" hidden="1" outlineLevel="1" x14ac:dyDescent="0.3">
      <c r="A66" s="97" t="s">
        <v>42</v>
      </c>
      <c r="B66" s="169"/>
      <c r="C66" s="238">
        <v>0</v>
      </c>
      <c r="D66" s="257"/>
      <c r="E66" s="169"/>
      <c r="F66" s="238">
        <v>0</v>
      </c>
      <c r="G66" s="257"/>
      <c r="H66" s="362"/>
      <c r="I66" s="238">
        <v>0</v>
      </c>
      <c r="J66" s="257"/>
      <c r="K66" s="544"/>
      <c r="L66" s="238">
        <v>0</v>
      </c>
      <c r="M66" s="257"/>
      <c r="N66" s="531"/>
      <c r="O66" s="238">
        <v>0</v>
      </c>
      <c r="P66" s="257"/>
      <c r="Q66" s="5"/>
      <c r="R66" s="238">
        <v>0</v>
      </c>
      <c r="S66" s="156"/>
      <c r="T66" s="238">
        <v>0</v>
      </c>
      <c r="U66" s="139"/>
      <c r="V66" s="238">
        <v>0</v>
      </c>
      <c r="W66" s="139"/>
    </row>
    <row r="67" spans="1:23" ht="18" hidden="1" outlineLevel="1" x14ac:dyDescent="0.3">
      <c r="A67" s="97" t="s">
        <v>43</v>
      </c>
      <c r="B67" s="169"/>
      <c r="C67" s="238">
        <v>0</v>
      </c>
      <c r="D67" s="257"/>
      <c r="E67" s="169"/>
      <c r="F67" s="238">
        <v>0</v>
      </c>
      <c r="G67" s="257"/>
      <c r="H67" s="362"/>
      <c r="I67" s="238">
        <v>0</v>
      </c>
      <c r="J67" s="257"/>
      <c r="K67" s="544"/>
      <c r="L67" s="238">
        <v>0</v>
      </c>
      <c r="M67" s="257"/>
      <c r="N67" s="531"/>
      <c r="O67" s="238">
        <v>0</v>
      </c>
      <c r="P67" s="257"/>
      <c r="Q67" s="5"/>
      <c r="R67" s="238">
        <v>0</v>
      </c>
      <c r="S67" s="156"/>
      <c r="T67" s="238">
        <v>0</v>
      </c>
      <c r="U67" s="139"/>
      <c r="V67" s="238">
        <v>0</v>
      </c>
      <c r="W67" s="139"/>
    </row>
    <row r="68" spans="1:23" ht="18" hidden="1" outlineLevel="1" x14ac:dyDescent="0.3">
      <c r="A68" s="97" t="s">
        <v>63</v>
      </c>
      <c r="B68" s="169"/>
      <c r="C68" s="238">
        <v>0</v>
      </c>
      <c r="D68" s="257"/>
      <c r="E68" s="169"/>
      <c r="F68" s="238">
        <v>0</v>
      </c>
      <c r="G68" s="257"/>
      <c r="H68" s="362"/>
      <c r="I68" s="238">
        <v>0</v>
      </c>
      <c r="J68" s="257"/>
      <c r="K68" s="544"/>
      <c r="L68" s="238">
        <v>0</v>
      </c>
      <c r="M68" s="257"/>
      <c r="N68" s="531"/>
      <c r="O68" s="238">
        <v>0</v>
      </c>
      <c r="P68" s="257"/>
      <c r="Q68" s="5"/>
      <c r="R68" s="238">
        <v>0</v>
      </c>
      <c r="S68" s="156"/>
      <c r="T68" s="238">
        <v>0</v>
      </c>
      <c r="U68" s="139"/>
      <c r="V68" s="238">
        <v>0</v>
      </c>
      <c r="W68" s="139"/>
    </row>
    <row r="69" spans="1:23" ht="18" hidden="1" outlineLevel="1" x14ac:dyDescent="0.3">
      <c r="A69" s="97" t="s">
        <v>56</v>
      </c>
      <c r="B69" s="169"/>
      <c r="C69" s="238">
        <v>0</v>
      </c>
      <c r="D69" s="257"/>
      <c r="E69" s="169"/>
      <c r="F69" s="238">
        <v>0.61439999999999995</v>
      </c>
      <c r="G69" s="257"/>
      <c r="H69" s="362"/>
      <c r="I69" s="238">
        <v>2.3E-2</v>
      </c>
      <c r="J69" s="257"/>
      <c r="K69" s="544"/>
      <c r="L69" s="238">
        <v>0</v>
      </c>
      <c r="M69" s="257"/>
      <c r="N69" s="531"/>
      <c r="O69" s="238">
        <v>0</v>
      </c>
      <c r="P69" s="257"/>
      <c r="Q69" s="5"/>
      <c r="R69" s="238">
        <v>0</v>
      </c>
      <c r="S69" s="156"/>
      <c r="T69" s="238">
        <v>0</v>
      </c>
      <c r="U69" s="139"/>
      <c r="V69" s="238">
        <v>0</v>
      </c>
      <c r="W69" s="139"/>
    </row>
    <row r="70" spans="1:23" ht="18" hidden="1" outlineLevel="1" x14ac:dyDescent="0.3">
      <c r="A70" s="97" t="s">
        <v>114</v>
      </c>
      <c r="B70" s="169"/>
      <c r="C70" s="238">
        <v>-2.222</v>
      </c>
      <c r="D70" s="257"/>
      <c r="E70" s="169"/>
      <c r="F70" s="238">
        <v>-0.71</v>
      </c>
      <c r="G70" s="257"/>
      <c r="H70" s="362"/>
      <c r="I70" s="238">
        <v>0</v>
      </c>
      <c r="J70" s="257"/>
      <c r="K70" s="544"/>
      <c r="L70" s="238">
        <v>0</v>
      </c>
      <c r="M70" s="257"/>
      <c r="N70" s="531"/>
      <c r="O70" s="238">
        <v>0</v>
      </c>
      <c r="P70" s="257"/>
      <c r="Q70" s="5"/>
      <c r="R70" s="238">
        <v>0</v>
      </c>
      <c r="S70" s="156"/>
      <c r="T70" s="238">
        <v>0</v>
      </c>
      <c r="U70" s="139"/>
      <c r="V70" s="238">
        <v>0</v>
      </c>
      <c r="W70" s="139"/>
    </row>
    <row r="71" spans="1:23" ht="18" hidden="1" outlineLevel="1" x14ac:dyDescent="0.3">
      <c r="A71" s="97" t="s">
        <v>46</v>
      </c>
      <c r="B71" s="169"/>
      <c r="C71" s="238">
        <v>0</v>
      </c>
      <c r="D71" s="257"/>
      <c r="E71" s="169"/>
      <c r="F71" s="238">
        <v>0</v>
      </c>
      <c r="G71" s="257"/>
      <c r="H71" s="362"/>
      <c r="I71" s="238"/>
      <c r="J71" s="257"/>
      <c r="K71" s="544"/>
      <c r="L71" s="238">
        <v>0</v>
      </c>
      <c r="M71" s="257"/>
      <c r="N71" s="531"/>
      <c r="O71" s="238">
        <v>0</v>
      </c>
      <c r="P71" s="257"/>
      <c r="Q71" s="5"/>
      <c r="R71" s="238">
        <v>0</v>
      </c>
      <c r="S71" s="156"/>
      <c r="T71" s="238">
        <v>0</v>
      </c>
      <c r="U71" s="139"/>
      <c r="V71" s="238">
        <v>0</v>
      </c>
      <c r="W71" s="139"/>
    </row>
    <row r="72" spans="1:23" ht="18" hidden="1" outlineLevel="1" x14ac:dyDescent="0.3">
      <c r="A72" s="97" t="s">
        <v>229</v>
      </c>
      <c r="B72" s="169"/>
      <c r="C72" s="238"/>
      <c r="D72" s="257"/>
      <c r="E72" s="169"/>
      <c r="F72" s="238"/>
      <c r="G72" s="257"/>
      <c r="H72" s="362"/>
      <c r="I72" s="238"/>
      <c r="J72" s="257"/>
      <c r="K72" s="544"/>
      <c r="L72" s="238"/>
      <c r="M72" s="257"/>
      <c r="N72" s="531"/>
      <c r="O72" s="238">
        <v>-5</v>
      </c>
      <c r="P72" s="257"/>
      <c r="Q72" s="5"/>
      <c r="R72" s="238"/>
      <c r="S72" s="156"/>
      <c r="T72" s="238"/>
      <c r="U72" s="139"/>
      <c r="V72" s="238"/>
      <c r="W72" s="139"/>
    </row>
    <row r="73" spans="1:23" ht="18" x14ac:dyDescent="0.3">
      <c r="A73" s="97"/>
      <c r="B73" s="169"/>
      <c r="C73" s="238"/>
      <c r="D73" s="257"/>
      <c r="E73" s="169"/>
      <c r="F73" s="238"/>
      <c r="G73" s="257"/>
      <c r="H73" s="362"/>
      <c r="I73" s="238"/>
      <c r="J73" s="257"/>
      <c r="K73" s="544"/>
      <c r="L73" s="238"/>
      <c r="M73" s="257"/>
      <c r="N73" s="531"/>
      <c r="O73" s="238"/>
      <c r="P73" s="257"/>
      <c r="Q73" s="5"/>
      <c r="R73" s="238"/>
      <c r="S73" s="156"/>
      <c r="T73" s="238"/>
      <c r="U73" s="139"/>
      <c r="V73" s="238"/>
      <c r="W73" s="139"/>
    </row>
    <row r="74" spans="1:23" ht="18" collapsed="1" x14ac:dyDescent="0.3">
      <c r="A74" s="181" t="s">
        <v>109</v>
      </c>
      <c r="B74" s="169"/>
      <c r="C74" s="248">
        <f>SUM(C76:C82)</f>
        <v>435.63900000000001</v>
      </c>
      <c r="D74" s="257">
        <f>C74/C7</f>
        <v>0.66011910173652144</v>
      </c>
      <c r="E74" s="169"/>
      <c r="F74" s="248">
        <f>SUM(F76:F82)</f>
        <v>527.34130000000005</v>
      </c>
      <c r="G74" s="257">
        <f>F74/F7</f>
        <v>0.62683953798362169</v>
      </c>
      <c r="H74" s="362"/>
      <c r="I74" s="248">
        <f>SUM(I76:I82)</f>
        <v>181.47018951848764</v>
      </c>
      <c r="J74" s="257">
        <f>I74/I7</f>
        <v>0.66098335286548926</v>
      </c>
      <c r="K74" s="544"/>
      <c r="L74" s="248">
        <f>SUM(L76:L82)</f>
        <v>298.86203999999998</v>
      </c>
      <c r="M74" s="257">
        <f>L74/L7</f>
        <v>0.69478130416390749</v>
      </c>
      <c r="N74" s="531"/>
      <c r="O74" s="248">
        <f>SUM(O76:O82)</f>
        <v>497.46246000000002</v>
      </c>
      <c r="P74" s="257">
        <f>O74/O7</f>
        <v>0.56553527225914091</v>
      </c>
      <c r="Q74" s="5"/>
      <c r="R74" s="248" t="e">
        <f>SUM(R76:R82)</f>
        <v>#REF!</v>
      </c>
      <c r="S74" s="203" t="e">
        <f>+R74/R7</f>
        <v>#REF!</v>
      </c>
      <c r="T74" s="248" t="e">
        <f>SUM(T76:T82)</f>
        <v>#REF!</v>
      </c>
      <c r="U74" s="203" t="e">
        <f>T74/T7</f>
        <v>#REF!</v>
      </c>
      <c r="V74" s="248" t="e">
        <f>SUM(V76:V82)</f>
        <v>#REF!</v>
      </c>
      <c r="W74" s="257" t="e">
        <f>V74/V7</f>
        <v>#REF!</v>
      </c>
    </row>
    <row r="75" spans="1:23" ht="9" hidden="1" customHeight="1" outlineLevel="1" x14ac:dyDescent="0.3">
      <c r="A75" s="181"/>
      <c r="B75" s="169"/>
      <c r="C75" s="238"/>
      <c r="D75" s="257"/>
      <c r="E75" s="169"/>
      <c r="F75" s="238"/>
      <c r="G75" s="257"/>
      <c r="H75" s="362"/>
      <c r="I75" s="238"/>
      <c r="J75" s="257"/>
      <c r="K75" s="544"/>
      <c r="L75" s="238"/>
      <c r="M75" s="257"/>
      <c r="N75" s="531"/>
      <c r="O75" s="238"/>
      <c r="P75" s="257"/>
      <c r="Q75" s="5"/>
      <c r="R75" s="238"/>
      <c r="S75" s="156"/>
      <c r="T75" s="238"/>
      <c r="U75" s="139"/>
      <c r="V75" s="238"/>
      <c r="W75" s="139"/>
    </row>
    <row r="76" spans="1:23" ht="18" hidden="1" outlineLevel="1" x14ac:dyDescent="0.3">
      <c r="A76" s="97" t="s">
        <v>111</v>
      </c>
      <c r="B76" s="169"/>
      <c r="C76" s="238">
        <v>140</v>
      </c>
      <c r="D76" s="257">
        <f>(C77/(C76+C78))</f>
        <v>0.33413370916198332</v>
      </c>
      <c r="E76" s="169"/>
      <c r="F76" s="238">
        <f>100+VARIABLE!D19</f>
        <v>170</v>
      </c>
      <c r="G76" s="257">
        <f>(F77/(F76+F78))</f>
        <v>0.34957263031388136</v>
      </c>
      <c r="H76" s="362"/>
      <c r="I76" s="238">
        <v>60</v>
      </c>
      <c r="J76" s="257">
        <f>(I77/(I76+I78))</f>
        <v>0.34957263031388136</v>
      </c>
      <c r="K76" s="544"/>
      <c r="L76" s="238">
        <v>100</v>
      </c>
      <c r="M76" s="257">
        <f>(L77/(L76+L78))</f>
        <v>0.33645467946323654</v>
      </c>
      <c r="N76" s="531"/>
      <c r="O76" s="238">
        <v>160</v>
      </c>
      <c r="P76" s="257">
        <f>(O77/(O76+O78))</f>
        <v>0.34526195369798302</v>
      </c>
      <c r="Q76" s="5"/>
      <c r="R76" s="238">
        <f>VARIABLE!E17</f>
        <v>170</v>
      </c>
      <c r="S76" s="257" t="e">
        <f>(R77/(R76+R78))</f>
        <v>#REF!</v>
      </c>
      <c r="T76" s="238">
        <f>VARIABLE!F17</f>
        <v>140</v>
      </c>
      <c r="U76" s="257" t="e">
        <f>(T77/(T76+T78))</f>
        <v>#REF!</v>
      </c>
      <c r="V76" s="238">
        <f>VARIABLE!G17</f>
        <v>140</v>
      </c>
      <c r="W76" s="257" t="e">
        <f>(V77/(V76+V78))</f>
        <v>#REF!</v>
      </c>
    </row>
    <row r="77" spans="1:23" ht="18" hidden="1" outlineLevel="1" x14ac:dyDescent="0.3">
      <c r="A77" s="97" t="s">
        <v>112</v>
      </c>
      <c r="B77" s="169"/>
      <c r="C77" s="238">
        <v>57.610999999999997</v>
      </c>
      <c r="D77" s="257"/>
      <c r="E77" s="169"/>
      <c r="F77" s="238">
        <f>71.054</f>
        <v>71.054000000000002</v>
      </c>
      <c r="G77" s="257"/>
      <c r="H77" s="362"/>
      <c r="I77" s="238">
        <f>G76*(I76+I78)</f>
        <v>24.84990876771294</v>
      </c>
      <c r="J77" s="257"/>
      <c r="K77" s="544"/>
      <c r="L77" s="238">
        <v>38.634999999999998</v>
      </c>
      <c r="M77" s="257"/>
      <c r="N77" s="531"/>
      <c r="O77" s="238">
        <v>66.349000000000004</v>
      </c>
      <c r="P77" s="257"/>
      <c r="Q77" s="5"/>
      <c r="R77" s="238" t="e">
        <f>#REF!*(R76+R78)</f>
        <v>#REF!</v>
      </c>
      <c r="S77" s="257"/>
      <c r="T77" s="238" t="e">
        <f>#REF!*(T76+T78)</f>
        <v>#REF!</v>
      </c>
      <c r="U77" s="139"/>
      <c r="V77" s="238" t="e">
        <f>#REF!*(V76+V78)</f>
        <v>#REF!</v>
      </c>
      <c r="W77" s="139"/>
    </row>
    <row r="78" spans="1:23" ht="18" hidden="1" outlineLevel="1" x14ac:dyDescent="0.3">
      <c r="A78" s="97" t="s">
        <v>113</v>
      </c>
      <c r="B78" s="169"/>
      <c r="C78" s="238">
        <f>24.083+8.336</f>
        <v>32.418999999999997</v>
      </c>
      <c r="D78" s="257"/>
      <c r="E78" s="169"/>
      <c r="F78" s="238">
        <f>24.47808+8.78154</f>
        <v>33.259619999999998</v>
      </c>
      <c r="G78" s="257"/>
      <c r="H78" s="362"/>
      <c r="I78" s="238">
        <f>F78/12*4</f>
        <v>11.086539999999999</v>
      </c>
      <c r="J78" s="257"/>
      <c r="K78" s="544"/>
      <c r="L78" s="238">
        <f>14.82973</f>
        <v>14.82973</v>
      </c>
      <c r="M78" s="257"/>
      <c r="N78" s="531"/>
      <c r="O78" s="238">
        <v>32.170029999999997</v>
      </c>
      <c r="P78" s="257"/>
      <c r="Q78" s="5"/>
      <c r="R78" s="238">
        <f>F78*1.01</f>
        <v>33.592216199999996</v>
      </c>
      <c r="S78" s="156"/>
      <c r="T78" s="238">
        <f>R78*1.01</f>
        <v>33.928138361999999</v>
      </c>
      <c r="U78" s="139"/>
      <c r="V78" s="238">
        <f>T78*1.01</f>
        <v>34.267419745619996</v>
      </c>
      <c r="W78" s="139"/>
    </row>
    <row r="79" spans="1:23" ht="9.75" hidden="1" customHeight="1" outlineLevel="1" x14ac:dyDescent="0.3">
      <c r="A79" s="97"/>
      <c r="B79" s="169"/>
      <c r="C79" s="238"/>
      <c r="D79" s="257"/>
      <c r="E79" s="169"/>
      <c r="F79" s="238"/>
      <c r="G79" s="257"/>
      <c r="H79" s="362"/>
      <c r="I79" s="238"/>
      <c r="J79" s="257"/>
      <c r="K79" s="544"/>
      <c r="L79" s="238"/>
      <c r="M79" s="257"/>
      <c r="N79" s="531"/>
      <c r="O79" s="238"/>
      <c r="P79" s="257"/>
      <c r="Q79" s="5"/>
      <c r="R79" s="238"/>
      <c r="S79" s="156"/>
      <c r="T79" s="238"/>
      <c r="U79" s="139"/>
      <c r="V79" s="238"/>
      <c r="W79" s="139"/>
    </row>
    <row r="80" spans="1:23" ht="18" hidden="1" outlineLevel="1" x14ac:dyDescent="0.3">
      <c r="A80" s="97" t="s">
        <v>122</v>
      </c>
      <c r="B80" s="169"/>
      <c r="C80" s="238">
        <v>140</v>
      </c>
      <c r="D80" s="257">
        <f>(C81/(C80+C82))</f>
        <v>0.30625845758975373</v>
      </c>
      <c r="E80" s="169"/>
      <c r="F80" s="238">
        <f>VARIABLE!D19+100</f>
        <v>170</v>
      </c>
      <c r="G80" s="257">
        <f>(F81/(F80+F82))</f>
        <v>0.34778684584624509</v>
      </c>
      <c r="H80" s="362"/>
      <c r="I80" s="238">
        <v>60</v>
      </c>
      <c r="J80" s="257">
        <f>(I81/(I80+I82))</f>
        <v>0.32268950801557944</v>
      </c>
      <c r="K80" s="544"/>
      <c r="L80" s="238">
        <v>100</v>
      </c>
      <c r="M80" s="257">
        <f>(L81/(L80+L82))</f>
        <v>0.35054423573990712</v>
      </c>
      <c r="N80" s="531"/>
      <c r="O80" s="238">
        <v>160</v>
      </c>
      <c r="P80" s="257">
        <f>(O81/(O80+O82))</f>
        <v>0.35161666452562884</v>
      </c>
      <c r="Q80" s="5"/>
      <c r="R80" s="238">
        <f>VARIABLE!E16</f>
        <v>170</v>
      </c>
      <c r="S80" s="257" t="e">
        <f>(R81/(R80+R82))</f>
        <v>#REF!</v>
      </c>
      <c r="T80" s="238">
        <f>VARIABLE!F16</f>
        <v>140</v>
      </c>
      <c r="U80" s="257" t="e">
        <f>(T81/(T80+T82))</f>
        <v>#REF!</v>
      </c>
      <c r="V80" s="238">
        <f>VARIABLE!G16</f>
        <v>140</v>
      </c>
      <c r="W80" s="257" t="e">
        <f>(V81/(V80+V82))</f>
        <v>#REF!</v>
      </c>
    </row>
    <row r="81" spans="1:26" ht="18" hidden="1" outlineLevel="1" x14ac:dyDescent="0.3">
      <c r="A81" s="97" t="s">
        <v>123</v>
      </c>
      <c r="B81" s="169"/>
      <c r="C81" s="238">
        <v>48.206000000000003</v>
      </c>
      <c r="D81" s="257"/>
      <c r="E81" s="169"/>
      <c r="F81" s="238">
        <v>65.292000000000002</v>
      </c>
      <c r="G81" s="257"/>
      <c r="H81" s="362"/>
      <c r="I81" s="238">
        <f>G80*(I80+I83)</f>
        <v>20.867210750774706</v>
      </c>
      <c r="J81" s="257"/>
      <c r="K81" s="544"/>
      <c r="L81" s="238">
        <v>37.738999999999997</v>
      </c>
      <c r="M81" s="257"/>
      <c r="N81" s="531"/>
      <c r="O81" s="238">
        <v>62.16</v>
      </c>
      <c r="P81" s="257"/>
      <c r="Q81" s="5"/>
      <c r="R81" s="238" t="e">
        <f>#REF!*(R80+R82)</f>
        <v>#REF!</v>
      </c>
      <c r="S81" s="156"/>
      <c r="T81" s="238" t="e">
        <f>#REF!*(T80+T82)</f>
        <v>#REF!</v>
      </c>
      <c r="U81" s="139"/>
      <c r="V81" s="238" t="e">
        <f>#REF!*(V80+V82)</f>
        <v>#REF!</v>
      </c>
      <c r="W81" s="139"/>
    </row>
    <row r="82" spans="1:26" ht="18" hidden="1" outlineLevel="1" x14ac:dyDescent="0.3">
      <c r="A82" s="97" t="s">
        <v>124</v>
      </c>
      <c r="B82" s="169"/>
      <c r="C82" s="238">
        <f>15.397+0.785+1.221</f>
        <v>17.402999999999999</v>
      </c>
      <c r="D82" s="257"/>
      <c r="E82" s="169"/>
      <c r="F82" s="238">
        <f>15.64992+0.80996+1.2758</f>
        <v>17.735679999999999</v>
      </c>
      <c r="G82" s="257"/>
      <c r="H82" s="362"/>
      <c r="I82" s="238">
        <f>3.95109+0.27644+0.439</f>
        <v>4.6665299999999998</v>
      </c>
      <c r="J82" s="257"/>
      <c r="K82" s="544"/>
      <c r="L82" s="238">
        <v>7.6583100000000002</v>
      </c>
      <c r="M82" s="257"/>
      <c r="N82" s="531"/>
      <c r="O82" s="238">
        <v>16.783429999999999</v>
      </c>
      <c r="P82" s="257"/>
      <c r="Q82" s="5"/>
      <c r="R82" s="238">
        <f>F82*1.01</f>
        <v>17.9130368</v>
      </c>
      <c r="S82" s="156"/>
      <c r="T82" s="238">
        <f>R82*1.01</f>
        <v>18.092167168</v>
      </c>
      <c r="U82" s="139"/>
      <c r="V82" s="238">
        <f>T82*1.01</f>
        <v>18.27308883968</v>
      </c>
      <c r="W82" s="139"/>
    </row>
    <row r="83" spans="1:26" ht="18" x14ac:dyDescent="0.3">
      <c r="A83" s="97"/>
      <c r="B83" s="169"/>
      <c r="C83" s="238"/>
      <c r="D83" s="257"/>
      <c r="E83" s="169"/>
      <c r="F83" s="238"/>
      <c r="G83" s="257"/>
      <c r="H83" s="362"/>
      <c r="I83" s="238"/>
      <c r="J83" s="257"/>
      <c r="K83" s="544"/>
      <c r="L83" s="238"/>
      <c r="M83" s="257"/>
      <c r="N83" s="531"/>
      <c r="O83" s="238"/>
      <c r="P83" s="257"/>
      <c r="Q83" s="5"/>
      <c r="R83" s="238"/>
      <c r="S83" s="156"/>
      <c r="T83" s="238"/>
      <c r="U83" s="139"/>
      <c r="V83" s="238"/>
      <c r="W83" s="139"/>
    </row>
    <row r="84" spans="1:26" ht="18.600000000000001" thickBot="1" x14ac:dyDescent="0.35">
      <c r="A84" s="97"/>
      <c r="B84" s="169"/>
      <c r="C84" s="329"/>
      <c r="D84" s="330"/>
      <c r="E84" s="169"/>
      <c r="F84" s="329"/>
      <c r="G84" s="330"/>
      <c r="H84" s="362"/>
      <c r="I84" s="329"/>
      <c r="J84" s="330"/>
      <c r="K84" s="544"/>
      <c r="L84" s="329"/>
      <c r="M84" s="330"/>
      <c r="N84" s="531"/>
      <c r="O84" s="329"/>
      <c r="P84" s="330"/>
      <c r="Q84" s="5"/>
      <c r="R84" s="329"/>
      <c r="S84" s="331"/>
      <c r="T84" s="329"/>
      <c r="U84" s="332"/>
      <c r="V84" s="329"/>
      <c r="W84" s="332"/>
    </row>
    <row r="85" spans="1:26" ht="19.2" thickTop="1" thickBot="1" x14ac:dyDescent="0.35">
      <c r="A85" s="316" t="s">
        <v>92</v>
      </c>
      <c r="B85" s="163"/>
      <c r="C85" s="327">
        <f>C86+C45</f>
        <v>-22.731000000000041</v>
      </c>
      <c r="D85" s="328">
        <f>C85/C7</f>
        <v>-3.4444040367306181E-2</v>
      </c>
      <c r="E85" s="163"/>
      <c r="F85" s="327">
        <f>F86+F45</f>
        <v>-34.755547000000178</v>
      </c>
      <c r="G85" s="328">
        <f>F85/F7</f>
        <v>-4.1313189435092906E-2</v>
      </c>
      <c r="H85" s="367"/>
      <c r="I85" s="327">
        <f>I86+I45</f>
        <v>-8.9964805184876191</v>
      </c>
      <c r="J85" s="328">
        <f>I85/I7</f>
        <v>-3.2768598924580873E-2</v>
      </c>
      <c r="K85" s="496"/>
      <c r="L85" s="327">
        <f>L86+L45</f>
        <v>-35.416969999999942</v>
      </c>
      <c r="M85" s="328">
        <f>L85/L7</f>
        <v>-8.2335811554167096E-2</v>
      </c>
      <c r="N85" s="536"/>
      <c r="O85" s="327">
        <f>O86+O45</f>
        <v>-8.8486579999998476</v>
      </c>
      <c r="P85" s="328">
        <f>O85/O7</f>
        <v>-1.0059509236451609E-2</v>
      </c>
      <c r="Q85" s="3"/>
      <c r="R85" s="327" t="e">
        <f>R86+R45</f>
        <v>#REF!</v>
      </c>
      <c r="S85" s="328" t="e">
        <f>R85/R7</f>
        <v>#REF!</v>
      </c>
      <c r="T85" s="327" t="e">
        <f>T86+T45</f>
        <v>#REF!</v>
      </c>
      <c r="U85" s="328" t="e">
        <f>T85/T7</f>
        <v>#REF!</v>
      </c>
      <c r="V85" s="327" t="e">
        <f>V86+V45</f>
        <v>#REF!</v>
      </c>
      <c r="W85" s="328" t="e">
        <f>V85/V7</f>
        <v>#REF!</v>
      </c>
      <c r="Z85" s="344"/>
    </row>
    <row r="86" spans="1:26" ht="19.2" collapsed="1" thickTop="1" thickBot="1" x14ac:dyDescent="0.35">
      <c r="A86" s="88" t="s">
        <v>9</v>
      </c>
      <c r="B86" s="161"/>
      <c r="C86" s="240">
        <f>C7-C20-C45-C51-C74</f>
        <v>-23.18100000000004</v>
      </c>
      <c r="D86" s="204">
        <f>+C86/C7</f>
        <v>-3.5125920538230805E-2</v>
      </c>
      <c r="E86" s="161"/>
      <c r="F86" s="240">
        <f>F7-F20-F45-F51-F74</f>
        <v>-43.038047000000176</v>
      </c>
      <c r="G86" s="204">
        <f>F86/F7</f>
        <v>-5.1158423391449721E-2</v>
      </c>
      <c r="H86" s="368"/>
      <c r="I86" s="240">
        <f>I7-I20-I45-I51-I74</f>
        <v>-11.757313851820953</v>
      </c>
      <c r="J86" s="204">
        <f>I86/I7</f>
        <v>-4.2824602493054358E-2</v>
      </c>
      <c r="K86" s="497"/>
      <c r="L86" s="240">
        <f>L7-L20-L45-L51-L74</f>
        <v>-34.981469999999945</v>
      </c>
      <c r="M86" s="204">
        <f>L86/L7</f>
        <v>-8.1323380340208376E-2</v>
      </c>
      <c r="N86" s="531"/>
      <c r="O86" s="240">
        <f>O7-O20-O45-O51-O74</f>
        <v>-11.566657999999848</v>
      </c>
      <c r="P86" s="204">
        <f>O86/O7</f>
        <v>-1.3149440625445957E-2</v>
      </c>
      <c r="Q86" s="16"/>
      <c r="R86" s="240" t="e">
        <f>R7-R20-R45-R51-R74</f>
        <v>#REF!</v>
      </c>
      <c r="S86" s="204" t="e">
        <f>+R86/R7</f>
        <v>#REF!</v>
      </c>
      <c r="T86" s="240" t="e">
        <f>T7-T20-T45-T51-T74</f>
        <v>#REF!</v>
      </c>
      <c r="U86" s="204" t="e">
        <f>+T86/T7</f>
        <v>#REF!</v>
      </c>
      <c r="V86" s="240" t="e">
        <f>V7-V20-V45-V51-V74</f>
        <v>#REF!</v>
      </c>
      <c r="W86" s="204" t="e">
        <f>+V86/V7</f>
        <v>#REF!</v>
      </c>
    </row>
    <row r="87" spans="1:26" ht="21" collapsed="1" thickTop="1" thickBot="1" x14ac:dyDescent="0.4">
      <c r="A87" s="177"/>
      <c r="B87" s="163"/>
      <c r="C87" s="333"/>
      <c r="D87" s="334"/>
      <c r="E87" s="163"/>
      <c r="F87" s="333"/>
      <c r="G87" s="334"/>
      <c r="H87" s="76"/>
      <c r="I87" s="333"/>
      <c r="J87" s="334"/>
      <c r="K87" s="502"/>
      <c r="L87" s="333"/>
      <c r="M87" s="334"/>
      <c r="N87" s="534"/>
      <c r="O87" s="333"/>
      <c r="P87" s="334"/>
      <c r="Q87" s="5"/>
      <c r="R87" s="333"/>
      <c r="S87" s="335"/>
      <c r="T87" s="333"/>
      <c r="U87" s="334"/>
      <c r="V87" s="336"/>
      <c r="W87" s="334"/>
      <c r="X87" s="273"/>
    </row>
    <row r="88" spans="1:26" ht="20.399999999999999" hidden="1" outlineLevel="1" thickTop="1" x14ac:dyDescent="0.35">
      <c r="A88" s="97" t="s">
        <v>58</v>
      </c>
      <c r="B88" s="168"/>
      <c r="C88" s="260">
        <v>1E-3</v>
      </c>
      <c r="D88" s="139"/>
      <c r="E88" s="168"/>
      <c r="F88" s="260">
        <v>6.1500000000000001E-3</v>
      </c>
      <c r="G88" s="139"/>
      <c r="H88" s="76"/>
      <c r="I88" s="260"/>
      <c r="J88" s="139"/>
      <c r="K88" s="502"/>
      <c r="L88" s="260">
        <v>3.4990000000000001</v>
      </c>
      <c r="M88" s="139"/>
      <c r="N88" s="534"/>
      <c r="O88" s="260">
        <v>3.4990000000000001</v>
      </c>
      <c r="P88" s="139"/>
      <c r="Q88" s="5"/>
      <c r="R88" s="141"/>
      <c r="S88" s="156"/>
      <c r="T88" s="141"/>
      <c r="U88" s="156"/>
      <c r="V88" s="141"/>
      <c r="W88" s="156"/>
      <c r="X88" s="273"/>
    </row>
    <row r="89" spans="1:26" hidden="1" outlineLevel="1" x14ac:dyDescent="0.35">
      <c r="A89" s="97" t="s">
        <v>59</v>
      </c>
      <c r="B89" s="168"/>
      <c r="C89" s="260">
        <v>4.0000000000000001E-3</v>
      </c>
      <c r="D89" s="139"/>
      <c r="E89" s="168"/>
      <c r="F89" s="260">
        <v>6.0499999999999998E-3</v>
      </c>
      <c r="G89" s="139"/>
      <c r="H89" s="76"/>
      <c r="I89" s="260">
        <v>4.5700000000000003E-3</v>
      </c>
      <c r="J89" s="139"/>
      <c r="K89" s="502"/>
      <c r="L89" s="260">
        <v>1.36446</v>
      </c>
      <c r="M89" s="139"/>
      <c r="N89" s="534"/>
      <c r="O89" s="260">
        <v>1.36879</v>
      </c>
      <c r="P89" s="139"/>
      <c r="Q89" s="5"/>
      <c r="R89" s="141"/>
      <c r="S89" s="156"/>
      <c r="T89" s="141"/>
      <c r="U89" s="156"/>
      <c r="V89" s="141"/>
      <c r="W89" s="156"/>
      <c r="X89" s="273"/>
    </row>
    <row r="90" spans="1:26" hidden="1" outlineLevel="1" x14ac:dyDescent="0.35">
      <c r="A90" s="97" t="s">
        <v>60</v>
      </c>
      <c r="B90" s="168"/>
      <c r="C90" s="260">
        <v>0</v>
      </c>
      <c r="D90" s="139"/>
      <c r="E90" s="168"/>
      <c r="F90" s="260">
        <v>0</v>
      </c>
      <c r="G90" s="139"/>
      <c r="H90" s="76"/>
      <c r="I90" s="260"/>
      <c r="J90" s="139"/>
      <c r="K90" s="502"/>
      <c r="L90" s="260">
        <v>0</v>
      </c>
      <c r="M90" s="139"/>
      <c r="N90" s="534"/>
      <c r="O90" s="260">
        <v>0</v>
      </c>
      <c r="P90" s="139"/>
      <c r="Q90" s="5"/>
      <c r="R90" s="141"/>
      <c r="S90" s="156"/>
      <c r="T90" s="141"/>
      <c r="U90" s="156"/>
      <c r="V90" s="141"/>
      <c r="W90" s="139"/>
    </row>
    <row r="91" spans="1:26" hidden="1" outlineLevel="1" x14ac:dyDescent="0.35">
      <c r="A91" s="97" t="s">
        <v>8</v>
      </c>
      <c r="B91" s="168"/>
      <c r="C91" s="260">
        <v>9.4710000000000001</v>
      </c>
      <c r="D91" s="139"/>
      <c r="E91" s="168"/>
      <c r="F91" s="260">
        <v>8.7650000000000006</v>
      </c>
      <c r="G91" s="139"/>
      <c r="H91" s="76"/>
      <c r="I91" s="260">
        <v>5.532</v>
      </c>
      <c r="J91" s="139"/>
      <c r="K91" s="502"/>
      <c r="L91" s="260">
        <v>8.3960000000000008</v>
      </c>
      <c r="M91" s="139"/>
      <c r="N91" s="534"/>
      <c r="O91" s="260">
        <v>16.867999999999999</v>
      </c>
      <c r="P91" s="139"/>
      <c r="Q91" s="5"/>
      <c r="R91" s="260">
        <v>14</v>
      </c>
      <c r="S91" s="156"/>
      <c r="T91" s="260">
        <v>15</v>
      </c>
      <c r="U91" s="139"/>
      <c r="V91" s="260">
        <v>16</v>
      </c>
      <c r="W91" s="139"/>
    </row>
    <row r="92" spans="1:26" ht="20.399999999999999" hidden="1" outlineLevel="1" thickBot="1" x14ac:dyDescent="0.4">
      <c r="A92" s="97" t="s">
        <v>61</v>
      </c>
      <c r="B92" s="168"/>
      <c r="C92" s="349">
        <v>0</v>
      </c>
      <c r="D92" s="350"/>
      <c r="E92" s="168"/>
      <c r="F92" s="349">
        <v>0</v>
      </c>
      <c r="G92" s="350"/>
      <c r="H92" s="75"/>
      <c r="I92" s="349"/>
      <c r="J92" s="350"/>
      <c r="K92" s="493"/>
      <c r="L92" s="349">
        <v>0</v>
      </c>
      <c r="M92" s="350"/>
      <c r="N92" s="530"/>
      <c r="O92" s="349">
        <v>0</v>
      </c>
      <c r="P92" s="350"/>
      <c r="Q92" s="3"/>
      <c r="R92" s="260">
        <v>0</v>
      </c>
      <c r="S92" s="151"/>
      <c r="T92" s="260">
        <v>0</v>
      </c>
      <c r="U92" s="135"/>
      <c r="V92" s="260">
        <v>0</v>
      </c>
      <c r="W92" s="135"/>
    </row>
    <row r="93" spans="1:26" ht="19.2" thickTop="1" thickBot="1" x14ac:dyDescent="0.35">
      <c r="A93" s="316" t="s">
        <v>93</v>
      </c>
      <c r="B93" s="163"/>
      <c r="C93" s="327">
        <f>C94+C45</f>
        <v>-32.205000000000041</v>
      </c>
      <c r="D93" s="328">
        <f>C93/C7</f>
        <v>-4.8799890899172707E-2</v>
      </c>
      <c r="E93" s="163"/>
      <c r="F93" s="327">
        <f>F94+F45</f>
        <v>-43.520447000000182</v>
      </c>
      <c r="G93" s="328">
        <f>F93/F7</f>
        <v>-5.1731842149137203E-2</v>
      </c>
      <c r="H93" s="367"/>
      <c r="I93" s="327">
        <f>I94+I45</f>
        <v>-14.533050518487617</v>
      </c>
      <c r="J93" s="328">
        <f>I93/I7</f>
        <v>-5.2934889661835287E-2</v>
      </c>
      <c r="K93" s="496"/>
      <c r="L93" s="327">
        <f>L94+L45</f>
        <v>-41.678429999999942</v>
      </c>
      <c r="M93" s="328">
        <f>L93/L7</f>
        <v>-9.689217791227045E-2</v>
      </c>
      <c r="N93" s="536"/>
      <c r="O93" s="327">
        <f>O94+O45</f>
        <v>-23.586447999999844</v>
      </c>
      <c r="P93" s="328">
        <f>O93/O7</f>
        <v>-2.6814019878617538E-2</v>
      </c>
      <c r="Q93" s="3"/>
      <c r="R93" s="327" t="e">
        <f>R94+R45</f>
        <v>#REF!</v>
      </c>
      <c r="S93" s="328" t="e">
        <f>R93/R7</f>
        <v>#REF!</v>
      </c>
      <c r="T93" s="327" t="e">
        <f>T94+T45</f>
        <v>#REF!</v>
      </c>
      <c r="U93" s="328" t="e">
        <f>T93/T7</f>
        <v>#REF!</v>
      </c>
      <c r="V93" s="327" t="e">
        <f>V94+V45</f>
        <v>#REF!</v>
      </c>
      <c r="W93" s="328" t="e">
        <f>V93/V7</f>
        <v>#REF!</v>
      </c>
    </row>
    <row r="94" spans="1:26" ht="19.2" collapsed="1" thickTop="1" thickBot="1" x14ac:dyDescent="0.35">
      <c r="A94" s="88" t="s">
        <v>7</v>
      </c>
      <c r="B94" s="161"/>
      <c r="C94" s="345">
        <f>C86+C88-C89+C90-C91+C92</f>
        <v>-32.655000000000044</v>
      </c>
      <c r="D94" s="204">
        <f>+C94/C7</f>
        <v>-4.9481771070097345E-2</v>
      </c>
      <c r="E94" s="161"/>
      <c r="F94" s="345">
        <f>F86+F88-F89+F90-F91+F92</f>
        <v>-51.802947000000181</v>
      </c>
      <c r="G94" s="204">
        <f>F94/F7</f>
        <v>-6.1577076105494018E-2</v>
      </c>
      <c r="H94" s="368"/>
      <c r="I94" s="345">
        <f>I86+I88-I89+I90-I91+I92</f>
        <v>-17.293883851820951</v>
      </c>
      <c r="J94" s="204">
        <f>I94/I7</f>
        <v>-6.2990893230308778E-2</v>
      </c>
      <c r="K94" s="497"/>
      <c r="L94" s="345">
        <f>L86+L88-L89+L90-L91+L92</f>
        <v>-41.242929999999944</v>
      </c>
      <c r="M94" s="204">
        <f>L94/L7</f>
        <v>-9.587974669831173E-2</v>
      </c>
      <c r="N94" s="531"/>
      <c r="O94" s="345">
        <f>O86+O88-O89+O90-O91+O92</f>
        <v>-26.304447999999844</v>
      </c>
      <c r="P94" s="204">
        <f>O94/O7</f>
        <v>-2.9903951267611886E-2</v>
      </c>
      <c r="Q94" s="16"/>
      <c r="R94" s="345" t="e">
        <f>R86+R88-R89+R90-R91+R92</f>
        <v>#REF!</v>
      </c>
      <c r="S94" s="204" t="e">
        <f>+R94/R7</f>
        <v>#REF!</v>
      </c>
      <c r="T94" s="345" t="e">
        <f>T86+T88-T89+T90-T91+T92</f>
        <v>#REF!</v>
      </c>
      <c r="U94" s="204" t="e">
        <f>+T94/T7</f>
        <v>#REF!</v>
      </c>
      <c r="V94" s="345" t="e">
        <f>V86+V88-V89+V90-V91+V92</f>
        <v>#REF!</v>
      </c>
      <c r="W94" s="204" t="e">
        <f>+V94/V7</f>
        <v>#REF!</v>
      </c>
    </row>
    <row r="95" spans="1:26" ht="20.399999999999999" thickTop="1" x14ac:dyDescent="0.35">
      <c r="A95" s="183"/>
      <c r="B95" s="171"/>
      <c r="C95" s="141"/>
      <c r="D95" s="139"/>
      <c r="E95" s="171"/>
      <c r="F95" s="141"/>
      <c r="G95" s="139"/>
      <c r="H95" s="76"/>
      <c r="I95" s="141"/>
      <c r="J95" s="139"/>
      <c r="K95" s="502"/>
      <c r="L95" s="141"/>
      <c r="M95" s="139"/>
      <c r="N95" s="534"/>
      <c r="O95" s="141"/>
      <c r="P95" s="139"/>
      <c r="Q95" s="5"/>
      <c r="R95" s="141"/>
      <c r="S95" s="156"/>
      <c r="T95" s="141"/>
      <c r="U95" s="139"/>
      <c r="V95" s="157"/>
      <c r="W95" s="139"/>
    </row>
    <row r="96" spans="1:26" collapsed="1" x14ac:dyDescent="0.35">
      <c r="A96" s="177" t="s">
        <v>6</v>
      </c>
      <c r="B96" s="163"/>
      <c r="C96" s="241">
        <f>SUM(C98:C99)</f>
        <v>158.51300000000001</v>
      </c>
      <c r="D96" s="135"/>
      <c r="E96" s="163"/>
      <c r="F96" s="359">
        <f>SUM(F98:F99)+0.16925</f>
        <v>50.169249999999998</v>
      </c>
      <c r="G96" s="135"/>
      <c r="H96" s="75"/>
      <c r="I96" s="359">
        <f>SUM(I98:I99)+0.58533-1.74285</f>
        <v>-1.1575199999999999</v>
      </c>
      <c r="J96" s="135"/>
      <c r="K96" s="493"/>
      <c r="L96" s="359">
        <f>SUM(L98:L99)-1.242</f>
        <v>-1.242</v>
      </c>
      <c r="M96" s="135"/>
      <c r="N96" s="530"/>
      <c r="O96" s="359">
        <f>SUM(O98:O99)+0.068-1.242</f>
        <v>-1.1739999999999999</v>
      </c>
      <c r="P96" s="135"/>
      <c r="Q96" s="3"/>
      <c r="R96" s="359">
        <f>SUM(R98:R99)</f>
        <v>0</v>
      </c>
      <c r="S96" s="151"/>
      <c r="T96" s="359">
        <f>SUM(T98:T99)</f>
        <v>0</v>
      </c>
      <c r="U96" s="135"/>
      <c r="V96" s="359">
        <f>SUM(V98:V99)</f>
        <v>0</v>
      </c>
      <c r="W96" s="135"/>
    </row>
    <row r="97" spans="1:23" ht="5.25" hidden="1" customHeight="1" outlineLevel="1" x14ac:dyDescent="0.35">
      <c r="A97" s="182"/>
      <c r="B97" s="170"/>
      <c r="C97" s="346"/>
      <c r="D97" s="135"/>
      <c r="E97" s="170"/>
      <c r="F97" s="346"/>
      <c r="G97" s="135"/>
      <c r="H97" s="75"/>
      <c r="I97" s="346"/>
      <c r="J97" s="135"/>
      <c r="K97" s="493"/>
      <c r="L97" s="346"/>
      <c r="M97" s="135"/>
      <c r="N97" s="530"/>
      <c r="O97" s="346"/>
      <c r="P97" s="135"/>
      <c r="Q97" s="3"/>
      <c r="R97" s="138"/>
      <c r="S97" s="151"/>
      <c r="T97" s="138"/>
      <c r="U97" s="135"/>
      <c r="V97" s="138"/>
      <c r="W97" s="135"/>
    </row>
    <row r="98" spans="1:23" hidden="1" outlineLevel="1" x14ac:dyDescent="0.35">
      <c r="A98" s="354" t="s">
        <v>119</v>
      </c>
      <c r="B98" s="170"/>
      <c r="C98" s="260">
        <v>158.51300000000001</v>
      </c>
      <c r="D98" s="135"/>
      <c r="E98" s="170"/>
      <c r="F98" s="238">
        <v>50</v>
      </c>
      <c r="G98" s="135"/>
      <c r="H98" s="75"/>
      <c r="I98" s="238"/>
      <c r="J98" s="135"/>
      <c r="K98" s="493"/>
      <c r="L98" s="238"/>
      <c r="M98" s="135"/>
      <c r="N98" s="530"/>
      <c r="O98" s="238"/>
      <c r="P98" s="135"/>
      <c r="Q98" s="3"/>
      <c r="R98" s="260">
        <f>VARIABLE!E11</f>
        <v>0</v>
      </c>
      <c r="S98" s="151"/>
      <c r="T98" s="260">
        <f>VARIABLE!F11</f>
        <v>0</v>
      </c>
      <c r="U98" s="135"/>
      <c r="V98" s="260">
        <f>VARIABLE!G11</f>
        <v>0</v>
      </c>
      <c r="W98" s="135"/>
    </row>
    <row r="99" spans="1:23" hidden="1" outlineLevel="1" x14ac:dyDescent="0.35">
      <c r="A99" s="354" t="s">
        <v>120</v>
      </c>
      <c r="B99" s="170"/>
      <c r="C99" s="260">
        <v>0</v>
      </c>
      <c r="D99" s="135"/>
      <c r="E99" s="170"/>
      <c r="F99" s="260">
        <f>VARIABLE!D12</f>
        <v>0</v>
      </c>
      <c r="G99" s="135"/>
      <c r="H99" s="75"/>
      <c r="I99" s="260">
        <f>VARIABLE!G12</f>
        <v>0</v>
      </c>
      <c r="J99" s="135"/>
      <c r="K99" s="493"/>
      <c r="L99" s="260">
        <f>VARIABLE!I12</f>
        <v>0</v>
      </c>
      <c r="M99" s="135"/>
      <c r="N99" s="530"/>
      <c r="O99" s="260">
        <f>VARIABLE!L12</f>
        <v>0</v>
      </c>
      <c r="P99" s="135"/>
      <c r="Q99" s="3"/>
      <c r="R99" s="260">
        <f>VARIABLE!E12</f>
        <v>0</v>
      </c>
      <c r="S99" s="151"/>
      <c r="T99" s="260">
        <f>VARIABLE!F12</f>
        <v>0</v>
      </c>
      <c r="U99" s="135"/>
      <c r="V99" s="260">
        <f>VARIABLE!G12</f>
        <v>0</v>
      </c>
      <c r="W99" s="135"/>
    </row>
    <row r="100" spans="1:23" x14ac:dyDescent="0.35">
      <c r="A100" s="354"/>
      <c r="B100" s="170"/>
      <c r="C100" s="346"/>
      <c r="D100" s="135"/>
      <c r="E100" s="170"/>
      <c r="F100" s="346"/>
      <c r="G100" s="135"/>
      <c r="H100" s="75"/>
      <c r="I100" s="346"/>
      <c r="J100" s="135"/>
      <c r="K100" s="493"/>
      <c r="L100" s="346"/>
      <c r="M100" s="135"/>
      <c r="N100" s="530"/>
      <c r="O100" s="346"/>
      <c r="P100" s="135"/>
      <c r="Q100" s="3"/>
      <c r="R100" s="138"/>
      <c r="S100" s="151"/>
      <c r="T100" s="138"/>
      <c r="U100" s="135"/>
      <c r="V100" s="155"/>
      <c r="W100" s="135"/>
    </row>
    <row r="101" spans="1:23" x14ac:dyDescent="0.35">
      <c r="A101" s="184" t="s">
        <v>5</v>
      </c>
      <c r="B101" s="172"/>
      <c r="C101" s="260">
        <v>-6.2E-2</v>
      </c>
      <c r="D101" s="135"/>
      <c r="E101" s="172"/>
      <c r="F101" s="260">
        <f>3.99572-0.33</f>
        <v>3.6657199999999999</v>
      </c>
      <c r="G101" s="135"/>
      <c r="H101" s="75"/>
      <c r="I101" s="260"/>
      <c r="J101" s="135"/>
      <c r="K101" s="493"/>
      <c r="L101" s="260"/>
      <c r="M101" s="135"/>
      <c r="N101" s="530"/>
      <c r="O101" s="260">
        <v>0.41199999999999998</v>
      </c>
      <c r="P101" s="135"/>
      <c r="Q101" s="3"/>
      <c r="R101" s="260">
        <v>0</v>
      </c>
      <c r="S101" s="151"/>
      <c r="T101" s="260">
        <v>0</v>
      </c>
      <c r="U101" s="377"/>
      <c r="V101" s="378">
        <v>0</v>
      </c>
      <c r="W101" s="135"/>
    </row>
    <row r="102" spans="1:23" x14ac:dyDescent="0.35">
      <c r="A102" s="185"/>
      <c r="B102" s="173"/>
      <c r="C102" s="260"/>
      <c r="D102" s="135"/>
      <c r="E102" s="173"/>
      <c r="F102" s="260"/>
      <c r="G102" s="135"/>
      <c r="H102" s="75"/>
      <c r="I102" s="260"/>
      <c r="J102" s="135"/>
      <c r="K102" s="493"/>
      <c r="L102" s="260"/>
      <c r="M102" s="135"/>
      <c r="N102" s="530"/>
      <c r="O102" s="260"/>
      <c r="P102" s="135"/>
      <c r="Q102" s="3"/>
      <c r="R102" s="134"/>
      <c r="S102" s="151"/>
      <c r="T102" s="260"/>
      <c r="U102" s="377"/>
      <c r="V102" s="378"/>
      <c r="W102" s="135"/>
    </row>
    <row r="103" spans="1:23" x14ac:dyDescent="0.35">
      <c r="A103" s="181" t="s">
        <v>31</v>
      </c>
      <c r="B103" s="169"/>
      <c r="C103" s="347">
        <v>0</v>
      </c>
      <c r="D103" s="142"/>
      <c r="E103" s="169"/>
      <c r="F103" s="347">
        <v>0</v>
      </c>
      <c r="G103" s="142"/>
      <c r="H103" s="369"/>
      <c r="I103" s="347"/>
      <c r="J103" s="142"/>
      <c r="K103" s="503"/>
      <c r="L103" s="347"/>
      <c r="M103" s="142"/>
      <c r="N103" s="537"/>
      <c r="O103" s="347"/>
      <c r="P103" s="142"/>
      <c r="Q103" s="6"/>
      <c r="R103" s="347" t="e">
        <f>-IF((R94+R96+R101&gt;38120),(R94+R96+R101-38120)*0.28+5718,IF(AND(R94+R96+R101&lt;38120,R94+R96+R101&gt;0),(R94+R96+R101)*0.15,IF(R94+R96+R101&lt;0,0,0)))</f>
        <v>#REF!</v>
      </c>
      <c r="S103" s="151"/>
      <c r="T103" s="347" t="e">
        <f>-IF((T94+T96+T101&gt;38120),(T94+T96+T101-38120)*0.265+5718,IF(AND(T94+T96+T101&lt;38120,T94+T96+T101&gt;0),(T94+T96+T101)*0.15,IF(T94+T96+T101&lt;0,0,0)))</f>
        <v>#REF!</v>
      </c>
      <c r="U103" s="379"/>
      <c r="V103" s="347" t="e">
        <f>-IF((V94+V96+V101&gt;38120),(V94+V96+V101-38120)*0.25+5718,IF(AND(V94+V96+V101&lt;38120,V94+V96+V101&gt;0),(V94+V96+V101)*0.15,IF(V94+V96+V101&lt;0,0,0)))</f>
        <v>#REF!</v>
      </c>
      <c r="W103" s="135"/>
    </row>
    <row r="104" spans="1:23" ht="20.399999999999999" thickBot="1" x14ac:dyDescent="0.4">
      <c r="A104" s="181"/>
      <c r="B104" s="169"/>
      <c r="C104" s="134"/>
      <c r="D104" s="135"/>
      <c r="E104" s="169"/>
      <c r="F104" s="134"/>
      <c r="G104" s="135"/>
      <c r="H104" s="75"/>
      <c r="I104" s="552"/>
      <c r="J104" s="553"/>
      <c r="K104" s="493"/>
      <c r="L104" s="134"/>
      <c r="M104" s="135"/>
      <c r="N104" s="530"/>
      <c r="O104" s="134"/>
      <c r="P104" s="135"/>
      <c r="Q104" s="3"/>
      <c r="R104" s="134"/>
      <c r="S104" s="151"/>
      <c r="T104" s="134"/>
      <c r="U104" s="135"/>
      <c r="V104" s="152"/>
      <c r="W104" s="135"/>
    </row>
    <row r="105" spans="1:23" ht="19.2" collapsed="1" thickTop="1" thickBot="1" x14ac:dyDescent="0.35">
      <c r="A105" s="106" t="s">
        <v>4</v>
      </c>
      <c r="B105" s="161"/>
      <c r="C105" s="348">
        <f>+C94+C96+C101+C103</f>
        <v>125.79599999999996</v>
      </c>
      <c r="D105" s="196">
        <f>+C105/C7</f>
        <v>0.19061732884807703</v>
      </c>
      <c r="E105" s="161"/>
      <c r="F105" s="348">
        <f>+F94+F96+F101+F103</f>
        <v>2.0320229999998172</v>
      </c>
      <c r="G105" s="196">
        <f>F105/F7</f>
        <v>2.415423101683821E-3</v>
      </c>
      <c r="H105" s="289"/>
      <c r="I105" s="550">
        <f>+I94+I96+I101+I103</f>
        <v>-18.451403851820949</v>
      </c>
      <c r="J105" s="551">
        <f>I105/I7</f>
        <v>-6.7207020698070705E-2</v>
      </c>
      <c r="K105" s="494"/>
      <c r="L105" s="554">
        <f>+L94+L96+L101+L103</f>
        <v>-42.484929999999942</v>
      </c>
      <c r="M105" s="555">
        <f>L105/L7</f>
        <v>-9.8767093581748552E-2</v>
      </c>
      <c r="N105" s="531"/>
      <c r="O105" s="554">
        <f>+O94+O96+O101+O103</f>
        <v>-27.066447999999845</v>
      </c>
      <c r="P105" s="555">
        <f>O105/O7</f>
        <v>-3.0770223423025312E-2</v>
      </c>
      <c r="Q105" s="16"/>
      <c r="R105" s="348" t="e">
        <f>+R94+R96+R101+R103</f>
        <v>#REF!</v>
      </c>
      <c r="S105" s="197" t="e">
        <f>+R105/R7</f>
        <v>#REF!</v>
      </c>
      <c r="T105" s="348" t="e">
        <f>+T94+T96+T101+T103</f>
        <v>#REF!</v>
      </c>
      <c r="U105" s="444" t="e">
        <f>+T105/T7</f>
        <v>#REF!</v>
      </c>
      <c r="V105" s="348" t="e">
        <f>+V94+V96+V101+V103</f>
        <v>#REF!</v>
      </c>
      <c r="W105" s="196" t="e">
        <f>+V105/V7</f>
        <v>#REF!</v>
      </c>
    </row>
    <row r="106" spans="1:23" ht="20.399999999999999" thickTop="1" x14ac:dyDescent="0.35">
      <c r="R106" s="2"/>
      <c r="T106" s="2"/>
      <c r="V106" s="2"/>
    </row>
    <row r="107" spans="1:23" ht="13.5" customHeight="1" x14ac:dyDescent="0.35">
      <c r="A107" s="256" t="s">
        <v>74</v>
      </c>
      <c r="R107" s="2"/>
      <c r="T107" s="2"/>
      <c r="V107" s="2"/>
    </row>
    <row r="108" spans="1:23" x14ac:dyDescent="0.35">
      <c r="A108" s="2"/>
      <c r="B108" s="2"/>
      <c r="C108" s="2"/>
      <c r="D108" s="2"/>
      <c r="E108" s="2"/>
      <c r="F108" s="244"/>
      <c r="G108" s="243"/>
      <c r="H108" s="372"/>
      <c r="I108" s="244"/>
      <c r="J108" s="243"/>
      <c r="K108" s="549"/>
      <c r="L108" s="244"/>
      <c r="M108" s="243"/>
      <c r="O108" s="244"/>
      <c r="P108" s="243"/>
      <c r="Q108" s="244"/>
      <c r="R108" s="2"/>
      <c r="S108" s="243"/>
      <c r="T108" s="2"/>
      <c r="U108" s="243"/>
      <c r="V108" s="2"/>
      <c r="W108" s="243"/>
    </row>
    <row r="109" spans="1:23" x14ac:dyDescent="0.35">
      <c r="A109" s="2"/>
      <c r="B109" s="2"/>
      <c r="C109" s="45"/>
      <c r="D109" s="2"/>
      <c r="E109" s="2"/>
      <c r="F109" s="244"/>
      <c r="G109" s="243"/>
      <c r="H109" s="372"/>
      <c r="I109" s="244"/>
      <c r="J109" s="243"/>
      <c r="K109" s="549"/>
      <c r="L109" s="244"/>
      <c r="M109" s="243"/>
      <c r="O109" s="244"/>
      <c r="P109" s="243"/>
      <c r="Q109" s="244"/>
      <c r="R109" s="2"/>
      <c r="S109" s="243"/>
      <c r="T109" s="2"/>
      <c r="U109" s="243"/>
      <c r="V109" s="2"/>
      <c r="W109" s="243"/>
    </row>
    <row r="110" spans="1:23" x14ac:dyDescent="0.35">
      <c r="A110" s="2"/>
      <c r="B110" s="2"/>
      <c r="C110" s="2"/>
      <c r="D110" s="2"/>
      <c r="E110" s="2"/>
      <c r="F110" s="244"/>
      <c r="G110" s="243"/>
      <c r="H110" s="372"/>
      <c r="I110" s="244"/>
      <c r="J110" s="243"/>
      <c r="K110" s="549"/>
      <c r="L110" s="244"/>
      <c r="M110" s="243"/>
      <c r="O110" s="244"/>
      <c r="P110" s="243"/>
      <c r="Q110" s="244"/>
      <c r="R110" s="2"/>
      <c r="S110" s="243"/>
      <c r="T110" s="2"/>
      <c r="U110" s="243"/>
      <c r="V110" s="2"/>
      <c r="W110" s="243"/>
    </row>
  </sheetData>
  <mergeCells count="17">
    <mergeCell ref="L4:M4"/>
    <mergeCell ref="F3:G3"/>
    <mergeCell ref="F4:G4"/>
    <mergeCell ref="A1:W1"/>
    <mergeCell ref="R4:S4"/>
    <mergeCell ref="T4:U4"/>
    <mergeCell ref="V4:W4"/>
    <mergeCell ref="R3:S3"/>
    <mergeCell ref="T3:U3"/>
    <mergeCell ref="V3:W3"/>
    <mergeCell ref="C3:D3"/>
    <mergeCell ref="C4:D4"/>
    <mergeCell ref="I3:J3"/>
    <mergeCell ref="I4:J4"/>
    <mergeCell ref="L3:M3"/>
    <mergeCell ref="O3:P3"/>
    <mergeCell ref="O4:P4"/>
  </mergeCells>
  <phoneticPr fontId="26" type="noConversion"/>
  <pageMargins left="0.51181102362204722" right="0.59055118110236227" top="0.74803149606299213" bottom="0.35433070866141736" header="0.11811023622047245" footer="0.31496062992125984"/>
  <pageSetup paperSize="8" orientation="landscape" horizontalDpi="4294967295" verticalDpi="4294967295" r:id="rId1"/>
  <headerFooter>
    <oddFooter>Page &amp;P&amp;R&amp;A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outlinePr summaryBelow="0"/>
    <pageSetUpPr fitToPage="1"/>
  </sheetPr>
  <dimension ref="A1:Z118"/>
  <sheetViews>
    <sheetView showGridLines="0" zoomScaleNormal="100" workbookViewId="0">
      <selection activeCell="N43" sqref="N43:N44"/>
    </sheetView>
  </sheetViews>
  <sheetFormatPr baseColWidth="10" defaultRowHeight="16.2" outlineLevelRow="2" outlineLevelCol="1" x14ac:dyDescent="0.3"/>
  <cols>
    <col min="1" max="1" width="70" bestFit="1" customWidth="1"/>
    <col min="2" max="2" width="16.21875" bestFit="1" customWidth="1"/>
    <col min="3" max="3" width="11.88671875" style="52" bestFit="1" customWidth="1"/>
    <col min="4" max="4" width="2.21875" style="52" hidden="1" customWidth="1" outlineLevel="1"/>
    <col min="5" max="5" width="14" style="52" hidden="1" customWidth="1" outlineLevel="1"/>
    <col min="6" max="6" width="10.109375" style="52" hidden="1" customWidth="1" outlineLevel="1"/>
    <col min="7" max="7" width="2.21875" style="52" hidden="1" customWidth="1" outlineLevel="1"/>
    <col min="8" max="8" width="12.6640625" hidden="1" customWidth="1" outlineLevel="1"/>
    <col min="9" max="9" width="10.109375" style="55" hidden="1" customWidth="1" outlineLevel="1"/>
    <col min="10" max="10" width="2.21875" style="55" customWidth="1" collapsed="1"/>
    <col min="11" max="11" width="14" style="371" customWidth="1"/>
    <col min="12" max="12" width="12.5546875" style="371" customWidth="1"/>
    <col min="13" max="13" width="2.33203125" style="371" customWidth="1"/>
    <col min="14" max="14" width="13.21875" customWidth="1"/>
    <col min="15" max="15" width="13.44140625" style="57" customWidth="1"/>
    <col min="16" max="16" width="2.5546875" style="4" customWidth="1"/>
    <col min="17" max="17" width="5.44140625" style="57" customWidth="1"/>
    <col min="18" max="18" width="12.21875" hidden="1" customWidth="1" outlineLevel="1"/>
    <col min="19" max="19" width="14.44140625" style="4" hidden="1" customWidth="1" outlineLevel="1"/>
    <col min="20" max="20" width="12.21875" hidden="1" customWidth="1" outlineLevel="1"/>
    <col min="21" max="21" width="14.44140625" style="4" hidden="1" customWidth="1" outlineLevel="1"/>
    <col min="22" max="22" width="10.44140625" hidden="1" customWidth="1" outlineLevel="1"/>
    <col min="23" max="23" width="14.44140625" hidden="1" customWidth="1" outlineLevel="1"/>
    <col min="24" max="24" width="11.5546875" collapsed="1"/>
  </cols>
  <sheetData>
    <row r="1" spans="1:26" ht="26.25" customHeight="1" thickBot="1" x14ac:dyDescent="0.35">
      <c r="A1" s="628" t="s">
        <v>223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</row>
    <row r="2" spans="1:26" ht="45" customHeight="1" thickTop="1" x14ac:dyDescent="0.3">
      <c r="A2" s="48"/>
      <c r="B2" s="48"/>
      <c r="C2" s="51"/>
      <c r="D2" s="51"/>
      <c r="E2" s="51"/>
      <c r="F2" s="51"/>
      <c r="G2" s="51"/>
      <c r="H2" s="48"/>
      <c r="I2" s="54"/>
      <c r="J2" s="54"/>
      <c r="K2" s="370"/>
      <c r="L2" s="370"/>
      <c r="M2" s="370"/>
      <c r="N2" s="48"/>
      <c r="O2" s="54"/>
      <c r="P2" s="48"/>
      <c r="Q2" s="54"/>
      <c r="R2" s="48"/>
      <c r="S2" s="48"/>
      <c r="T2" s="48"/>
      <c r="U2" s="48"/>
      <c r="V2" s="15"/>
    </row>
    <row r="3" spans="1:26" ht="15" customHeight="1" x14ac:dyDescent="0.3">
      <c r="A3" s="48"/>
      <c r="B3" s="612" t="s">
        <v>32</v>
      </c>
      <c r="C3" s="613"/>
      <c r="D3" s="48"/>
      <c r="E3" s="629" t="s">
        <v>32</v>
      </c>
      <c r="F3" s="630"/>
      <c r="G3" s="486"/>
      <c r="H3" s="629" t="s">
        <v>32</v>
      </c>
      <c r="I3" s="630"/>
      <c r="J3" s="365"/>
      <c r="K3" s="633" t="s">
        <v>33</v>
      </c>
      <c r="L3" s="634"/>
      <c r="M3" s="365"/>
      <c r="N3" s="631" t="s">
        <v>32</v>
      </c>
      <c r="O3" s="632"/>
      <c r="P3" s="380"/>
      <c r="Q3" s="33"/>
      <c r="R3" s="635" t="s">
        <v>11</v>
      </c>
      <c r="S3" s="636"/>
      <c r="T3" s="635" t="s">
        <v>11</v>
      </c>
      <c r="U3" s="636"/>
      <c r="V3" s="635" t="s">
        <v>11</v>
      </c>
      <c r="W3" s="637"/>
    </row>
    <row r="4" spans="1:26" ht="15" customHeight="1" x14ac:dyDescent="0.3">
      <c r="A4" s="48"/>
      <c r="B4" s="638" t="s">
        <v>3</v>
      </c>
      <c r="C4" s="639"/>
      <c r="D4" s="50"/>
      <c r="E4" s="640" t="s">
        <v>208</v>
      </c>
      <c r="F4" s="641"/>
      <c r="G4" s="487"/>
      <c r="H4" s="640" t="s">
        <v>217</v>
      </c>
      <c r="I4" s="641"/>
      <c r="J4" s="511"/>
      <c r="K4" s="644" t="s">
        <v>2</v>
      </c>
      <c r="L4" s="645"/>
      <c r="M4" s="511"/>
      <c r="N4" s="642" t="s">
        <v>192</v>
      </c>
      <c r="O4" s="643"/>
      <c r="P4" s="48"/>
      <c r="Q4" s="511"/>
      <c r="R4" s="621" t="s">
        <v>1</v>
      </c>
      <c r="S4" s="627"/>
      <c r="T4" s="621" t="s">
        <v>12</v>
      </c>
      <c r="U4" s="627"/>
      <c r="V4" s="621" t="s">
        <v>13</v>
      </c>
      <c r="W4" s="622"/>
    </row>
    <row r="5" spans="1:26" s="9" customFormat="1" ht="21" customHeight="1" x14ac:dyDescent="0.3">
      <c r="A5" s="38"/>
      <c r="B5" s="382"/>
      <c r="C5" s="383"/>
      <c r="D5" s="384"/>
      <c r="E5" s="509"/>
      <c r="F5" s="510"/>
      <c r="G5" s="488"/>
      <c r="H5" s="509"/>
      <c r="I5" s="510"/>
      <c r="J5" s="564"/>
      <c r="K5" s="623" t="s">
        <v>218</v>
      </c>
      <c r="L5" s="624"/>
      <c r="M5" s="564"/>
      <c r="N5" s="79"/>
      <c r="O5" s="385"/>
      <c r="P5" s="50"/>
      <c r="Q5" s="512"/>
      <c r="R5" s="625"/>
      <c r="S5" s="626"/>
      <c r="T5" s="625"/>
      <c r="U5" s="626"/>
      <c r="V5" s="625"/>
      <c r="W5" s="626"/>
    </row>
    <row r="6" spans="1:26" s="9" customFormat="1" ht="17.25" customHeight="1" x14ac:dyDescent="0.3">
      <c r="A6" s="39"/>
      <c r="B6" s="58" t="s">
        <v>0</v>
      </c>
      <c r="C6" s="282" t="s">
        <v>22</v>
      </c>
      <c r="D6" s="386"/>
      <c r="E6" s="58" t="s">
        <v>0</v>
      </c>
      <c r="F6" s="282" t="s">
        <v>22</v>
      </c>
      <c r="G6" s="489"/>
      <c r="H6" s="58" t="s">
        <v>0</v>
      </c>
      <c r="I6" s="282" t="s">
        <v>22</v>
      </c>
      <c r="J6" s="513"/>
      <c r="K6" s="566" t="s">
        <v>0</v>
      </c>
      <c r="L6" s="567" t="s">
        <v>22</v>
      </c>
      <c r="M6" s="513"/>
      <c r="N6" s="58" t="s">
        <v>0</v>
      </c>
      <c r="O6" s="282" t="s">
        <v>22</v>
      </c>
      <c r="P6" s="506"/>
      <c r="Q6" s="513"/>
      <c r="R6" s="58" t="s">
        <v>0</v>
      </c>
      <c r="S6" s="282" t="s">
        <v>22</v>
      </c>
      <c r="T6" s="58" t="s">
        <v>0</v>
      </c>
      <c r="U6" s="282" t="s">
        <v>22</v>
      </c>
      <c r="V6" s="58" t="s">
        <v>0</v>
      </c>
      <c r="W6" s="282" t="s">
        <v>22</v>
      </c>
    </row>
    <row r="7" spans="1:26" s="9" customFormat="1" ht="16.8" thickBot="1" x14ac:dyDescent="0.35">
      <c r="A7" s="71"/>
      <c r="B7" s="72"/>
      <c r="C7" s="73"/>
      <c r="D7" s="387"/>
      <c r="E7" s="108"/>
      <c r="F7" s="119"/>
      <c r="G7" s="490"/>
      <c r="H7" s="108"/>
      <c r="I7" s="119"/>
      <c r="J7" s="514"/>
      <c r="K7" s="568"/>
      <c r="L7" s="569"/>
      <c r="M7" s="514"/>
      <c r="N7" s="125"/>
      <c r="O7" s="119"/>
      <c r="P7" s="26"/>
      <c r="Q7" s="514"/>
      <c r="R7" s="125"/>
      <c r="S7" s="74"/>
      <c r="T7" s="125"/>
      <c r="U7" s="74"/>
      <c r="V7" s="125"/>
      <c r="W7" s="119"/>
    </row>
    <row r="8" spans="1:26" ht="17.399999999999999" thickTop="1" thickBot="1" x14ac:dyDescent="0.35">
      <c r="A8" s="88" t="s">
        <v>10</v>
      </c>
      <c r="B8" s="80">
        <f>SUM(B10:B11)</f>
        <v>4052.6970000000001</v>
      </c>
      <c r="C8" s="86"/>
      <c r="D8" s="388"/>
      <c r="E8" s="80">
        <v>2519.893</v>
      </c>
      <c r="F8" s="86"/>
      <c r="G8" s="491"/>
      <c r="H8" s="80">
        <f>SUM(H10:H11)</f>
        <v>4194.3184099999999</v>
      </c>
      <c r="I8" s="86"/>
      <c r="J8" s="361"/>
      <c r="K8" s="80">
        <v>5155</v>
      </c>
      <c r="L8" s="558"/>
      <c r="M8" s="361"/>
      <c r="N8" s="77">
        <f>SUM(N10:N11)</f>
        <v>5013.6073999999999</v>
      </c>
      <c r="O8" s="86"/>
      <c r="P8" s="17"/>
      <c r="Q8" s="76"/>
      <c r="R8" s="77">
        <f>SUM(R10:R11)</f>
        <v>5500</v>
      </c>
      <c r="S8" s="78"/>
      <c r="T8" s="77">
        <f>SUM(T10:T11)</f>
        <v>6000</v>
      </c>
      <c r="U8" s="78"/>
      <c r="V8" s="77">
        <f>SUM(V10:V11)</f>
        <v>7000</v>
      </c>
      <c r="W8" s="86"/>
      <c r="X8" s="2"/>
    </row>
    <row r="9" spans="1:26" ht="7.5" customHeight="1" thickTop="1" x14ac:dyDescent="0.3">
      <c r="A9" s="210"/>
      <c r="B9" s="59"/>
      <c r="C9" s="211"/>
      <c r="D9" s="388"/>
      <c r="E9" s="59"/>
      <c r="F9" s="211"/>
      <c r="G9" s="491"/>
      <c r="H9" s="59"/>
      <c r="I9" s="211"/>
      <c r="J9" s="361"/>
      <c r="K9" s="59"/>
      <c r="L9" s="570"/>
      <c r="M9" s="361"/>
      <c r="N9" s="109"/>
      <c r="O9" s="356"/>
      <c r="P9" s="17"/>
      <c r="Q9" s="76"/>
      <c r="R9" s="109"/>
      <c r="S9" s="267"/>
      <c r="T9" s="109"/>
      <c r="U9" s="267"/>
      <c r="V9" s="109"/>
      <c r="W9" s="356"/>
    </row>
    <row r="10" spans="1:26" ht="17.25" customHeight="1" x14ac:dyDescent="0.3">
      <c r="A10" s="90" t="s">
        <v>90</v>
      </c>
      <c r="B10" s="288">
        <f>4052.697-B11</f>
        <v>2128.2150000000001</v>
      </c>
      <c r="C10" s="211"/>
      <c r="D10" s="388"/>
      <c r="E10" s="288">
        <v>829.89300000000003</v>
      </c>
      <c r="F10" s="211"/>
      <c r="G10" s="491"/>
      <c r="H10" s="288">
        <f>4194.31841-H11</f>
        <v>1484.76017</v>
      </c>
      <c r="I10" s="211"/>
      <c r="J10" s="361"/>
      <c r="K10" s="288">
        <v>1860.1617599999995</v>
      </c>
      <c r="L10" s="570"/>
      <c r="M10" s="361"/>
      <c r="N10" s="113">
        <f>5013.6074-N11</f>
        <v>1807.81394</v>
      </c>
      <c r="O10" s="120"/>
      <c r="P10" s="17"/>
      <c r="Q10" s="76"/>
      <c r="R10" s="64">
        <f>VARIABLE!E25-R11</f>
        <v>3500</v>
      </c>
      <c r="S10" s="389"/>
      <c r="T10" s="64">
        <f>VARIABLE!F25-T11</f>
        <v>3500</v>
      </c>
      <c r="U10" s="389"/>
      <c r="V10" s="64">
        <f>VARIABLE!G25-V11</f>
        <v>3500</v>
      </c>
      <c r="W10" s="120"/>
    </row>
    <row r="11" spans="1:26" ht="17.25" customHeight="1" x14ac:dyDescent="0.3">
      <c r="A11" s="90" t="s">
        <v>91</v>
      </c>
      <c r="B11" s="288">
        <f>1924.482</f>
        <v>1924.482</v>
      </c>
      <c r="C11" s="191">
        <f>B11/B8</f>
        <v>0.47486451614813541</v>
      </c>
      <c r="D11" s="388"/>
      <c r="E11" s="288">
        <v>1690</v>
      </c>
      <c r="F11" s="191">
        <v>0.67066339721567547</v>
      </c>
      <c r="G11" s="492"/>
      <c r="H11" s="288">
        <v>2709.5582399999998</v>
      </c>
      <c r="I11" s="191">
        <f>H11/(H11+H10)</f>
        <v>0.64600680614517292</v>
      </c>
      <c r="J11" s="515"/>
      <c r="K11" s="288">
        <v>3294.83824</v>
      </c>
      <c r="L11" s="570"/>
      <c r="M11" s="515"/>
      <c r="N11" s="113">
        <v>3205.7934599999999</v>
      </c>
      <c r="O11" s="191">
        <f>N11/(N11+N10)</f>
        <v>0.63941852726641502</v>
      </c>
      <c r="P11" s="17"/>
      <c r="Q11" s="76"/>
      <c r="R11" s="64">
        <f>VARIABLE!E26</f>
        <v>2000</v>
      </c>
      <c r="S11" s="389"/>
      <c r="T11" s="64">
        <f>VARIABLE!F26</f>
        <v>2500</v>
      </c>
      <c r="U11" s="389"/>
      <c r="V11" s="64">
        <f>VARIABLE!G26</f>
        <v>3500</v>
      </c>
      <c r="W11" s="120"/>
      <c r="Z11" s="2"/>
    </row>
    <row r="12" spans="1:26" x14ac:dyDescent="0.3">
      <c r="A12" s="91"/>
      <c r="B12" s="109"/>
      <c r="C12" s="306"/>
      <c r="D12" s="51"/>
      <c r="E12" s="109"/>
      <c r="F12" s="120"/>
      <c r="G12" s="493"/>
      <c r="H12" s="109"/>
      <c r="I12" s="120"/>
      <c r="J12" s="75"/>
      <c r="K12" s="109"/>
      <c r="L12" s="571"/>
      <c r="M12" s="75"/>
      <c r="N12" s="109"/>
      <c r="O12" s="120"/>
      <c r="P12" s="40"/>
      <c r="Q12" s="75"/>
      <c r="R12" s="109"/>
      <c r="S12" s="194"/>
      <c r="T12" s="109"/>
      <c r="U12" s="194"/>
      <c r="V12" s="109"/>
      <c r="W12" s="120"/>
    </row>
    <row r="13" spans="1:26" collapsed="1" x14ac:dyDescent="0.3">
      <c r="A13" s="90" t="s">
        <v>89</v>
      </c>
      <c r="B13" s="64">
        <f>SUM(B15:B32)</f>
        <v>1343.0809999999997</v>
      </c>
      <c r="C13" s="307"/>
      <c r="D13" s="51"/>
      <c r="E13" s="64">
        <v>627.84400000000005</v>
      </c>
      <c r="F13" s="191">
        <v>0.75653608356739965</v>
      </c>
      <c r="G13" s="492"/>
      <c r="H13" s="64">
        <f>SUM(H15:H32)</f>
        <v>1038.1488299999999</v>
      </c>
      <c r="I13" s="191">
        <f>H13/H10</f>
        <v>0.69920304368078501</v>
      </c>
      <c r="J13" s="515"/>
      <c r="K13" s="64">
        <v>1300.6307643306056</v>
      </c>
      <c r="L13" s="572">
        <v>0.69920304368078501</v>
      </c>
      <c r="M13" s="515"/>
      <c r="N13" s="113">
        <f>SUM(N15:N32)</f>
        <v>1286.3945000000001</v>
      </c>
      <c r="O13" s="191">
        <f>N13/N10</f>
        <v>0.71157461038274772</v>
      </c>
      <c r="P13" s="40"/>
      <c r="Q13" s="515"/>
      <c r="R13" s="64">
        <f>R10-R33</f>
        <v>2447.210652882748</v>
      </c>
      <c r="S13" s="195">
        <f>R13/R10</f>
        <v>0.69920304368078512</v>
      </c>
      <c r="T13" s="64">
        <f>T10-T33</f>
        <v>2447.210652882748</v>
      </c>
      <c r="U13" s="195">
        <f>T13/T10</f>
        <v>0.69920304368078512</v>
      </c>
      <c r="V13" s="64">
        <f>V10-V33</f>
        <v>2447.210652882748</v>
      </c>
      <c r="W13" s="191">
        <f>V13/V10</f>
        <v>0.69920304368078512</v>
      </c>
    </row>
    <row r="14" spans="1:26" ht="12.75" hidden="1" customHeight="1" outlineLevel="2" x14ac:dyDescent="0.3">
      <c r="A14" s="93"/>
      <c r="B14" s="109"/>
      <c r="C14" s="306"/>
      <c r="D14" s="51"/>
      <c r="E14" s="109"/>
      <c r="F14" s="120"/>
      <c r="G14" s="493"/>
      <c r="H14" s="109"/>
      <c r="I14" s="120"/>
      <c r="J14" s="75"/>
      <c r="K14" s="109"/>
      <c r="L14" s="571"/>
      <c r="M14" s="75"/>
      <c r="N14" s="109"/>
      <c r="O14" s="120"/>
      <c r="P14" s="40"/>
      <c r="Q14" s="75"/>
      <c r="R14" s="109"/>
      <c r="S14" s="194"/>
      <c r="T14" s="109"/>
      <c r="U14" s="194"/>
      <c r="V14" s="109"/>
      <c r="W14" s="120"/>
    </row>
    <row r="15" spans="1:26" ht="17.25" hidden="1" customHeight="1" outlineLevel="2" x14ac:dyDescent="0.3">
      <c r="A15" s="94" t="s">
        <v>26</v>
      </c>
      <c r="B15" s="62">
        <f>1184.279</f>
        <v>1184.279</v>
      </c>
      <c r="C15" s="191"/>
      <c r="D15" s="51"/>
      <c r="E15" s="112">
        <v>459.91</v>
      </c>
      <c r="F15" s="120"/>
      <c r="G15" s="493"/>
      <c r="H15" s="112">
        <v>756.78743999999995</v>
      </c>
      <c r="I15" s="120"/>
      <c r="J15" s="75"/>
      <c r="K15" s="112"/>
      <c r="L15" s="571"/>
      <c r="M15" s="75"/>
      <c r="N15" s="112">
        <v>925.16845999999998</v>
      </c>
      <c r="O15" s="120"/>
      <c r="P15" s="40"/>
      <c r="Q15" s="75"/>
      <c r="R15" s="268"/>
      <c r="S15" s="194"/>
      <c r="T15" s="268"/>
      <c r="U15" s="194"/>
      <c r="V15" s="268"/>
      <c r="W15" s="120"/>
    </row>
    <row r="16" spans="1:26" ht="17.25" hidden="1" customHeight="1" outlineLevel="2" x14ac:dyDescent="0.3">
      <c r="A16" s="94" t="s">
        <v>72</v>
      </c>
      <c r="B16" s="62">
        <v>0</v>
      </c>
      <c r="C16" s="307"/>
      <c r="D16" s="51"/>
      <c r="E16" s="112">
        <v>3</v>
      </c>
      <c r="F16" s="120"/>
      <c r="G16" s="493"/>
      <c r="H16" s="112">
        <v>3</v>
      </c>
      <c r="I16" s="120"/>
      <c r="J16" s="75"/>
      <c r="K16" s="112"/>
      <c r="L16" s="571"/>
      <c r="M16" s="75"/>
      <c r="N16" s="112">
        <f>3+3.1</f>
        <v>6.1</v>
      </c>
      <c r="O16" s="120"/>
      <c r="P16" s="40"/>
      <c r="Q16" s="75"/>
      <c r="R16" s="268"/>
      <c r="S16" s="194"/>
      <c r="T16" s="268"/>
      <c r="U16" s="194"/>
      <c r="V16" s="268"/>
      <c r="W16" s="120"/>
    </row>
    <row r="17" spans="1:23" ht="17.25" hidden="1" customHeight="1" outlineLevel="2" x14ac:dyDescent="0.3">
      <c r="A17" s="94" t="s">
        <v>27</v>
      </c>
      <c r="B17" s="62">
        <f>330.657+96.603+37.087+49.728</f>
        <v>514.07499999999993</v>
      </c>
      <c r="C17" s="190">
        <f>(B17+B18+B19+B21)/(B15+B16)</f>
        <v>0.48408356476809938</v>
      </c>
      <c r="D17" s="51"/>
      <c r="E17" s="112">
        <v>190.696</v>
      </c>
      <c r="F17" s="190">
        <v>0.44682335659199407</v>
      </c>
      <c r="G17" s="494"/>
      <c r="H17" s="112">
        <f>197.20948+60.55571+23.12156+31.60994</f>
        <v>312.49669</v>
      </c>
      <c r="I17" s="190">
        <f>(H17+H18+H19+H21)/(H15+H16)</f>
        <v>0.44562974086541884</v>
      </c>
      <c r="J17" s="289"/>
      <c r="K17" s="112"/>
      <c r="L17" s="571"/>
      <c r="M17" s="289"/>
      <c r="N17" s="112">
        <v>379.20055000000002</v>
      </c>
      <c r="O17" s="190">
        <f>(N17+N18+N19+N21)/(N15+N16)</f>
        <v>0.4483564492241045</v>
      </c>
      <c r="P17" s="40"/>
      <c r="Q17" s="75"/>
      <c r="R17" s="268"/>
      <c r="S17" s="194"/>
      <c r="T17" s="268"/>
      <c r="U17" s="194"/>
      <c r="V17" s="268"/>
      <c r="W17" s="120"/>
    </row>
    <row r="18" spans="1:23" ht="17.25" hidden="1" customHeight="1" outlineLevel="2" x14ac:dyDescent="0.3">
      <c r="A18" s="94" t="s">
        <v>50</v>
      </c>
      <c r="B18" s="62">
        <v>4.3179999999999996</v>
      </c>
      <c r="C18" s="120"/>
      <c r="D18" s="51"/>
      <c r="E18" s="112">
        <v>1.466</v>
      </c>
      <c r="F18" s="120"/>
      <c r="G18" s="493"/>
      <c r="H18" s="112">
        <v>2.3724400000000001</v>
      </c>
      <c r="I18" s="120"/>
      <c r="J18" s="75"/>
      <c r="K18" s="112"/>
      <c r="L18" s="571"/>
      <c r="M18" s="75"/>
      <c r="N18" s="112">
        <v>3.0492400000000002</v>
      </c>
      <c r="O18" s="120"/>
      <c r="P18" s="40"/>
      <c r="Q18" s="75"/>
      <c r="R18" s="268"/>
      <c r="S18" s="194"/>
      <c r="T18" s="268"/>
      <c r="U18" s="194"/>
      <c r="V18" s="268"/>
      <c r="W18" s="120"/>
    </row>
    <row r="19" spans="1:23" ht="17.25" hidden="1" customHeight="1" outlineLevel="2" x14ac:dyDescent="0.3">
      <c r="A19" s="94" t="s">
        <v>57</v>
      </c>
      <c r="B19" s="376">
        <f>11.766+8.161</f>
        <v>19.927</v>
      </c>
      <c r="C19" s="120"/>
      <c r="D19" s="51"/>
      <c r="E19" s="112">
        <v>4.2149999999999999</v>
      </c>
      <c r="F19" s="120"/>
      <c r="G19" s="493"/>
      <c r="H19" s="112">
        <v>7.4337600000000004</v>
      </c>
      <c r="I19" s="120"/>
      <c r="J19" s="75"/>
      <c r="K19" s="112"/>
      <c r="L19" s="571"/>
      <c r="M19" s="75"/>
      <c r="N19" s="112">
        <v>10.680910000000001</v>
      </c>
      <c r="O19" s="120"/>
      <c r="P19" s="40"/>
      <c r="Q19" s="75"/>
      <c r="R19" s="268"/>
      <c r="S19" s="194"/>
      <c r="T19" s="268"/>
      <c r="U19" s="194"/>
      <c r="V19" s="268"/>
      <c r="W19" s="120"/>
    </row>
    <row r="20" spans="1:23" ht="17.25" hidden="1" customHeight="1" outlineLevel="2" x14ac:dyDescent="0.3">
      <c r="A20" s="94" t="s">
        <v>48</v>
      </c>
      <c r="B20" s="62">
        <v>4.2</v>
      </c>
      <c r="C20" s="120"/>
      <c r="D20" s="51"/>
      <c r="E20" s="112">
        <v>1.27</v>
      </c>
      <c r="F20" s="120"/>
      <c r="G20" s="493"/>
      <c r="H20" s="112">
        <v>4.7006300000000003</v>
      </c>
      <c r="I20" s="120"/>
      <c r="J20" s="75"/>
      <c r="K20" s="112"/>
      <c r="L20" s="571"/>
      <c r="M20" s="75"/>
      <c r="N20" s="112">
        <v>2.5394299999999999</v>
      </c>
      <c r="O20" s="120"/>
      <c r="P20" s="40"/>
      <c r="Q20" s="75"/>
      <c r="R20" s="268"/>
      <c r="S20" s="194"/>
      <c r="T20" s="268"/>
      <c r="U20" s="194"/>
      <c r="V20" s="268"/>
      <c r="W20" s="120"/>
    </row>
    <row r="21" spans="1:23" ht="17.25" hidden="1" customHeight="1" outlineLevel="2" x14ac:dyDescent="0.3">
      <c r="A21" s="94" t="s">
        <v>49</v>
      </c>
      <c r="B21" s="62">
        <v>34.97</v>
      </c>
      <c r="C21" s="120"/>
      <c r="D21" s="51"/>
      <c r="E21" s="112">
        <v>10.462</v>
      </c>
      <c r="F21" s="120"/>
      <c r="G21" s="493"/>
      <c r="H21" s="112">
        <v>16.280989999999999</v>
      </c>
      <c r="I21" s="120"/>
      <c r="J21" s="75"/>
      <c r="K21" s="112"/>
      <c r="L21" s="571"/>
      <c r="M21" s="75"/>
      <c r="N21" s="112">
        <v>24.60952</v>
      </c>
      <c r="O21" s="120"/>
      <c r="P21" s="40"/>
      <c r="Q21" s="75"/>
      <c r="R21" s="268"/>
      <c r="S21" s="194"/>
      <c r="T21" s="268"/>
      <c r="U21" s="194"/>
      <c r="V21" s="268"/>
      <c r="W21" s="120"/>
    </row>
    <row r="22" spans="1:23" ht="17.25" hidden="1" customHeight="1" outlineLevel="2" x14ac:dyDescent="0.3">
      <c r="A22" s="94" t="s">
        <v>151</v>
      </c>
      <c r="B22" s="62">
        <v>5.6</v>
      </c>
      <c r="C22" s="120"/>
      <c r="D22" s="51"/>
      <c r="E22" s="112">
        <v>0</v>
      </c>
      <c r="F22" s="120"/>
      <c r="G22" s="493"/>
      <c r="H22" s="112">
        <v>4.6669999999999998</v>
      </c>
      <c r="I22" s="120"/>
      <c r="J22" s="75"/>
      <c r="K22" s="112"/>
      <c r="L22" s="571"/>
      <c r="M22" s="75"/>
      <c r="N22" s="112">
        <v>4.6669999999999998</v>
      </c>
      <c r="O22" s="120"/>
      <c r="P22" s="40"/>
      <c r="Q22" s="75"/>
      <c r="R22" s="268"/>
      <c r="S22" s="194"/>
      <c r="T22" s="268"/>
      <c r="U22" s="194"/>
      <c r="V22" s="268"/>
      <c r="W22" s="120"/>
    </row>
    <row r="23" spans="1:23" ht="17.25" hidden="1" customHeight="1" outlineLevel="2" x14ac:dyDescent="0.3">
      <c r="A23" s="94" t="s">
        <v>205</v>
      </c>
      <c r="B23" s="62">
        <v>5.5609999999999999</v>
      </c>
      <c r="C23" s="120"/>
      <c r="D23" s="51"/>
      <c r="E23" s="112">
        <v>0.312</v>
      </c>
      <c r="F23" s="120"/>
      <c r="G23" s="493"/>
      <c r="H23" s="112">
        <v>-16.69415</v>
      </c>
      <c r="I23" s="120"/>
      <c r="J23" s="75"/>
      <c r="K23" s="112"/>
      <c r="L23" s="571"/>
      <c r="M23" s="75"/>
      <c r="N23" s="112">
        <v>-12.35731</v>
      </c>
      <c r="O23" s="120"/>
      <c r="P23" s="40"/>
      <c r="Q23" s="75"/>
      <c r="R23" s="268"/>
      <c r="S23" s="194"/>
      <c r="T23" s="268"/>
      <c r="U23" s="194"/>
      <c r="V23" s="268"/>
      <c r="W23" s="120"/>
    </row>
    <row r="24" spans="1:23" ht="17.25" hidden="1" customHeight="1" outlineLevel="2" x14ac:dyDescent="0.3">
      <c r="A24" s="94" t="s">
        <v>152</v>
      </c>
      <c r="B24" s="62">
        <v>7.7190000000000003</v>
      </c>
      <c r="C24" s="120"/>
      <c r="D24" s="51"/>
      <c r="E24" s="112">
        <v>0</v>
      </c>
      <c r="F24" s="120"/>
      <c r="G24" s="493"/>
      <c r="H24" s="112">
        <f>0.15577+3.1</f>
        <v>3.2557700000000001</v>
      </c>
      <c r="I24" s="120"/>
      <c r="J24" s="75"/>
      <c r="K24" s="112"/>
      <c r="L24" s="571"/>
      <c r="M24" s="75"/>
      <c r="N24" s="112">
        <v>3.23583</v>
      </c>
      <c r="O24" s="120"/>
      <c r="P24" s="40"/>
      <c r="Q24" s="75"/>
      <c r="R24" s="268"/>
      <c r="S24" s="194"/>
      <c r="T24" s="268"/>
      <c r="U24" s="194"/>
      <c r="V24" s="268"/>
      <c r="W24" s="120"/>
    </row>
    <row r="25" spans="1:23" ht="17.25" hidden="1" customHeight="1" outlineLevel="2" x14ac:dyDescent="0.3">
      <c r="A25" s="94" t="s">
        <v>206</v>
      </c>
      <c r="B25" s="62">
        <v>2.5680000000000001</v>
      </c>
      <c r="C25" s="120"/>
      <c r="D25" s="51"/>
      <c r="E25" s="112">
        <v>-6.75</v>
      </c>
      <c r="F25" s="120"/>
      <c r="G25" s="493"/>
      <c r="H25" s="112">
        <v>-8.6776400000000002</v>
      </c>
      <c r="I25" s="120"/>
      <c r="J25" s="75"/>
      <c r="K25" s="112"/>
      <c r="L25" s="571"/>
      <c r="M25" s="75"/>
      <c r="N25" s="112">
        <v>-7.0772399999999998</v>
      </c>
      <c r="O25" s="120"/>
      <c r="P25" s="40"/>
      <c r="Q25" s="75"/>
      <c r="R25" s="268"/>
      <c r="S25" s="194"/>
      <c r="T25" s="268"/>
      <c r="U25" s="194"/>
      <c r="V25" s="268"/>
      <c r="W25" s="120"/>
    </row>
    <row r="26" spans="1:23" ht="17.25" hidden="1" customHeight="1" outlineLevel="2" x14ac:dyDescent="0.3">
      <c r="A26" s="94" t="s">
        <v>82</v>
      </c>
      <c r="B26" s="62">
        <v>0</v>
      </c>
      <c r="C26" s="120"/>
      <c r="D26" s="51"/>
      <c r="E26" s="112">
        <v>0</v>
      </c>
      <c r="F26" s="120"/>
      <c r="G26" s="493"/>
      <c r="H26" s="112">
        <v>0</v>
      </c>
      <c r="I26" s="120"/>
      <c r="J26" s="75"/>
      <c r="K26" s="112"/>
      <c r="L26" s="571"/>
      <c r="M26" s="75"/>
      <c r="N26" s="112">
        <v>0</v>
      </c>
      <c r="O26" s="120"/>
      <c r="P26" s="40"/>
      <c r="Q26" s="75"/>
      <c r="R26" s="268"/>
      <c r="S26" s="194"/>
      <c r="T26" s="268"/>
      <c r="U26" s="194"/>
      <c r="V26" s="268"/>
      <c r="W26" s="120"/>
    </row>
    <row r="27" spans="1:23" ht="17.25" hidden="1" customHeight="1" outlineLevel="2" x14ac:dyDescent="0.3">
      <c r="A27" s="94" t="s">
        <v>153</v>
      </c>
      <c r="B27" s="62">
        <v>-27.303000000000001</v>
      </c>
      <c r="C27" s="120"/>
      <c r="D27" s="51"/>
      <c r="E27" s="112">
        <v>0</v>
      </c>
      <c r="F27" s="120"/>
      <c r="G27" s="493"/>
      <c r="H27" s="112">
        <v>0</v>
      </c>
      <c r="I27" s="120"/>
      <c r="J27" s="75"/>
      <c r="K27" s="112"/>
      <c r="L27" s="571"/>
      <c r="M27" s="75"/>
      <c r="N27" s="112">
        <v>0</v>
      </c>
      <c r="O27" s="120"/>
      <c r="P27" s="40"/>
      <c r="Q27" s="75"/>
      <c r="R27" s="268"/>
      <c r="S27" s="194"/>
      <c r="T27" s="268"/>
      <c r="U27" s="194"/>
      <c r="V27" s="268"/>
      <c r="W27" s="120"/>
    </row>
    <row r="28" spans="1:23" ht="16.5" hidden="1" customHeight="1" outlineLevel="2" x14ac:dyDescent="0.3">
      <c r="A28" s="94" t="s">
        <v>63</v>
      </c>
      <c r="B28" s="62">
        <v>0</v>
      </c>
      <c r="C28" s="120"/>
      <c r="D28" s="51"/>
      <c r="E28" s="112">
        <v>-7.95</v>
      </c>
      <c r="F28" s="120"/>
      <c r="G28" s="493"/>
      <c r="H28" s="112"/>
      <c r="I28" s="120"/>
      <c r="J28" s="75"/>
      <c r="K28" s="112"/>
      <c r="L28" s="571"/>
      <c r="M28" s="75"/>
      <c r="N28" s="112">
        <v>0</v>
      </c>
      <c r="O28" s="120"/>
      <c r="P28" s="40"/>
      <c r="Q28" s="75"/>
      <c r="R28" s="268"/>
      <c r="S28" s="194"/>
      <c r="T28" s="268"/>
      <c r="U28" s="194"/>
      <c r="V28" s="268"/>
      <c r="W28" s="120"/>
    </row>
    <row r="29" spans="1:23" ht="16.5" hidden="1" customHeight="1" outlineLevel="2" x14ac:dyDescent="0.3">
      <c r="A29" s="263" t="s">
        <v>154</v>
      </c>
      <c r="B29" s="62">
        <v>33.26</v>
      </c>
      <c r="C29" s="120"/>
      <c r="D29" s="51"/>
      <c r="E29" s="112">
        <v>16.898</v>
      </c>
      <c r="F29" s="120"/>
      <c r="G29" s="493"/>
      <c r="H29" s="112">
        <v>27.753060000000001</v>
      </c>
      <c r="I29" s="120"/>
      <c r="J29" s="75"/>
      <c r="K29" s="112"/>
      <c r="L29" s="571"/>
      <c r="M29" s="75"/>
      <c r="N29" s="112">
        <v>36.45467</v>
      </c>
      <c r="O29" s="120"/>
      <c r="P29" s="40"/>
      <c r="Q29" s="75"/>
      <c r="R29" s="268"/>
      <c r="S29" s="194"/>
      <c r="T29" s="268"/>
      <c r="U29" s="194"/>
      <c r="V29" s="268"/>
      <c r="W29" s="120"/>
    </row>
    <row r="30" spans="1:23" ht="16.5" hidden="1" customHeight="1" outlineLevel="2" x14ac:dyDescent="0.3">
      <c r="A30" s="263" t="s">
        <v>213</v>
      </c>
      <c r="B30" s="62">
        <f>-513.728+21.465+46.17</f>
        <v>-446.09299999999996</v>
      </c>
      <c r="C30" s="120"/>
      <c r="D30" s="51"/>
      <c r="E30" s="112">
        <v>0</v>
      </c>
      <c r="F30" s="120"/>
      <c r="G30" s="493"/>
      <c r="H30" s="112"/>
      <c r="I30" s="120"/>
      <c r="J30" s="75"/>
      <c r="K30" s="112"/>
      <c r="L30" s="571"/>
      <c r="M30" s="75"/>
      <c r="N30" s="112">
        <v>0</v>
      </c>
      <c r="O30" s="120"/>
      <c r="P30" s="40"/>
      <c r="Q30" s="75"/>
      <c r="R30" s="268"/>
      <c r="S30" s="194"/>
      <c r="T30" s="268"/>
      <c r="U30" s="194"/>
      <c r="V30" s="268"/>
      <c r="W30" s="120"/>
    </row>
    <row r="31" spans="1:23" ht="16.5" hidden="1" customHeight="1" outlineLevel="2" x14ac:dyDescent="0.3">
      <c r="A31" s="263" t="s">
        <v>164</v>
      </c>
      <c r="B31" s="62">
        <v>0</v>
      </c>
      <c r="C31" s="120"/>
      <c r="D31" s="51"/>
      <c r="E31" s="112">
        <v>-45.685000000000002</v>
      </c>
      <c r="F31" s="120"/>
      <c r="G31" s="493"/>
      <c r="H31" s="112">
        <v>-75.227159999999998</v>
      </c>
      <c r="I31" s="120"/>
      <c r="J31" s="75"/>
      <c r="K31" s="112"/>
      <c r="L31" s="571"/>
      <c r="M31" s="75"/>
      <c r="N31" s="112">
        <v>-89.876559999999998</v>
      </c>
      <c r="O31" s="120"/>
      <c r="P31" s="40"/>
      <c r="Q31" s="75"/>
      <c r="R31" s="268"/>
      <c r="S31" s="194"/>
      <c r="T31" s="268"/>
      <c r="U31" s="194"/>
      <c r="V31" s="268"/>
      <c r="W31" s="120"/>
    </row>
    <row r="32" spans="1:23" x14ac:dyDescent="0.3">
      <c r="A32" s="263"/>
      <c r="B32" s="109"/>
      <c r="C32" s="120"/>
      <c r="D32" s="51"/>
      <c r="E32" s="109"/>
      <c r="F32" s="120"/>
      <c r="G32" s="493"/>
      <c r="H32" s="109"/>
      <c r="I32" s="120"/>
      <c r="J32" s="75"/>
      <c r="K32" s="109"/>
      <c r="L32" s="571"/>
      <c r="M32" s="75"/>
      <c r="N32" s="109"/>
      <c r="O32" s="120"/>
      <c r="P32" s="40"/>
      <c r="Q32" s="75"/>
      <c r="R32" s="109"/>
      <c r="S32" s="194"/>
      <c r="T32" s="109"/>
      <c r="U32" s="194"/>
      <c r="V32" s="109"/>
      <c r="W32" s="120"/>
    </row>
    <row r="33" spans="1:24" x14ac:dyDescent="0.3">
      <c r="A33" s="390" t="s">
        <v>51</v>
      </c>
      <c r="B33" s="299">
        <f>B10-B13</f>
        <v>785.13400000000047</v>
      </c>
      <c r="C33" s="298">
        <f>B33/B10</f>
        <v>0.36891667430217362</v>
      </c>
      <c r="D33" s="51"/>
      <c r="E33" s="299">
        <v>202.04899999999998</v>
      </c>
      <c r="F33" s="298">
        <v>0.24346391643260001</v>
      </c>
      <c r="G33" s="495"/>
      <c r="H33" s="299">
        <f>H10-H13</f>
        <v>446.61134000000015</v>
      </c>
      <c r="I33" s="298">
        <f>H33/H10</f>
        <v>0.30079695631921494</v>
      </c>
      <c r="J33" s="516"/>
      <c r="K33" s="299">
        <v>559.53099566939386</v>
      </c>
      <c r="L33" s="298">
        <v>0.30079695631921494</v>
      </c>
      <c r="M33" s="516"/>
      <c r="N33" s="297">
        <f>N10-N13</f>
        <v>521.4194399999999</v>
      </c>
      <c r="O33" s="595">
        <f>N33/N10</f>
        <v>0.28842538961725228</v>
      </c>
      <c r="P33" s="40"/>
      <c r="Q33" s="516"/>
      <c r="R33" s="299">
        <f>R10*S33</f>
        <v>1052.7893471172522</v>
      </c>
      <c r="S33" s="391">
        <f>(L33+L34)-S34</f>
        <v>0.30079695631921494</v>
      </c>
      <c r="T33" s="299">
        <f>T10*U33</f>
        <v>1052.7893471172522</v>
      </c>
      <c r="U33" s="391">
        <f>(L33+L34)-U34</f>
        <v>0.30079695631921494</v>
      </c>
      <c r="V33" s="299">
        <f>V10*W33</f>
        <v>1052.7893471172522</v>
      </c>
      <c r="W33" s="298">
        <f>(L33+L34)-W34</f>
        <v>0.30079695631921494</v>
      </c>
    </row>
    <row r="34" spans="1:24" x14ac:dyDescent="0.3">
      <c r="A34" s="295" t="s">
        <v>83</v>
      </c>
      <c r="B34" s="266"/>
      <c r="C34" s="265"/>
      <c r="D34" s="51"/>
      <c r="E34" s="266"/>
      <c r="F34" s="355"/>
      <c r="G34" s="496"/>
      <c r="H34" s="266"/>
      <c r="I34" s="355"/>
      <c r="J34" s="367"/>
      <c r="K34" s="266"/>
      <c r="L34" s="355"/>
      <c r="M34" s="367"/>
      <c r="N34" s="586">
        <f>4.53+6.628+6.628+6.628+6.628+4.35</f>
        <v>35.392000000000003</v>
      </c>
      <c r="O34" s="355">
        <f>N34/N13</f>
        <v>2.7512555440807621E-2</v>
      </c>
      <c r="P34" s="40"/>
      <c r="Q34" s="367"/>
      <c r="R34" s="296"/>
      <c r="S34" s="392"/>
      <c r="T34" s="296"/>
      <c r="U34" s="392"/>
      <c r="V34" s="296"/>
      <c r="W34" s="355"/>
    </row>
    <row r="35" spans="1:24" x14ac:dyDescent="0.3">
      <c r="A35" s="97" t="s">
        <v>34</v>
      </c>
      <c r="B35" s="62">
        <f>1831.502-21.465-46.17</f>
        <v>1763.867</v>
      </c>
      <c r="C35" s="305"/>
      <c r="D35" s="51"/>
      <c r="E35" s="62">
        <v>1369.1489999999999</v>
      </c>
      <c r="F35" s="191">
        <v>0.81014733727810639</v>
      </c>
      <c r="G35" s="492"/>
      <c r="H35" s="62">
        <v>2277.6786400000001</v>
      </c>
      <c r="I35" s="191">
        <f>H35/H11</f>
        <v>0.84060885142664443</v>
      </c>
      <c r="J35" s="515"/>
      <c r="K35" s="62">
        <v>2769.6701885629868</v>
      </c>
      <c r="L35" s="572">
        <v>0.84060885142664443</v>
      </c>
      <c r="M35" s="515"/>
      <c r="N35" s="112">
        <v>2694.9340999999999</v>
      </c>
      <c r="O35" s="191">
        <f>N35/N11</f>
        <v>0.8406449553365799</v>
      </c>
      <c r="P35" s="40"/>
      <c r="Q35" s="515"/>
      <c r="R35" s="62">
        <f>L35*R11</f>
        <v>1681.2177028532888</v>
      </c>
      <c r="S35" s="395">
        <f>R35/R11</f>
        <v>0.84060885142664443</v>
      </c>
      <c r="T35" s="62">
        <f>L35*T11</f>
        <v>2101.5221285666112</v>
      </c>
      <c r="U35" s="395">
        <f>T35/T11</f>
        <v>0.84060885142664443</v>
      </c>
      <c r="V35" s="62">
        <f>L35*V11</f>
        <v>2942.1309799932556</v>
      </c>
      <c r="W35" s="191">
        <f>V35/V11</f>
        <v>0.84060885142664443</v>
      </c>
    </row>
    <row r="36" spans="1:24" ht="6" customHeight="1" x14ac:dyDescent="0.3">
      <c r="A36" s="97"/>
      <c r="B36" s="112"/>
      <c r="C36" s="120"/>
      <c r="D36" s="51"/>
      <c r="E36" s="112"/>
      <c r="F36" s="120"/>
      <c r="G36" s="493"/>
      <c r="H36" s="112"/>
      <c r="I36" s="120"/>
      <c r="J36" s="75"/>
      <c r="K36" s="112"/>
      <c r="L36" s="571"/>
      <c r="M36" s="75"/>
      <c r="N36" s="112"/>
      <c r="O36" s="120"/>
      <c r="P36" s="40"/>
      <c r="Q36" s="75"/>
      <c r="R36" s="112"/>
      <c r="S36" s="389"/>
      <c r="T36" s="112"/>
      <c r="U36" s="389"/>
      <c r="V36" s="112"/>
      <c r="W36" s="120"/>
    </row>
    <row r="37" spans="1:24" x14ac:dyDescent="0.3">
      <c r="A37" s="390" t="s">
        <v>78</v>
      </c>
      <c r="B37" s="299">
        <f>B11-B35</f>
        <v>160.61500000000001</v>
      </c>
      <c r="C37" s="265">
        <f>B37/B11</f>
        <v>8.3458821646552175E-2</v>
      </c>
      <c r="D37" s="51"/>
      <c r="E37" s="299">
        <v>320.85100000000011</v>
      </c>
      <c r="F37" s="439">
        <v>0.18985266272189355</v>
      </c>
      <c r="G37" s="497"/>
      <c r="H37" s="299">
        <f>H11-H35</f>
        <v>431.87959999999975</v>
      </c>
      <c r="I37" s="439">
        <f>H37/H11</f>
        <v>0.15939114857335554</v>
      </c>
      <c r="J37" s="368"/>
      <c r="K37" s="299">
        <v>525.16805143701322</v>
      </c>
      <c r="L37" s="439">
        <v>0.15939114857335551</v>
      </c>
      <c r="M37" s="368"/>
      <c r="N37" s="300">
        <f>N11-N35</f>
        <v>510.85935999999992</v>
      </c>
      <c r="O37" s="594">
        <f>N37/N11</f>
        <v>0.15935504466342007</v>
      </c>
      <c r="P37" s="40"/>
      <c r="Q37" s="368"/>
      <c r="R37" s="299">
        <f>R11-R35</f>
        <v>318.78229714671124</v>
      </c>
      <c r="S37" s="396">
        <f>R37/R11</f>
        <v>0.15939114857335562</v>
      </c>
      <c r="T37" s="299">
        <f>T11-T35</f>
        <v>398.47787143338883</v>
      </c>
      <c r="U37" s="396">
        <f>T37/T11</f>
        <v>0.15939114857335554</v>
      </c>
      <c r="V37" s="299">
        <f>V11-V35</f>
        <v>557.86902000674445</v>
      </c>
      <c r="W37" s="265">
        <f>V37/V11</f>
        <v>0.15939114857335557</v>
      </c>
    </row>
    <row r="38" spans="1:24" x14ac:dyDescent="0.3">
      <c r="A38" s="94"/>
      <c r="B38" s="293"/>
      <c r="C38" s="294"/>
      <c r="D38" s="51"/>
      <c r="E38" s="293"/>
      <c r="F38" s="120"/>
      <c r="G38" s="493"/>
      <c r="H38" s="293"/>
      <c r="I38" s="120"/>
      <c r="J38" s="75"/>
      <c r="K38" s="293"/>
      <c r="L38" s="571"/>
      <c r="M38" s="75"/>
      <c r="N38" s="109"/>
      <c r="O38" s="294"/>
      <c r="P38" s="40"/>
      <c r="Q38" s="75"/>
      <c r="R38" s="109"/>
      <c r="S38" s="286"/>
      <c r="T38" s="109"/>
      <c r="U38" s="286"/>
      <c r="V38" s="109"/>
      <c r="W38" s="294"/>
    </row>
    <row r="39" spans="1:24" x14ac:dyDescent="0.3">
      <c r="A39" s="264" t="s">
        <v>77</v>
      </c>
      <c r="B39" s="303">
        <f>B8-B13-B35</f>
        <v>945.74900000000048</v>
      </c>
      <c r="C39" s="192">
        <f>B39/B8</f>
        <v>0.23336286922017621</v>
      </c>
      <c r="D39" s="126"/>
      <c r="E39" s="303">
        <v>522.90000000000009</v>
      </c>
      <c r="F39" s="192">
        <v>0.20750881088998624</v>
      </c>
      <c r="G39" s="494"/>
      <c r="H39" s="303">
        <f>H8-H13-H35</f>
        <v>878.49093999999968</v>
      </c>
      <c r="I39" s="192">
        <f>H39/H8</f>
        <v>0.2094478420869339</v>
      </c>
      <c r="J39" s="289"/>
      <c r="K39" s="213">
        <v>1084.6990471064078</v>
      </c>
      <c r="L39" s="192">
        <v>0.21041688595662614</v>
      </c>
      <c r="M39" s="289"/>
      <c r="N39" s="187">
        <f>N8-N13-N35</f>
        <v>1032.2787999999996</v>
      </c>
      <c r="O39" s="596">
        <f>N39/N8</f>
        <v>0.20589541973310468</v>
      </c>
      <c r="P39" s="508"/>
      <c r="Q39" s="289"/>
      <c r="R39" s="187">
        <f>R8-R13-R35</f>
        <v>1371.5716442639632</v>
      </c>
      <c r="S39" s="287">
        <f>R39/R8</f>
        <v>0.24937666259344785</v>
      </c>
      <c r="T39" s="187">
        <f>T8-T13-T35</f>
        <v>1451.2672185506408</v>
      </c>
      <c r="U39" s="287">
        <f>T39/T8</f>
        <v>0.24187786975844014</v>
      </c>
      <c r="V39" s="187">
        <f>V8-V13-V35</f>
        <v>1610.6583671239964</v>
      </c>
      <c r="W39" s="192">
        <f>V39/V8</f>
        <v>0.2300940524462852</v>
      </c>
    </row>
    <row r="40" spans="1:24" x14ac:dyDescent="0.3">
      <c r="A40" s="91"/>
      <c r="B40" s="198"/>
      <c r="C40" s="302"/>
      <c r="D40" s="51"/>
      <c r="E40" s="109"/>
      <c r="F40" s="120"/>
      <c r="G40" s="493"/>
      <c r="H40" s="109"/>
      <c r="I40" s="120"/>
      <c r="J40" s="75"/>
      <c r="K40" s="109"/>
      <c r="L40" s="571"/>
      <c r="M40" s="75"/>
      <c r="N40" s="109"/>
      <c r="O40" s="120"/>
      <c r="P40" s="40"/>
      <c r="Q40" s="75"/>
      <c r="R40" s="109"/>
      <c r="S40" s="389"/>
      <c r="T40" s="109"/>
      <c r="U40" s="389"/>
      <c r="V40" s="109"/>
      <c r="W40" s="120"/>
    </row>
    <row r="41" spans="1:24" collapsed="1" x14ac:dyDescent="0.3">
      <c r="A41" s="90" t="s">
        <v>15</v>
      </c>
      <c r="B41" s="271">
        <f>SUM(B43:B59)</f>
        <v>191.93</v>
      </c>
      <c r="C41" s="190">
        <f>B41/B8</f>
        <v>4.7358586146459998E-2</v>
      </c>
      <c r="D41" s="397"/>
      <c r="E41" s="271">
        <v>118.45850000000002</v>
      </c>
      <c r="F41" s="190">
        <v>4.7009337301226688E-2</v>
      </c>
      <c r="G41" s="494"/>
      <c r="H41" s="271">
        <f>SUM(H43:H59)</f>
        <v>201.54473999999999</v>
      </c>
      <c r="I41" s="190">
        <f>H41/H8</f>
        <v>4.8051845448710225E-2</v>
      </c>
      <c r="J41" s="289"/>
      <c r="K41" s="271">
        <v>247.42124766666663</v>
      </c>
      <c r="L41" s="573">
        <v>4.7996362301972191E-2</v>
      </c>
      <c r="M41" s="289"/>
      <c r="N41" s="110">
        <f>SUM(N43:N59)</f>
        <v>240.33261000000002</v>
      </c>
      <c r="O41" s="190">
        <f>N41/N8</f>
        <v>4.7936064957938278E-2</v>
      </c>
      <c r="P41" s="41"/>
      <c r="Q41" s="289"/>
      <c r="R41" s="271">
        <f>SUM(R43:R59)</f>
        <v>266.22949230254125</v>
      </c>
      <c r="S41" s="398">
        <f>R41/R8</f>
        <v>4.8405362236825684E-2</v>
      </c>
      <c r="T41" s="271">
        <f>SUM(T43:T59)</f>
        <v>289.71412161869944</v>
      </c>
      <c r="U41" s="398">
        <f>T41/T8</f>
        <v>4.8285686936449905E-2</v>
      </c>
      <c r="V41" s="271">
        <f>SUM(V43:V59)</f>
        <v>315.81078024450824</v>
      </c>
      <c r="W41" s="190">
        <f>V41/V8</f>
        <v>4.5115825749215466E-2</v>
      </c>
      <c r="X41" s="45"/>
    </row>
    <row r="42" spans="1:24" ht="4.5" hidden="1" customHeight="1" outlineLevel="1" x14ac:dyDescent="0.3">
      <c r="A42" s="96"/>
      <c r="B42" s="109"/>
      <c r="C42" s="121"/>
      <c r="D42" s="399"/>
      <c r="E42" s="109"/>
      <c r="F42" s="121"/>
      <c r="G42" s="498"/>
      <c r="H42" s="109"/>
      <c r="I42" s="121"/>
      <c r="J42" s="562"/>
      <c r="K42" s="109"/>
      <c r="L42" s="574"/>
      <c r="M42" s="562"/>
      <c r="N42" s="109"/>
      <c r="O42" s="121"/>
      <c r="P42" s="21"/>
      <c r="Q42" s="517"/>
      <c r="R42" s="109"/>
      <c r="S42" s="400"/>
      <c r="T42" s="109"/>
      <c r="U42" s="400"/>
      <c r="V42" s="109"/>
      <c r="W42" s="121"/>
    </row>
    <row r="43" spans="1:24" ht="16.5" hidden="1" customHeight="1" outlineLevel="1" x14ac:dyDescent="0.3">
      <c r="A43" s="97" t="s">
        <v>30</v>
      </c>
      <c r="B43" s="376">
        <f>6.776-0.15</f>
        <v>6.6259999999999994</v>
      </c>
      <c r="C43" s="191">
        <f>+B43/$B$8</f>
        <v>1.6349606200512891E-3</v>
      </c>
      <c r="D43" s="401"/>
      <c r="E43" s="376">
        <v>10.685</v>
      </c>
      <c r="F43" s="191">
        <v>4.240259407839936E-3</v>
      </c>
      <c r="G43" s="492"/>
      <c r="H43" s="376">
        <v>13.193680000000001</v>
      </c>
      <c r="I43" s="191">
        <f>H43/$H$8</f>
        <v>3.1456076316342422E-3</v>
      </c>
      <c r="J43" s="515"/>
      <c r="K43" s="376">
        <v>15.832416</v>
      </c>
      <c r="L43" s="572">
        <v>3.0712737148399613E-3</v>
      </c>
      <c r="M43" s="515"/>
      <c r="N43" s="112">
        <v>14.76524</v>
      </c>
      <c r="O43" s="191">
        <f>N43/$N$8</f>
        <v>2.9450331511797277E-3</v>
      </c>
      <c r="P43" s="21"/>
      <c r="Q43" s="515"/>
      <c r="R43" s="62">
        <f>L43*R8</f>
        <v>16.892005431619786</v>
      </c>
      <c r="S43" s="395">
        <f>R43/$R$8</f>
        <v>3.0712737148399613E-3</v>
      </c>
      <c r="T43" s="62">
        <f>L43*T8</f>
        <v>18.427642289039767</v>
      </c>
      <c r="U43" s="395">
        <f>T43/$T$8</f>
        <v>3.0712737148399613E-3</v>
      </c>
      <c r="V43" s="62">
        <f>L43*V10</f>
        <v>10.749458001939864</v>
      </c>
      <c r="W43" s="191">
        <f>V43/$V$8</f>
        <v>1.5356368574199807E-3</v>
      </c>
    </row>
    <row r="44" spans="1:24" ht="16.5" hidden="1" customHeight="1" outlineLevel="1" x14ac:dyDescent="0.3">
      <c r="A44" s="97" t="s">
        <v>182</v>
      </c>
      <c r="B44" s="376">
        <v>15.619</v>
      </c>
      <c r="C44" s="191">
        <f>+B44/$B$8</f>
        <v>3.8539767468429046E-3</v>
      </c>
      <c r="D44" s="401"/>
      <c r="E44" s="376">
        <v>8.42</v>
      </c>
      <c r="F44" s="191">
        <v>3.3414117186721815E-3</v>
      </c>
      <c r="G44" s="492"/>
      <c r="H44" s="376">
        <f>5.58913+6.43392+0.74714</f>
        <v>12.770189999999999</v>
      </c>
      <c r="I44" s="191">
        <f t="shared" ref="I44:I59" si="0">H44/$H$8</f>
        <v>3.044640094455776E-3</v>
      </c>
      <c r="J44" s="515"/>
      <c r="K44" s="376">
        <v>15.324228</v>
      </c>
      <c r="L44" s="572">
        <v>2.9726921435499513E-3</v>
      </c>
      <c r="M44" s="515"/>
      <c r="N44" s="112">
        <v>15.33944</v>
      </c>
      <c r="O44" s="191">
        <f t="shared" ref="O44:O59" si="1">N44/$N$8</f>
        <v>3.0595614646651433E-3</v>
      </c>
      <c r="P44" s="21"/>
      <c r="Q44" s="515"/>
      <c r="R44" s="62">
        <f>K44</f>
        <v>15.324228</v>
      </c>
      <c r="S44" s="395">
        <f t="shared" ref="S44:S56" si="2">R44/$R$8</f>
        <v>2.7862232727272726E-3</v>
      </c>
      <c r="T44" s="62">
        <f>R44</f>
        <v>15.324228</v>
      </c>
      <c r="U44" s="395">
        <f>T44/$T$8</f>
        <v>2.5540379999999998E-3</v>
      </c>
      <c r="V44" s="62">
        <f>T44</f>
        <v>15.324228</v>
      </c>
      <c r="W44" s="191">
        <f>V44/$V$8</f>
        <v>2.1891754285714286E-3</v>
      </c>
    </row>
    <row r="45" spans="1:24" ht="16.5" hidden="1" customHeight="1" outlineLevel="1" x14ac:dyDescent="0.3">
      <c r="A45" s="97" t="s">
        <v>35</v>
      </c>
      <c r="B45" s="376">
        <v>0.15</v>
      </c>
      <c r="C45" s="191">
        <f t="shared" ref="C45:C59" si="3">+B45/$B$8</f>
        <v>3.7012389527270354E-5</v>
      </c>
      <c r="D45" s="401"/>
      <c r="E45" s="376">
        <v>0</v>
      </c>
      <c r="F45" s="191">
        <v>0</v>
      </c>
      <c r="G45" s="492"/>
      <c r="H45" s="376">
        <v>0.13507</v>
      </c>
      <c r="I45" s="191">
        <f t="shared" si="0"/>
        <v>3.2203086841945313E-5</v>
      </c>
      <c r="J45" s="515"/>
      <c r="K45" s="376">
        <v>0.15758166666666668</v>
      </c>
      <c r="L45" s="572">
        <v>3.0568703524086646E-5</v>
      </c>
      <c r="M45" s="515"/>
      <c r="N45" s="112">
        <v>0.55383000000000004</v>
      </c>
      <c r="O45" s="191">
        <f t="shared" si="1"/>
        <v>1.1046537070293938E-4</v>
      </c>
      <c r="P45" s="21"/>
      <c r="Q45" s="515"/>
      <c r="R45" s="62">
        <v>0</v>
      </c>
      <c r="S45" s="395">
        <f t="shared" si="2"/>
        <v>0</v>
      </c>
      <c r="T45" s="62">
        <v>0</v>
      </c>
      <c r="U45" s="195">
        <f t="shared" ref="U45:U59" si="4">T45/$T$8</f>
        <v>0</v>
      </c>
      <c r="V45" s="62">
        <v>0</v>
      </c>
      <c r="W45" s="191">
        <f t="shared" ref="W45:W59" si="5">V45/$V$8</f>
        <v>0</v>
      </c>
    </row>
    <row r="46" spans="1:24" ht="16.5" hidden="1" customHeight="1" outlineLevel="1" x14ac:dyDescent="0.3">
      <c r="A46" s="93" t="s">
        <v>160</v>
      </c>
      <c r="B46" s="402">
        <v>0</v>
      </c>
      <c r="C46" s="191">
        <f t="shared" si="3"/>
        <v>0</v>
      </c>
      <c r="D46" s="403"/>
      <c r="E46" s="402">
        <v>19.3965</v>
      </c>
      <c r="F46" s="191">
        <v>7.6973506414756499E-3</v>
      </c>
      <c r="G46" s="492"/>
      <c r="H46" s="402">
        <f>40.425+1.139</f>
        <v>41.564</v>
      </c>
      <c r="I46" s="191">
        <f t="shared" si="0"/>
        <v>9.9095957762539068E-3</v>
      </c>
      <c r="J46" s="515"/>
      <c r="K46" s="402">
        <v>52.647999999999996</v>
      </c>
      <c r="L46" s="572">
        <v>1.0212997090203684E-2</v>
      </c>
      <c r="M46" s="515"/>
      <c r="N46" s="113">
        <f>51.205+1.443</f>
        <v>52.647999999999996</v>
      </c>
      <c r="O46" s="191">
        <f t="shared" si="1"/>
        <v>1.050102167951962E-2</v>
      </c>
      <c r="P46" s="49"/>
      <c r="Q46" s="515"/>
      <c r="R46" s="64">
        <f>'AVANISTA GROUP - BP 2022'!R15</f>
        <v>66.503999999999991</v>
      </c>
      <c r="S46" s="395">
        <f t="shared" si="2"/>
        <v>1.2091636363636362E-2</v>
      </c>
      <c r="T46" s="64">
        <f>'AVANISTA GROUP - BP 2022'!T15</f>
        <v>66.503999999999991</v>
      </c>
      <c r="U46" s="195">
        <f t="shared" si="4"/>
        <v>1.1083999999999998E-2</v>
      </c>
      <c r="V46" s="64">
        <f>'AVANISTA GROUP - BP 2022'!V15</f>
        <v>66.503999999999991</v>
      </c>
      <c r="W46" s="191">
        <f t="shared" si="5"/>
        <v>9.5005714285714277E-3</v>
      </c>
    </row>
    <row r="47" spans="1:24" ht="16.5" hidden="1" customHeight="1" outlineLevel="1" x14ac:dyDescent="0.3">
      <c r="A47" s="97" t="s">
        <v>201</v>
      </c>
      <c r="B47" s="376">
        <v>10.471</v>
      </c>
      <c r="C47" s="191">
        <f t="shared" si="3"/>
        <v>2.5837115382669859E-3</v>
      </c>
      <c r="D47" s="401"/>
      <c r="E47" s="376">
        <v>1.3480000000000001</v>
      </c>
      <c r="F47" s="191">
        <v>5.3494334878504768E-4</v>
      </c>
      <c r="G47" s="492"/>
      <c r="H47" s="376">
        <v>5.4752200000000002</v>
      </c>
      <c r="I47" s="191">
        <f t="shared" si="0"/>
        <v>1.3053896878563399E-3</v>
      </c>
      <c r="J47" s="515"/>
      <c r="K47" s="376">
        <v>6.5702639999999999</v>
      </c>
      <c r="L47" s="572">
        <v>1.2745419980601358E-3</v>
      </c>
      <c r="M47" s="515"/>
      <c r="N47" s="112">
        <v>7.0094799999999999</v>
      </c>
      <c r="O47" s="191">
        <f t="shared" si="1"/>
        <v>1.3980911229706579E-3</v>
      </c>
      <c r="P47" s="21"/>
      <c r="Q47" s="515"/>
      <c r="R47" s="62">
        <f>L47*R8</f>
        <v>7.0099809893307468</v>
      </c>
      <c r="S47" s="395">
        <f t="shared" si="2"/>
        <v>1.2745419980601358E-3</v>
      </c>
      <c r="T47" s="62">
        <f>L47*T8</f>
        <v>7.6472519883608143</v>
      </c>
      <c r="U47" s="195">
        <f t="shared" si="4"/>
        <v>1.2745419980601358E-3</v>
      </c>
      <c r="V47" s="62">
        <f>L47*V8</f>
        <v>8.9217939864209495</v>
      </c>
      <c r="W47" s="191">
        <f t="shared" si="5"/>
        <v>1.2745419980601355E-3</v>
      </c>
    </row>
    <row r="48" spans="1:24" ht="16.5" hidden="1" customHeight="1" outlineLevel="1" x14ac:dyDescent="0.3">
      <c r="A48" s="97" t="s">
        <v>36</v>
      </c>
      <c r="B48" s="376">
        <v>0.24</v>
      </c>
      <c r="C48" s="191">
        <f t="shared" si="3"/>
        <v>5.9219823243632569E-5</v>
      </c>
      <c r="D48" s="401"/>
      <c r="E48" s="376">
        <v>0</v>
      </c>
      <c r="F48" s="191">
        <v>0</v>
      </c>
      <c r="G48" s="492"/>
      <c r="H48" s="376">
        <f>0.229+0.13233</f>
        <v>0.36133000000000004</v>
      </c>
      <c r="I48" s="191">
        <f t="shared" si="0"/>
        <v>8.6147489217443574E-5</v>
      </c>
      <c r="J48" s="515"/>
      <c r="K48" s="376">
        <v>0.43359600000000004</v>
      </c>
      <c r="L48" s="572">
        <v>8.4111736178467519E-5</v>
      </c>
      <c r="M48" s="515"/>
      <c r="N48" s="112">
        <f>0.13233+0.229</f>
        <v>0.36133000000000004</v>
      </c>
      <c r="O48" s="191">
        <f t="shared" si="1"/>
        <v>7.2069863308403461E-5</v>
      </c>
      <c r="P48" s="21"/>
      <c r="Q48" s="515"/>
      <c r="R48" s="62">
        <f>L48*R8</f>
        <v>0.46261454898157134</v>
      </c>
      <c r="S48" s="395">
        <f t="shared" si="2"/>
        <v>8.4111736178467519E-5</v>
      </c>
      <c r="T48" s="62">
        <f>L48*T8</f>
        <v>0.50467041707080507</v>
      </c>
      <c r="U48" s="195">
        <f t="shared" si="4"/>
        <v>8.4111736178467506E-5</v>
      </c>
      <c r="V48" s="62">
        <f>L48*V8</f>
        <v>0.58878215324927263</v>
      </c>
      <c r="W48" s="191">
        <f t="shared" si="5"/>
        <v>8.4111736178467519E-5</v>
      </c>
    </row>
    <row r="49" spans="1:23" ht="16.5" hidden="1" customHeight="1" outlineLevel="1" x14ac:dyDescent="0.3">
      <c r="A49" s="97" t="s">
        <v>16</v>
      </c>
      <c r="B49" s="376">
        <v>7.1139999999999999</v>
      </c>
      <c r="C49" s="191">
        <f t="shared" si="3"/>
        <v>1.7553742606466756E-3</v>
      </c>
      <c r="D49" s="401"/>
      <c r="E49" s="376">
        <v>3.617</v>
      </c>
      <c r="F49" s="191">
        <v>1.4353784069402946E-3</v>
      </c>
      <c r="G49" s="492"/>
      <c r="H49" s="376">
        <f>3.10465+3.19956+0.90708</f>
        <v>7.2112899999999991</v>
      </c>
      <c r="I49" s="191">
        <f t="shared" si="0"/>
        <v>1.7192996084434131E-3</v>
      </c>
      <c r="J49" s="515"/>
      <c r="K49" s="376">
        <v>8.6535479999999989</v>
      </c>
      <c r="L49" s="572">
        <v>1.6786708050436467E-3</v>
      </c>
      <c r="M49" s="515"/>
      <c r="N49" s="507">
        <v>5.7938599999999996</v>
      </c>
      <c r="O49" s="191">
        <f t="shared" si="1"/>
        <v>1.1556269842748356E-3</v>
      </c>
      <c r="P49" s="21"/>
      <c r="Q49" s="515"/>
      <c r="R49" s="62">
        <f>L49*R8</f>
        <v>9.2326894277400573</v>
      </c>
      <c r="S49" s="395">
        <f t="shared" si="2"/>
        <v>1.6786708050436467E-3</v>
      </c>
      <c r="T49" s="62">
        <f>L49*T8</f>
        <v>10.07202483026188</v>
      </c>
      <c r="U49" s="195">
        <f t="shared" si="4"/>
        <v>1.6786708050436465E-3</v>
      </c>
      <c r="V49" s="62">
        <f>L49*V8</f>
        <v>11.750695635305528</v>
      </c>
      <c r="W49" s="191">
        <f t="shared" si="5"/>
        <v>1.6786708050436467E-3</v>
      </c>
    </row>
    <row r="50" spans="1:23" ht="16.5" hidden="1" customHeight="1" outlineLevel="1" x14ac:dyDescent="0.3">
      <c r="A50" s="251" t="s">
        <v>161</v>
      </c>
      <c r="B50" s="376">
        <v>8.6829999999999998</v>
      </c>
      <c r="C50" s="191">
        <f t="shared" si="3"/>
        <v>2.1425238551019232E-3</v>
      </c>
      <c r="D50" s="401"/>
      <c r="E50" s="376">
        <v>9.8219999999999992</v>
      </c>
      <c r="F50" s="191">
        <v>3.8977845487883807E-3</v>
      </c>
      <c r="G50" s="492"/>
      <c r="H50" s="376">
        <v>9.9397500000000001</v>
      </c>
      <c r="I50" s="191">
        <f t="shared" si="0"/>
        <v>2.3698129298676683E-3</v>
      </c>
      <c r="J50" s="515"/>
      <c r="K50" s="376">
        <v>15</v>
      </c>
      <c r="L50" s="572">
        <v>2.9097963142580021E-3</v>
      </c>
      <c r="M50" s="515"/>
      <c r="N50" s="507">
        <v>9.9397500000000001</v>
      </c>
      <c r="O50" s="191">
        <f t="shared" si="1"/>
        <v>1.9825545175316279E-3</v>
      </c>
      <c r="P50" s="21"/>
      <c r="Q50" s="515"/>
      <c r="R50" s="62">
        <f>VARIABLE!E28</f>
        <v>5</v>
      </c>
      <c r="S50" s="395">
        <f t="shared" si="2"/>
        <v>9.0909090909090909E-4</v>
      </c>
      <c r="T50" s="62">
        <f>VARIABLE!F28</f>
        <v>10</v>
      </c>
      <c r="U50" s="195">
        <f t="shared" si="4"/>
        <v>1.6666666666666668E-3</v>
      </c>
      <c r="V50" s="62">
        <f>VARIABLE!G28</f>
        <v>15</v>
      </c>
      <c r="W50" s="191">
        <f t="shared" si="5"/>
        <v>2.142857142857143E-3</v>
      </c>
    </row>
    <row r="51" spans="1:23" ht="16.5" hidden="1" customHeight="1" outlineLevel="1" x14ac:dyDescent="0.3">
      <c r="A51" s="97" t="s">
        <v>162</v>
      </c>
      <c r="B51" s="376">
        <v>28.579000000000001</v>
      </c>
      <c r="C51" s="191">
        <f t="shared" si="3"/>
        <v>7.0518472019990642E-3</v>
      </c>
      <c r="D51" s="401"/>
      <c r="E51" s="376">
        <v>13.9</v>
      </c>
      <c r="F51" s="191">
        <v>5.5161072315372123E-3</v>
      </c>
      <c r="G51" s="492"/>
      <c r="H51" s="376">
        <v>26.975000000000001</v>
      </c>
      <c r="I51" s="191">
        <f t="shared" si="0"/>
        <v>6.4313190757494263E-3</v>
      </c>
      <c r="J51" s="515"/>
      <c r="K51" s="376">
        <v>32.370000000000005</v>
      </c>
      <c r="L51" s="572">
        <v>6.279340446168769E-3</v>
      </c>
      <c r="M51" s="515"/>
      <c r="N51" s="112">
        <v>32.975000000000001</v>
      </c>
      <c r="O51" s="191">
        <f t="shared" si="1"/>
        <v>6.5771005523886858E-3</v>
      </c>
      <c r="P51" s="21"/>
      <c r="Q51" s="515"/>
      <c r="R51" s="62">
        <f>L51*R8</f>
        <v>34.53637245392823</v>
      </c>
      <c r="S51" s="395">
        <f t="shared" si="2"/>
        <v>6.279340446168769E-3</v>
      </c>
      <c r="T51" s="62">
        <f>L51*T8</f>
        <v>37.676042677012617</v>
      </c>
      <c r="U51" s="195">
        <f t="shared" si="4"/>
        <v>6.2793404461687699E-3</v>
      </c>
      <c r="V51" s="62">
        <f>L51*V8</f>
        <v>43.955383123181385</v>
      </c>
      <c r="W51" s="191">
        <f t="shared" si="5"/>
        <v>6.279340446168769E-3</v>
      </c>
    </row>
    <row r="52" spans="1:23" ht="16.5" hidden="1" customHeight="1" outlineLevel="1" x14ac:dyDescent="0.3">
      <c r="A52" s="97" t="s">
        <v>37</v>
      </c>
      <c r="B52" s="376">
        <v>39.567</v>
      </c>
      <c r="C52" s="191">
        <f t="shared" si="3"/>
        <v>9.7631281095033745E-3</v>
      </c>
      <c r="D52" s="401"/>
      <c r="E52" s="376">
        <v>23.420999999999999</v>
      </c>
      <c r="F52" s="191">
        <v>9.294442264016765E-3</v>
      </c>
      <c r="G52" s="492"/>
      <c r="H52" s="376">
        <f>23.978+3.24916+4.667+4.5</f>
        <v>36.394159999999999</v>
      </c>
      <c r="I52" s="191">
        <f t="shared" si="0"/>
        <v>8.6770141039435294E-3</v>
      </c>
      <c r="J52" s="515"/>
      <c r="K52" s="376">
        <v>43.672992000000001</v>
      </c>
      <c r="L52" s="572">
        <v>8.4719674102812798E-3</v>
      </c>
      <c r="M52" s="515"/>
      <c r="N52" s="112">
        <f>28.776+4.84916+5.6+4.965</f>
        <v>44.190160000000006</v>
      </c>
      <c r="O52" s="191">
        <f t="shared" si="1"/>
        <v>8.8140447534842889E-3</v>
      </c>
      <c r="P52" s="21"/>
      <c r="Q52" s="515"/>
      <c r="R52" s="62">
        <f>L52*R8</f>
        <v>46.595820756547042</v>
      </c>
      <c r="S52" s="395">
        <f t="shared" si="2"/>
        <v>8.4719674102812798E-3</v>
      </c>
      <c r="T52" s="62">
        <f>L52*T8</f>
        <v>50.831804461687682</v>
      </c>
      <c r="U52" s="195">
        <f t="shared" si="4"/>
        <v>8.4719674102812798E-3</v>
      </c>
      <c r="V52" s="62">
        <f>L52*V8</f>
        <v>59.303771871968962</v>
      </c>
      <c r="W52" s="191">
        <f t="shared" si="5"/>
        <v>8.4719674102812798E-3</v>
      </c>
    </row>
    <row r="53" spans="1:23" ht="16.5" hidden="1" customHeight="1" outlineLevel="1" x14ac:dyDescent="0.3">
      <c r="A53" s="251" t="s">
        <v>84</v>
      </c>
      <c r="B53" s="376">
        <f>11.089+5.725</f>
        <v>16.814</v>
      </c>
      <c r="C53" s="191">
        <f t="shared" si="3"/>
        <v>4.1488421167434923E-3</v>
      </c>
      <c r="D53" s="401"/>
      <c r="E53" s="376">
        <v>2.1920000000000002</v>
      </c>
      <c r="F53" s="191">
        <v>8.6987820514601219E-4</v>
      </c>
      <c r="G53" s="492"/>
      <c r="H53" s="376">
        <v>0.15</v>
      </c>
      <c r="I53" s="191">
        <f t="shared" si="0"/>
        <v>3.5762663998606628E-5</v>
      </c>
      <c r="J53" s="515"/>
      <c r="K53" s="376">
        <v>1</v>
      </c>
      <c r="L53" s="572">
        <v>1.9398642095053346E-4</v>
      </c>
      <c r="M53" s="515"/>
      <c r="N53" s="507">
        <v>0.15</v>
      </c>
      <c r="O53" s="191">
        <f t="shared" si="1"/>
        <v>2.991857719054747E-5</v>
      </c>
      <c r="P53" s="21"/>
      <c r="Q53" s="515"/>
      <c r="R53" s="62">
        <f>VARIABLE!E29</f>
        <v>5</v>
      </c>
      <c r="S53" s="395">
        <f t="shared" si="2"/>
        <v>9.0909090909090909E-4</v>
      </c>
      <c r="T53" s="62">
        <f>VARIABLE!F29</f>
        <v>5</v>
      </c>
      <c r="U53" s="195">
        <f t="shared" si="4"/>
        <v>8.3333333333333339E-4</v>
      </c>
      <c r="V53" s="62">
        <f>VARIABLE!G29</f>
        <v>5</v>
      </c>
      <c r="W53" s="191">
        <f t="shared" si="5"/>
        <v>7.1428571428571429E-4</v>
      </c>
    </row>
    <row r="54" spans="1:23" ht="16.5" hidden="1" customHeight="1" outlineLevel="1" x14ac:dyDescent="0.3">
      <c r="A54" s="251" t="s">
        <v>14</v>
      </c>
      <c r="B54" s="376">
        <v>13.989000000000001</v>
      </c>
      <c r="C54" s="191">
        <f t="shared" si="3"/>
        <v>3.4517754473132336E-3</v>
      </c>
      <c r="D54" s="401"/>
      <c r="E54" s="376">
        <v>5.8179999999999996</v>
      </c>
      <c r="F54" s="191">
        <v>2.3088281923081652E-3</v>
      </c>
      <c r="G54" s="492"/>
      <c r="H54" s="376">
        <v>11.026579999999999</v>
      </c>
      <c r="I54" s="191">
        <f t="shared" si="0"/>
        <v>2.6289325039583725E-3</v>
      </c>
      <c r="J54" s="515"/>
      <c r="K54" s="376">
        <v>13.231895999999999</v>
      </c>
      <c r="L54" s="572">
        <v>2.5668081474296799E-3</v>
      </c>
      <c r="M54" s="515"/>
      <c r="N54" s="507">
        <v>14.154260000000001</v>
      </c>
      <c r="O54" s="191">
        <f t="shared" si="1"/>
        <v>2.8231688025671898E-3</v>
      </c>
      <c r="P54" s="21"/>
      <c r="Q54" s="515"/>
      <c r="R54" s="62">
        <f>VARIABLE!E30</f>
        <v>15</v>
      </c>
      <c r="S54" s="395">
        <f t="shared" si="2"/>
        <v>2.7272727272727275E-3</v>
      </c>
      <c r="T54" s="62">
        <f>VARIABLE!F30</f>
        <v>20</v>
      </c>
      <c r="U54" s="195">
        <f t="shared" si="4"/>
        <v>3.3333333333333335E-3</v>
      </c>
      <c r="V54" s="62">
        <f>VARIABLE!G30</f>
        <v>25</v>
      </c>
      <c r="W54" s="191">
        <f t="shared" si="5"/>
        <v>3.5714285714285713E-3</v>
      </c>
    </row>
    <row r="55" spans="1:23" ht="16.5" hidden="1" customHeight="1" outlineLevel="1" x14ac:dyDescent="0.3">
      <c r="A55" s="97" t="s">
        <v>38</v>
      </c>
      <c r="B55" s="376">
        <f>0.45+1.672+5.85</f>
        <v>7.9719999999999995</v>
      </c>
      <c r="C55" s="191">
        <f t="shared" si="3"/>
        <v>1.9670851287426619E-3</v>
      </c>
      <c r="D55" s="401"/>
      <c r="E55" s="376">
        <v>2.923</v>
      </c>
      <c r="F55" s="191">
        <v>1.1599698876103074E-3</v>
      </c>
      <c r="G55" s="492"/>
      <c r="H55" s="376">
        <f>0.3407+0.307+1.0518+3.79531+1.948</f>
        <v>7.4428099999999997</v>
      </c>
      <c r="I55" s="191">
        <f t="shared" si="0"/>
        <v>1.7744980882364626E-3</v>
      </c>
      <c r="J55" s="515"/>
      <c r="K55" s="376">
        <v>8.9313719999999996</v>
      </c>
      <c r="L55" s="572">
        <v>1.7325648884578078E-3</v>
      </c>
      <c r="M55" s="515"/>
      <c r="N55" s="556">
        <f>6.56271+2.338+0.198+0.02882+1.0518+0.3489+0.264+0.043</f>
        <v>10.835229999999999</v>
      </c>
      <c r="O55" s="191">
        <f t="shared" si="1"/>
        <v>2.1611644342155708E-3</v>
      </c>
      <c r="P55" s="21"/>
      <c r="Q55" s="515"/>
      <c r="R55" s="62">
        <f>L55*R8</f>
        <v>9.5291068865179422</v>
      </c>
      <c r="S55" s="395">
        <f t="shared" si="2"/>
        <v>1.7325648884578078E-3</v>
      </c>
      <c r="T55" s="62">
        <f>L55*T8</f>
        <v>10.395389330746847</v>
      </c>
      <c r="U55" s="195">
        <f t="shared" si="4"/>
        <v>1.7325648884578078E-3</v>
      </c>
      <c r="V55" s="62">
        <f>L55*V8</f>
        <v>12.127954219204655</v>
      </c>
      <c r="W55" s="191">
        <f t="shared" si="5"/>
        <v>1.7325648884578078E-3</v>
      </c>
    </row>
    <row r="56" spans="1:23" ht="16.5" hidden="1" customHeight="1" outlineLevel="1" x14ac:dyDescent="0.3">
      <c r="A56" s="97" t="s">
        <v>17</v>
      </c>
      <c r="B56" s="376">
        <v>11.510999999999999</v>
      </c>
      <c r="C56" s="191">
        <f t="shared" si="3"/>
        <v>2.8403307723227269E-3</v>
      </c>
      <c r="D56" s="401"/>
      <c r="E56" s="376">
        <v>5.7619999999999996</v>
      </c>
      <c r="F56" s="191">
        <v>2.2866050264832671E-3</v>
      </c>
      <c r="G56" s="492"/>
      <c r="H56" s="376">
        <f>0.98879+1.00129+8.37452</f>
        <v>10.364599999999999</v>
      </c>
      <c r="I56" s="191">
        <f t="shared" si="0"/>
        <v>2.4711047151997219E-3</v>
      </c>
      <c r="J56" s="515"/>
      <c r="K56" s="376">
        <v>12.437519999999999</v>
      </c>
      <c r="L56" s="572">
        <v>2.412709990300679E-3</v>
      </c>
      <c r="M56" s="515"/>
      <c r="N56" s="112">
        <v>11.222630000000001</v>
      </c>
      <c r="O56" s="191">
        <f t="shared" si="1"/>
        <v>2.2384341462396919E-3</v>
      </c>
      <c r="P56" s="21"/>
      <c r="Q56" s="515"/>
      <c r="R56" s="62">
        <f>L56*R8</f>
        <v>13.269904946653735</v>
      </c>
      <c r="S56" s="395">
        <f t="shared" si="2"/>
        <v>2.412709990300679E-3</v>
      </c>
      <c r="T56" s="62">
        <f>S56*T8</f>
        <v>14.476259941804074</v>
      </c>
      <c r="U56" s="195">
        <f t="shared" si="4"/>
        <v>2.412709990300679E-3</v>
      </c>
      <c r="V56" s="62">
        <f>U56*V8</f>
        <v>16.888969932104754</v>
      </c>
      <c r="W56" s="191">
        <f t="shared" si="5"/>
        <v>2.412709990300679E-3</v>
      </c>
    </row>
    <row r="57" spans="1:23" ht="16.5" hidden="1" customHeight="1" outlineLevel="1" x14ac:dyDescent="0.3">
      <c r="A57" s="97" t="s">
        <v>86</v>
      </c>
      <c r="B57" s="376">
        <v>18.373999999999999</v>
      </c>
      <c r="C57" s="191">
        <f t="shared" si="3"/>
        <v>4.5337709678271035E-3</v>
      </c>
      <c r="D57" s="401"/>
      <c r="E57" s="376">
        <v>7.3970000000000002</v>
      </c>
      <c r="F57" s="191">
        <v>2.935442100120918E-3</v>
      </c>
      <c r="G57" s="492"/>
      <c r="H57" s="376">
        <v>10.26286</v>
      </c>
      <c r="I57" s="191">
        <f t="shared" si="0"/>
        <v>2.4468480922982669E-3</v>
      </c>
      <c r="J57" s="515"/>
      <c r="K57" s="376">
        <v>12.315431999999999</v>
      </c>
      <c r="L57" s="572">
        <v>2.3890265761396701E-3</v>
      </c>
      <c r="M57" s="515"/>
      <c r="N57" s="112">
        <v>11.78562</v>
      </c>
      <c r="O57" s="191">
        <f t="shared" si="1"/>
        <v>2.350726544723067E-3</v>
      </c>
      <c r="P57" s="21"/>
      <c r="Q57" s="515"/>
      <c r="R57" s="62">
        <f>K57*1.01</f>
        <v>12.438586319999999</v>
      </c>
      <c r="S57" s="395">
        <f>R57/$R$8</f>
        <v>2.2615611490909089E-3</v>
      </c>
      <c r="T57" s="62">
        <f>R57*1.01</f>
        <v>12.562972183199999</v>
      </c>
      <c r="U57" s="195">
        <f t="shared" si="4"/>
        <v>2.0938286971999998E-3</v>
      </c>
      <c r="V57" s="62">
        <f>T57*1.01</f>
        <v>12.688601905032</v>
      </c>
      <c r="W57" s="191">
        <f t="shared" si="5"/>
        <v>1.8126574150045714E-3</v>
      </c>
    </row>
    <row r="58" spans="1:23" ht="16.5" hidden="1" customHeight="1" outlineLevel="1" x14ac:dyDescent="0.3">
      <c r="A58" s="97" t="s">
        <v>18</v>
      </c>
      <c r="B58" s="376">
        <v>1.3089999999999999</v>
      </c>
      <c r="C58" s="191">
        <f t="shared" si="3"/>
        <v>3.2299478594131263E-4</v>
      </c>
      <c r="D58" s="401"/>
      <c r="E58" s="376">
        <v>0.31</v>
      </c>
      <c r="F58" s="191">
        <v>1.2302109653068602E-4</v>
      </c>
      <c r="G58" s="492"/>
      <c r="H58" s="376">
        <f>0.1529+0.16811</f>
        <v>0.32101000000000002</v>
      </c>
      <c r="I58" s="191">
        <f t="shared" si="0"/>
        <v>7.6534485134618102E-5</v>
      </c>
      <c r="J58" s="515"/>
      <c r="K58" s="376">
        <v>0.385212</v>
      </c>
      <c r="L58" s="572">
        <v>7.4725897187196891E-5</v>
      </c>
      <c r="M58" s="515"/>
      <c r="N58" s="112">
        <v>0.32880999999999999</v>
      </c>
      <c r="O58" s="191">
        <f t="shared" si="1"/>
        <v>6.5583515773492762E-5</v>
      </c>
      <c r="P58" s="21"/>
      <c r="Q58" s="515"/>
      <c r="R58" s="62">
        <f>L58*R8</f>
        <v>0.4109924345295829</v>
      </c>
      <c r="S58" s="395">
        <f>R58/$R$8</f>
        <v>7.4725897187196891E-5</v>
      </c>
      <c r="T58" s="62">
        <f>L58*T8</f>
        <v>0.44835538312318135</v>
      </c>
      <c r="U58" s="195">
        <f t="shared" si="4"/>
        <v>7.4725897187196891E-5</v>
      </c>
      <c r="V58" s="62">
        <f>L58*V8</f>
        <v>0.52308128031037826</v>
      </c>
      <c r="W58" s="191">
        <f t="shared" si="5"/>
        <v>7.4725897187196891E-5</v>
      </c>
    </row>
    <row r="59" spans="1:23" ht="16.5" hidden="1" customHeight="1" outlineLevel="1" x14ac:dyDescent="0.3">
      <c r="A59" s="97" t="s">
        <v>19</v>
      </c>
      <c r="B59" s="376">
        <v>4.9119999999999999</v>
      </c>
      <c r="C59" s="191">
        <f t="shared" si="3"/>
        <v>1.2120323823863466E-3</v>
      </c>
      <c r="D59" s="401"/>
      <c r="E59" s="376">
        <v>3.4470000000000001</v>
      </c>
      <c r="F59" s="191">
        <v>1.367915224971854E-3</v>
      </c>
      <c r="G59" s="492"/>
      <c r="H59" s="376">
        <f>5.06057+2.89662</f>
        <v>7.9571900000000007</v>
      </c>
      <c r="I59" s="191">
        <f t="shared" si="0"/>
        <v>1.8971354156204847E-3</v>
      </c>
      <c r="J59" s="515"/>
      <c r="K59" s="376">
        <v>8.4571900000000007</v>
      </c>
      <c r="L59" s="572">
        <v>1.6405800193986422E-3</v>
      </c>
      <c r="M59" s="515"/>
      <c r="N59" s="112">
        <v>8.2799700000000005</v>
      </c>
      <c r="O59" s="191">
        <f t="shared" si="1"/>
        <v>1.6514994772027823E-3</v>
      </c>
      <c r="P59" s="21"/>
      <c r="Q59" s="515"/>
      <c r="R59" s="62">
        <f>L59*R8</f>
        <v>9.0231901066925317</v>
      </c>
      <c r="S59" s="395">
        <f>R59/$R$8</f>
        <v>1.6405800193986422E-3</v>
      </c>
      <c r="T59" s="62">
        <f>L59*T8</f>
        <v>9.8434801163918539</v>
      </c>
      <c r="U59" s="195">
        <f t="shared" si="4"/>
        <v>1.6405800193986424E-3</v>
      </c>
      <c r="V59" s="62">
        <f>L59*V8</f>
        <v>11.484060135790495</v>
      </c>
      <c r="W59" s="191">
        <f t="shared" si="5"/>
        <v>1.6405800193986422E-3</v>
      </c>
    </row>
    <row r="60" spans="1:23" ht="9" customHeight="1" x14ac:dyDescent="0.3">
      <c r="A60" s="98"/>
      <c r="B60" s="109"/>
      <c r="C60" s="121"/>
      <c r="D60" s="401"/>
      <c r="E60" s="109"/>
      <c r="F60" s="121"/>
      <c r="G60" s="498"/>
      <c r="H60" s="109"/>
      <c r="I60" s="121"/>
      <c r="J60" s="562"/>
      <c r="K60" s="109"/>
      <c r="L60" s="574"/>
      <c r="M60" s="562"/>
      <c r="N60" s="109"/>
      <c r="O60" s="121"/>
      <c r="P60" s="21"/>
      <c r="Q60" s="522" t="s">
        <v>219</v>
      </c>
      <c r="R60" s="109"/>
      <c r="S60" s="395"/>
      <c r="T60" s="109"/>
      <c r="U60" s="400"/>
      <c r="V60" s="109"/>
      <c r="W60" s="121"/>
    </row>
    <row r="61" spans="1:23" x14ac:dyDescent="0.3">
      <c r="A61" s="90" t="s">
        <v>158</v>
      </c>
      <c r="B61" s="404">
        <v>560</v>
      </c>
      <c r="C61" s="190">
        <f>B61/B8</f>
        <v>0.13817958756847601</v>
      </c>
      <c r="D61" s="397"/>
      <c r="E61" s="404">
        <v>260</v>
      </c>
      <c r="F61" s="190">
        <v>0.10317898418702699</v>
      </c>
      <c r="G61" s="494"/>
      <c r="H61" s="404">
        <f>433.333</f>
        <v>433.33300000000003</v>
      </c>
      <c r="I61" s="190">
        <f>H61/H8</f>
        <v>0.10331428319005471</v>
      </c>
      <c r="J61" s="289"/>
      <c r="K61" s="404">
        <v>519.99959999999999</v>
      </c>
      <c r="L61" s="573">
        <v>0.10087286129970902</v>
      </c>
      <c r="M61" s="289"/>
      <c r="N61" s="110">
        <f>720*65%</f>
        <v>468</v>
      </c>
      <c r="O61" s="190">
        <f>N61/N8</f>
        <v>9.3345960834508107E-2</v>
      </c>
      <c r="P61" s="49"/>
      <c r="Q61" s="289"/>
      <c r="R61" s="271">
        <f>'AVANISTA GROUP - BP 2022'!R9</f>
        <v>520.05600000000004</v>
      </c>
      <c r="S61" s="398">
        <f>R61/R8</f>
        <v>9.4555636363636369E-2</v>
      </c>
      <c r="T61" s="271">
        <f>'AVANISTA GROUP - BP 2022'!T9</f>
        <v>520.05600000000004</v>
      </c>
      <c r="U61" s="193">
        <f>T61/T8</f>
        <v>8.6676000000000003E-2</v>
      </c>
      <c r="V61" s="271">
        <f>'AVANISTA GROUP - BP 2022'!V9</f>
        <v>520.05600000000004</v>
      </c>
      <c r="W61" s="190">
        <f>V61/V8</f>
        <v>7.4293714285714296E-2</v>
      </c>
    </row>
    <row r="62" spans="1:23" ht="6.75" customHeight="1" x14ac:dyDescent="0.3">
      <c r="A62" s="98"/>
      <c r="B62" s="109"/>
      <c r="C62" s="121"/>
      <c r="D62" s="401"/>
      <c r="E62" s="109"/>
      <c r="F62" s="121"/>
      <c r="G62" s="498"/>
      <c r="H62" s="109"/>
      <c r="I62" s="121"/>
      <c r="J62" s="562"/>
      <c r="K62" s="109"/>
      <c r="L62" s="574"/>
      <c r="M62" s="562"/>
      <c r="N62" s="109"/>
      <c r="O62" s="121"/>
      <c r="P62" s="21"/>
      <c r="Q62" s="517"/>
      <c r="R62" s="109"/>
      <c r="S62" s="400"/>
      <c r="T62" s="109"/>
      <c r="U62" s="400"/>
      <c r="V62" s="109"/>
      <c r="W62" s="121"/>
    </row>
    <row r="63" spans="1:23" x14ac:dyDescent="0.3">
      <c r="A63" s="90" t="s">
        <v>163</v>
      </c>
      <c r="B63" s="271">
        <v>0</v>
      </c>
      <c r="C63" s="190">
        <f>B63/B8</f>
        <v>0</v>
      </c>
      <c r="D63" s="397"/>
      <c r="E63" s="271">
        <v>46.361908950000007</v>
      </c>
      <c r="F63" s="190">
        <v>1.839836411704783E-2</v>
      </c>
      <c r="G63" s="494"/>
      <c r="H63" s="271">
        <v>52.720190000000002</v>
      </c>
      <c r="I63" s="190">
        <f>H63/H8</f>
        <v>1.2569429606084676E-2</v>
      </c>
      <c r="J63" s="289"/>
      <c r="K63" s="271">
        <v>63.264228000000003</v>
      </c>
      <c r="L63" s="573">
        <v>1.2272401163918527E-2</v>
      </c>
      <c r="M63" s="289"/>
      <c r="N63" s="110">
        <f>111.12*65%</f>
        <v>72.228000000000009</v>
      </c>
      <c r="O63" s="190">
        <f>N63/N8</f>
        <v>1.4406393288792419E-2</v>
      </c>
      <c r="P63" s="49"/>
      <c r="Q63" s="289"/>
      <c r="R63" s="271">
        <f>'AVANISTA GROUP - BP 2022'!R12</f>
        <v>60.673200000000001</v>
      </c>
      <c r="S63" s="398">
        <f>R63/R8</f>
        <v>1.103149090909091E-2</v>
      </c>
      <c r="T63" s="271">
        <f>'AVANISTA GROUP - BP 2022'!T12</f>
        <v>75.841500000000011</v>
      </c>
      <c r="U63" s="398">
        <f>T63/T8</f>
        <v>1.2640250000000002E-2</v>
      </c>
      <c r="V63" s="271">
        <f>'AVANISTA GROUP - BP 2022'!V12</f>
        <v>91.009800000000013</v>
      </c>
      <c r="W63" s="190">
        <f>V63/V8</f>
        <v>1.3001400000000001E-2</v>
      </c>
    </row>
    <row r="64" spans="1:23" ht="6" customHeight="1" x14ac:dyDescent="0.3">
      <c r="A64" s="99"/>
      <c r="B64" s="115"/>
      <c r="C64" s="122"/>
      <c r="D64" s="405"/>
      <c r="E64" s="115"/>
      <c r="F64" s="122"/>
      <c r="G64" s="499"/>
      <c r="H64" s="115"/>
      <c r="I64" s="122"/>
      <c r="J64" s="114"/>
      <c r="K64" s="115"/>
      <c r="L64" s="575"/>
      <c r="M64" s="114"/>
      <c r="N64" s="115"/>
      <c r="O64" s="122"/>
      <c r="P64" s="41"/>
      <c r="Q64" s="518"/>
      <c r="R64" s="115"/>
      <c r="S64" s="406"/>
      <c r="T64" s="115"/>
      <c r="U64" s="406"/>
      <c r="V64" s="115"/>
      <c r="W64" s="122"/>
    </row>
    <row r="65" spans="1:23" collapsed="1" x14ac:dyDescent="0.3">
      <c r="A65" s="90" t="s">
        <v>39</v>
      </c>
      <c r="B65" s="271">
        <f>SUM(B67:B72)</f>
        <v>20.906000000000002</v>
      </c>
      <c r="C65" s="190">
        <f>B65/B8</f>
        <v>5.1585401030474279E-3</v>
      </c>
      <c r="D65" s="397"/>
      <c r="E65" s="271">
        <v>9.2104651373499991</v>
      </c>
      <c r="F65" s="190">
        <v>3.6551016798530727E-3</v>
      </c>
      <c r="G65" s="494"/>
      <c r="H65" s="271">
        <f>SUM(H67:H72)</f>
        <v>20.097009999999997</v>
      </c>
      <c r="I65" s="190">
        <f>H65/H8</f>
        <v>4.7914841067109156E-3</v>
      </c>
      <c r="J65" s="289"/>
      <c r="K65" s="271">
        <v>23.901832270392426</v>
      </c>
      <c r="L65" s="573">
        <v>4.6366308962933903E-3</v>
      </c>
      <c r="M65" s="289"/>
      <c r="N65" s="110">
        <f>SUM(N67:N72)</f>
        <v>22.213000000000001</v>
      </c>
      <c r="O65" s="190">
        <f>N65/N8</f>
        <v>4.4305423675575399E-3</v>
      </c>
      <c r="P65" s="41"/>
      <c r="Q65" s="289"/>
      <c r="R65" s="271">
        <f>SUM(R68:R72)</f>
        <v>25.742145233909188</v>
      </c>
      <c r="S65" s="398">
        <f>R65/R8</f>
        <v>4.6803900425289435E-3</v>
      </c>
      <c r="T65" s="271">
        <f>SUM(T68:T72)</f>
        <v>26.055077548702826</v>
      </c>
      <c r="U65" s="398">
        <f>T65/T8</f>
        <v>4.342512924783804E-3</v>
      </c>
      <c r="V65" s="271">
        <f>SUM(V68:V72)</f>
        <v>26.907851016335655</v>
      </c>
      <c r="W65" s="190">
        <f>V65/V8</f>
        <v>3.8439787166193794E-3</v>
      </c>
    </row>
    <row r="66" spans="1:23" ht="4.5" hidden="1" customHeight="1" outlineLevel="1" x14ac:dyDescent="0.3">
      <c r="A66" s="91"/>
      <c r="B66" s="109"/>
      <c r="C66" s="122"/>
      <c r="D66" s="407"/>
      <c r="E66" s="109"/>
      <c r="F66" s="122"/>
      <c r="G66" s="499"/>
      <c r="H66" s="109"/>
      <c r="I66" s="122"/>
      <c r="J66" s="114"/>
      <c r="K66" s="109"/>
      <c r="L66" s="575"/>
      <c r="M66" s="114"/>
      <c r="N66" s="109"/>
      <c r="O66" s="122"/>
      <c r="P66" s="41"/>
      <c r="Q66" s="518"/>
      <c r="R66" s="109"/>
      <c r="S66" s="406"/>
      <c r="T66" s="109"/>
      <c r="U66" s="406"/>
      <c r="V66" s="109"/>
      <c r="W66" s="122"/>
    </row>
    <row r="67" spans="1:23" ht="18" hidden="1" customHeight="1" outlineLevel="1" x14ac:dyDescent="0.3">
      <c r="A67" s="97" t="s">
        <v>80</v>
      </c>
      <c r="B67" s="62">
        <v>3.1619999999999999</v>
      </c>
      <c r="C67" s="122"/>
      <c r="D67" s="407"/>
      <c r="E67" s="62">
        <v>2.0059999999999998</v>
      </c>
      <c r="F67" s="122"/>
      <c r="G67" s="499"/>
      <c r="H67" s="62">
        <f>2.635+0.89801</f>
        <v>3.53301</v>
      </c>
      <c r="I67" s="122"/>
      <c r="J67" s="114"/>
      <c r="K67" s="62">
        <v>4.2396120000000002</v>
      </c>
      <c r="L67" s="572">
        <v>5.7225892362588286E-2</v>
      </c>
      <c r="M67" s="114"/>
      <c r="N67" s="112">
        <v>1.3919999999999999</v>
      </c>
      <c r="O67" s="122"/>
      <c r="P67" s="41"/>
      <c r="Q67" s="515"/>
      <c r="R67" s="62">
        <f>L67*R74</f>
        <v>4.0162319873850558</v>
      </c>
      <c r="S67" s="406"/>
      <c r="T67" s="62">
        <f>L67*T74</f>
        <v>4.0366902439046815</v>
      </c>
      <c r="U67" s="406"/>
      <c r="V67" s="62">
        <f>V74*L67</f>
        <v>4.0366902439046815</v>
      </c>
      <c r="W67" s="122"/>
    </row>
    <row r="68" spans="1:23" ht="18" hidden="1" customHeight="1" outlineLevel="1" x14ac:dyDescent="0.3">
      <c r="A68" s="97" t="s">
        <v>47</v>
      </c>
      <c r="B68" s="62">
        <v>2.3759999999999999</v>
      </c>
      <c r="C68" s="122"/>
      <c r="D68" s="407"/>
      <c r="E68" s="62">
        <v>0.875</v>
      </c>
      <c r="F68" s="122"/>
      <c r="G68" s="499"/>
      <c r="H68" s="62">
        <v>1.98</v>
      </c>
      <c r="I68" s="122"/>
      <c r="J68" s="114"/>
      <c r="K68" s="62">
        <v>2.3759999999999999</v>
      </c>
      <c r="L68" s="572"/>
      <c r="M68" s="114"/>
      <c r="N68" s="112">
        <v>1.7490000000000001</v>
      </c>
      <c r="O68" s="122"/>
      <c r="P68" s="41"/>
      <c r="Q68" s="515"/>
      <c r="R68" s="62">
        <f>K68</f>
        <v>2.3759999999999999</v>
      </c>
      <c r="S68" s="406"/>
      <c r="T68" s="62">
        <f>R68</f>
        <v>2.3759999999999999</v>
      </c>
      <c r="U68" s="406"/>
      <c r="V68" s="62">
        <f>T68</f>
        <v>2.3759999999999999</v>
      </c>
      <c r="W68" s="122"/>
    </row>
    <row r="69" spans="1:23" ht="18" hidden="1" customHeight="1" outlineLevel="1" x14ac:dyDescent="0.3">
      <c r="A69" s="97" t="s">
        <v>155</v>
      </c>
      <c r="B69" s="62">
        <v>0.41</v>
      </c>
      <c r="C69" s="122"/>
      <c r="D69" s="407"/>
      <c r="E69" s="62">
        <v>0</v>
      </c>
      <c r="F69" s="122"/>
      <c r="G69" s="499"/>
      <c r="H69" s="62">
        <v>0</v>
      </c>
      <c r="I69" s="122"/>
      <c r="J69" s="114"/>
      <c r="K69" s="62">
        <v>0</v>
      </c>
      <c r="L69" s="575"/>
      <c r="M69" s="114"/>
      <c r="N69" s="112">
        <v>0</v>
      </c>
      <c r="O69" s="122"/>
      <c r="P69" s="41"/>
      <c r="Q69" s="518"/>
      <c r="R69" s="62">
        <v>0</v>
      </c>
      <c r="S69" s="406"/>
      <c r="T69" s="62">
        <v>0</v>
      </c>
      <c r="U69" s="406"/>
      <c r="V69" s="62">
        <v>0</v>
      </c>
      <c r="W69" s="122"/>
    </row>
    <row r="70" spans="1:23" ht="18" hidden="1" customHeight="1" outlineLevel="1" x14ac:dyDescent="0.3">
      <c r="A70" s="97" t="s">
        <v>156</v>
      </c>
      <c r="B70" s="62">
        <v>1.5129999999999999</v>
      </c>
      <c r="C70" s="122"/>
      <c r="D70" s="407"/>
      <c r="E70" s="62">
        <v>0</v>
      </c>
      <c r="F70" s="122"/>
      <c r="G70" s="499"/>
      <c r="H70" s="62">
        <v>0</v>
      </c>
      <c r="I70" s="122"/>
      <c r="J70" s="114"/>
      <c r="K70" s="62">
        <v>0</v>
      </c>
      <c r="L70" s="575"/>
      <c r="M70" s="114"/>
      <c r="N70" s="112">
        <v>0</v>
      </c>
      <c r="O70" s="122"/>
      <c r="P70" s="41"/>
      <c r="Q70" s="518"/>
      <c r="R70" s="62">
        <v>0</v>
      </c>
      <c r="S70" s="406"/>
      <c r="T70" s="62">
        <v>0</v>
      </c>
      <c r="U70" s="406"/>
      <c r="V70" s="62">
        <v>0</v>
      </c>
      <c r="W70" s="122"/>
    </row>
    <row r="71" spans="1:23" ht="18" hidden="1" customHeight="1" outlineLevel="1" x14ac:dyDescent="0.3">
      <c r="A71" s="97" t="s">
        <v>75</v>
      </c>
      <c r="B71" s="62">
        <v>10.95</v>
      </c>
      <c r="C71" s="122"/>
      <c r="D71" s="407"/>
      <c r="E71" s="62">
        <v>1.248</v>
      </c>
      <c r="F71" s="122"/>
      <c r="G71" s="499"/>
      <c r="H71" s="62">
        <v>2.1150000000000002</v>
      </c>
      <c r="I71" s="122"/>
      <c r="J71" s="114"/>
      <c r="K71" s="62">
        <v>2.5380000000000003</v>
      </c>
      <c r="L71" s="575"/>
      <c r="M71" s="114"/>
      <c r="N71" s="112">
        <v>2.5369999999999999</v>
      </c>
      <c r="O71" s="122"/>
      <c r="P71" s="41"/>
      <c r="Q71" s="518"/>
      <c r="R71" s="62">
        <f>K71*1.01</f>
        <v>2.5633800000000004</v>
      </c>
      <c r="S71" s="406"/>
      <c r="T71" s="62">
        <f>R71*1.01</f>
        <v>2.5890138000000005</v>
      </c>
      <c r="U71" s="406"/>
      <c r="V71" s="62">
        <f>T71*1.01</f>
        <v>2.6149039380000003</v>
      </c>
      <c r="W71" s="122"/>
    </row>
    <row r="72" spans="1:23" ht="18" hidden="1" customHeight="1" outlineLevel="1" x14ac:dyDescent="0.3">
      <c r="A72" s="97" t="s">
        <v>76</v>
      </c>
      <c r="B72" s="62">
        <v>2.4950000000000001</v>
      </c>
      <c r="C72" s="122"/>
      <c r="D72" s="407"/>
      <c r="E72" s="62">
        <v>5.0814651373500004</v>
      </c>
      <c r="F72" s="122"/>
      <c r="G72" s="499"/>
      <c r="H72" s="62">
        <v>12.468999999999999</v>
      </c>
      <c r="I72" s="122"/>
      <c r="J72" s="114"/>
      <c r="K72" s="62">
        <v>14.748220270392423</v>
      </c>
      <c r="L72" s="575"/>
      <c r="M72" s="114"/>
      <c r="N72" s="112">
        <v>16.535</v>
      </c>
      <c r="O72" s="122"/>
      <c r="P72" s="41"/>
      <c r="Q72" s="518"/>
      <c r="R72" s="62">
        <f>(R8-R35-R41-R61-R63)*0.7%</f>
        <v>20.802765233909188</v>
      </c>
      <c r="S72" s="406"/>
      <c r="T72" s="62">
        <f>(T8-T35-T41-T61-T63)*0.7%</f>
        <v>21.090063748702825</v>
      </c>
      <c r="U72" s="406"/>
      <c r="V72" s="62">
        <f>(V8-V35-V41-V61-V63)*0.7%</f>
        <v>21.916947078335653</v>
      </c>
      <c r="W72" s="122"/>
    </row>
    <row r="73" spans="1:23" ht="4.5" customHeight="1" x14ac:dyDescent="0.3">
      <c r="A73" s="97"/>
      <c r="B73" s="109"/>
      <c r="C73" s="122"/>
      <c r="D73" s="407"/>
      <c r="E73" s="109"/>
      <c r="F73" s="122"/>
      <c r="G73" s="499"/>
      <c r="H73" s="109"/>
      <c r="I73" s="122"/>
      <c r="J73" s="114"/>
      <c r="K73" s="109"/>
      <c r="L73" s="575"/>
      <c r="M73" s="114"/>
      <c r="N73" s="109"/>
      <c r="O73" s="122"/>
      <c r="P73" s="41"/>
      <c r="Q73" s="518"/>
      <c r="R73" s="109"/>
      <c r="S73" s="406"/>
      <c r="T73" s="109"/>
      <c r="U73" s="406"/>
      <c r="V73" s="109"/>
      <c r="W73" s="122"/>
    </row>
    <row r="74" spans="1:23" collapsed="1" x14ac:dyDescent="0.3">
      <c r="A74" s="90" t="s">
        <v>225</v>
      </c>
      <c r="B74" s="271">
        <f>SUM(B76:B90)</f>
        <v>74.818999999999988</v>
      </c>
      <c r="C74" s="190">
        <f>B74/B8</f>
        <v>1.8461533146938935E-2</v>
      </c>
      <c r="D74" s="408"/>
      <c r="E74" s="271">
        <v>40.251999999999995</v>
      </c>
      <c r="F74" s="190">
        <v>1.5973694121139269E-2</v>
      </c>
      <c r="G74" s="494"/>
      <c r="H74" s="271">
        <f>SUM(H76:H90)</f>
        <v>58.810510000000001</v>
      </c>
      <c r="I74" s="190">
        <f>H74/H8</f>
        <v>1.4021470058111302E-2</v>
      </c>
      <c r="J74" s="289"/>
      <c r="K74" s="271">
        <v>74.085555068979019</v>
      </c>
      <c r="L74" s="573">
        <v>1.4371591671964893E-2</v>
      </c>
      <c r="M74" s="289"/>
      <c r="N74" s="110">
        <f>SUM(N76:N90)</f>
        <v>97.08644000000001</v>
      </c>
      <c r="O74" s="190">
        <f>N74/N8</f>
        <v>1.9364587661969704E-2</v>
      </c>
      <c r="P74" s="21"/>
      <c r="Q74" s="289"/>
      <c r="R74" s="271">
        <f>SUM(R76:R90)</f>
        <v>70.182077055921766</v>
      </c>
      <c r="S74" s="398">
        <f>R74/R8</f>
        <v>1.2760377646531229E-2</v>
      </c>
      <c r="T74" s="271">
        <f>SUM(T76:T90)</f>
        <v>70.539577055921768</v>
      </c>
      <c r="U74" s="398">
        <f>T74/T8</f>
        <v>1.175659617598696E-2</v>
      </c>
      <c r="V74" s="271">
        <f>SUM(V76:V90)</f>
        <v>70.539577055921768</v>
      </c>
      <c r="W74" s="190">
        <f>V74/V8</f>
        <v>1.0077082436560253E-2</v>
      </c>
    </row>
    <row r="75" spans="1:23" ht="9" hidden="1" customHeight="1" outlineLevel="1" x14ac:dyDescent="0.3">
      <c r="A75" s="100"/>
      <c r="B75" s="66"/>
      <c r="C75" s="65"/>
      <c r="D75" s="408"/>
      <c r="E75" s="116"/>
      <c r="F75" s="122"/>
      <c r="G75" s="499"/>
      <c r="H75" s="116"/>
      <c r="I75" s="122"/>
      <c r="J75" s="114"/>
      <c r="K75" s="116"/>
      <c r="L75" s="576"/>
      <c r="M75" s="114"/>
      <c r="N75" s="116"/>
      <c r="O75" s="127"/>
      <c r="P75" s="21"/>
      <c r="Q75" s="459"/>
      <c r="R75" s="116"/>
      <c r="S75" s="409"/>
      <c r="T75" s="116"/>
      <c r="U75" s="409"/>
      <c r="V75" s="116"/>
      <c r="W75" s="127"/>
    </row>
    <row r="76" spans="1:23" ht="17.25" hidden="1" customHeight="1" outlineLevel="1" x14ac:dyDescent="0.3">
      <c r="A76" s="97" t="s">
        <v>26</v>
      </c>
      <c r="B76" s="62">
        <v>53.448</v>
      </c>
      <c r="C76" s="65"/>
      <c r="D76" s="408"/>
      <c r="E76" s="112">
        <v>28.623999999999999</v>
      </c>
      <c r="F76" s="122"/>
      <c r="G76" s="499"/>
      <c r="H76" s="112">
        <v>42.866660000000003</v>
      </c>
      <c r="I76" s="122"/>
      <c r="J76" s="114"/>
      <c r="K76" s="112">
        <v>51.5</v>
      </c>
      <c r="L76" s="576"/>
      <c r="M76" s="114"/>
      <c r="N76" s="112">
        <v>66.811530000000005</v>
      </c>
      <c r="O76" s="357"/>
      <c r="P76" s="21"/>
      <c r="Q76" s="459"/>
      <c r="R76" s="62">
        <f>'AVANISTA - MS 2019 à 2022'!M13/1000</f>
        <v>49</v>
      </c>
      <c r="S76" s="410"/>
      <c r="T76" s="62">
        <f>'AVANISTA - MS 2019 à 2022'!R13/1000</f>
        <v>49</v>
      </c>
      <c r="U76" s="410"/>
      <c r="V76" s="62">
        <f>'AVANISTA - MS 2019 à 2022'!W13/1000</f>
        <v>49</v>
      </c>
      <c r="W76" s="357"/>
    </row>
    <row r="77" spans="1:23" ht="17.25" hidden="1" customHeight="1" outlineLevel="1" x14ac:dyDescent="0.3">
      <c r="A77" s="97" t="s">
        <v>72</v>
      </c>
      <c r="B77" s="62">
        <v>0</v>
      </c>
      <c r="C77" s="65"/>
      <c r="D77" s="408"/>
      <c r="E77" s="112">
        <v>0</v>
      </c>
      <c r="F77" s="122"/>
      <c r="G77" s="499"/>
      <c r="H77" s="112">
        <v>0</v>
      </c>
      <c r="I77" s="122"/>
      <c r="J77" s="114"/>
      <c r="K77" s="112">
        <v>0</v>
      </c>
      <c r="L77" s="576"/>
      <c r="M77" s="114"/>
      <c r="N77" s="112">
        <v>0</v>
      </c>
      <c r="O77" s="357"/>
      <c r="P77" s="21"/>
      <c r="Q77" s="459"/>
      <c r="R77" s="62">
        <v>0</v>
      </c>
      <c r="S77" s="410"/>
      <c r="T77" s="62"/>
      <c r="U77" s="410"/>
      <c r="V77" s="62"/>
      <c r="W77" s="357"/>
    </row>
    <row r="78" spans="1:23" ht="17.25" hidden="1" customHeight="1" outlineLevel="1" x14ac:dyDescent="0.3">
      <c r="A78" s="97" t="s">
        <v>27</v>
      </c>
      <c r="B78" s="62">
        <v>21.2</v>
      </c>
      <c r="C78" s="411">
        <f>+B78/(B77+B76)</f>
        <v>0.3966472085017213</v>
      </c>
      <c r="D78" s="408"/>
      <c r="E78" s="112">
        <v>11.327999999999999</v>
      </c>
      <c r="F78" s="411">
        <v>0.39575181665735049</v>
      </c>
      <c r="G78" s="500"/>
      <c r="H78" s="112">
        <f>12.114+3.59562+1.07601+1.8004</f>
        <v>18.586030000000001</v>
      </c>
      <c r="I78" s="411">
        <f>H78/(H76+H77)</f>
        <v>0.4335777501676128</v>
      </c>
      <c r="J78" s="563"/>
      <c r="K78" s="112">
        <v>22.145</v>
      </c>
      <c r="L78" s="577">
        <v>0.43</v>
      </c>
      <c r="M78" s="519"/>
      <c r="N78" s="112">
        <v>27.409379999999999</v>
      </c>
      <c r="O78" s="411">
        <f>N78/(N76+N77)</f>
        <v>0.41024924889461439</v>
      </c>
      <c r="P78" s="21"/>
      <c r="Q78" s="519"/>
      <c r="R78" s="62">
        <f>'AVANISTA - MS 2019 à 2022'!M17/1000</f>
        <v>21.07</v>
      </c>
      <c r="S78" s="411">
        <f>R78/R76</f>
        <v>0.43</v>
      </c>
      <c r="T78" s="62">
        <f>'AVANISTA - MS 2019 à 2022'!R17/1000</f>
        <v>21.07</v>
      </c>
      <c r="U78" s="411">
        <f>T78/T76</f>
        <v>0.43</v>
      </c>
      <c r="V78" s="62">
        <f>'AVANISTA - MS 2019 à 2022'!W17/1000</f>
        <v>21.07</v>
      </c>
      <c r="W78" s="411">
        <f>V78/V76</f>
        <v>0.43</v>
      </c>
    </row>
    <row r="79" spans="1:23" ht="17.25" hidden="1" customHeight="1" outlineLevel="1" x14ac:dyDescent="0.3">
      <c r="A79" s="97" t="s">
        <v>55</v>
      </c>
      <c r="B79" s="62">
        <v>0</v>
      </c>
      <c r="C79" s="65"/>
      <c r="D79" s="408"/>
      <c r="E79" s="112">
        <v>0</v>
      </c>
      <c r="F79" s="122"/>
      <c r="G79" s="499"/>
      <c r="H79" s="112">
        <v>0</v>
      </c>
      <c r="I79" s="122"/>
      <c r="J79" s="114"/>
      <c r="K79" s="112">
        <v>0</v>
      </c>
      <c r="L79" s="576"/>
      <c r="M79" s="114"/>
      <c r="N79" s="112">
        <v>0</v>
      </c>
      <c r="O79" s="357"/>
      <c r="P79" s="21"/>
      <c r="Q79" s="459"/>
      <c r="R79" s="62">
        <v>0</v>
      </c>
      <c r="S79" s="410"/>
      <c r="T79" s="62">
        <v>0</v>
      </c>
      <c r="U79" s="410"/>
      <c r="V79" s="62">
        <v>0</v>
      </c>
      <c r="W79" s="357"/>
    </row>
    <row r="80" spans="1:23" ht="17.25" hidden="1" customHeight="1" outlineLevel="1" x14ac:dyDescent="0.3">
      <c r="A80" s="97" t="s">
        <v>50</v>
      </c>
      <c r="B80" s="62">
        <v>0.22600000000000001</v>
      </c>
      <c r="C80" s="65"/>
      <c r="D80" s="408"/>
      <c r="E80" s="112">
        <v>0</v>
      </c>
      <c r="F80" s="122"/>
      <c r="G80" s="499"/>
      <c r="H80" s="112">
        <v>0</v>
      </c>
      <c r="I80" s="122"/>
      <c r="J80" s="114"/>
      <c r="K80" s="112">
        <v>0</v>
      </c>
      <c r="L80" s="576"/>
      <c r="M80" s="114"/>
      <c r="N80" s="112">
        <v>0</v>
      </c>
      <c r="O80" s="357"/>
      <c r="P80" s="21"/>
      <c r="Q80" s="459"/>
      <c r="R80" s="62">
        <v>0</v>
      </c>
      <c r="S80" s="410"/>
      <c r="T80" s="62">
        <v>0</v>
      </c>
      <c r="U80" s="410"/>
      <c r="V80" s="62">
        <v>0</v>
      </c>
      <c r="W80" s="357"/>
    </row>
    <row r="81" spans="1:24" ht="17.25" hidden="1" customHeight="1" outlineLevel="1" x14ac:dyDescent="0.3">
      <c r="A81" s="97" t="s">
        <v>57</v>
      </c>
      <c r="B81" s="376">
        <v>0</v>
      </c>
      <c r="C81" s="65"/>
      <c r="D81" s="408"/>
      <c r="E81" s="112">
        <v>0.26500000000000001</v>
      </c>
      <c r="F81" s="411">
        <v>9.2579653437674693E-3</v>
      </c>
      <c r="G81" s="500"/>
      <c r="H81" s="112">
        <v>0.4108</v>
      </c>
      <c r="I81" s="411">
        <f>H81/H76</f>
        <v>9.5832052228935014E-3</v>
      </c>
      <c r="J81" s="563"/>
      <c r="K81" s="112">
        <v>0.49353506897901533</v>
      </c>
      <c r="L81" s="577">
        <v>9.5832052228935014E-3</v>
      </c>
      <c r="M81" s="519"/>
      <c r="N81" s="112">
        <v>3.8379999999999997E-2</v>
      </c>
      <c r="O81" s="411">
        <f>N81/N76</f>
        <v>5.7445174508052724E-4</v>
      </c>
      <c r="P81" s="21"/>
      <c r="Q81" s="519"/>
      <c r="R81" s="62">
        <f>L81*R76</f>
        <v>0.46957705592178156</v>
      </c>
      <c r="S81" s="410"/>
      <c r="T81" s="62">
        <f>L81*T76</f>
        <v>0.46957705592178156</v>
      </c>
      <c r="U81" s="410"/>
      <c r="V81" s="62">
        <f>L81*V76</f>
        <v>0.46957705592178156</v>
      </c>
      <c r="W81" s="357"/>
    </row>
    <row r="82" spans="1:24" ht="17.25" hidden="1" customHeight="1" outlineLevel="1" x14ac:dyDescent="0.3">
      <c r="A82" s="97" t="s">
        <v>49</v>
      </c>
      <c r="B82" s="62">
        <v>0</v>
      </c>
      <c r="C82" s="65"/>
      <c r="D82" s="408"/>
      <c r="E82" s="112">
        <v>0</v>
      </c>
      <c r="F82" s="122"/>
      <c r="G82" s="499"/>
      <c r="H82" s="112">
        <v>0</v>
      </c>
      <c r="I82" s="122"/>
      <c r="J82" s="114"/>
      <c r="K82" s="112">
        <v>0</v>
      </c>
      <c r="L82" s="576"/>
      <c r="M82" s="114"/>
      <c r="N82" s="112">
        <v>0</v>
      </c>
      <c r="O82" s="357"/>
      <c r="P82" s="21"/>
      <c r="Q82" s="459"/>
      <c r="R82" s="62">
        <v>0</v>
      </c>
      <c r="S82" s="410"/>
      <c r="T82" s="62">
        <v>0</v>
      </c>
      <c r="U82" s="410"/>
      <c r="V82" s="62">
        <v>0</v>
      </c>
      <c r="W82" s="357"/>
    </row>
    <row r="83" spans="1:24" ht="17.25" hidden="1" customHeight="1" outlineLevel="1" x14ac:dyDescent="0.3">
      <c r="A83" s="97" t="s">
        <v>48</v>
      </c>
      <c r="B83" s="62">
        <v>0</v>
      </c>
      <c r="C83" s="65"/>
      <c r="D83" s="408"/>
      <c r="E83" s="112">
        <v>0</v>
      </c>
      <c r="F83" s="122"/>
      <c r="G83" s="499"/>
      <c r="H83" s="112">
        <v>0</v>
      </c>
      <c r="I83" s="122"/>
      <c r="J83" s="114"/>
      <c r="K83" s="112">
        <v>0</v>
      </c>
      <c r="L83" s="576"/>
      <c r="M83" s="114"/>
      <c r="N83" s="112">
        <v>0</v>
      </c>
      <c r="O83" s="357"/>
      <c r="P83" s="21"/>
      <c r="Q83" s="459"/>
      <c r="R83" s="62">
        <v>0</v>
      </c>
      <c r="S83" s="410"/>
      <c r="T83" s="62">
        <v>0</v>
      </c>
      <c r="U83" s="410"/>
      <c r="V83" s="62">
        <v>0</v>
      </c>
      <c r="W83" s="357"/>
    </row>
    <row r="84" spans="1:24" ht="17.25" hidden="1" customHeight="1" outlineLevel="1" x14ac:dyDescent="0.3">
      <c r="A84" s="97" t="s">
        <v>205</v>
      </c>
      <c r="B84" s="62">
        <v>2.0830000000000002</v>
      </c>
      <c r="C84" s="65"/>
      <c r="D84" s="408"/>
      <c r="E84" s="112">
        <v>3.3000000000000002E-2</v>
      </c>
      <c r="F84" s="122"/>
      <c r="G84" s="499"/>
      <c r="H84" s="112">
        <v>-2.37364</v>
      </c>
      <c r="I84" s="122"/>
      <c r="J84" s="114"/>
      <c r="K84" s="112">
        <v>-0.37363999999999997</v>
      </c>
      <c r="L84" s="576"/>
      <c r="M84" s="114"/>
      <c r="N84" s="112">
        <v>-0.98</v>
      </c>
      <c r="O84" s="357"/>
      <c r="P84" s="21"/>
      <c r="Q84" s="459"/>
      <c r="R84" s="62">
        <f>'AVANISTA - MS 2019 à 2022'!M20</f>
        <v>-0.25</v>
      </c>
      <c r="S84" s="410"/>
      <c r="T84" s="62">
        <f>'AVANISTA - MS 2019 à 2022'!R20</f>
        <v>0</v>
      </c>
      <c r="U84" s="410"/>
      <c r="V84" s="62">
        <f>'AVANISTA - MS 2019 à 2022'!W20</f>
        <v>0</v>
      </c>
      <c r="W84" s="357"/>
    </row>
    <row r="85" spans="1:24" ht="17.25" hidden="1" customHeight="1" outlineLevel="1" x14ac:dyDescent="0.3">
      <c r="A85" s="97" t="s">
        <v>206</v>
      </c>
      <c r="B85" s="62">
        <v>1.0509999999999999</v>
      </c>
      <c r="C85" s="65"/>
      <c r="D85" s="408"/>
      <c r="E85" s="112">
        <v>5.8999999999999997E-2</v>
      </c>
      <c r="F85" s="122"/>
      <c r="G85" s="499"/>
      <c r="H85" s="112">
        <v>-0.67934000000000005</v>
      </c>
      <c r="I85" s="122"/>
      <c r="J85" s="114"/>
      <c r="K85" s="112">
        <v>0.32065999999999995</v>
      </c>
      <c r="L85" s="576"/>
      <c r="M85" s="114"/>
      <c r="N85" s="112">
        <v>-8.2849999999999993E-2</v>
      </c>
      <c r="O85" s="357"/>
      <c r="P85" s="21"/>
      <c r="Q85" s="459"/>
      <c r="R85" s="62">
        <f>R84*'AVANISTA - MS 2019 à 2022'!A18</f>
        <v>-0.1075</v>
      </c>
      <c r="S85" s="410"/>
      <c r="T85" s="62">
        <f>T84*'AVANISTA - MS 2019 à 2022'!A18</f>
        <v>0</v>
      </c>
      <c r="U85" s="410"/>
      <c r="V85" s="62">
        <f>V84*'AVANISTA - MS 2019 à 2022'!A18</f>
        <v>0</v>
      </c>
      <c r="W85" s="357"/>
    </row>
    <row r="86" spans="1:24" ht="17.25" hidden="1" customHeight="1" outlineLevel="1" x14ac:dyDescent="0.3">
      <c r="A86" s="97" t="s">
        <v>153</v>
      </c>
      <c r="B86" s="62">
        <v>-3.1890000000000001</v>
      </c>
      <c r="C86" s="65"/>
      <c r="D86" s="408"/>
      <c r="E86" s="112">
        <v>0</v>
      </c>
      <c r="F86" s="122"/>
      <c r="G86" s="499"/>
      <c r="H86" s="112">
        <v>0</v>
      </c>
      <c r="I86" s="122"/>
      <c r="J86" s="114"/>
      <c r="K86" s="112">
        <v>0</v>
      </c>
      <c r="L86" s="576"/>
      <c r="M86" s="114"/>
      <c r="N86" s="112">
        <v>0</v>
      </c>
      <c r="O86" s="357"/>
      <c r="P86" s="21"/>
      <c r="Q86" s="459"/>
      <c r="R86" s="62">
        <v>0</v>
      </c>
      <c r="S86" s="410"/>
      <c r="T86" s="62">
        <v>0</v>
      </c>
      <c r="U86" s="410"/>
      <c r="V86" s="62">
        <v>0</v>
      </c>
      <c r="W86" s="357"/>
    </row>
    <row r="87" spans="1:24" ht="17.25" hidden="1" customHeight="1" outlineLevel="1" x14ac:dyDescent="0.3">
      <c r="A87" s="97" t="s">
        <v>82</v>
      </c>
      <c r="B87" s="62">
        <v>0</v>
      </c>
      <c r="C87" s="65"/>
      <c r="D87" s="408"/>
      <c r="E87" s="112">
        <v>0</v>
      </c>
      <c r="F87" s="122"/>
      <c r="G87" s="499"/>
      <c r="H87" s="112">
        <v>0</v>
      </c>
      <c r="I87" s="122"/>
      <c r="J87" s="114"/>
      <c r="K87" s="112">
        <v>0</v>
      </c>
      <c r="L87" s="576"/>
      <c r="M87" s="114"/>
      <c r="N87" s="112">
        <v>0</v>
      </c>
      <c r="O87" s="357"/>
      <c r="P87" s="21"/>
      <c r="Q87" s="459"/>
      <c r="R87" s="62">
        <v>0</v>
      </c>
      <c r="S87" s="410"/>
      <c r="T87" s="62">
        <v>0</v>
      </c>
      <c r="U87" s="410"/>
      <c r="V87" s="62">
        <v>0</v>
      </c>
      <c r="W87" s="357"/>
    </row>
    <row r="88" spans="1:24" ht="17.25" hidden="1" customHeight="1" outlineLevel="1" x14ac:dyDescent="0.3">
      <c r="A88" s="97" t="s">
        <v>63</v>
      </c>
      <c r="B88" s="62">
        <v>0</v>
      </c>
      <c r="C88" s="65"/>
      <c r="D88" s="408"/>
      <c r="E88" s="112">
        <v>-5.7000000000000002E-2</v>
      </c>
      <c r="F88" s="122"/>
      <c r="G88" s="499"/>
      <c r="H88" s="112">
        <v>0</v>
      </c>
      <c r="I88" s="122"/>
      <c r="J88" s="114"/>
      <c r="K88" s="112">
        <v>0</v>
      </c>
      <c r="L88" s="576"/>
      <c r="M88" s="114"/>
      <c r="N88" s="112">
        <v>0</v>
      </c>
      <c r="O88" s="357"/>
      <c r="P88" s="21"/>
      <c r="Q88" s="459"/>
      <c r="R88" s="62">
        <v>0</v>
      </c>
      <c r="S88" s="410"/>
      <c r="T88" s="62">
        <v>0</v>
      </c>
      <c r="U88" s="410"/>
      <c r="V88" s="62">
        <v>0</v>
      </c>
      <c r="W88" s="357"/>
    </row>
    <row r="89" spans="1:24" ht="17.25" hidden="1" customHeight="1" outlineLevel="1" x14ac:dyDescent="0.3">
      <c r="A89" s="97" t="s">
        <v>56</v>
      </c>
      <c r="B89" s="62">
        <v>0</v>
      </c>
      <c r="C89" s="65"/>
      <c r="D89" s="408"/>
      <c r="E89" s="112">
        <v>0</v>
      </c>
      <c r="F89" s="122"/>
      <c r="G89" s="499"/>
      <c r="H89" s="112">
        <v>0</v>
      </c>
      <c r="I89" s="122"/>
      <c r="J89" s="114"/>
      <c r="K89" s="112">
        <v>0</v>
      </c>
      <c r="L89" s="576"/>
      <c r="M89" s="114"/>
      <c r="N89" s="112">
        <v>0</v>
      </c>
      <c r="O89" s="357"/>
      <c r="P89" s="21"/>
      <c r="Q89" s="459"/>
      <c r="R89" s="62">
        <v>0</v>
      </c>
      <c r="S89" s="410"/>
      <c r="T89" s="62">
        <v>0</v>
      </c>
      <c r="U89" s="410"/>
      <c r="V89" s="62">
        <v>0</v>
      </c>
      <c r="W89" s="357"/>
    </row>
    <row r="90" spans="1:24" ht="17.25" hidden="1" customHeight="1" outlineLevel="1" x14ac:dyDescent="0.3">
      <c r="A90" s="97" t="s">
        <v>46</v>
      </c>
      <c r="B90" s="62">
        <v>0</v>
      </c>
      <c r="C90" s="60"/>
      <c r="D90" s="51"/>
      <c r="E90" s="112">
        <v>0</v>
      </c>
      <c r="F90" s="120"/>
      <c r="G90" s="493"/>
      <c r="H90" s="112">
        <v>0</v>
      </c>
      <c r="I90" s="120"/>
      <c r="J90" s="75"/>
      <c r="K90" s="112">
        <v>0</v>
      </c>
      <c r="L90" s="577">
        <v>0</v>
      </c>
      <c r="M90" s="75"/>
      <c r="N90" s="112">
        <v>3.89</v>
      </c>
      <c r="O90" s="120"/>
      <c r="P90" s="40"/>
      <c r="Q90" s="519"/>
      <c r="R90" s="62">
        <v>0</v>
      </c>
      <c r="S90" s="389"/>
      <c r="T90" s="62">
        <v>0</v>
      </c>
      <c r="U90" s="389"/>
      <c r="V90" s="62">
        <v>0</v>
      </c>
      <c r="W90" s="120"/>
    </row>
    <row r="91" spans="1:24" ht="16.8" thickBot="1" x14ac:dyDescent="0.35">
      <c r="A91" s="95"/>
      <c r="B91" s="28"/>
      <c r="C91" s="199"/>
      <c r="D91" s="51"/>
      <c r="E91" s="117"/>
      <c r="F91" s="201"/>
      <c r="G91" s="493"/>
      <c r="H91" s="117"/>
      <c r="I91" s="201"/>
      <c r="J91" s="75"/>
      <c r="K91" s="117"/>
      <c r="L91" s="578"/>
      <c r="M91" s="75"/>
      <c r="N91" s="112"/>
      <c r="O91" s="201"/>
      <c r="P91" s="40"/>
      <c r="Q91" s="75"/>
      <c r="R91" s="117"/>
      <c r="S91" s="314"/>
      <c r="T91" s="117"/>
      <c r="U91" s="314"/>
      <c r="V91" s="117"/>
      <c r="W91" s="201"/>
    </row>
    <row r="92" spans="1:24" ht="17.399999999999999" thickTop="1" thickBot="1" x14ac:dyDescent="0.35">
      <c r="A92" s="316" t="s">
        <v>92</v>
      </c>
      <c r="B92" s="317">
        <f>B93+B65</f>
        <v>119.00000000000043</v>
      </c>
      <c r="C92" s="318">
        <f>B92/B8</f>
        <v>2.9363162358301255E-2</v>
      </c>
      <c r="D92" s="412"/>
      <c r="E92" s="317">
        <v>57.827591050000066</v>
      </c>
      <c r="F92" s="318">
        <v>2.2948431163545464E-2</v>
      </c>
      <c r="G92" s="501"/>
      <c r="H92" s="317">
        <f>H93+H65</f>
        <v>132.08249999999958</v>
      </c>
      <c r="I92" s="318">
        <f>+H92/H8</f>
        <v>3.1490813783972969E-2</v>
      </c>
      <c r="J92" s="520"/>
      <c r="K92" s="317">
        <v>179.92841637076211</v>
      </c>
      <c r="L92" s="559">
        <v>3.4903669519061514E-2</v>
      </c>
      <c r="M92" s="520"/>
      <c r="N92" s="319">
        <f>N93+N65</f>
        <v>154.63174999999953</v>
      </c>
      <c r="O92" s="318">
        <f>+N92/N8</f>
        <v>3.0842412989896165E-2</v>
      </c>
      <c r="P92" s="315"/>
      <c r="Q92" s="520"/>
      <c r="R92" s="317">
        <f>R93+R65</f>
        <v>454.43087490550016</v>
      </c>
      <c r="S92" s="320">
        <f>+R92/R8</f>
        <v>8.2623795437363659E-2</v>
      </c>
      <c r="T92" s="317">
        <f>T93+T65</f>
        <v>495.11601987601955</v>
      </c>
      <c r="U92" s="320">
        <f>+T92/T8</f>
        <v>8.2519336646003263E-2</v>
      </c>
      <c r="V92" s="317">
        <f>V93+V65</f>
        <v>613.24220982356633</v>
      </c>
      <c r="W92" s="318">
        <f>+V92/V8</f>
        <v>8.7606029974795191E-2</v>
      </c>
    </row>
    <row r="93" spans="1:24" ht="18.75" customHeight="1" thickTop="1" thickBot="1" x14ac:dyDescent="0.35">
      <c r="A93" s="88" t="s">
        <v>9</v>
      </c>
      <c r="B93" s="80">
        <f>B39-B41-B61-B63-B65-B74</f>
        <v>98.09400000000042</v>
      </c>
      <c r="C93" s="189">
        <f>B93/B8</f>
        <v>2.4204622255253827E-2</v>
      </c>
      <c r="D93" s="388"/>
      <c r="E93" s="80">
        <v>48.617125912650067</v>
      </c>
      <c r="F93" s="189">
        <v>1.929332948369239E-2</v>
      </c>
      <c r="G93" s="494"/>
      <c r="H93" s="80">
        <f>H39-H41-H61-H63-H65-H74</f>
        <v>111.9854899999996</v>
      </c>
      <c r="I93" s="189">
        <f>+H93/H8</f>
        <v>2.6699329677262056E-2</v>
      </c>
      <c r="J93" s="289"/>
      <c r="K93" s="80">
        <v>156.02658410036969</v>
      </c>
      <c r="L93" s="560">
        <v>3.0267038622768125E-2</v>
      </c>
      <c r="M93" s="289"/>
      <c r="N93" s="239">
        <f>N39-N41-N61-N63-N65-N74</f>
        <v>132.41874999999953</v>
      </c>
      <c r="O93" s="189">
        <f>+N93/N8</f>
        <v>2.6411870622338626E-2</v>
      </c>
      <c r="P93" s="46"/>
      <c r="Q93" s="289"/>
      <c r="R93" s="80">
        <f>R39-R41-R61-R63-R65-R74</f>
        <v>428.68872967159098</v>
      </c>
      <c r="S93" s="313">
        <f>+R93/R8</f>
        <v>7.7943405394834728E-2</v>
      </c>
      <c r="T93" s="80">
        <f>T39-T41-T61-T63-T65-T74</f>
        <v>469.06094232731675</v>
      </c>
      <c r="U93" s="313">
        <f>+T93/T8</f>
        <v>7.8176823721219466E-2</v>
      </c>
      <c r="V93" s="80">
        <f>V39-V41-V61-V63-V65-V74</f>
        <v>586.33435880723061</v>
      </c>
      <c r="W93" s="189">
        <f>+V93/V8</f>
        <v>8.3762051258175804E-2</v>
      </c>
      <c r="X93" s="45"/>
    </row>
    <row r="94" spans="1:24" ht="17.399999999999999" collapsed="1" thickTop="1" thickBot="1" x14ac:dyDescent="0.35">
      <c r="A94" s="323"/>
      <c r="B94" s="324"/>
      <c r="C94" s="308"/>
      <c r="D94" s="51"/>
      <c r="E94" s="324"/>
      <c r="F94" s="308"/>
      <c r="G94" s="502"/>
      <c r="H94" s="324"/>
      <c r="I94" s="308"/>
      <c r="J94" s="76"/>
      <c r="K94" s="324"/>
      <c r="L94" s="579"/>
      <c r="M94" s="76"/>
      <c r="N94" s="324"/>
      <c r="O94" s="308"/>
      <c r="P94" s="17"/>
      <c r="Q94" s="76"/>
      <c r="R94" s="324"/>
      <c r="S94" s="325"/>
      <c r="T94" s="324"/>
      <c r="U94" s="325"/>
      <c r="V94" s="324"/>
      <c r="W94" s="308"/>
    </row>
    <row r="95" spans="1:24" ht="17.25" hidden="1" customHeight="1" outlineLevel="1" thickTop="1" x14ac:dyDescent="0.3">
      <c r="A95" s="97" t="s">
        <v>58</v>
      </c>
      <c r="B95" s="413">
        <v>18.071999999999999</v>
      </c>
      <c r="C95" s="123"/>
      <c r="D95" s="51"/>
      <c r="E95" s="414">
        <v>3.0000000000000001E-3</v>
      </c>
      <c r="F95" s="123"/>
      <c r="G95" s="502"/>
      <c r="H95" s="414">
        <f>6.15/1000</f>
        <v>6.1500000000000001E-3</v>
      </c>
      <c r="I95" s="123"/>
      <c r="J95" s="76"/>
      <c r="K95" s="414">
        <v>7.3800000000000003E-3</v>
      </c>
      <c r="L95" s="580">
        <v>1.431619786614937E-6</v>
      </c>
      <c r="M95" s="76"/>
      <c r="N95" s="414">
        <v>3.7310000000000003E-2</v>
      </c>
      <c r="O95" s="123"/>
      <c r="P95" s="17"/>
      <c r="Q95" s="521"/>
      <c r="R95" s="414">
        <v>0</v>
      </c>
      <c r="S95" s="415"/>
      <c r="T95" s="414">
        <v>0</v>
      </c>
      <c r="U95" s="415"/>
      <c r="V95" s="414">
        <v>0</v>
      </c>
      <c r="W95" s="123"/>
    </row>
    <row r="96" spans="1:24" ht="17.25" hidden="1" customHeight="1" outlineLevel="1" x14ac:dyDescent="0.3">
      <c r="A96" s="97" t="s">
        <v>59</v>
      </c>
      <c r="B96" s="413">
        <v>2.4550000000000001</v>
      </c>
      <c r="C96" s="123"/>
      <c r="D96" s="51"/>
      <c r="E96" s="414">
        <v>5.0000000000000001E-3</v>
      </c>
      <c r="F96" s="123"/>
      <c r="G96" s="502"/>
      <c r="H96" s="414">
        <v>0.75724999999999998</v>
      </c>
      <c r="I96" s="123"/>
      <c r="J96" s="76"/>
      <c r="K96" s="414">
        <v>0.90869999999999995</v>
      </c>
      <c r="L96" s="580">
        <v>1.7627546071774975E-4</v>
      </c>
      <c r="M96" s="76"/>
      <c r="N96" s="414">
        <v>3.4745400000000002</v>
      </c>
      <c r="O96" s="123"/>
      <c r="P96" s="17"/>
      <c r="Q96" s="521"/>
      <c r="R96" s="414">
        <v>0</v>
      </c>
      <c r="S96" s="415"/>
      <c r="T96" s="414">
        <v>0</v>
      </c>
      <c r="U96" s="415"/>
      <c r="V96" s="414">
        <v>0</v>
      </c>
      <c r="W96" s="123"/>
    </row>
    <row r="97" spans="1:23" ht="17.25" hidden="1" customHeight="1" outlineLevel="1" x14ac:dyDescent="0.3">
      <c r="A97" s="97" t="s">
        <v>60</v>
      </c>
      <c r="B97" s="413">
        <v>0</v>
      </c>
      <c r="C97" s="123"/>
      <c r="D97" s="51"/>
      <c r="E97" s="414">
        <v>0</v>
      </c>
      <c r="F97" s="123"/>
      <c r="G97" s="502"/>
      <c r="H97" s="414">
        <v>0.63</v>
      </c>
      <c r="I97" s="123"/>
      <c r="J97" s="76"/>
      <c r="K97" s="414">
        <v>0.75600000000000001</v>
      </c>
      <c r="L97" s="580">
        <v>1.466537342386033E-4</v>
      </c>
      <c r="M97" s="76"/>
      <c r="N97" s="414">
        <v>2.6349999999999998</v>
      </c>
      <c r="O97" s="123"/>
      <c r="P97" s="17"/>
      <c r="Q97" s="521"/>
      <c r="R97" s="414">
        <v>0</v>
      </c>
      <c r="S97" s="415"/>
      <c r="T97" s="414">
        <v>0</v>
      </c>
      <c r="U97" s="415"/>
      <c r="V97" s="414">
        <v>0</v>
      </c>
      <c r="W97" s="123"/>
    </row>
    <row r="98" spans="1:23" ht="17.25" hidden="1" customHeight="1" outlineLevel="1" x14ac:dyDescent="0.3">
      <c r="A98" s="97" t="s">
        <v>81</v>
      </c>
      <c r="B98" s="413">
        <v>0</v>
      </c>
      <c r="C98" s="123"/>
      <c r="D98" s="51"/>
      <c r="E98" s="414">
        <v>0</v>
      </c>
      <c r="F98" s="123"/>
      <c r="G98" s="502"/>
      <c r="H98" s="414">
        <v>0</v>
      </c>
      <c r="I98" s="123"/>
      <c r="J98" s="76"/>
      <c r="K98" s="414">
        <v>0</v>
      </c>
      <c r="L98" s="580">
        <v>0</v>
      </c>
      <c r="M98" s="76"/>
      <c r="N98" s="414">
        <v>0</v>
      </c>
      <c r="O98" s="123"/>
      <c r="P98" s="17"/>
      <c r="Q98" s="521"/>
      <c r="R98" s="414">
        <v>0</v>
      </c>
      <c r="S98" s="415"/>
      <c r="T98" s="414">
        <v>0</v>
      </c>
      <c r="U98" s="415"/>
      <c r="V98" s="414">
        <v>0</v>
      </c>
      <c r="W98" s="123"/>
    </row>
    <row r="99" spans="1:23" ht="17.25" hidden="1" customHeight="1" outlineLevel="1" x14ac:dyDescent="0.3">
      <c r="A99" s="97" t="s">
        <v>8</v>
      </c>
      <c r="B99" s="413">
        <v>23.324000000000002</v>
      </c>
      <c r="C99" s="123"/>
      <c r="D99" s="51"/>
      <c r="E99" s="414">
        <v>7.28</v>
      </c>
      <c r="F99" s="123"/>
      <c r="G99" s="502"/>
      <c r="H99" s="414">
        <v>9.9860399999999991</v>
      </c>
      <c r="I99" s="123"/>
      <c r="J99" s="76"/>
      <c r="K99" s="414">
        <v>11.983248</v>
      </c>
      <c r="L99" s="580">
        <v>2.3245873908826382E-3</v>
      </c>
      <c r="M99" s="76"/>
      <c r="N99" s="414">
        <v>12.12204</v>
      </c>
      <c r="O99" s="123"/>
      <c r="P99" s="17"/>
      <c r="Q99" s="521"/>
      <c r="R99" s="414">
        <v>20</v>
      </c>
      <c r="S99" s="415"/>
      <c r="T99" s="414">
        <v>25</v>
      </c>
      <c r="U99" s="415"/>
      <c r="V99" s="414">
        <v>30</v>
      </c>
      <c r="W99" s="123"/>
    </row>
    <row r="100" spans="1:23" ht="17.25" hidden="1" customHeight="1" outlineLevel="1" x14ac:dyDescent="0.3">
      <c r="A100" s="97" t="s">
        <v>61</v>
      </c>
      <c r="B100" s="62">
        <v>0</v>
      </c>
      <c r="C100" s="120"/>
      <c r="D100" s="51"/>
      <c r="E100" s="109">
        <v>0</v>
      </c>
      <c r="F100" s="120"/>
      <c r="G100" s="493"/>
      <c r="H100" s="109">
        <v>0</v>
      </c>
      <c r="I100" s="120"/>
      <c r="J100" s="75"/>
      <c r="K100" s="109">
        <v>0</v>
      </c>
      <c r="L100" s="580">
        <v>0</v>
      </c>
      <c r="M100" s="75"/>
      <c r="N100" s="414">
        <v>0</v>
      </c>
      <c r="O100" s="120"/>
      <c r="P100" s="40"/>
      <c r="Q100" s="521"/>
      <c r="R100" s="109">
        <v>0</v>
      </c>
      <c r="S100" s="389"/>
      <c r="T100" s="109">
        <v>0</v>
      </c>
      <c r="U100" s="389"/>
      <c r="V100" s="109">
        <v>0</v>
      </c>
      <c r="W100" s="120"/>
    </row>
    <row r="101" spans="1:23" ht="17.25" hidden="1" customHeight="1" outlineLevel="1" thickBot="1" x14ac:dyDescent="0.35">
      <c r="A101" s="97"/>
      <c r="B101" s="326"/>
      <c r="C101" s="201"/>
      <c r="D101" s="51"/>
      <c r="E101" s="200"/>
      <c r="F101" s="201"/>
      <c r="G101" s="493"/>
      <c r="H101" s="200"/>
      <c r="I101" s="201"/>
      <c r="J101" s="75"/>
      <c r="K101" s="200"/>
      <c r="L101" s="581"/>
      <c r="M101" s="75"/>
      <c r="N101" s="200"/>
      <c r="O101" s="201"/>
      <c r="P101" s="40"/>
      <c r="Q101" s="521"/>
      <c r="R101" s="200"/>
      <c r="S101" s="314"/>
      <c r="T101" s="200"/>
      <c r="U101" s="314"/>
      <c r="V101" s="200"/>
      <c r="W101" s="201"/>
    </row>
    <row r="102" spans="1:23" ht="17.399999999999999" thickTop="1" thickBot="1" x14ac:dyDescent="0.35">
      <c r="A102" s="316" t="s">
        <v>93</v>
      </c>
      <c r="B102" s="321">
        <f>B103+B65</f>
        <v>111.29300000000043</v>
      </c>
      <c r="C102" s="318">
        <f>B102/B8</f>
        <v>2.7461465784390106E-2</v>
      </c>
      <c r="D102" s="412"/>
      <c r="E102" s="321">
        <v>50.545591050000063</v>
      </c>
      <c r="F102" s="318">
        <v>2.0058625921814958E-2</v>
      </c>
      <c r="G102" s="501"/>
      <c r="H102" s="321">
        <f>H103+H65</f>
        <v>121.9753599999996</v>
      </c>
      <c r="I102" s="318">
        <f>H102/H8</f>
        <v>2.9081092105260459E-2</v>
      </c>
      <c r="J102" s="520"/>
      <c r="K102" s="321">
        <v>167.79984837076211</v>
      </c>
      <c r="L102" s="559">
        <v>3.2550892021486345E-2</v>
      </c>
      <c r="M102" s="520"/>
      <c r="N102" s="322">
        <f>N103+N65</f>
        <v>141.70747999999952</v>
      </c>
      <c r="O102" s="318">
        <f>N102/N8</f>
        <v>2.8264574525719649E-2</v>
      </c>
      <c r="P102" s="315"/>
      <c r="Q102" s="520"/>
      <c r="R102" s="321">
        <f>R103+R65</f>
        <v>434.43087490550016</v>
      </c>
      <c r="S102" s="320">
        <f>R102/R8</f>
        <v>7.8987431801000027E-2</v>
      </c>
      <c r="T102" s="321">
        <f>T103+T65</f>
        <v>470.11601987601955</v>
      </c>
      <c r="U102" s="320">
        <f>T102/T8</f>
        <v>7.8352669979336598E-2</v>
      </c>
      <c r="V102" s="321">
        <f>V103+V65</f>
        <v>583.24220982356633</v>
      </c>
      <c r="W102" s="318">
        <f>V102/V8</f>
        <v>8.3320315689080909E-2</v>
      </c>
    </row>
    <row r="103" spans="1:23" s="13" customFormat="1" ht="22.2" thickTop="1" thickBot="1" x14ac:dyDescent="0.45">
      <c r="A103" s="88" t="s">
        <v>7</v>
      </c>
      <c r="B103" s="80">
        <f>B93+B95-B96+B97-B99-B100+B98</f>
        <v>90.387000000000427</v>
      </c>
      <c r="C103" s="189">
        <f>B103/B8</f>
        <v>2.2302925681342678E-2</v>
      </c>
      <c r="D103" s="388"/>
      <c r="E103" s="80">
        <v>41.335125912650064</v>
      </c>
      <c r="F103" s="189">
        <v>1.6403524241961887E-2</v>
      </c>
      <c r="G103" s="494"/>
      <c r="H103" s="80">
        <f>H93+H95-H96+H97-H99-H100</f>
        <v>101.8783499999996</v>
      </c>
      <c r="I103" s="189">
        <f>+H103/H8</f>
        <v>2.4289607998549543E-2</v>
      </c>
      <c r="J103" s="289"/>
      <c r="K103" s="80">
        <v>143.89801610036969</v>
      </c>
      <c r="L103" s="561">
        <v>2.7914261125192956E-2</v>
      </c>
      <c r="M103" s="289"/>
      <c r="N103" s="239">
        <f>N93+N95-N96+N97-N99-N100</f>
        <v>119.49447999999953</v>
      </c>
      <c r="O103" s="189">
        <f>+N103/N8</f>
        <v>2.383403215816211E-2</v>
      </c>
      <c r="P103" s="46"/>
      <c r="Q103" s="289"/>
      <c r="R103" s="80">
        <f>R93+R95-R96+R97-R99-R100</f>
        <v>408.68872967159098</v>
      </c>
      <c r="S103" s="313">
        <f>+R103/R8</f>
        <v>7.4307041758471082E-2</v>
      </c>
      <c r="T103" s="80">
        <f>T93+T95-T96+T97-T99-T100</f>
        <v>444.06094232731675</v>
      </c>
      <c r="U103" s="313">
        <f>+T103/T8</f>
        <v>7.4010157054552786E-2</v>
      </c>
      <c r="V103" s="80">
        <f>V93+V95-V96+V97-V99-V100</f>
        <v>556.33435880723061</v>
      </c>
      <c r="W103" s="189">
        <f>+V103/V8</f>
        <v>7.9476336972461523E-2</v>
      </c>
    </row>
    <row r="104" spans="1:23" ht="16.8" thickTop="1" x14ac:dyDescent="0.3">
      <c r="A104" s="101"/>
      <c r="B104" s="67"/>
      <c r="C104" s="61"/>
      <c r="D104" s="399"/>
      <c r="E104" s="118"/>
      <c r="F104" s="123"/>
      <c r="G104" s="502"/>
      <c r="H104" s="118"/>
      <c r="I104" s="123"/>
      <c r="J104" s="76"/>
      <c r="K104" s="118"/>
      <c r="L104" s="570"/>
      <c r="M104" s="76"/>
      <c r="N104" s="118"/>
      <c r="O104" s="123"/>
      <c r="P104" s="17"/>
      <c r="Q104" s="76"/>
      <c r="R104" s="118"/>
      <c r="S104" s="415"/>
      <c r="T104" s="118"/>
      <c r="U104" s="415"/>
      <c r="V104" s="118"/>
      <c r="W104" s="123"/>
    </row>
    <row r="105" spans="1:23" x14ac:dyDescent="0.3">
      <c r="A105" s="89" t="s">
        <v>6</v>
      </c>
      <c r="B105" s="62">
        <f>-2.962</f>
        <v>-2.9620000000000002</v>
      </c>
      <c r="C105" s="60"/>
      <c r="D105" s="51"/>
      <c r="E105" s="62">
        <v>-2.5070000000000001</v>
      </c>
      <c r="F105" s="120"/>
      <c r="G105" s="493"/>
      <c r="H105" s="62">
        <f>-7.29775</f>
        <v>-7.2977499999999997</v>
      </c>
      <c r="I105" s="120"/>
      <c r="J105" s="75"/>
      <c r="K105" s="62">
        <v>-8.757299999999999</v>
      </c>
      <c r="L105" s="571"/>
      <c r="M105" s="75"/>
      <c r="N105" s="62">
        <f>-8.60068</f>
        <v>-8.6006800000000005</v>
      </c>
      <c r="O105" s="120"/>
      <c r="P105" s="40"/>
      <c r="Q105" s="75"/>
      <c r="R105" s="62">
        <f>K105</f>
        <v>-8.757299999999999</v>
      </c>
      <c r="S105" s="389"/>
      <c r="T105" s="62">
        <f>R105</f>
        <v>-8.757299999999999</v>
      </c>
      <c r="U105" s="389"/>
      <c r="V105" s="62">
        <f>T105</f>
        <v>-8.757299999999999</v>
      </c>
      <c r="W105" s="120"/>
    </row>
    <row r="106" spans="1:23" x14ac:dyDescent="0.3">
      <c r="A106" s="102"/>
      <c r="B106" s="66"/>
      <c r="C106" s="65"/>
      <c r="D106" s="408"/>
      <c r="E106" s="115" t="s">
        <v>62</v>
      </c>
      <c r="F106" s="120"/>
      <c r="G106" s="493"/>
      <c r="H106" s="115" t="s">
        <v>62</v>
      </c>
      <c r="I106" s="120"/>
      <c r="J106" s="75"/>
      <c r="K106" s="115"/>
      <c r="L106" s="571"/>
      <c r="M106" s="75"/>
      <c r="N106" s="115"/>
      <c r="O106" s="120"/>
      <c r="P106" s="40"/>
      <c r="Q106" s="75"/>
      <c r="R106" s="115"/>
      <c r="S106" s="389"/>
      <c r="T106" s="115"/>
      <c r="U106" s="389"/>
      <c r="V106" s="115"/>
      <c r="W106" s="120"/>
    </row>
    <row r="107" spans="1:23" x14ac:dyDescent="0.3">
      <c r="A107" s="103" t="s">
        <v>165</v>
      </c>
      <c r="B107" s="62">
        <f>20.764</f>
        <v>20.763999999999999</v>
      </c>
      <c r="C107" s="68"/>
      <c r="D107" s="416"/>
      <c r="E107" s="62">
        <v>-56.365000000000002</v>
      </c>
      <c r="F107" s="120"/>
      <c r="G107" s="493"/>
      <c r="H107" s="62">
        <f>8.906-4.487-0.683-57.78394</f>
        <v>-54.047939999999997</v>
      </c>
      <c r="I107" s="120"/>
      <c r="J107" s="75"/>
      <c r="K107" s="62">
        <v>-54.047939999999997</v>
      </c>
      <c r="L107" s="571"/>
      <c r="M107" s="75"/>
      <c r="N107" s="62">
        <f>8.906-0.953-4.487-57.783+10.08106+11+11</f>
        <v>-22.235939999999999</v>
      </c>
      <c r="O107" s="120"/>
      <c r="P107" s="40"/>
      <c r="Q107" s="75"/>
      <c r="R107" s="62">
        <v>0</v>
      </c>
      <c r="S107" s="389"/>
      <c r="T107" s="62">
        <v>0</v>
      </c>
      <c r="U107" s="389"/>
      <c r="V107" s="62">
        <v>0</v>
      </c>
      <c r="W107" s="120"/>
    </row>
    <row r="108" spans="1:23" x14ac:dyDescent="0.3">
      <c r="A108" s="104"/>
      <c r="B108" s="69"/>
      <c r="C108" s="63"/>
      <c r="D108" s="401"/>
      <c r="E108" s="109"/>
      <c r="F108" s="120"/>
      <c r="G108" s="493"/>
      <c r="H108" s="109"/>
      <c r="I108" s="120"/>
      <c r="J108" s="75"/>
      <c r="K108" s="109"/>
      <c r="L108" s="571"/>
      <c r="M108" s="75"/>
      <c r="N108" s="109"/>
      <c r="O108" s="120"/>
      <c r="P108" s="40"/>
      <c r="Q108" s="75"/>
      <c r="R108" s="109"/>
      <c r="S108" s="389"/>
      <c r="T108" s="109"/>
      <c r="U108" s="389"/>
      <c r="V108" s="109"/>
      <c r="W108" s="120"/>
    </row>
    <row r="109" spans="1:23" x14ac:dyDescent="0.3">
      <c r="A109" s="105" t="s">
        <v>31</v>
      </c>
      <c r="B109" s="62">
        <v>-22.306000000000001</v>
      </c>
      <c r="C109" s="70"/>
      <c r="D109" s="417"/>
      <c r="E109" s="117"/>
      <c r="F109" s="124"/>
      <c r="G109" s="503"/>
      <c r="H109" s="62">
        <f>K109*(H103+H105+H107)/(K103+K105+K107)</f>
        <v>-11.349144799999893</v>
      </c>
      <c r="I109" s="124"/>
      <c r="J109" s="369"/>
      <c r="K109" s="62">
        <v>-22.70597730810352</v>
      </c>
      <c r="L109" s="571"/>
      <c r="M109" s="369"/>
      <c r="N109" s="62">
        <f>-IF((N103+N105+N107)&gt;0,(N103+N105+N107)*0.28,0)</f>
        <v>-24.824200799999872</v>
      </c>
      <c r="O109" s="120"/>
      <c r="P109" s="40"/>
      <c r="Q109" s="75"/>
      <c r="R109" s="62">
        <f>-IF((R103+R105+R107)&gt;0,(R103+R105+R107)*0.28,0)</f>
        <v>-111.98080030804549</v>
      </c>
      <c r="S109" s="389"/>
      <c r="T109" s="62">
        <f>-IF((T103+T105+T107)&gt;0,(T103+T105+T107)*0.265,0)</f>
        <v>-115.35546521673895</v>
      </c>
      <c r="U109" s="389"/>
      <c r="V109" s="62">
        <f>-IF((V103+V105+V107)&gt;0,(V103+V105+V107)*0.25,0)</f>
        <v>-136.89426470180766</v>
      </c>
      <c r="W109" s="120"/>
    </row>
    <row r="110" spans="1:23" ht="16.8" thickBot="1" x14ac:dyDescent="0.35">
      <c r="A110" s="105"/>
      <c r="B110" s="301"/>
      <c r="C110" s="70"/>
      <c r="D110" s="417"/>
      <c r="E110" s="109"/>
      <c r="F110" s="120"/>
      <c r="G110" s="493"/>
      <c r="H110" s="109"/>
      <c r="I110" s="120"/>
      <c r="J110" s="75"/>
      <c r="K110" s="109"/>
      <c r="L110" s="571"/>
      <c r="M110" s="75"/>
      <c r="N110" s="109"/>
      <c r="O110" s="120"/>
      <c r="P110" s="40"/>
      <c r="Q110" s="75"/>
      <c r="R110" s="109"/>
      <c r="S110" s="389"/>
      <c r="T110" s="109"/>
      <c r="U110" s="389"/>
      <c r="V110" s="109"/>
      <c r="W110" s="120"/>
    </row>
    <row r="111" spans="1:23" ht="17.399999999999999" thickTop="1" thickBot="1" x14ac:dyDescent="0.35">
      <c r="A111" s="205" t="s">
        <v>4</v>
      </c>
      <c r="B111" s="304">
        <f>+B103+B105+B107+B109</f>
        <v>85.883000000000422</v>
      </c>
      <c r="C111" s="585">
        <f>+B111/B8</f>
        <v>2.1191566998470506E-2</v>
      </c>
      <c r="D111" s="388"/>
      <c r="E111" s="304">
        <v>-17.536874087349936</v>
      </c>
      <c r="F111" s="196">
        <v>-6.9593725159560089E-3</v>
      </c>
      <c r="G111" s="494"/>
      <c r="H111" s="304">
        <f>+H103+H105+H107+H109</f>
        <v>29.183515199999718</v>
      </c>
      <c r="I111" s="196">
        <f>+H111/H8</f>
        <v>6.9578683226387949E-3</v>
      </c>
      <c r="J111" s="289"/>
      <c r="K111" s="304">
        <v>58.386798792266184</v>
      </c>
      <c r="L111" s="196">
        <v>1.1326246128470647E-2</v>
      </c>
      <c r="M111" s="289"/>
      <c r="N111" s="304">
        <f>+N103+N105+N107+N109</f>
        <v>63.833659199999659</v>
      </c>
      <c r="O111" s="196">
        <f>+N111/N8</f>
        <v>1.2732081734201936E-2</v>
      </c>
      <c r="P111" s="17"/>
      <c r="Q111" s="289"/>
      <c r="R111" s="87">
        <f>+R103+R105+R107+R109</f>
        <v>287.95062936354549</v>
      </c>
      <c r="S111" s="272">
        <f>+R111/R8</f>
        <v>5.2354659884281E-2</v>
      </c>
      <c r="T111" s="87">
        <f>+T103+T105+T107+T109</f>
        <v>319.94817711057783</v>
      </c>
      <c r="U111" s="272">
        <f>+T111/T8</f>
        <v>5.3324696185096304E-2</v>
      </c>
      <c r="V111" s="87">
        <f>+V103+V105+V107+V109</f>
        <v>410.682794105423</v>
      </c>
      <c r="W111" s="358">
        <f>+V111/V8</f>
        <v>5.8668970586488997E-2</v>
      </c>
    </row>
    <row r="112" spans="1:23" ht="16.8" thickTop="1" x14ac:dyDescent="0.3">
      <c r="G112" s="504"/>
      <c r="H112" s="2"/>
      <c r="K112" s="4"/>
      <c r="L112" s="55"/>
      <c r="N112" s="2"/>
      <c r="R112" s="2"/>
      <c r="T112" s="2"/>
    </row>
    <row r="113" spans="1:20" x14ac:dyDescent="0.3">
      <c r="A113" s="27"/>
      <c r="B113" s="27"/>
      <c r="C113" s="53"/>
      <c r="D113" s="53"/>
      <c r="E113" s="53"/>
      <c r="F113" s="53"/>
      <c r="G113" s="53"/>
      <c r="H113" s="47"/>
      <c r="I113" s="56"/>
      <c r="J113" s="56"/>
      <c r="K113" s="4"/>
      <c r="L113" s="55"/>
      <c r="M113" s="565"/>
      <c r="N113" s="2"/>
      <c r="R113" s="2"/>
      <c r="T113" s="2"/>
    </row>
    <row r="114" spans="1:20" x14ac:dyDescent="0.3">
      <c r="H114" s="2"/>
      <c r="K114" s="4"/>
      <c r="L114" s="55"/>
    </row>
    <row r="115" spans="1:20" x14ac:dyDescent="0.3">
      <c r="K115" s="4"/>
      <c r="L115" s="55"/>
    </row>
    <row r="116" spans="1:20" x14ac:dyDescent="0.3">
      <c r="H116" s="419"/>
      <c r="K116" s="4"/>
      <c r="L116" s="55"/>
    </row>
    <row r="117" spans="1:20" x14ac:dyDescent="0.3">
      <c r="K117" s="4"/>
      <c r="L117" s="55"/>
    </row>
    <row r="118" spans="1:20" x14ac:dyDescent="0.3">
      <c r="K118" s="4"/>
      <c r="L118" s="55"/>
    </row>
  </sheetData>
  <mergeCells count="21">
    <mergeCell ref="B4:C4"/>
    <mergeCell ref="H4:I4"/>
    <mergeCell ref="N4:O4"/>
    <mergeCell ref="K4:L4"/>
    <mergeCell ref="R4:S4"/>
    <mergeCell ref="E4:F4"/>
    <mergeCell ref="A1:W1"/>
    <mergeCell ref="B3:C3"/>
    <mergeCell ref="H3:I3"/>
    <mergeCell ref="N3:O3"/>
    <mergeCell ref="K3:L3"/>
    <mergeCell ref="R3:S3"/>
    <mergeCell ref="T3:U3"/>
    <mergeCell ref="V3:W3"/>
    <mergeCell ref="E3:F3"/>
    <mergeCell ref="V4:W4"/>
    <mergeCell ref="K5:L5"/>
    <mergeCell ref="R5:S5"/>
    <mergeCell ref="T5:U5"/>
    <mergeCell ref="V5:W5"/>
    <mergeCell ref="T4:U4"/>
  </mergeCells>
  <pageMargins left="0.51181102362204722" right="0.59055118110236227" top="0.74803149606299213" bottom="0.35433070866141736" header="0.11811023622047245" footer="0.31496062992125984"/>
  <pageSetup paperSize="8" scale="79" orientation="landscape" horizontalDpi="4294967295" verticalDpi="4294967295" r:id="rId1"/>
  <headerFooter>
    <oddFooter>Page &amp;P&amp;R&amp;A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outlinePr summaryBelow="0"/>
    <pageSetUpPr fitToPage="1"/>
  </sheetPr>
  <dimension ref="A1:AA116"/>
  <sheetViews>
    <sheetView showGridLines="0" topLeftCell="A32" zoomScaleNormal="100" workbookViewId="0">
      <selection activeCell="N62" sqref="N62"/>
    </sheetView>
  </sheetViews>
  <sheetFormatPr baseColWidth="10" defaultRowHeight="16.2" outlineLevelRow="2" outlineLevelCol="1" x14ac:dyDescent="0.3"/>
  <cols>
    <col min="1" max="1" width="57.33203125" bestFit="1" customWidth="1"/>
    <col min="2" max="2" width="13.44140625" customWidth="1"/>
    <col min="3" max="3" width="12" style="52" customWidth="1"/>
    <col min="4" max="4" width="2.21875" style="52" customWidth="1"/>
    <col min="5" max="5" width="15.33203125" style="52" hidden="1" customWidth="1" outlineLevel="1"/>
    <col min="6" max="6" width="10.44140625" style="52" hidden="1" customWidth="1" outlineLevel="1"/>
    <col min="7" max="7" width="2.21875" style="52" hidden="1" customWidth="1" outlineLevel="1"/>
    <col min="8" max="8" width="15.88671875" hidden="1" customWidth="1" outlineLevel="1"/>
    <col min="9" max="9" width="11.109375" style="55" hidden="1" customWidth="1" outlineLevel="1"/>
    <col min="10" max="10" width="2.44140625" style="57" customWidth="1" collapsed="1"/>
    <col min="11" max="11" width="14.44140625" style="57" customWidth="1"/>
    <col min="12" max="12" width="12.21875" style="57" customWidth="1"/>
    <col min="13" max="13" width="2.88671875" style="371" customWidth="1"/>
    <col min="14" max="14" width="14.88671875" customWidth="1"/>
    <col min="15" max="15" width="13.109375" style="57" customWidth="1"/>
    <col min="16" max="16" width="5.77734375" style="57" customWidth="1"/>
    <col min="17" max="17" width="12.21875" hidden="1" customWidth="1" outlineLevel="1"/>
    <col min="18" max="18" width="10.77734375" style="4" hidden="1" customWidth="1" outlineLevel="1"/>
    <col min="19" max="19" width="12.21875" hidden="1" customWidth="1" outlineLevel="1"/>
    <col min="20" max="20" width="10.77734375" style="4" hidden="1" customWidth="1" outlineLevel="1"/>
    <col min="21" max="21" width="10.44140625" hidden="1" customWidth="1" outlineLevel="1"/>
    <col min="22" max="22" width="10.77734375" hidden="1" customWidth="1" outlineLevel="1"/>
    <col min="23" max="23" width="11.5546875" collapsed="1"/>
  </cols>
  <sheetData>
    <row r="1" spans="1:25" ht="26.25" customHeight="1" thickBot="1" x14ac:dyDescent="0.35">
      <c r="A1" s="628" t="s">
        <v>224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</row>
    <row r="2" spans="1:25" ht="45" customHeight="1" thickTop="1" x14ac:dyDescent="0.3">
      <c r="A2" s="48"/>
      <c r="B2" s="48"/>
      <c r="C2" s="51"/>
      <c r="D2" s="51"/>
      <c r="E2" s="51"/>
      <c r="F2" s="51"/>
      <c r="G2" s="51"/>
      <c r="H2" s="48"/>
      <c r="I2" s="54"/>
      <c r="J2" s="54"/>
      <c r="K2" s="54"/>
      <c r="L2" s="54"/>
      <c r="M2" s="370"/>
      <c r="N2" s="48"/>
      <c r="O2" s="54"/>
      <c r="P2" s="54"/>
      <c r="Q2" s="48"/>
      <c r="R2" s="48"/>
      <c r="S2" s="48"/>
      <c r="T2" s="48"/>
      <c r="U2" s="15"/>
    </row>
    <row r="3" spans="1:25" ht="15" customHeight="1" x14ac:dyDescent="0.3">
      <c r="A3" s="48"/>
      <c r="B3" s="612" t="s">
        <v>32</v>
      </c>
      <c r="C3" s="613"/>
      <c r="D3" s="48"/>
      <c r="E3" s="629" t="s">
        <v>32</v>
      </c>
      <c r="F3" s="630"/>
      <c r="G3" s="48"/>
      <c r="H3" s="629" t="s">
        <v>32</v>
      </c>
      <c r="I3" s="630"/>
      <c r="J3" s="365"/>
      <c r="K3" s="646" t="s">
        <v>33</v>
      </c>
      <c r="L3" s="647"/>
      <c r="M3" s="365"/>
      <c r="N3" s="631" t="s">
        <v>32</v>
      </c>
      <c r="O3" s="632"/>
      <c r="P3" s="365"/>
      <c r="Q3" s="635" t="s">
        <v>11</v>
      </c>
      <c r="R3" s="636"/>
      <c r="S3" s="635" t="s">
        <v>11</v>
      </c>
      <c r="T3" s="636"/>
      <c r="U3" s="635" t="s">
        <v>11</v>
      </c>
      <c r="V3" s="637"/>
    </row>
    <row r="4" spans="1:25" ht="15" customHeight="1" x14ac:dyDescent="0.3">
      <c r="A4" s="48"/>
      <c r="B4" s="638" t="s">
        <v>3</v>
      </c>
      <c r="C4" s="639"/>
      <c r="D4" s="381"/>
      <c r="E4" s="640" t="s">
        <v>208</v>
      </c>
      <c r="F4" s="641"/>
      <c r="G4" s="484"/>
      <c r="H4" s="640" t="s">
        <v>217</v>
      </c>
      <c r="I4" s="641"/>
      <c r="J4" s="511"/>
      <c r="K4" s="648" t="s">
        <v>2</v>
      </c>
      <c r="L4" s="649"/>
      <c r="M4" s="511"/>
      <c r="N4" s="642" t="s">
        <v>221</v>
      </c>
      <c r="O4" s="643"/>
      <c r="P4" s="511"/>
      <c r="Q4" s="621" t="s">
        <v>1</v>
      </c>
      <c r="R4" s="627"/>
      <c r="S4" s="621" t="s">
        <v>12</v>
      </c>
      <c r="T4" s="627"/>
      <c r="U4" s="621" t="s">
        <v>13</v>
      </c>
      <c r="V4" s="622"/>
    </row>
    <row r="5" spans="1:25" s="9" customFormat="1" ht="29.25" customHeight="1" x14ac:dyDescent="0.3">
      <c r="A5" s="38"/>
      <c r="B5" s="382"/>
      <c r="C5" s="383"/>
      <c r="D5" s="384"/>
      <c r="E5" s="509"/>
      <c r="F5" s="510"/>
      <c r="G5" s="384"/>
      <c r="H5" s="509"/>
      <c r="I5" s="510"/>
      <c r="J5" s="564"/>
      <c r="K5" s="650" t="s">
        <v>218</v>
      </c>
      <c r="L5" s="651"/>
      <c r="M5" s="564"/>
      <c r="N5" s="79"/>
      <c r="O5" s="385"/>
      <c r="P5" s="512"/>
      <c r="Q5" s="625"/>
      <c r="R5" s="626"/>
      <c r="S5" s="625"/>
      <c r="T5" s="626"/>
      <c r="U5" s="625"/>
      <c r="V5" s="626"/>
    </row>
    <row r="6" spans="1:25" s="9" customFormat="1" ht="17.25" customHeight="1" x14ac:dyDescent="0.3">
      <c r="A6" s="39"/>
      <c r="B6" s="58" t="s">
        <v>0</v>
      </c>
      <c r="C6" s="282" t="s">
        <v>22</v>
      </c>
      <c r="D6" s="386"/>
      <c r="E6" s="58" t="s">
        <v>0</v>
      </c>
      <c r="F6" s="282" t="s">
        <v>22</v>
      </c>
      <c r="G6" s="386"/>
      <c r="H6" s="58" t="s">
        <v>0</v>
      </c>
      <c r="I6" s="282" t="s">
        <v>22</v>
      </c>
      <c r="J6" s="513"/>
      <c r="K6" s="58" t="s">
        <v>0</v>
      </c>
      <c r="L6" s="282" t="s">
        <v>22</v>
      </c>
      <c r="M6" s="513"/>
      <c r="N6" s="58" t="s">
        <v>0</v>
      </c>
      <c r="O6" s="282" t="s">
        <v>22</v>
      </c>
      <c r="P6" s="513"/>
      <c r="Q6" s="58" t="s">
        <v>0</v>
      </c>
      <c r="R6" s="282" t="s">
        <v>22</v>
      </c>
      <c r="S6" s="58" t="s">
        <v>0</v>
      </c>
      <c r="T6" s="282" t="s">
        <v>22</v>
      </c>
      <c r="U6" s="58" t="s">
        <v>0</v>
      </c>
      <c r="V6" s="282" t="s">
        <v>22</v>
      </c>
    </row>
    <row r="7" spans="1:25" s="9" customFormat="1" ht="16.8" thickBot="1" x14ac:dyDescent="0.35">
      <c r="A7" s="71"/>
      <c r="B7" s="72"/>
      <c r="C7" s="73"/>
      <c r="D7" s="387"/>
      <c r="E7" s="108"/>
      <c r="F7" s="119"/>
      <c r="G7" s="387"/>
      <c r="H7" s="108"/>
      <c r="I7" s="119"/>
      <c r="J7" s="514"/>
      <c r="K7" s="72"/>
      <c r="L7" s="73"/>
      <c r="M7" s="514"/>
      <c r="N7" s="125"/>
      <c r="O7" s="119"/>
      <c r="P7" s="514"/>
      <c r="Q7" s="125"/>
      <c r="R7" s="74"/>
      <c r="S7" s="125"/>
      <c r="T7" s="74"/>
      <c r="U7" s="125"/>
      <c r="V7" s="119"/>
    </row>
    <row r="8" spans="1:25" ht="17.399999999999999" thickTop="1" thickBot="1" x14ac:dyDescent="0.35">
      <c r="A8" s="88" t="s">
        <v>10</v>
      </c>
      <c r="B8" s="80">
        <v>1356.7929999999999</v>
      </c>
      <c r="C8" s="86"/>
      <c r="D8" s="388"/>
      <c r="E8" s="239">
        <v>898.08</v>
      </c>
      <c r="F8" s="86"/>
      <c r="G8" s="388"/>
      <c r="H8" s="239">
        <f>SUM(H10:H11)</f>
        <v>1451.2523000000001</v>
      </c>
      <c r="I8" s="86"/>
      <c r="J8" s="361"/>
      <c r="K8" s="80">
        <v>1693.42642</v>
      </c>
      <c r="L8" s="81"/>
      <c r="M8" s="361"/>
      <c r="N8" s="239">
        <f>SUM(N10:N11)</f>
        <v>1713.3872899999999</v>
      </c>
      <c r="O8" s="86"/>
      <c r="P8" s="76"/>
      <c r="Q8" s="77">
        <f>SUM(Q10:Q11)</f>
        <v>2500</v>
      </c>
      <c r="R8" s="78"/>
      <c r="S8" s="77">
        <f>SUM(S10:S11)</f>
        <v>3500</v>
      </c>
      <c r="T8" s="78"/>
      <c r="U8" s="77">
        <f>SUM(U10:U11)</f>
        <v>5000</v>
      </c>
      <c r="V8" s="86"/>
    </row>
    <row r="9" spans="1:25" ht="7.5" customHeight="1" thickTop="1" x14ac:dyDescent="0.3">
      <c r="A9" s="210"/>
      <c r="B9" s="59"/>
      <c r="C9" s="211"/>
      <c r="D9" s="388"/>
      <c r="E9" s="59"/>
      <c r="F9" s="211"/>
      <c r="G9" s="388"/>
      <c r="H9" s="59"/>
      <c r="I9" s="211"/>
      <c r="J9" s="361"/>
      <c r="K9" s="59"/>
      <c r="L9" s="211"/>
      <c r="M9" s="361"/>
      <c r="N9" s="109"/>
      <c r="O9" s="356"/>
      <c r="P9" s="76"/>
      <c r="Q9" s="109"/>
      <c r="R9" s="267"/>
      <c r="S9" s="109"/>
      <c r="T9" s="267"/>
      <c r="U9" s="109"/>
      <c r="V9" s="356"/>
    </row>
    <row r="10" spans="1:25" ht="17.25" customHeight="1" x14ac:dyDescent="0.3">
      <c r="A10" s="90" t="s">
        <v>90</v>
      </c>
      <c r="B10" s="288">
        <f>B8-B11</f>
        <v>1189.3429999999998</v>
      </c>
      <c r="C10" s="211"/>
      <c r="D10" s="388"/>
      <c r="E10" s="113">
        <v>700.66300000000001</v>
      </c>
      <c r="F10" s="211"/>
      <c r="G10" s="388"/>
      <c r="H10" s="113">
        <f>1451.2523-H11</f>
        <v>1161.8698000000002</v>
      </c>
      <c r="I10" s="211"/>
      <c r="J10" s="361"/>
      <c r="K10" s="288">
        <v>1372.59392</v>
      </c>
      <c r="L10" s="211"/>
      <c r="M10" s="361"/>
      <c r="N10" s="113">
        <f>1713.38729-N11</f>
        <v>1392.5547899999999</v>
      </c>
      <c r="O10" s="120"/>
      <c r="P10" s="76"/>
      <c r="Q10" s="64">
        <f>VARIABLE!E34-'AVANISTA INGENIERIE - BP 2022'!Q11</f>
        <v>1750</v>
      </c>
      <c r="R10" s="389"/>
      <c r="S10" s="64">
        <f>VARIABLE!F34-'AVANISTA INGENIERIE - BP 2022'!S11</f>
        <v>2500</v>
      </c>
      <c r="T10" s="389"/>
      <c r="U10" s="64">
        <f>VARIABLE!G34-U11</f>
        <v>3500</v>
      </c>
      <c r="V10" s="120"/>
    </row>
    <row r="11" spans="1:25" ht="17.25" customHeight="1" x14ac:dyDescent="0.3">
      <c r="A11" s="90" t="s">
        <v>91</v>
      </c>
      <c r="B11" s="288">
        <f>115.74+51.71</f>
        <v>167.45</v>
      </c>
      <c r="C11" s="211"/>
      <c r="D11" s="388"/>
      <c r="E11" s="113">
        <v>197.417</v>
      </c>
      <c r="F11" s="211"/>
      <c r="G11" s="388"/>
      <c r="H11" s="113">
        <v>289.38249999999999</v>
      </c>
      <c r="I11" s="191">
        <f>H11/H10</f>
        <v>0.24906620345928601</v>
      </c>
      <c r="J11" s="515"/>
      <c r="K11" s="288">
        <v>320.83249999999998</v>
      </c>
      <c r="L11" s="211"/>
      <c r="M11" s="515"/>
      <c r="N11" s="113">
        <v>320.83249999999998</v>
      </c>
      <c r="O11" s="191">
        <f>N11/N10</f>
        <v>0.23039129397558569</v>
      </c>
      <c r="P11" s="76"/>
      <c r="Q11" s="64">
        <f>VARIABLE!E35</f>
        <v>750</v>
      </c>
      <c r="R11" s="389"/>
      <c r="S11" s="64">
        <f>VARIABLE!F35</f>
        <v>1000</v>
      </c>
      <c r="T11" s="389"/>
      <c r="U11" s="64">
        <f>VARIABLE!G35</f>
        <v>1500</v>
      </c>
      <c r="V11" s="120"/>
    </row>
    <row r="12" spans="1:25" x14ac:dyDescent="0.3">
      <c r="A12" s="91"/>
      <c r="B12" s="109"/>
      <c r="C12" s="306"/>
      <c r="D12" s="51"/>
      <c r="E12" s="109"/>
      <c r="F12" s="120"/>
      <c r="G12" s="51"/>
      <c r="H12" s="109"/>
      <c r="I12" s="120"/>
      <c r="J12" s="75"/>
      <c r="K12" s="109"/>
      <c r="L12" s="306"/>
      <c r="M12" s="75"/>
      <c r="N12" s="109"/>
      <c r="O12" s="120"/>
      <c r="P12" s="75"/>
      <c r="Q12" s="109"/>
      <c r="R12" s="194"/>
      <c r="S12" s="109"/>
      <c r="T12" s="194"/>
      <c r="U12" s="109"/>
      <c r="V12" s="120"/>
    </row>
    <row r="13" spans="1:25" collapsed="1" x14ac:dyDescent="0.3">
      <c r="A13" s="90" t="s">
        <v>89</v>
      </c>
      <c r="B13" s="64">
        <f>SUM(B15:B32)</f>
        <v>870.48699999999997</v>
      </c>
      <c r="C13" s="307">
        <f>+B13/B10</f>
        <v>0.73190576646097893</v>
      </c>
      <c r="D13" s="51"/>
      <c r="E13" s="113">
        <v>451.46900000000005</v>
      </c>
      <c r="F13" s="191">
        <v>0.64434542711688791</v>
      </c>
      <c r="G13" s="51"/>
      <c r="H13" s="113">
        <f>SUM(H15:H31)</f>
        <v>746.44802000000016</v>
      </c>
      <c r="I13" s="191">
        <f>H13/H10</f>
        <v>0.64245410286075089</v>
      </c>
      <c r="J13" s="515"/>
      <c r="K13" s="64">
        <v>881.82859546572126</v>
      </c>
      <c r="L13" s="307">
        <v>0.64245410286075089</v>
      </c>
      <c r="M13" s="515"/>
      <c r="N13" s="113">
        <f>SUM(N15:N31)</f>
        <v>928.6549100000002</v>
      </c>
      <c r="O13" s="191">
        <f>N13/N10</f>
        <v>0.66687136238280453</v>
      </c>
      <c r="P13" s="515"/>
      <c r="Q13" s="64">
        <f>Q10-Q33</f>
        <v>1150.064870465786</v>
      </c>
      <c r="R13" s="195">
        <f>Q13/Q10</f>
        <v>0.65717992598044916</v>
      </c>
      <c r="S13" s="64">
        <f>S10-S33</f>
        <v>1642.949814951123</v>
      </c>
      <c r="T13" s="195">
        <f>S13/S10</f>
        <v>0.65717992598044916</v>
      </c>
      <c r="U13" s="64">
        <f>U10-U33</f>
        <v>2300.1297409315721</v>
      </c>
      <c r="V13" s="191">
        <f>U13/U10</f>
        <v>0.65717992598044916</v>
      </c>
    </row>
    <row r="14" spans="1:25" ht="8.25" hidden="1" customHeight="1" outlineLevel="2" x14ac:dyDescent="0.3">
      <c r="A14" s="93"/>
      <c r="B14" s="109"/>
      <c r="C14" s="306"/>
      <c r="D14" s="51"/>
      <c r="E14" s="109"/>
      <c r="F14" s="120"/>
      <c r="G14" s="51"/>
      <c r="H14" s="109"/>
      <c r="I14" s="120"/>
      <c r="J14" s="75"/>
      <c r="K14" s="109"/>
      <c r="L14" s="306"/>
      <c r="M14" s="75"/>
      <c r="N14" s="109"/>
      <c r="O14" s="120"/>
      <c r="P14" s="75"/>
      <c r="Q14" s="109"/>
      <c r="R14" s="194"/>
      <c r="S14" s="109"/>
      <c r="T14" s="194"/>
      <c r="U14" s="109"/>
      <c r="V14" s="120"/>
    </row>
    <row r="15" spans="1:25" ht="17.25" hidden="1" customHeight="1" outlineLevel="2" x14ac:dyDescent="0.3">
      <c r="A15" s="94" t="s">
        <v>26</v>
      </c>
      <c r="B15" s="62">
        <v>243.26400000000001</v>
      </c>
      <c r="C15" s="307"/>
      <c r="D15" s="51"/>
      <c r="E15" s="112">
        <v>287.72800000000001</v>
      </c>
      <c r="F15" s="120"/>
      <c r="G15" s="51"/>
      <c r="H15" s="112">
        <v>472.75225</v>
      </c>
      <c r="I15" s="120"/>
      <c r="J15" s="75"/>
      <c r="K15" s="62"/>
      <c r="L15" s="307"/>
      <c r="M15" s="75"/>
      <c r="N15" s="112">
        <v>582.02336000000003</v>
      </c>
      <c r="O15" s="120"/>
      <c r="P15" s="75"/>
      <c r="Q15" s="268"/>
      <c r="R15" s="194"/>
      <c r="S15" s="268"/>
      <c r="T15" s="194"/>
      <c r="U15" s="268"/>
      <c r="V15" s="120"/>
      <c r="W15" s="587">
        <v>582.02336000000003</v>
      </c>
      <c r="X15" s="587"/>
      <c r="Y15" s="587"/>
    </row>
    <row r="16" spans="1:25" ht="17.25" hidden="1" customHeight="1" outlineLevel="2" x14ac:dyDescent="0.3">
      <c r="A16" s="94" t="s">
        <v>72</v>
      </c>
      <c r="B16" s="62">
        <v>0</v>
      </c>
      <c r="C16" s="307"/>
      <c r="D16" s="51"/>
      <c r="E16" s="112">
        <v>0</v>
      </c>
      <c r="F16" s="120"/>
      <c r="G16" s="51"/>
      <c r="H16" s="112"/>
      <c r="I16" s="120"/>
      <c r="J16" s="75"/>
      <c r="K16" s="62"/>
      <c r="L16" s="307"/>
      <c r="M16" s="75"/>
      <c r="N16" s="112">
        <v>0</v>
      </c>
      <c r="O16" s="120"/>
      <c r="P16" s="75"/>
      <c r="Q16" s="268"/>
      <c r="R16" s="194"/>
      <c r="S16" s="268"/>
      <c r="T16" s="194"/>
      <c r="U16" s="268"/>
      <c r="V16" s="120"/>
      <c r="W16" s="587">
        <v>0</v>
      </c>
      <c r="X16" s="587"/>
      <c r="Y16" s="587"/>
    </row>
    <row r="17" spans="1:25" ht="17.25" hidden="1" customHeight="1" outlineLevel="2" x14ac:dyDescent="0.3">
      <c r="A17" s="94" t="s">
        <v>27</v>
      </c>
      <c r="B17" s="62">
        <f>65.957+19.138+5.884+10.217</f>
        <v>101.196</v>
      </c>
      <c r="C17" s="190">
        <f>(B17+B18+B19+B21+B27)/(B15+B16)</f>
        <v>0.4139330110497238</v>
      </c>
      <c r="D17" s="51"/>
      <c r="E17" s="112">
        <v>104.699</v>
      </c>
      <c r="F17" s="190">
        <v>0.39428905077017184</v>
      </c>
      <c r="G17" s="51"/>
      <c r="H17" s="112">
        <f>104.81033+35.3548+11.49519+19.85549</f>
        <v>171.51580999999999</v>
      </c>
      <c r="I17" s="190">
        <f>(H17+H21+H19+H18)/(H15+H16)</f>
        <v>0.3992154876047655</v>
      </c>
      <c r="J17" s="289"/>
      <c r="K17" s="62"/>
      <c r="L17" s="190"/>
      <c r="M17" s="289"/>
      <c r="N17" s="112">
        <v>211.75291999999999</v>
      </c>
      <c r="O17" s="190">
        <f>(N17+N21+N19+N18)/(N15+N16)</f>
        <v>0.40843967156232347</v>
      </c>
      <c r="P17" s="75"/>
      <c r="Q17" s="268"/>
      <c r="R17" s="194"/>
      <c r="S17" s="268"/>
      <c r="T17" s="194"/>
      <c r="U17" s="268"/>
      <c r="V17" s="120"/>
      <c r="W17" s="587">
        <v>236</v>
      </c>
      <c r="X17" s="588">
        <f>(W17+W21+W19+W18)/(W15+W16)</f>
        <v>0.45009964892130794</v>
      </c>
      <c r="Y17" s="589">
        <f>W17-N17</f>
        <v>24.247080000000011</v>
      </c>
    </row>
    <row r="18" spans="1:25" ht="17.25" hidden="1" customHeight="1" outlineLevel="2" x14ac:dyDescent="0.3">
      <c r="A18" s="94" t="s">
        <v>50</v>
      </c>
      <c r="B18" s="62">
        <v>1.3160000000000001</v>
      </c>
      <c r="C18" s="120"/>
      <c r="D18" s="51"/>
      <c r="E18" s="112">
        <v>1.1759999999999999</v>
      </c>
      <c r="F18" s="120"/>
      <c r="G18" s="51"/>
      <c r="H18" s="112">
        <v>1.9853000000000001</v>
      </c>
      <c r="I18" s="120"/>
      <c r="J18" s="75"/>
      <c r="K18" s="62"/>
      <c r="L18" s="120"/>
      <c r="M18" s="75"/>
      <c r="N18" s="112">
        <v>2.4365000000000001</v>
      </c>
      <c r="O18" s="120"/>
      <c r="P18" s="75"/>
      <c r="Q18" s="268"/>
      <c r="R18" s="194"/>
      <c r="S18" s="268"/>
      <c r="T18" s="194"/>
      <c r="U18" s="268"/>
      <c r="V18" s="120"/>
      <c r="W18" s="587">
        <v>2.4365000000000001</v>
      </c>
      <c r="X18" s="587"/>
      <c r="Y18" s="590">
        <f>Y17/N10</f>
        <v>1.7411939676714634E-2</v>
      </c>
    </row>
    <row r="19" spans="1:25" ht="17.25" hidden="1" customHeight="1" outlineLevel="2" x14ac:dyDescent="0.3">
      <c r="A19" s="94" t="s">
        <v>52</v>
      </c>
      <c r="B19" s="376">
        <f>1.655+1.399</f>
        <v>3.0540000000000003</v>
      </c>
      <c r="C19" s="120"/>
      <c r="D19" s="51"/>
      <c r="E19" s="112">
        <v>1.718</v>
      </c>
      <c r="F19" s="120"/>
      <c r="G19" s="51"/>
      <c r="H19" s="112">
        <v>3.0474100000000002</v>
      </c>
      <c r="I19" s="120"/>
      <c r="J19" s="75"/>
      <c r="K19" s="376"/>
      <c r="L19" s="120"/>
      <c r="M19" s="75"/>
      <c r="N19" s="112">
        <v>7.3618100000000002</v>
      </c>
      <c r="O19" s="120"/>
      <c r="P19" s="75"/>
      <c r="Q19" s="268"/>
      <c r="R19" s="194"/>
      <c r="S19" s="268"/>
      <c r="T19" s="194"/>
      <c r="U19" s="268"/>
      <c r="V19" s="120"/>
      <c r="W19" s="587">
        <v>7.3618100000000002</v>
      </c>
      <c r="X19" s="587"/>
      <c r="Y19" s="587"/>
    </row>
    <row r="20" spans="1:25" ht="17.25" hidden="1" customHeight="1" outlineLevel="2" x14ac:dyDescent="0.3">
      <c r="A20" s="94" t="s">
        <v>48</v>
      </c>
      <c r="B20" s="62">
        <v>0</v>
      </c>
      <c r="C20" s="120"/>
      <c r="D20" s="51"/>
      <c r="E20" s="112">
        <v>0</v>
      </c>
      <c r="F20" s="120"/>
      <c r="G20" s="51"/>
      <c r="H20" s="112"/>
      <c r="I20" s="120"/>
      <c r="J20" s="75"/>
      <c r="K20" s="62"/>
      <c r="L20" s="120"/>
      <c r="M20" s="75"/>
      <c r="N20" s="112">
        <v>0</v>
      </c>
      <c r="O20" s="120"/>
      <c r="P20" s="75"/>
      <c r="Q20" s="268"/>
      <c r="R20" s="194"/>
      <c r="S20" s="268"/>
      <c r="T20" s="194"/>
      <c r="U20" s="268"/>
      <c r="V20" s="120"/>
      <c r="W20" s="587">
        <v>0</v>
      </c>
      <c r="X20" s="587"/>
      <c r="Y20" s="587"/>
    </row>
    <row r="21" spans="1:25" ht="17.25" hidden="1" customHeight="1" outlineLevel="2" x14ac:dyDescent="0.3">
      <c r="A21" s="94" t="s">
        <v>49</v>
      </c>
      <c r="B21" s="62">
        <v>5.26</v>
      </c>
      <c r="C21" s="120"/>
      <c r="D21" s="51"/>
      <c r="E21" s="112">
        <v>5.8550000000000004</v>
      </c>
      <c r="F21" s="120"/>
      <c r="G21" s="51"/>
      <c r="H21" s="112">
        <v>12.1815</v>
      </c>
      <c r="I21" s="120"/>
      <c r="J21" s="75"/>
      <c r="K21" s="62"/>
      <c r="L21" s="120"/>
      <c r="M21" s="75"/>
      <c r="N21" s="112">
        <v>16.170200000000001</v>
      </c>
      <c r="O21" s="120"/>
      <c r="P21" s="75"/>
      <c r="Q21" s="268"/>
      <c r="R21" s="194"/>
      <c r="S21" s="268"/>
      <c r="T21" s="194"/>
      <c r="U21" s="268"/>
      <c r="V21" s="120"/>
      <c r="W21" s="587">
        <v>16.170200000000001</v>
      </c>
      <c r="X21" s="587"/>
      <c r="Y21" s="587"/>
    </row>
    <row r="22" spans="1:25" ht="17.25" hidden="1" customHeight="1" outlineLevel="2" x14ac:dyDescent="0.3">
      <c r="A22" s="94" t="s">
        <v>151</v>
      </c>
      <c r="B22" s="62">
        <v>0</v>
      </c>
      <c r="C22" s="120"/>
      <c r="D22" s="51"/>
      <c r="E22" s="112">
        <v>0</v>
      </c>
      <c r="F22" s="120"/>
      <c r="G22" s="51"/>
      <c r="H22" s="112"/>
      <c r="I22" s="120"/>
      <c r="J22" s="75"/>
      <c r="K22" s="62"/>
      <c r="L22" s="120"/>
      <c r="M22" s="75"/>
      <c r="N22" s="112">
        <v>0</v>
      </c>
      <c r="O22" s="120"/>
      <c r="P22" s="75"/>
      <c r="Q22" s="268"/>
      <c r="R22" s="194"/>
      <c r="S22" s="268"/>
      <c r="T22" s="194"/>
      <c r="U22" s="268"/>
      <c r="V22" s="120"/>
      <c r="W22" s="587">
        <v>0</v>
      </c>
      <c r="X22" s="587"/>
      <c r="Y22" s="587"/>
    </row>
    <row r="23" spans="1:25" ht="17.25" hidden="1" customHeight="1" outlineLevel="2" x14ac:dyDescent="0.3">
      <c r="A23" s="94" t="s">
        <v>205</v>
      </c>
      <c r="B23" s="62">
        <v>29.568000000000001</v>
      </c>
      <c r="C23" s="120"/>
      <c r="D23" s="51"/>
      <c r="E23" s="112">
        <v>5.6779999999999999</v>
      </c>
      <c r="F23" s="120"/>
      <c r="G23" s="51"/>
      <c r="H23" s="112">
        <v>1.91594</v>
      </c>
      <c r="I23" s="120"/>
      <c r="J23" s="75"/>
      <c r="K23" s="62"/>
      <c r="L23" s="120"/>
      <c r="M23" s="75"/>
      <c r="N23" s="112">
        <v>5.2998500000000002</v>
      </c>
      <c r="O23" s="120"/>
      <c r="P23" s="75"/>
      <c r="Q23" s="268"/>
      <c r="R23" s="194"/>
      <c r="S23" s="268"/>
      <c r="T23" s="194"/>
      <c r="U23" s="268"/>
      <c r="V23" s="120"/>
      <c r="W23" s="587">
        <v>5.2998500000000002</v>
      </c>
      <c r="X23" s="587"/>
      <c r="Y23" s="587"/>
    </row>
    <row r="24" spans="1:25" ht="17.25" hidden="1" customHeight="1" outlineLevel="2" x14ac:dyDescent="0.3">
      <c r="A24" s="94" t="s">
        <v>152</v>
      </c>
      <c r="B24" s="62">
        <v>5.35</v>
      </c>
      <c r="C24" s="120"/>
      <c r="D24" s="51"/>
      <c r="E24" s="112">
        <v>0</v>
      </c>
      <c r="F24" s="120"/>
      <c r="G24" s="51"/>
      <c r="H24" s="112"/>
      <c r="I24" s="120"/>
      <c r="J24" s="75"/>
      <c r="K24" s="62"/>
      <c r="L24" s="120"/>
      <c r="M24" s="75"/>
      <c r="N24" s="556">
        <v>3.633</v>
      </c>
      <c r="O24" s="120"/>
      <c r="P24" s="75"/>
      <c r="Q24" s="268"/>
      <c r="R24" s="194"/>
      <c r="S24" s="268"/>
      <c r="T24" s="194"/>
      <c r="U24" s="268"/>
      <c r="V24" s="120"/>
      <c r="W24" s="587">
        <v>3.633</v>
      </c>
      <c r="X24" s="587"/>
      <c r="Y24" s="587"/>
    </row>
    <row r="25" spans="1:25" ht="17.25" hidden="1" customHeight="1" outlineLevel="2" x14ac:dyDescent="0.3">
      <c r="A25" s="94" t="s">
        <v>206</v>
      </c>
      <c r="B25" s="62">
        <v>11.855</v>
      </c>
      <c r="C25" s="120"/>
      <c r="D25" s="51"/>
      <c r="E25" s="112">
        <v>-0.53700000000000003</v>
      </c>
      <c r="F25" s="120"/>
      <c r="G25" s="51"/>
      <c r="H25" s="112">
        <v>9.221E-2</v>
      </c>
      <c r="I25" s="120"/>
      <c r="J25" s="75"/>
      <c r="K25" s="62"/>
      <c r="L25" s="120"/>
      <c r="M25" s="75"/>
      <c r="N25" s="112">
        <v>1.19804</v>
      </c>
      <c r="O25" s="120"/>
      <c r="P25" s="75"/>
      <c r="Q25" s="268"/>
      <c r="R25" s="194"/>
      <c r="S25" s="268"/>
      <c r="T25" s="194"/>
      <c r="U25" s="268"/>
      <c r="V25" s="120"/>
      <c r="W25" s="587"/>
      <c r="X25" s="587"/>
      <c r="Y25" s="587"/>
    </row>
    <row r="26" spans="1:25" ht="17.25" hidden="1" customHeight="1" outlineLevel="2" x14ac:dyDescent="0.3">
      <c r="A26" s="94" t="s">
        <v>82</v>
      </c>
      <c r="B26" s="62">
        <v>0</v>
      </c>
      <c r="C26" s="120"/>
      <c r="D26" s="51"/>
      <c r="E26" s="112">
        <v>0</v>
      </c>
      <c r="F26" s="120"/>
      <c r="G26" s="51"/>
      <c r="H26" s="112"/>
      <c r="I26" s="120"/>
      <c r="J26" s="75"/>
      <c r="K26" s="62"/>
      <c r="L26" s="120"/>
      <c r="M26" s="75"/>
      <c r="N26" s="112">
        <v>0</v>
      </c>
      <c r="O26" s="120">
        <v>0</v>
      </c>
      <c r="P26" s="75"/>
      <c r="Q26" s="268"/>
      <c r="R26" s="194"/>
      <c r="S26" s="268"/>
      <c r="T26" s="194"/>
      <c r="U26" s="268"/>
      <c r="V26" s="120"/>
    </row>
    <row r="27" spans="1:25" ht="17.25" hidden="1" customHeight="1" outlineLevel="2" x14ac:dyDescent="0.3">
      <c r="A27" s="94" t="s">
        <v>153</v>
      </c>
      <c r="B27" s="62">
        <v>-10.131</v>
      </c>
      <c r="C27" s="120"/>
      <c r="D27" s="51"/>
      <c r="E27" s="112">
        <v>0</v>
      </c>
      <c r="F27" s="120"/>
      <c r="G27" s="51"/>
      <c r="H27" s="112"/>
      <c r="I27" s="120"/>
      <c r="J27" s="75"/>
      <c r="K27" s="62"/>
      <c r="L27" s="120"/>
      <c r="M27" s="75"/>
      <c r="N27" s="112">
        <v>0</v>
      </c>
      <c r="O27" s="120"/>
      <c r="P27" s="75"/>
      <c r="Q27" s="268"/>
      <c r="R27" s="194"/>
      <c r="S27" s="268"/>
      <c r="T27" s="194"/>
      <c r="U27" s="268"/>
      <c r="V27" s="120"/>
    </row>
    <row r="28" spans="1:25" ht="16.2" hidden="1" customHeight="1" outlineLevel="2" x14ac:dyDescent="0.3">
      <c r="A28" s="94" t="s">
        <v>63</v>
      </c>
      <c r="B28" s="62">
        <v>0</v>
      </c>
      <c r="C28" s="120"/>
      <c r="D28" s="51"/>
      <c r="E28" s="112">
        <v>0</v>
      </c>
      <c r="F28" s="120"/>
      <c r="G28" s="51"/>
      <c r="H28" s="112"/>
      <c r="I28" s="120"/>
      <c r="J28" s="75"/>
      <c r="K28" s="62"/>
      <c r="L28" s="120"/>
      <c r="M28" s="75"/>
      <c r="N28" s="112">
        <v>0</v>
      </c>
      <c r="O28" s="120"/>
      <c r="P28" s="75"/>
      <c r="Q28" s="268"/>
      <c r="R28" s="194"/>
      <c r="S28" s="268"/>
      <c r="T28" s="194"/>
      <c r="U28" s="268"/>
      <c r="V28" s="120"/>
    </row>
    <row r="29" spans="1:25" ht="16.2" hidden="1" customHeight="1" outlineLevel="2" x14ac:dyDescent="0.3">
      <c r="A29" s="263" t="s">
        <v>214</v>
      </c>
      <c r="B29" s="62">
        <f>502.466-21.465-46.17</f>
        <v>434.83100000000002</v>
      </c>
      <c r="C29" s="120"/>
      <c r="D29" s="51"/>
      <c r="E29" s="112">
        <v>0</v>
      </c>
      <c r="F29" s="120"/>
      <c r="G29" s="51"/>
      <c r="H29" s="112"/>
      <c r="I29" s="120"/>
      <c r="J29" s="75"/>
      <c r="K29" s="62"/>
      <c r="L29" s="120"/>
      <c r="M29" s="75"/>
      <c r="N29" s="112">
        <v>0</v>
      </c>
      <c r="O29" s="120"/>
      <c r="P29" s="75"/>
      <c r="Q29" s="268"/>
      <c r="R29" s="194"/>
      <c r="S29" s="268"/>
      <c r="T29" s="194"/>
      <c r="U29" s="268"/>
      <c r="V29" s="120"/>
    </row>
    <row r="30" spans="1:25" ht="16.2" hidden="1" customHeight="1" outlineLevel="2" x14ac:dyDescent="0.3">
      <c r="A30" s="263" t="s">
        <v>181</v>
      </c>
      <c r="B30" s="62">
        <v>42</v>
      </c>
      <c r="C30" s="120"/>
      <c r="D30" s="51"/>
      <c r="E30" s="112">
        <v>42</v>
      </c>
      <c r="F30" s="120"/>
      <c r="G30" s="51"/>
      <c r="H30" s="112">
        <v>75.227159999999998</v>
      </c>
      <c r="I30" s="120"/>
      <c r="J30" s="75"/>
      <c r="K30" s="62"/>
      <c r="L30" s="120"/>
      <c r="M30" s="75"/>
      <c r="N30" s="112">
        <f>-'AVANISTA - BP 2022'!N31</f>
        <v>89.876559999999998</v>
      </c>
      <c r="O30" s="120"/>
      <c r="P30" s="75"/>
      <c r="Q30" s="268"/>
      <c r="R30" s="194"/>
      <c r="S30" s="268"/>
      <c r="T30" s="194"/>
      <c r="U30" s="268"/>
      <c r="V30" s="120"/>
    </row>
    <row r="31" spans="1:25" ht="16.2" hidden="1" customHeight="1" outlineLevel="2" x14ac:dyDescent="0.3">
      <c r="A31" s="263" t="s">
        <v>154</v>
      </c>
      <c r="B31" s="62">
        <v>2.9239999999999999</v>
      </c>
      <c r="C31" s="120"/>
      <c r="D31" s="51"/>
      <c r="E31" s="112">
        <v>3.1520000000000001</v>
      </c>
      <c r="F31" s="120"/>
      <c r="G31" s="51"/>
      <c r="H31" s="112">
        <v>7.7304399999999998</v>
      </c>
      <c r="I31" s="120"/>
      <c r="J31" s="75"/>
      <c r="K31" s="62"/>
      <c r="L31" s="120"/>
      <c r="M31" s="75"/>
      <c r="N31" s="112">
        <v>8.9026700000000005</v>
      </c>
      <c r="O31" s="120"/>
      <c r="P31" s="75"/>
      <c r="Q31" s="268"/>
      <c r="R31" s="194"/>
      <c r="S31" s="268"/>
      <c r="T31" s="194"/>
      <c r="U31" s="268"/>
      <c r="V31" s="120"/>
    </row>
    <row r="32" spans="1:25" x14ac:dyDescent="0.3">
      <c r="A32" s="263"/>
      <c r="B32" s="109"/>
      <c r="C32" s="120"/>
      <c r="D32" s="51"/>
      <c r="E32" s="109"/>
      <c r="F32" s="120"/>
      <c r="G32" s="51"/>
      <c r="H32" s="109"/>
      <c r="I32" s="120"/>
      <c r="J32" s="75"/>
      <c r="K32" s="109"/>
      <c r="L32" s="120"/>
      <c r="M32" s="75"/>
      <c r="N32" s="112"/>
      <c r="O32" s="120"/>
      <c r="P32" s="75"/>
      <c r="Q32" s="109"/>
      <c r="R32" s="194"/>
      <c r="S32" s="109"/>
      <c r="T32" s="194"/>
      <c r="U32" s="109"/>
      <c r="V32" s="120"/>
    </row>
    <row r="33" spans="1:27" x14ac:dyDescent="0.3">
      <c r="A33" s="390" t="s">
        <v>51</v>
      </c>
      <c r="B33" s="299">
        <f>B10-B13</f>
        <v>318.85599999999988</v>
      </c>
      <c r="C33" s="298">
        <f>+B33/B10</f>
        <v>0.26809423353902107</v>
      </c>
      <c r="D33" s="51"/>
      <c r="E33" s="300">
        <v>249.19399999999996</v>
      </c>
      <c r="F33" s="298">
        <v>0.35565457288311209</v>
      </c>
      <c r="G33" s="51"/>
      <c r="H33" s="300">
        <f>H10-H13</f>
        <v>415.42178000000001</v>
      </c>
      <c r="I33" s="298">
        <f>H33/H10</f>
        <v>0.35754589713924911</v>
      </c>
      <c r="J33" s="516"/>
      <c r="K33" s="299">
        <v>490.76532453427876</v>
      </c>
      <c r="L33" s="298">
        <v>0.35754589713924911</v>
      </c>
      <c r="M33" s="516"/>
      <c r="N33" s="300">
        <f>N10-N13</f>
        <v>463.89987999999971</v>
      </c>
      <c r="O33" s="595">
        <f>N33/N10</f>
        <v>0.33312863761719547</v>
      </c>
      <c r="P33" s="516"/>
      <c r="Q33" s="299">
        <f>Q10*R33</f>
        <v>599.93512953421384</v>
      </c>
      <c r="R33" s="391">
        <f>(O33+O34)-R34</f>
        <v>0.34282007401955078</v>
      </c>
      <c r="S33" s="299">
        <f>S10*T33</f>
        <v>857.05018504887698</v>
      </c>
      <c r="T33" s="391">
        <f>(R33+R34)-T34</f>
        <v>0.34282007401955078</v>
      </c>
      <c r="U33" s="299">
        <f>U10*V33</f>
        <v>1199.8702590684277</v>
      </c>
      <c r="V33" s="298">
        <f>(T33+T34)-V34</f>
        <v>0.34282007401955078</v>
      </c>
    </row>
    <row r="34" spans="1:27" x14ac:dyDescent="0.3">
      <c r="A34" s="295" t="s">
        <v>83</v>
      </c>
      <c r="B34" s="266"/>
      <c r="C34" s="265"/>
      <c r="D34" s="51"/>
      <c r="E34" s="266"/>
      <c r="F34" s="355"/>
      <c r="G34" s="51"/>
      <c r="H34" s="266"/>
      <c r="I34" s="355"/>
      <c r="J34" s="367"/>
      <c r="K34" s="266"/>
      <c r="L34" s="265"/>
      <c r="M34" s="367"/>
      <c r="N34" s="582">
        <f>4.5*2</f>
        <v>9</v>
      </c>
      <c r="O34" s="355">
        <f>N34/N13</f>
        <v>9.6914364023553135E-3</v>
      </c>
      <c r="P34" s="367"/>
      <c r="Q34" s="296"/>
      <c r="R34" s="392"/>
      <c r="S34" s="296"/>
      <c r="T34" s="392"/>
      <c r="U34" s="296"/>
      <c r="V34" s="355"/>
    </row>
    <row r="35" spans="1:27" x14ac:dyDescent="0.3">
      <c r="A35" s="97" t="s">
        <v>34</v>
      </c>
      <c r="B35" s="420">
        <f>78.31+21.465+46.17</f>
        <v>145.94499999999999</v>
      </c>
      <c r="C35" s="305">
        <f>+B35/B11</f>
        <v>0.87157360406091378</v>
      </c>
      <c r="D35" s="51"/>
      <c r="E35" s="112">
        <v>160.43799999999999</v>
      </c>
      <c r="F35" s="191">
        <v>0.81268583759250712</v>
      </c>
      <c r="G35" s="51"/>
      <c r="H35" s="112">
        <f>316.31746-75.22716</f>
        <v>241.09029999999998</v>
      </c>
      <c r="I35" s="191">
        <f>H35/H11</f>
        <v>0.83311983274731538</v>
      </c>
      <c r="J35" s="515"/>
      <c r="K35" s="420">
        <v>267.82279999999997</v>
      </c>
      <c r="L35" s="305">
        <v>0.83477453188190098</v>
      </c>
      <c r="M35" s="515"/>
      <c r="N35" s="393">
        <f>358.50686-89.87656</f>
        <v>268.63030000000003</v>
      </c>
      <c r="O35" s="191">
        <f>N35/N11</f>
        <v>0.83729142153615999</v>
      </c>
      <c r="P35" s="515"/>
      <c r="Q35" s="394">
        <f>O35*Q11</f>
        <v>627.96856615211993</v>
      </c>
      <c r="R35" s="395">
        <f>Q35/Q11</f>
        <v>0.83729142153615987</v>
      </c>
      <c r="S35" s="394">
        <f>O35*S11</f>
        <v>837.29142153615999</v>
      </c>
      <c r="T35" s="395">
        <f>S35/S11</f>
        <v>0.83729142153615999</v>
      </c>
      <c r="U35" s="62">
        <f>O35*U11</f>
        <v>1255.9371323042399</v>
      </c>
      <c r="V35" s="191">
        <f>U35/U11</f>
        <v>0.83729142153615987</v>
      </c>
      <c r="Y35" s="591">
        <f>9997.5-1290</f>
        <v>8707.5</v>
      </c>
      <c r="Z35" s="591">
        <f>8602.5-1110</f>
        <v>7492.5</v>
      </c>
      <c r="AA35" s="591">
        <f>8370-1080</f>
        <v>7290</v>
      </c>
    </row>
    <row r="36" spans="1:27" ht="6" customHeight="1" x14ac:dyDescent="0.3">
      <c r="A36" s="97"/>
      <c r="B36" s="112"/>
      <c r="C36" s="120"/>
      <c r="D36" s="51"/>
      <c r="E36" s="112"/>
      <c r="F36" s="120"/>
      <c r="G36" s="51"/>
      <c r="H36" s="112"/>
      <c r="I36" s="120"/>
      <c r="J36" s="75"/>
      <c r="K36" s="112"/>
      <c r="L36" s="120"/>
      <c r="M36" s="75"/>
      <c r="N36" s="112"/>
      <c r="O36" s="120"/>
      <c r="P36" s="75"/>
      <c r="Q36" s="112"/>
      <c r="R36" s="389"/>
      <c r="S36" s="112"/>
      <c r="T36" s="389"/>
      <c r="U36" s="112"/>
      <c r="V36" s="120"/>
      <c r="Y36" s="591"/>
      <c r="Z36" s="591"/>
      <c r="AA36" s="591"/>
    </row>
    <row r="37" spans="1:27" x14ac:dyDescent="0.3">
      <c r="A37" s="390" t="s">
        <v>78</v>
      </c>
      <c r="B37" s="299">
        <f>B11-B35</f>
        <v>21.504999999999995</v>
      </c>
      <c r="C37" s="265">
        <f>+B37/B11</f>
        <v>0.12842639593908628</v>
      </c>
      <c r="D37" s="51"/>
      <c r="E37" s="300">
        <v>36.979000000000013</v>
      </c>
      <c r="F37" s="265">
        <v>0.18731416240749282</v>
      </c>
      <c r="G37" s="51"/>
      <c r="H37" s="300">
        <f>H11-H35</f>
        <v>48.292200000000008</v>
      </c>
      <c r="I37" s="265">
        <f>H37/H11</f>
        <v>0.16688016725268462</v>
      </c>
      <c r="J37" s="289"/>
      <c r="K37" s="299">
        <v>53.009700000000009</v>
      </c>
      <c r="L37" s="265">
        <v>0.16522546811809904</v>
      </c>
      <c r="M37" s="289"/>
      <c r="N37" s="300">
        <f>N11-N35</f>
        <v>52.202199999999948</v>
      </c>
      <c r="O37" s="265">
        <f>N37/N11</f>
        <v>0.16270857846384001</v>
      </c>
      <c r="P37" s="289"/>
      <c r="Q37" s="299">
        <f>Q11-Q35</f>
        <v>122.03143384788007</v>
      </c>
      <c r="R37" s="396">
        <f>Q37/Q11</f>
        <v>0.1627085784638401</v>
      </c>
      <c r="S37" s="299">
        <f>S11-S35</f>
        <v>162.70857846384001</v>
      </c>
      <c r="T37" s="396">
        <f>S37/S11</f>
        <v>0.16270857846384001</v>
      </c>
      <c r="U37" s="299">
        <f>U11-U35</f>
        <v>244.06286769576013</v>
      </c>
      <c r="V37" s="265">
        <f>U37/U11</f>
        <v>0.1627085784638401</v>
      </c>
      <c r="Y37" s="591">
        <v>5504.7</v>
      </c>
      <c r="Z37" s="591">
        <v>5345.3</v>
      </c>
      <c r="AA37" s="591">
        <v>6885</v>
      </c>
    </row>
    <row r="38" spans="1:27" x14ac:dyDescent="0.3">
      <c r="A38" s="94"/>
      <c r="B38" s="293"/>
      <c r="C38" s="294"/>
      <c r="D38" s="51"/>
      <c r="E38" s="109"/>
      <c r="F38" s="120"/>
      <c r="G38" s="51"/>
      <c r="H38" s="109"/>
      <c r="I38" s="120"/>
      <c r="J38" s="75"/>
      <c r="K38" s="293"/>
      <c r="L38" s="294"/>
      <c r="M38" s="75"/>
      <c r="N38" s="109"/>
      <c r="O38" s="294"/>
      <c r="P38" s="75"/>
      <c r="Q38" s="109"/>
      <c r="R38" s="286"/>
      <c r="S38" s="109"/>
      <c r="T38" s="286"/>
      <c r="U38" s="109"/>
      <c r="V38" s="294"/>
      <c r="Y38" s="591">
        <f>Y35-Y37</f>
        <v>3202.8</v>
      </c>
      <c r="Z38" s="591">
        <f>Z35-Z37</f>
        <v>2147.1999999999998</v>
      </c>
      <c r="AA38" s="591">
        <f>AA35-AA37</f>
        <v>405</v>
      </c>
    </row>
    <row r="39" spans="1:27" x14ac:dyDescent="0.3">
      <c r="A39" s="264" t="s">
        <v>77</v>
      </c>
      <c r="B39" s="303">
        <f>B8-B13-B35</f>
        <v>340.36099999999993</v>
      </c>
      <c r="C39" s="192">
        <f>B39/B8</f>
        <v>0.25085698407936946</v>
      </c>
      <c r="D39" s="126"/>
      <c r="E39" s="418">
        <v>286.173</v>
      </c>
      <c r="F39" s="192">
        <v>0.31864978621058254</v>
      </c>
      <c r="G39" s="485"/>
      <c r="H39" s="505">
        <f>H8-H13-H35</f>
        <v>463.71397999999999</v>
      </c>
      <c r="I39" s="192">
        <f>H39/H8</f>
        <v>0.31952678386797384</v>
      </c>
      <c r="J39" s="289"/>
      <c r="K39" s="303">
        <v>543.77502453427883</v>
      </c>
      <c r="L39" s="192">
        <v>0.32110933082895848</v>
      </c>
      <c r="M39" s="289"/>
      <c r="N39" s="584">
        <f>N8-N13-N35</f>
        <v>516.10207999999966</v>
      </c>
      <c r="O39" s="192">
        <f>N39/N8</f>
        <v>0.30121740893735688</v>
      </c>
      <c r="P39" s="289"/>
      <c r="Q39" s="187">
        <f>Q8-Q13-Q35</f>
        <v>721.96656338209402</v>
      </c>
      <c r="R39" s="287">
        <f>Q39/Q8</f>
        <v>0.28878662535283761</v>
      </c>
      <c r="S39" s="187">
        <f>S8-S13-S35</f>
        <v>1019.758763512717</v>
      </c>
      <c r="T39" s="287">
        <f>S39/S8</f>
        <v>0.29135964671791914</v>
      </c>
      <c r="U39" s="187">
        <f>U8-U13-U35</f>
        <v>1443.933126764188</v>
      </c>
      <c r="V39" s="192">
        <f>U39/U8</f>
        <v>0.28878662535283761</v>
      </c>
      <c r="Y39" s="591"/>
      <c r="Z39" s="591"/>
      <c r="AA39" s="591"/>
    </row>
    <row r="40" spans="1:27" x14ac:dyDescent="0.3">
      <c r="A40" s="91"/>
      <c r="B40" s="198"/>
      <c r="C40" s="302"/>
      <c r="D40" s="51"/>
      <c r="E40" s="109"/>
      <c r="F40" s="120"/>
      <c r="G40" s="51"/>
      <c r="H40" s="109"/>
      <c r="I40" s="120"/>
      <c r="J40" s="75"/>
      <c r="K40" s="198"/>
      <c r="L40" s="302"/>
      <c r="M40" s="75"/>
      <c r="N40" s="109"/>
      <c r="O40" s="120"/>
      <c r="P40" s="75"/>
      <c r="Q40" s="109"/>
      <c r="R40" s="389"/>
      <c r="S40" s="109"/>
      <c r="T40" s="389"/>
      <c r="U40" s="109"/>
      <c r="V40" s="120"/>
      <c r="Y40" s="591">
        <f>SUM(Y38:AA38)/1000</f>
        <v>5.7549999999999999</v>
      </c>
      <c r="Z40" s="592">
        <f>Y40/N11</f>
        <v>1.7937708929114102E-2</v>
      </c>
      <c r="AA40" s="591"/>
    </row>
    <row r="41" spans="1:27" collapsed="1" x14ac:dyDescent="0.3">
      <c r="A41" s="90" t="s">
        <v>15</v>
      </c>
      <c r="B41" s="271">
        <f>SUM(B43:B59)</f>
        <v>26.841999999999995</v>
      </c>
      <c r="C41" s="190">
        <f>B41/B8</f>
        <v>1.9783415745806471E-2</v>
      </c>
      <c r="D41" s="397"/>
      <c r="E41" s="110">
        <v>30.028999999999996</v>
      </c>
      <c r="F41" s="190">
        <v>3.3436887582397996E-2</v>
      </c>
      <c r="G41" s="397"/>
      <c r="H41" s="110">
        <f>SUM(H43:H59)</f>
        <v>40.166120000000006</v>
      </c>
      <c r="I41" s="190">
        <f>H41/H8</f>
        <v>2.7676869142601878E-2</v>
      </c>
      <c r="J41" s="289"/>
      <c r="K41" s="271">
        <v>48.997444000000002</v>
      </c>
      <c r="L41" s="190">
        <v>2.893390785765584E-2</v>
      </c>
      <c r="M41" s="289"/>
      <c r="N41" s="110">
        <f>SUM(N43:N59)</f>
        <v>44.439479999999989</v>
      </c>
      <c r="O41" s="190">
        <f>N41/N8</f>
        <v>2.5936622886936433E-2</v>
      </c>
      <c r="P41" s="289"/>
      <c r="Q41" s="271" t="e">
        <f>SUM(Q43:Q59)</f>
        <v>#REF!</v>
      </c>
      <c r="R41" s="398" t="e">
        <f>Q41/Q8</f>
        <v>#REF!</v>
      </c>
      <c r="S41" s="271" t="e">
        <f>SUM(S43:S59)</f>
        <v>#REF!</v>
      </c>
      <c r="T41" s="398" t="e">
        <f>S41/S8</f>
        <v>#REF!</v>
      </c>
      <c r="U41" s="271" t="e">
        <f>SUM(U43:U59)</f>
        <v>#REF!</v>
      </c>
      <c r="V41" s="190" t="e">
        <f>U41/U8</f>
        <v>#REF!</v>
      </c>
      <c r="W41" s="45"/>
      <c r="Y41" s="591"/>
      <c r="Z41" s="591"/>
      <c r="AA41" s="591"/>
    </row>
    <row r="42" spans="1:27" ht="4.5" hidden="1" customHeight="1" outlineLevel="1" x14ac:dyDescent="0.3">
      <c r="A42" s="96"/>
      <c r="B42" s="109"/>
      <c r="C42" s="121"/>
      <c r="D42" s="399"/>
      <c r="E42" s="109"/>
      <c r="F42" s="121"/>
      <c r="G42" s="399"/>
      <c r="H42" s="109"/>
      <c r="I42" s="121"/>
      <c r="J42" s="562"/>
      <c r="K42" s="109"/>
      <c r="L42" s="121"/>
      <c r="M42" s="562"/>
      <c r="N42" s="109"/>
      <c r="O42" s="121"/>
      <c r="P42" s="517"/>
      <c r="Q42" s="109"/>
      <c r="R42" s="400"/>
      <c r="S42" s="109"/>
      <c r="T42" s="400"/>
      <c r="U42" s="109"/>
      <c r="V42" s="121"/>
    </row>
    <row r="43" spans="1:27" ht="16.2" hidden="1" customHeight="1" outlineLevel="1" x14ac:dyDescent="0.3">
      <c r="A43" s="97" t="s">
        <v>30</v>
      </c>
      <c r="B43" s="376">
        <v>0</v>
      </c>
      <c r="C43" s="191">
        <f>+B43/$B$8</f>
        <v>0</v>
      </c>
      <c r="D43" s="399"/>
      <c r="E43" s="112">
        <v>0.245</v>
      </c>
      <c r="F43" s="191">
        <v>3.4966881368075664E-4</v>
      </c>
      <c r="G43" s="399"/>
      <c r="H43" s="112">
        <f>0.2445+0.141</f>
        <v>0.38549999999999995</v>
      </c>
      <c r="I43" s="191">
        <f>H43/$H$10</f>
        <v>3.3179277058410496E-4</v>
      </c>
      <c r="J43" s="515"/>
      <c r="K43" s="376">
        <v>0.46259999999999996</v>
      </c>
      <c r="L43" s="191">
        <v>2.7317395933860528E-4</v>
      </c>
      <c r="M43" s="515"/>
      <c r="N43" s="112">
        <v>0.46705000000000002</v>
      </c>
      <c r="O43" s="191">
        <f>N43/$N$10</f>
        <v>3.353907532787274E-4</v>
      </c>
      <c r="P43" s="515"/>
      <c r="Q43" s="62" t="e">
        <f>#REF!*1.01</f>
        <v>#REF!</v>
      </c>
      <c r="R43" s="395" t="e">
        <f>Q43/$Q$8</f>
        <v>#REF!</v>
      </c>
      <c r="S43" s="62" t="e">
        <f>Q43*1.01</f>
        <v>#REF!</v>
      </c>
      <c r="T43" s="195" t="e">
        <f>S43/S10</f>
        <v>#REF!</v>
      </c>
      <c r="U43" s="62" t="e">
        <f>S43*1.01</f>
        <v>#REF!</v>
      </c>
      <c r="V43" s="191" t="e">
        <f>U43/U10</f>
        <v>#REF!</v>
      </c>
    </row>
    <row r="44" spans="1:27" ht="16.2" hidden="1" customHeight="1" outlineLevel="1" x14ac:dyDescent="0.3">
      <c r="A44" s="97" t="s">
        <v>159</v>
      </c>
      <c r="B44" s="376">
        <v>0</v>
      </c>
      <c r="C44" s="191">
        <f>+B44/$B$8</f>
        <v>0</v>
      </c>
      <c r="D44" s="399"/>
      <c r="E44" s="112">
        <v>0</v>
      </c>
      <c r="F44" s="191">
        <v>0</v>
      </c>
      <c r="G44" s="399"/>
      <c r="H44" s="112">
        <v>0</v>
      </c>
      <c r="I44" s="191">
        <f t="shared" ref="I44:I59" si="0">H44/$H$10</f>
        <v>0</v>
      </c>
      <c r="J44" s="515"/>
      <c r="K44" s="376">
        <v>0</v>
      </c>
      <c r="L44" s="191">
        <v>0</v>
      </c>
      <c r="M44" s="515"/>
      <c r="N44" s="112">
        <v>0</v>
      </c>
      <c r="O44" s="191">
        <f t="shared" ref="O44:O59" si="1">N44/$N$10</f>
        <v>0</v>
      </c>
      <c r="P44" s="515"/>
      <c r="Q44" s="62" t="e">
        <f>#REF!</f>
        <v>#REF!</v>
      </c>
      <c r="R44" s="395" t="e">
        <f>Q44/$Q$8</f>
        <v>#REF!</v>
      </c>
      <c r="S44" s="62" t="e">
        <f>Q44*1.01</f>
        <v>#REF!</v>
      </c>
      <c r="T44" s="195" t="e">
        <f>S44/S10</f>
        <v>#REF!</v>
      </c>
      <c r="U44" s="62" t="e">
        <f>S44*1.01</f>
        <v>#REF!</v>
      </c>
      <c r="V44" s="191" t="e">
        <f>U44/U10</f>
        <v>#REF!</v>
      </c>
    </row>
    <row r="45" spans="1:27" ht="16.2" hidden="1" customHeight="1" outlineLevel="1" x14ac:dyDescent="0.3">
      <c r="A45" s="97" t="s">
        <v>35</v>
      </c>
      <c r="B45" s="376">
        <v>0.12</v>
      </c>
      <c r="C45" s="191">
        <f>+B45/$B$8</f>
        <v>8.8443852525772179E-5</v>
      </c>
      <c r="D45" s="401"/>
      <c r="E45" s="112">
        <v>0</v>
      </c>
      <c r="F45" s="191">
        <v>0</v>
      </c>
      <c r="G45" s="401"/>
      <c r="H45" s="112">
        <v>0</v>
      </c>
      <c r="I45" s="191">
        <f t="shared" si="0"/>
        <v>0</v>
      </c>
      <c r="J45" s="515"/>
      <c r="K45" s="376">
        <v>0</v>
      </c>
      <c r="L45" s="191">
        <v>0</v>
      </c>
      <c r="M45" s="515"/>
      <c r="N45" s="112">
        <v>0</v>
      </c>
      <c r="O45" s="191">
        <f t="shared" si="1"/>
        <v>0</v>
      </c>
      <c r="P45" s="515"/>
      <c r="Q45" s="62">
        <v>0</v>
      </c>
      <c r="R45" s="395">
        <f>Q45/$Q$8</f>
        <v>0</v>
      </c>
      <c r="S45" s="62">
        <v>0</v>
      </c>
      <c r="T45" s="395">
        <f>S45/$S$8</f>
        <v>0</v>
      </c>
      <c r="U45" s="62">
        <v>0</v>
      </c>
      <c r="V45" s="191">
        <f>U45/$U$8</f>
        <v>0</v>
      </c>
    </row>
    <row r="46" spans="1:27" ht="16.2" hidden="1" customHeight="1" outlineLevel="1" x14ac:dyDescent="0.3">
      <c r="A46" s="93" t="s">
        <v>160</v>
      </c>
      <c r="B46" s="376">
        <v>0</v>
      </c>
      <c r="C46" s="191">
        <f t="shared" ref="C46:C59" si="2">+B46/$B$8</f>
        <v>0</v>
      </c>
      <c r="D46" s="401"/>
      <c r="E46" s="112">
        <v>5.5859999999999994</v>
      </c>
      <c r="F46" s="191">
        <v>7.9724489519212502E-3</v>
      </c>
      <c r="G46" s="401"/>
      <c r="H46" s="112">
        <f>11.5425+0.427</f>
        <v>11.9695</v>
      </c>
      <c r="I46" s="191">
        <f t="shared" si="0"/>
        <v>1.0301928839186627E-2</v>
      </c>
      <c r="J46" s="515"/>
      <c r="K46" s="376">
        <v>15.1615</v>
      </c>
      <c r="L46" s="191">
        <v>8.9531495557982378E-3</v>
      </c>
      <c r="M46" s="515"/>
      <c r="N46" s="112">
        <f>14.6205+0.541</f>
        <v>15.1615</v>
      </c>
      <c r="O46" s="191">
        <f>N46/$N$10</f>
        <v>1.0887542887989349E-2</v>
      </c>
      <c r="P46" s="515"/>
      <c r="Q46" s="62">
        <f>'AVANISTA GROUP - BP 2022'!R16</f>
        <v>19.152000000000001</v>
      </c>
      <c r="R46" s="395">
        <f t="shared" ref="R46:R59" si="3">Q46/$Q$8</f>
        <v>7.6608000000000006E-3</v>
      </c>
      <c r="S46" s="62">
        <f>'AVANISTA GROUP - BP 2022'!T16</f>
        <v>19.152000000000001</v>
      </c>
      <c r="T46" s="195">
        <f t="shared" ref="T46:T59" si="4">S46/$S$8</f>
        <v>5.4720000000000003E-3</v>
      </c>
      <c r="U46" s="62">
        <f>'AVANISTA GROUP - BP 2022'!V16</f>
        <v>19.152000000000001</v>
      </c>
      <c r="V46" s="191">
        <f t="shared" ref="V46:V59" si="5">U46/$U$8</f>
        <v>3.8304000000000003E-3</v>
      </c>
    </row>
    <row r="47" spans="1:27" ht="16.2" hidden="1" customHeight="1" outlineLevel="1" x14ac:dyDescent="0.3">
      <c r="A47" s="97" t="s">
        <v>54</v>
      </c>
      <c r="B47" s="376">
        <v>0</v>
      </c>
      <c r="C47" s="191">
        <f t="shared" si="2"/>
        <v>0</v>
      </c>
      <c r="D47" s="401"/>
      <c r="E47" s="112">
        <v>0</v>
      </c>
      <c r="F47" s="191">
        <v>0</v>
      </c>
      <c r="G47" s="401"/>
      <c r="H47" s="112">
        <v>0</v>
      </c>
      <c r="I47" s="191">
        <f t="shared" si="0"/>
        <v>0</v>
      </c>
      <c r="J47" s="515"/>
      <c r="K47" s="376">
        <v>0</v>
      </c>
      <c r="L47" s="191">
        <v>0</v>
      </c>
      <c r="M47" s="515"/>
      <c r="N47" s="112">
        <v>0</v>
      </c>
      <c r="O47" s="191">
        <f t="shared" si="1"/>
        <v>0</v>
      </c>
      <c r="P47" s="515"/>
      <c r="Q47" s="62">
        <v>0</v>
      </c>
      <c r="R47" s="395">
        <f t="shared" si="3"/>
        <v>0</v>
      </c>
      <c r="S47" s="62">
        <v>0</v>
      </c>
      <c r="T47" s="195">
        <f t="shared" si="4"/>
        <v>0</v>
      </c>
      <c r="U47" s="62">
        <v>0</v>
      </c>
      <c r="V47" s="191">
        <f t="shared" si="5"/>
        <v>0</v>
      </c>
      <c r="X47" s="2"/>
    </row>
    <row r="48" spans="1:27" ht="16.2" hidden="1" customHeight="1" outlineLevel="1" x14ac:dyDescent="0.3">
      <c r="A48" s="97" t="s">
        <v>36</v>
      </c>
      <c r="B48" s="402">
        <v>0</v>
      </c>
      <c r="C48" s="191">
        <f t="shared" si="2"/>
        <v>0</v>
      </c>
      <c r="D48" s="403"/>
      <c r="E48" s="421">
        <v>0</v>
      </c>
      <c r="F48" s="191">
        <v>0</v>
      </c>
      <c r="G48" s="403"/>
      <c r="H48" s="421">
        <v>0</v>
      </c>
      <c r="I48" s="191">
        <f t="shared" si="0"/>
        <v>0</v>
      </c>
      <c r="J48" s="515"/>
      <c r="K48" s="402">
        <v>0</v>
      </c>
      <c r="L48" s="191">
        <v>0</v>
      </c>
      <c r="M48" s="515"/>
      <c r="N48" s="112">
        <v>0</v>
      </c>
      <c r="O48" s="191">
        <f t="shared" si="1"/>
        <v>0</v>
      </c>
      <c r="P48" s="515"/>
      <c r="Q48" s="422" t="e">
        <f>#REF!*1.01</f>
        <v>#REF!</v>
      </c>
      <c r="R48" s="395" t="e">
        <f t="shared" si="3"/>
        <v>#REF!</v>
      </c>
      <c r="S48" s="422" t="e">
        <f>Q48*1.01</f>
        <v>#REF!</v>
      </c>
      <c r="T48" s="195" t="e">
        <f t="shared" si="4"/>
        <v>#REF!</v>
      </c>
      <c r="U48" s="422" t="e">
        <f>S48*1.01</f>
        <v>#REF!</v>
      </c>
      <c r="V48" s="191" t="e">
        <f t="shared" si="5"/>
        <v>#REF!</v>
      </c>
    </row>
    <row r="49" spans="1:22" ht="16.2" hidden="1" customHeight="1" outlineLevel="1" x14ac:dyDescent="0.3">
      <c r="A49" s="97" t="s">
        <v>16</v>
      </c>
      <c r="B49" s="376">
        <v>0</v>
      </c>
      <c r="C49" s="191">
        <f t="shared" si="2"/>
        <v>0</v>
      </c>
      <c r="D49" s="401"/>
      <c r="E49" s="112">
        <v>0</v>
      </c>
      <c r="F49" s="191">
        <v>0</v>
      </c>
      <c r="G49" s="401"/>
      <c r="H49" s="112">
        <v>0.495</v>
      </c>
      <c r="I49" s="191">
        <f t="shared" si="0"/>
        <v>4.2603740969943441E-4</v>
      </c>
      <c r="J49" s="515"/>
      <c r="K49" s="376">
        <v>0.59399999999999997</v>
      </c>
      <c r="L49" s="191">
        <v>3.5076811899509633E-4</v>
      </c>
      <c r="M49" s="515"/>
      <c r="N49" s="112">
        <v>0.61312</v>
      </c>
      <c r="O49" s="191">
        <f t="shared" si="1"/>
        <v>4.4028429215341684E-4</v>
      </c>
      <c r="P49" s="515"/>
      <c r="Q49" s="62" t="e">
        <f>#REF!*1.01</f>
        <v>#REF!</v>
      </c>
      <c r="R49" s="395" t="e">
        <f t="shared" si="3"/>
        <v>#REF!</v>
      </c>
      <c r="S49" s="62" t="e">
        <f>Q49*1.01</f>
        <v>#REF!</v>
      </c>
      <c r="T49" s="195" t="e">
        <f t="shared" si="4"/>
        <v>#REF!</v>
      </c>
      <c r="U49" s="62" t="e">
        <f>S49*1.01</f>
        <v>#REF!</v>
      </c>
      <c r="V49" s="191" t="e">
        <f t="shared" si="5"/>
        <v>#REF!</v>
      </c>
    </row>
    <row r="50" spans="1:22" ht="16.2" hidden="1" customHeight="1" outlineLevel="1" x14ac:dyDescent="0.3">
      <c r="A50" s="251" t="s">
        <v>161</v>
      </c>
      <c r="B50" s="376">
        <v>0</v>
      </c>
      <c r="C50" s="191">
        <f t="shared" si="2"/>
        <v>0</v>
      </c>
      <c r="D50" s="401"/>
      <c r="E50" s="112">
        <v>12.510999999999999</v>
      </c>
      <c r="F50" s="191">
        <v>1.7855945012081414E-2</v>
      </c>
      <c r="G50" s="401"/>
      <c r="H50" s="112">
        <f>2.535+2.47</f>
        <v>5.0050000000000008</v>
      </c>
      <c r="I50" s="191">
        <f t="shared" si="0"/>
        <v>4.3077115869609483E-3</v>
      </c>
      <c r="J50" s="515"/>
      <c r="K50" s="376">
        <v>6.0060000000000011</v>
      </c>
      <c r="L50" s="191">
        <v>3.5466554253948636E-3</v>
      </c>
      <c r="M50" s="515"/>
      <c r="N50" s="112">
        <v>2.5350000000000001</v>
      </c>
      <c r="O50" s="191">
        <f t="shared" si="1"/>
        <v>1.82039516017894E-3</v>
      </c>
      <c r="P50" s="515"/>
      <c r="Q50" s="62">
        <f>VARIABLE!E38</f>
        <v>15</v>
      </c>
      <c r="R50" s="395">
        <f t="shared" si="3"/>
        <v>6.0000000000000001E-3</v>
      </c>
      <c r="S50" s="62">
        <f>VARIABLE!F38</f>
        <v>15</v>
      </c>
      <c r="T50" s="195">
        <f t="shared" si="4"/>
        <v>4.2857142857142859E-3</v>
      </c>
      <c r="U50" s="62">
        <f>VARIABLE!G38</f>
        <v>15</v>
      </c>
      <c r="V50" s="191">
        <f t="shared" si="5"/>
        <v>3.0000000000000001E-3</v>
      </c>
    </row>
    <row r="51" spans="1:22" ht="16.2" hidden="1" customHeight="1" outlineLevel="1" x14ac:dyDescent="0.3">
      <c r="A51" s="97" t="s">
        <v>173</v>
      </c>
      <c r="B51" s="376">
        <v>0</v>
      </c>
      <c r="C51" s="191">
        <f t="shared" si="2"/>
        <v>0</v>
      </c>
      <c r="D51" s="401"/>
      <c r="E51" s="112">
        <v>0</v>
      </c>
      <c r="F51" s="191">
        <v>0</v>
      </c>
      <c r="G51" s="401"/>
      <c r="H51" s="112">
        <v>0</v>
      </c>
      <c r="I51" s="191">
        <f t="shared" si="0"/>
        <v>0</v>
      </c>
      <c r="J51" s="515"/>
      <c r="K51" s="376">
        <v>0</v>
      </c>
      <c r="L51" s="191">
        <v>0</v>
      </c>
      <c r="M51" s="515"/>
      <c r="N51" s="112">
        <v>0</v>
      </c>
      <c r="O51" s="191">
        <f t="shared" si="1"/>
        <v>0</v>
      </c>
      <c r="P51" s="515"/>
      <c r="Q51" s="62" t="e">
        <f>#REF!</f>
        <v>#REF!</v>
      </c>
      <c r="R51" s="395" t="e">
        <f t="shared" si="3"/>
        <v>#REF!</v>
      </c>
      <c r="S51" s="62" t="e">
        <f>Q51</f>
        <v>#REF!</v>
      </c>
      <c r="T51" s="195" t="e">
        <f t="shared" si="4"/>
        <v>#REF!</v>
      </c>
      <c r="U51" s="62" t="e">
        <f>S51</f>
        <v>#REF!</v>
      </c>
      <c r="V51" s="191" t="e">
        <f t="shared" si="5"/>
        <v>#REF!</v>
      </c>
    </row>
    <row r="52" spans="1:22" ht="16.2" hidden="1" customHeight="1" outlineLevel="1" x14ac:dyDescent="0.3">
      <c r="A52" s="97" t="s">
        <v>37</v>
      </c>
      <c r="B52" s="376">
        <v>12.715999999999999</v>
      </c>
      <c r="C52" s="191">
        <f t="shared" si="2"/>
        <v>9.3721002393143248E-3</v>
      </c>
      <c r="D52" s="401"/>
      <c r="E52" s="112">
        <v>5.8739999999999997</v>
      </c>
      <c r="F52" s="191">
        <v>8.3834882104520999E-3</v>
      </c>
      <c r="G52" s="401"/>
      <c r="H52" s="112">
        <f>10.283+2.4</f>
        <v>12.683</v>
      </c>
      <c r="I52" s="191">
        <f t="shared" si="0"/>
        <v>1.0916025186298842E-2</v>
      </c>
      <c r="J52" s="515"/>
      <c r="K52" s="376">
        <v>15.2196</v>
      </c>
      <c r="L52" s="191">
        <v>8.9874586933632455E-3</v>
      </c>
      <c r="M52" s="515"/>
      <c r="N52" s="112">
        <v>14.904999999999999</v>
      </c>
      <c r="O52" s="191">
        <f t="shared" si="1"/>
        <v>1.0703349058172426E-2</v>
      </c>
      <c r="P52" s="515"/>
      <c r="Q52" s="62" t="e">
        <f>#REF!*1.01</f>
        <v>#REF!</v>
      </c>
      <c r="R52" s="395" t="e">
        <f t="shared" si="3"/>
        <v>#REF!</v>
      </c>
      <c r="S52" s="62" t="e">
        <f>Q52*1.01</f>
        <v>#REF!</v>
      </c>
      <c r="T52" s="195" t="e">
        <f t="shared" si="4"/>
        <v>#REF!</v>
      </c>
      <c r="U52" s="62" t="e">
        <f>S52*1.01</f>
        <v>#REF!</v>
      </c>
      <c r="V52" s="191" t="e">
        <f t="shared" si="5"/>
        <v>#REF!</v>
      </c>
    </row>
    <row r="53" spans="1:22" ht="16.2" hidden="1" customHeight="1" outlineLevel="1" x14ac:dyDescent="0.3">
      <c r="A53" s="251" t="s">
        <v>175</v>
      </c>
      <c r="B53" s="376">
        <v>7.8970000000000002</v>
      </c>
      <c r="C53" s="191">
        <f t="shared" si="2"/>
        <v>5.820342528300191E-3</v>
      </c>
      <c r="D53" s="401"/>
      <c r="E53" s="112">
        <v>1.9</v>
      </c>
      <c r="F53" s="191">
        <v>2.7117173305854594E-3</v>
      </c>
      <c r="G53" s="401"/>
      <c r="H53" s="112">
        <v>1.9</v>
      </c>
      <c r="I53" s="191">
        <f t="shared" si="0"/>
        <v>1.6352951079372229E-3</v>
      </c>
      <c r="J53" s="515"/>
      <c r="K53" s="376">
        <v>2.2799999999999998</v>
      </c>
      <c r="L53" s="191">
        <v>1.3463826789710768E-3</v>
      </c>
      <c r="M53" s="515"/>
      <c r="N53" s="112">
        <v>1.9</v>
      </c>
      <c r="O53" s="191">
        <f t="shared" si="1"/>
        <v>1.3643987393846097E-3</v>
      </c>
      <c r="P53" s="515"/>
      <c r="Q53" s="62">
        <f>VARIABLE!E39</f>
        <v>0</v>
      </c>
      <c r="R53" s="395">
        <f t="shared" si="3"/>
        <v>0</v>
      </c>
      <c r="S53" s="62">
        <f>VARIABLE!F39</f>
        <v>0</v>
      </c>
      <c r="T53" s="195">
        <f t="shared" si="4"/>
        <v>0</v>
      </c>
      <c r="U53" s="62">
        <f>VARIABLE!G39</f>
        <v>0</v>
      </c>
      <c r="V53" s="191">
        <f t="shared" si="5"/>
        <v>0</v>
      </c>
    </row>
    <row r="54" spans="1:22" ht="16.2" hidden="1" customHeight="1" outlineLevel="1" x14ac:dyDescent="0.3">
      <c r="A54" s="251" t="s">
        <v>14</v>
      </c>
      <c r="B54" s="376">
        <v>0</v>
      </c>
      <c r="C54" s="191">
        <f t="shared" si="2"/>
        <v>0</v>
      </c>
      <c r="D54" s="401"/>
      <c r="E54" s="112">
        <v>0</v>
      </c>
      <c r="F54" s="191">
        <v>0</v>
      </c>
      <c r="G54" s="401"/>
      <c r="H54" s="112">
        <v>0</v>
      </c>
      <c r="I54" s="191">
        <f t="shared" si="0"/>
        <v>0</v>
      </c>
      <c r="J54" s="515"/>
      <c r="K54" s="376">
        <v>0</v>
      </c>
      <c r="L54" s="191">
        <v>0</v>
      </c>
      <c r="M54" s="515"/>
      <c r="N54" s="112">
        <v>7.4359999999999996E-2</v>
      </c>
      <c r="O54" s="191">
        <f t="shared" si="1"/>
        <v>5.339825803191557E-5</v>
      </c>
      <c r="P54" s="515"/>
      <c r="Q54" s="62">
        <f>VARIABLE!E37</f>
        <v>0</v>
      </c>
      <c r="R54" s="395">
        <f t="shared" si="3"/>
        <v>0</v>
      </c>
      <c r="S54" s="62">
        <f>VARIABLE!F37</f>
        <v>0</v>
      </c>
      <c r="T54" s="195">
        <f t="shared" si="4"/>
        <v>0</v>
      </c>
      <c r="U54" s="62">
        <f>VARIABLE!G37</f>
        <v>0</v>
      </c>
      <c r="V54" s="191">
        <f t="shared" si="5"/>
        <v>0</v>
      </c>
    </row>
    <row r="55" spans="1:22" ht="16.2" hidden="1" customHeight="1" outlineLevel="1" x14ac:dyDescent="0.3">
      <c r="A55" s="97" t="s">
        <v>38</v>
      </c>
      <c r="B55" s="376">
        <f>0.06</f>
        <v>0.06</v>
      </c>
      <c r="C55" s="191">
        <f t="shared" si="2"/>
        <v>4.4221926262886089E-5</v>
      </c>
      <c r="D55" s="401"/>
      <c r="E55" s="112">
        <v>0.58099999999999996</v>
      </c>
      <c r="F55" s="191">
        <v>8.2921461530007998E-4</v>
      </c>
      <c r="G55" s="401"/>
      <c r="H55" s="112">
        <f>0.30911+0.7765</f>
        <v>1.08561</v>
      </c>
      <c r="I55" s="191">
        <f t="shared" si="0"/>
        <v>9.3436459059354133E-4</v>
      </c>
      <c r="J55" s="515"/>
      <c r="K55" s="376">
        <v>1.302732</v>
      </c>
      <c r="L55" s="191">
        <v>7.6928763164094247E-4</v>
      </c>
      <c r="M55" s="515"/>
      <c r="N55" s="112">
        <f>0.31264+0.8965</f>
        <v>1.2091399999999999</v>
      </c>
      <c r="O55" s="191">
        <f t="shared" si="1"/>
        <v>8.6828899565237212E-4</v>
      </c>
      <c r="P55" s="515"/>
      <c r="Q55" s="62" t="e">
        <f>#REF!*1.01</f>
        <v>#REF!</v>
      </c>
      <c r="R55" s="395" t="e">
        <f t="shared" si="3"/>
        <v>#REF!</v>
      </c>
      <c r="S55" s="62" t="e">
        <f>Q55*1.01</f>
        <v>#REF!</v>
      </c>
      <c r="T55" s="195" t="e">
        <f t="shared" si="4"/>
        <v>#REF!</v>
      </c>
      <c r="U55" s="62" t="e">
        <f>S55*1.01</f>
        <v>#REF!</v>
      </c>
      <c r="V55" s="191" t="e">
        <f t="shared" si="5"/>
        <v>#REF!</v>
      </c>
    </row>
    <row r="56" spans="1:22" ht="16.2" hidden="1" customHeight="1" outlineLevel="1" x14ac:dyDescent="0.3">
      <c r="A56" s="97" t="s">
        <v>17</v>
      </c>
      <c r="B56" s="376">
        <v>0</v>
      </c>
      <c r="C56" s="191">
        <f t="shared" si="2"/>
        <v>0</v>
      </c>
      <c r="D56" s="401"/>
      <c r="E56" s="112">
        <v>1.829</v>
      </c>
      <c r="F56" s="191">
        <v>2.6103847356004242E-3</v>
      </c>
      <c r="G56" s="401"/>
      <c r="H56" s="112">
        <v>1.6630100000000001</v>
      </c>
      <c r="I56" s="191">
        <f t="shared" si="0"/>
        <v>1.431322167079306E-3</v>
      </c>
      <c r="J56" s="515"/>
      <c r="K56" s="376">
        <v>1.9956120000000002</v>
      </c>
      <c r="L56" s="191">
        <v>1.1784462415556267E-3</v>
      </c>
      <c r="M56" s="515"/>
      <c r="N56" s="112">
        <v>1.69001</v>
      </c>
      <c r="O56" s="191">
        <f t="shared" si="1"/>
        <v>1.2136039544986235E-3</v>
      </c>
      <c r="P56" s="515"/>
      <c r="Q56" s="62" t="e">
        <f>#REF!*1.01</f>
        <v>#REF!</v>
      </c>
      <c r="R56" s="395" t="e">
        <f t="shared" si="3"/>
        <v>#REF!</v>
      </c>
      <c r="S56" s="62" t="e">
        <f>Q56*1.01</f>
        <v>#REF!</v>
      </c>
      <c r="T56" s="195" t="e">
        <f t="shared" si="4"/>
        <v>#REF!</v>
      </c>
      <c r="U56" s="62" t="e">
        <f>S56*1.01</f>
        <v>#REF!</v>
      </c>
      <c r="V56" s="191" t="e">
        <f t="shared" si="5"/>
        <v>#REF!</v>
      </c>
    </row>
    <row r="57" spans="1:22" ht="16.2" hidden="1" customHeight="1" outlineLevel="1" x14ac:dyDescent="0.3">
      <c r="A57" s="97" t="s">
        <v>86</v>
      </c>
      <c r="B57" s="376">
        <v>0</v>
      </c>
      <c r="C57" s="191">
        <f t="shared" si="2"/>
        <v>0</v>
      </c>
      <c r="D57" s="401"/>
      <c r="E57" s="112">
        <v>0</v>
      </c>
      <c r="F57" s="191">
        <v>0</v>
      </c>
      <c r="G57" s="401"/>
      <c r="H57" s="112">
        <v>0.65786999999999995</v>
      </c>
      <c r="I57" s="191">
        <f t="shared" si="0"/>
        <v>5.6621662771508469E-4</v>
      </c>
      <c r="J57" s="515"/>
      <c r="K57" s="376">
        <v>0.78944399999999992</v>
      </c>
      <c r="L57" s="191">
        <v>4.6618145948142223E-4</v>
      </c>
      <c r="M57" s="515"/>
      <c r="N57" s="112">
        <v>1.1645099999999999</v>
      </c>
      <c r="O57" s="191">
        <f t="shared" si="1"/>
        <v>8.3623998736882734E-4</v>
      </c>
      <c r="P57" s="515"/>
      <c r="Q57" s="62" t="e">
        <f>#REF!*1.01</f>
        <v>#REF!</v>
      </c>
      <c r="R57" s="395" t="e">
        <f t="shared" si="3"/>
        <v>#REF!</v>
      </c>
      <c r="S57" s="62" t="e">
        <f>Q57*1.01</f>
        <v>#REF!</v>
      </c>
      <c r="T57" s="195" t="e">
        <f t="shared" si="4"/>
        <v>#REF!</v>
      </c>
      <c r="U57" s="62" t="e">
        <f>S57*1.01</f>
        <v>#REF!</v>
      </c>
      <c r="V57" s="191" t="e">
        <f t="shared" si="5"/>
        <v>#REF!</v>
      </c>
    </row>
    <row r="58" spans="1:22" ht="16.2" hidden="1" customHeight="1" outlineLevel="1" x14ac:dyDescent="0.3">
      <c r="A58" s="97" t="s">
        <v>18</v>
      </c>
      <c r="B58" s="376">
        <v>5.5E-2</v>
      </c>
      <c r="C58" s="191">
        <f t="shared" si="2"/>
        <v>4.0536765740978912E-5</v>
      </c>
      <c r="D58" s="401"/>
      <c r="E58" s="112">
        <v>0.121</v>
      </c>
      <c r="F58" s="191">
        <v>1.7269357736886349E-4</v>
      </c>
      <c r="G58" s="401"/>
      <c r="H58" s="112">
        <v>0.1205</v>
      </c>
      <c r="I58" s="191">
        <f t="shared" si="0"/>
        <v>1.037121371086502E-4</v>
      </c>
      <c r="J58" s="515"/>
      <c r="K58" s="376">
        <v>0.14460000000000001</v>
      </c>
      <c r="L58" s="191">
        <v>8.5389006745270932E-5</v>
      </c>
      <c r="M58" s="515"/>
      <c r="N58" s="112">
        <v>0.1205</v>
      </c>
      <c r="O58" s="191">
        <f t="shared" si="1"/>
        <v>8.6531604260971313E-5</v>
      </c>
      <c r="P58" s="515"/>
      <c r="Q58" s="62" t="e">
        <f>#REF!*1.01</f>
        <v>#REF!</v>
      </c>
      <c r="R58" s="395" t="e">
        <f t="shared" si="3"/>
        <v>#REF!</v>
      </c>
      <c r="S58" s="62" t="e">
        <f>Q58*1.01</f>
        <v>#REF!</v>
      </c>
      <c r="T58" s="195" t="e">
        <f t="shared" si="4"/>
        <v>#REF!</v>
      </c>
      <c r="U58" s="62" t="e">
        <f>S58*1.01</f>
        <v>#REF!</v>
      </c>
      <c r="V58" s="191" t="e">
        <f t="shared" si="5"/>
        <v>#REF!</v>
      </c>
    </row>
    <row r="59" spans="1:22" ht="16.2" hidden="1" customHeight="1" outlineLevel="1" x14ac:dyDescent="0.3">
      <c r="A59" s="97" t="s">
        <v>19</v>
      </c>
      <c r="B59" s="376">
        <v>5.9939999999999998</v>
      </c>
      <c r="C59" s="191">
        <f t="shared" si="2"/>
        <v>4.4177704336623201E-3</v>
      </c>
      <c r="D59" s="401"/>
      <c r="E59" s="112">
        <v>1.3819999999999999</v>
      </c>
      <c r="F59" s="191">
        <v>1.9724175530890027E-3</v>
      </c>
      <c r="G59" s="401"/>
      <c r="H59" s="112">
        <f>2.39305+1.80808</f>
        <v>4.20113</v>
      </c>
      <c r="I59" s="191">
        <f t="shared" si="0"/>
        <v>3.615835440425424E-3</v>
      </c>
      <c r="J59" s="515"/>
      <c r="K59" s="376">
        <v>5.0413560000000004</v>
      </c>
      <c r="L59" s="191">
        <v>2.9770150863714529E-3</v>
      </c>
      <c r="M59" s="515"/>
      <c r="N59" s="112">
        <v>4.5992899999999999</v>
      </c>
      <c r="O59" s="191">
        <f t="shared" si="1"/>
        <v>3.302771304244338E-3</v>
      </c>
      <c r="P59" s="515"/>
      <c r="Q59" s="62" t="e">
        <f>#REF!*1.01</f>
        <v>#REF!</v>
      </c>
      <c r="R59" s="395" t="e">
        <f t="shared" si="3"/>
        <v>#REF!</v>
      </c>
      <c r="S59" s="62" t="e">
        <f>Q59*1.01</f>
        <v>#REF!</v>
      </c>
      <c r="T59" s="195" t="e">
        <f t="shared" si="4"/>
        <v>#REF!</v>
      </c>
      <c r="U59" s="62" t="e">
        <f>S59*1.01</f>
        <v>#REF!</v>
      </c>
      <c r="V59" s="191" t="e">
        <f t="shared" si="5"/>
        <v>#REF!</v>
      </c>
    </row>
    <row r="60" spans="1:22" ht="5.25" customHeight="1" x14ac:dyDescent="0.3">
      <c r="A60" s="98"/>
      <c r="B60" s="109"/>
      <c r="C60" s="121"/>
      <c r="D60" s="401"/>
      <c r="E60" s="109"/>
      <c r="F60" s="121"/>
      <c r="G60" s="401"/>
      <c r="H60" s="109"/>
      <c r="I60" s="121"/>
      <c r="J60" s="562"/>
      <c r="K60" s="109"/>
      <c r="L60" s="121"/>
      <c r="M60" s="562"/>
      <c r="N60" s="109"/>
      <c r="O60" s="121"/>
      <c r="P60" s="517"/>
      <c r="Q60" s="109"/>
      <c r="R60" s="395"/>
      <c r="S60" s="109"/>
      <c r="T60" s="400"/>
      <c r="U60" s="109"/>
      <c r="V60" s="121"/>
    </row>
    <row r="61" spans="1:22" x14ac:dyDescent="0.3">
      <c r="A61" s="90" t="s">
        <v>158</v>
      </c>
      <c r="B61" s="404">
        <v>160</v>
      </c>
      <c r="C61" s="190">
        <f>B61/B8</f>
        <v>0.11792513670102957</v>
      </c>
      <c r="D61" s="397"/>
      <c r="E61" s="110">
        <v>100</v>
      </c>
      <c r="F61" s="190">
        <v>0.1113486549082487</v>
      </c>
      <c r="G61" s="397"/>
      <c r="H61" s="110">
        <v>166.66669999999999</v>
      </c>
      <c r="I61" s="190">
        <f>H61/H8</f>
        <v>0.11484336665650761</v>
      </c>
      <c r="J61" s="289"/>
      <c r="K61" s="404">
        <v>199.9907</v>
      </c>
      <c r="L61" s="190">
        <v>0.11809825194530743</v>
      </c>
      <c r="M61" s="289"/>
      <c r="N61" s="110">
        <f>720*35%</f>
        <v>251.99999999999997</v>
      </c>
      <c r="O61" s="190">
        <f>N61/N8</f>
        <v>0.14707708027879673</v>
      </c>
      <c r="P61" s="289"/>
      <c r="Q61" s="271">
        <f>'AVANISTA GROUP - BP 2022'!R10</f>
        <v>199.94399999999999</v>
      </c>
      <c r="R61" s="398">
        <f>Q61/Q8</f>
        <v>7.9977599999999996E-2</v>
      </c>
      <c r="S61" s="271">
        <f>'AVANISTA GROUP - BP 2022'!T10</f>
        <v>199.94399999999999</v>
      </c>
      <c r="T61" s="193">
        <f>S61/S8</f>
        <v>5.7126857142857139E-2</v>
      </c>
      <c r="U61" s="271">
        <f>'AVANISTA GROUP - BP 2022'!V10</f>
        <v>199.94399999999999</v>
      </c>
      <c r="V61" s="190">
        <f>U61/U8</f>
        <v>3.9988799999999998E-2</v>
      </c>
    </row>
    <row r="62" spans="1:22" ht="6.75" customHeight="1" x14ac:dyDescent="0.3">
      <c r="A62" s="98"/>
      <c r="B62" s="109"/>
      <c r="C62" s="121"/>
      <c r="D62" s="401"/>
      <c r="E62" s="109"/>
      <c r="F62" s="121"/>
      <c r="G62" s="401"/>
      <c r="H62" s="109"/>
      <c r="I62" s="121"/>
      <c r="J62" s="562"/>
      <c r="K62" s="109"/>
      <c r="L62" s="121"/>
      <c r="M62" s="562"/>
      <c r="N62" s="109"/>
      <c r="O62" s="121"/>
      <c r="P62" s="517"/>
      <c r="Q62" s="109"/>
      <c r="R62" s="400"/>
      <c r="S62" s="109"/>
      <c r="T62" s="400"/>
      <c r="U62" s="109"/>
      <c r="V62" s="121"/>
    </row>
    <row r="63" spans="1:22" x14ac:dyDescent="0.3">
      <c r="A63" s="90" t="s">
        <v>163</v>
      </c>
      <c r="B63" s="271">
        <v>0</v>
      </c>
      <c r="C63" s="190">
        <f>B63/B8</f>
        <v>0</v>
      </c>
      <c r="D63" s="397"/>
      <c r="E63" s="110">
        <v>21.499591050000003</v>
      </c>
      <c r="F63" s="190">
        <v>2.3939505444949227E-2</v>
      </c>
      <c r="G63" s="397"/>
      <c r="H63" s="110">
        <v>27.619050000000001</v>
      </c>
      <c r="I63" s="190">
        <f>H63/H8</f>
        <v>1.9031184308889639E-2</v>
      </c>
      <c r="J63" s="289"/>
      <c r="K63" s="271">
        <v>33.142859999999999</v>
      </c>
      <c r="L63" s="190">
        <v>1.9571479226124275E-2</v>
      </c>
      <c r="M63" s="289"/>
      <c r="N63" s="110">
        <f>111.12*35%</f>
        <v>38.891999999999996</v>
      </c>
      <c r="O63" s="190">
        <f>N63/N8</f>
        <v>2.2698896056360964E-2</v>
      </c>
      <c r="P63" s="289"/>
      <c r="Q63" s="271">
        <f>'AVANISTA GROUP - BP 2022'!R13</f>
        <v>23.326799999999999</v>
      </c>
      <c r="R63" s="398">
        <f>Q63/Q8</f>
        <v>9.3307199999999989E-3</v>
      </c>
      <c r="S63" s="271">
        <f>'AVANISTA GROUP - BP 2022'!T13</f>
        <v>29.1585</v>
      </c>
      <c r="T63" s="398">
        <f>S63/S8</f>
        <v>8.3309999999999999E-3</v>
      </c>
      <c r="U63" s="271">
        <f>'AVANISTA GROUP - BP 2022'!V13</f>
        <v>34.990200000000002</v>
      </c>
      <c r="V63" s="190">
        <f>U63/U8</f>
        <v>6.9980400000000005E-3</v>
      </c>
    </row>
    <row r="64" spans="1:22" ht="6" customHeight="1" x14ac:dyDescent="0.3">
      <c r="A64" s="99"/>
      <c r="B64" s="115"/>
      <c r="C64" s="122"/>
      <c r="D64" s="405"/>
      <c r="E64" s="115"/>
      <c r="F64" s="122"/>
      <c r="G64" s="405"/>
      <c r="H64" s="115"/>
      <c r="I64" s="122"/>
      <c r="J64" s="114"/>
      <c r="K64" s="115"/>
      <c r="L64" s="122"/>
      <c r="M64" s="114"/>
      <c r="N64" s="115"/>
      <c r="O64" s="122"/>
      <c r="P64" s="518"/>
      <c r="Q64" s="115"/>
      <c r="R64" s="406"/>
      <c r="S64" s="115"/>
      <c r="T64" s="406"/>
      <c r="U64" s="115"/>
      <c r="V64" s="122"/>
    </row>
    <row r="65" spans="1:22" collapsed="1" x14ac:dyDescent="0.3">
      <c r="A65" s="90" t="s">
        <v>39</v>
      </c>
      <c r="B65" s="271">
        <f>SUM(B67:B72)</f>
        <v>1.4319999999999999</v>
      </c>
      <c r="C65" s="190">
        <f>B65/B8</f>
        <v>1.0554299734742145E-3</v>
      </c>
      <c r="D65" s="397"/>
      <c r="E65" s="110">
        <v>1.881060840585</v>
      </c>
      <c r="F65" s="190">
        <v>2.094535943997194E-3</v>
      </c>
      <c r="G65" s="397"/>
      <c r="H65" s="110">
        <f>SUM(H67:H72)</f>
        <v>1.6859999999999999</v>
      </c>
      <c r="I65" s="190">
        <f>H65/H8</f>
        <v>1.1617552647461781E-3</v>
      </c>
      <c r="J65" s="289"/>
      <c r="K65" s="271">
        <v>2.0232000000000001</v>
      </c>
      <c r="L65" s="190">
        <v>1.1947374719711767E-3</v>
      </c>
      <c r="M65" s="289"/>
      <c r="N65" s="110">
        <f>SUM(N67:N72)</f>
        <v>0.82199999999999995</v>
      </c>
      <c r="O65" s="190">
        <f>N65/N8</f>
        <v>4.7975142852845604E-4</v>
      </c>
      <c r="P65" s="289"/>
      <c r="Q65" s="271" t="e">
        <f>SUM(Q68:Q72)</f>
        <v>#REF!</v>
      </c>
      <c r="R65" s="398" t="e">
        <f>Q65/Q8</f>
        <v>#REF!</v>
      </c>
      <c r="S65" s="271" t="e">
        <f>SUM(S68:S72)</f>
        <v>#REF!</v>
      </c>
      <c r="T65" s="398" t="e">
        <f>S65/S8</f>
        <v>#REF!</v>
      </c>
      <c r="U65" s="271" t="e">
        <f>SUM(U68:U72)</f>
        <v>#REF!</v>
      </c>
      <c r="V65" s="190" t="e">
        <f>U65/U8</f>
        <v>#REF!</v>
      </c>
    </row>
    <row r="66" spans="1:22" ht="4.5" hidden="1" customHeight="1" outlineLevel="1" x14ac:dyDescent="0.3">
      <c r="A66" s="91"/>
      <c r="B66" s="109"/>
      <c r="C66" s="122"/>
      <c r="D66" s="407"/>
      <c r="E66" s="109"/>
      <c r="F66" s="122"/>
      <c r="G66" s="407"/>
      <c r="H66" s="109"/>
      <c r="I66" s="122"/>
      <c r="J66" s="114"/>
      <c r="K66" s="109"/>
      <c r="L66" s="122"/>
      <c r="M66" s="114"/>
      <c r="N66" s="109"/>
      <c r="O66" s="122"/>
      <c r="P66" s="518"/>
      <c r="Q66" s="109"/>
      <c r="R66" s="406"/>
      <c r="S66" s="109"/>
      <c r="T66" s="406"/>
      <c r="U66" s="109"/>
      <c r="V66" s="122"/>
    </row>
    <row r="67" spans="1:22" ht="18" hidden="1" customHeight="1" outlineLevel="1" x14ac:dyDescent="0.3">
      <c r="A67" s="97" t="s">
        <v>80</v>
      </c>
      <c r="B67" s="62">
        <v>0</v>
      </c>
      <c r="C67" s="122"/>
      <c r="D67" s="407"/>
      <c r="E67" s="112">
        <v>0</v>
      </c>
      <c r="F67" s="122"/>
      <c r="G67" s="407"/>
      <c r="H67" s="112">
        <v>0</v>
      </c>
      <c r="I67" s="122"/>
      <c r="J67" s="114"/>
      <c r="K67" s="62">
        <v>0</v>
      </c>
      <c r="L67" s="122"/>
      <c r="M67" s="114"/>
      <c r="N67" s="112">
        <v>0</v>
      </c>
      <c r="O67" s="122"/>
      <c r="P67" s="518"/>
      <c r="Q67" s="62">
        <f>$B$67/($B$76+$B$77+$B$15)*($C$15*Q10+Q76+Q77)</f>
        <v>0</v>
      </c>
      <c r="R67" s="406"/>
      <c r="S67" s="62">
        <f>$B$67/($B$76+$B$77+$B$15)*($C$15*S10+S76+S77)</f>
        <v>0</v>
      </c>
      <c r="T67" s="406"/>
      <c r="U67" s="62">
        <f>$B$67/($B$76+$B$77+$B$15)*($C$15*U10+U76+U77)</f>
        <v>0</v>
      </c>
      <c r="V67" s="122"/>
    </row>
    <row r="68" spans="1:22" ht="18" hidden="1" customHeight="1" outlineLevel="1" x14ac:dyDescent="0.3">
      <c r="A68" s="97" t="s">
        <v>47</v>
      </c>
      <c r="B68" s="62">
        <v>0</v>
      </c>
      <c r="C68" s="122"/>
      <c r="D68" s="407"/>
      <c r="E68" s="112">
        <v>0</v>
      </c>
      <c r="F68" s="122"/>
      <c r="G68" s="407"/>
      <c r="H68" s="112">
        <v>0</v>
      </c>
      <c r="I68" s="122"/>
      <c r="J68" s="114"/>
      <c r="K68" s="62">
        <v>0</v>
      </c>
      <c r="L68" s="122"/>
      <c r="M68" s="114"/>
      <c r="N68" s="112">
        <v>0</v>
      </c>
      <c r="O68" s="122"/>
      <c r="P68" s="518"/>
      <c r="Q68" s="62" t="e">
        <f>#REF!</f>
        <v>#REF!</v>
      </c>
      <c r="R68" s="406"/>
      <c r="S68" s="62" t="e">
        <f>Q68</f>
        <v>#REF!</v>
      </c>
      <c r="T68" s="406"/>
      <c r="U68" s="62" t="e">
        <f>S68</f>
        <v>#REF!</v>
      </c>
      <c r="V68" s="122"/>
    </row>
    <row r="69" spans="1:22" ht="18" hidden="1" customHeight="1" outlineLevel="1" x14ac:dyDescent="0.3">
      <c r="A69" s="97" t="s">
        <v>155</v>
      </c>
      <c r="B69" s="62">
        <v>0</v>
      </c>
      <c r="C69" s="122"/>
      <c r="D69" s="407"/>
      <c r="E69" s="112">
        <v>0</v>
      </c>
      <c r="F69" s="122"/>
      <c r="G69" s="407"/>
      <c r="H69" s="112">
        <v>0</v>
      </c>
      <c r="I69" s="122"/>
      <c r="J69" s="114"/>
      <c r="K69" s="62">
        <v>0</v>
      </c>
      <c r="L69" s="122"/>
      <c r="M69" s="114"/>
      <c r="N69" s="112">
        <v>0</v>
      </c>
      <c r="O69" s="122"/>
      <c r="P69" s="518"/>
      <c r="Q69" s="62">
        <v>0</v>
      </c>
      <c r="R69" s="406"/>
      <c r="S69" s="62">
        <v>0</v>
      </c>
      <c r="T69" s="406"/>
      <c r="U69" s="62">
        <v>0</v>
      </c>
      <c r="V69" s="122"/>
    </row>
    <row r="70" spans="1:22" ht="18" hidden="1" customHeight="1" outlineLevel="1" x14ac:dyDescent="0.3">
      <c r="A70" s="97" t="s">
        <v>156</v>
      </c>
      <c r="B70" s="62">
        <f>0.415+0.125</f>
        <v>0.54</v>
      </c>
      <c r="C70" s="122"/>
      <c r="D70" s="407"/>
      <c r="E70" s="112">
        <v>0</v>
      </c>
      <c r="F70" s="122"/>
      <c r="G70" s="407"/>
      <c r="H70" s="112">
        <v>0</v>
      </c>
      <c r="I70" s="122"/>
      <c r="J70" s="114"/>
      <c r="K70" s="62">
        <v>0</v>
      </c>
      <c r="L70" s="122"/>
      <c r="M70" s="114"/>
      <c r="N70" s="112">
        <v>0</v>
      </c>
      <c r="O70" s="122"/>
      <c r="P70" s="518"/>
      <c r="Q70" s="62">
        <v>0</v>
      </c>
      <c r="R70" s="406"/>
      <c r="S70" s="62">
        <v>0</v>
      </c>
      <c r="T70" s="406"/>
      <c r="U70" s="62">
        <v>0</v>
      </c>
      <c r="V70" s="122"/>
    </row>
    <row r="71" spans="1:22" ht="18" hidden="1" customHeight="1" outlineLevel="1" x14ac:dyDescent="0.3">
      <c r="A71" s="97" t="s">
        <v>75</v>
      </c>
      <c r="B71" s="62">
        <v>0</v>
      </c>
      <c r="C71" s="122"/>
      <c r="D71" s="407"/>
      <c r="E71" s="112">
        <v>0.53300000000000003</v>
      </c>
      <c r="F71" s="122"/>
      <c r="G71" s="407"/>
      <c r="H71" s="112">
        <v>0</v>
      </c>
      <c r="I71" s="122"/>
      <c r="J71" s="114"/>
      <c r="K71" s="62">
        <v>0</v>
      </c>
      <c r="L71" s="122"/>
      <c r="M71" s="114"/>
      <c r="N71" s="112">
        <v>0</v>
      </c>
      <c r="O71" s="122"/>
      <c r="P71" s="518"/>
      <c r="Q71" s="62">
        <v>0</v>
      </c>
      <c r="R71" s="406"/>
      <c r="S71" s="62">
        <v>0</v>
      </c>
      <c r="T71" s="406"/>
      <c r="U71" s="62">
        <v>0</v>
      </c>
      <c r="V71" s="122"/>
    </row>
    <row r="72" spans="1:22" ht="18" hidden="1" customHeight="1" outlineLevel="1" x14ac:dyDescent="0.3">
      <c r="A72" s="97" t="s">
        <v>76</v>
      </c>
      <c r="B72" s="62">
        <v>0.89200000000000002</v>
      </c>
      <c r="C72" s="122"/>
      <c r="D72" s="407"/>
      <c r="E72" s="112">
        <v>1.3480608405850001</v>
      </c>
      <c r="F72" s="122"/>
      <c r="G72" s="407"/>
      <c r="H72" s="112">
        <v>1.6859999999999999</v>
      </c>
      <c r="I72" s="122"/>
      <c r="J72" s="114"/>
      <c r="K72" s="62">
        <v>2.0232000000000001</v>
      </c>
      <c r="L72" s="122"/>
      <c r="M72" s="114"/>
      <c r="N72" s="112">
        <v>0.82199999999999995</v>
      </c>
      <c r="O72" s="122"/>
      <c r="P72" s="518"/>
      <c r="Q72" s="62" t="e">
        <f>(Q8-Q35-Q41-Q61-Q63)*1.39%</f>
        <v>#REF!</v>
      </c>
      <c r="R72" s="406"/>
      <c r="S72" s="62" t="e">
        <f>(S8-S35-S41-S61-S63)*1.39%</f>
        <v>#REF!</v>
      </c>
      <c r="T72" s="406"/>
      <c r="U72" s="62" t="e">
        <f>(U8-U35-U41-U61-U63)*1.39%</f>
        <v>#REF!</v>
      </c>
      <c r="V72" s="122"/>
    </row>
    <row r="73" spans="1:22" ht="4.5" customHeight="1" x14ac:dyDescent="0.3">
      <c r="A73" s="97"/>
      <c r="B73" s="109"/>
      <c r="C73" s="122"/>
      <c r="D73" s="407"/>
      <c r="E73" s="109"/>
      <c r="F73" s="122"/>
      <c r="G73" s="407"/>
      <c r="H73" s="109"/>
      <c r="I73" s="122"/>
      <c r="J73" s="114"/>
      <c r="K73" s="109"/>
      <c r="L73" s="122"/>
      <c r="M73" s="114"/>
      <c r="N73" s="109"/>
      <c r="O73" s="122"/>
      <c r="P73" s="518"/>
      <c r="Q73" s="109"/>
      <c r="R73" s="406"/>
      <c r="S73" s="109"/>
      <c r="T73" s="406"/>
      <c r="U73" s="109"/>
      <c r="V73" s="122"/>
    </row>
    <row r="74" spans="1:22" collapsed="1" x14ac:dyDescent="0.3">
      <c r="A74" s="90" t="s">
        <v>157</v>
      </c>
      <c r="B74" s="271">
        <f>SUM(B76:B90)</f>
        <v>124.97099999999996</v>
      </c>
      <c r="C74" s="190">
        <f>B74/B8</f>
        <v>9.2107639116652262E-2</v>
      </c>
      <c r="D74" s="408"/>
      <c r="E74" s="110">
        <v>44.984000000000002</v>
      </c>
      <c r="F74" s="190">
        <v>5.0089078923926597E-2</v>
      </c>
      <c r="G74" s="408"/>
      <c r="H74" s="110">
        <f>SUM(H76:H90)</f>
        <v>72.438179999999988</v>
      </c>
      <c r="I74" s="190">
        <f>H74/H8</f>
        <v>4.9914256811169212E-2</v>
      </c>
      <c r="J74" s="289"/>
      <c r="K74" s="271">
        <v>89.449512597763757</v>
      </c>
      <c r="L74" s="190">
        <v>5.2821611580716778E-2</v>
      </c>
      <c r="M74" s="289"/>
      <c r="N74" s="110">
        <f>SUM(N76:N90)</f>
        <v>93.595020000000019</v>
      </c>
      <c r="O74" s="190">
        <f>N74/N8</f>
        <v>5.4625723294585676E-2</v>
      </c>
      <c r="P74" s="289"/>
      <c r="Q74" s="271" t="e">
        <f>SUM(Q76:Q90)</f>
        <v>#REF!</v>
      </c>
      <c r="R74" s="398" t="e">
        <f>Q74/Q8</f>
        <v>#REF!</v>
      </c>
      <c r="S74" s="271" t="e">
        <f>SUM(S76:S90)</f>
        <v>#REF!</v>
      </c>
      <c r="T74" s="398" t="e">
        <f>S74/S8</f>
        <v>#REF!</v>
      </c>
      <c r="U74" s="271" t="e">
        <f>SUM(U76:U90)</f>
        <v>#REF!</v>
      </c>
      <c r="V74" s="190" t="e">
        <f>U74/U8</f>
        <v>#REF!</v>
      </c>
    </row>
    <row r="75" spans="1:22" ht="9" hidden="1" customHeight="1" outlineLevel="1" x14ac:dyDescent="0.3">
      <c r="A75" s="100"/>
      <c r="B75" s="66"/>
      <c r="C75" s="65"/>
      <c r="D75" s="408"/>
      <c r="E75" s="116"/>
      <c r="F75" s="122"/>
      <c r="G75" s="408"/>
      <c r="H75" s="116"/>
      <c r="I75" s="122"/>
      <c r="J75" s="114"/>
      <c r="K75" s="66"/>
      <c r="L75" s="65"/>
      <c r="M75" s="114"/>
      <c r="N75" s="116"/>
      <c r="O75" s="127"/>
      <c r="P75" s="459"/>
      <c r="Q75" s="116"/>
      <c r="R75" s="409"/>
      <c r="S75" s="116"/>
      <c r="T75" s="409"/>
      <c r="U75" s="116"/>
      <c r="V75" s="127"/>
    </row>
    <row r="76" spans="1:22" ht="17.25" hidden="1" customHeight="1" outlineLevel="1" x14ac:dyDescent="0.3">
      <c r="A76" s="97" t="s">
        <v>26</v>
      </c>
      <c r="B76" s="62">
        <v>77.688999999999993</v>
      </c>
      <c r="C76" s="65"/>
      <c r="D76" s="408"/>
      <c r="E76" s="112">
        <v>28.808</v>
      </c>
      <c r="F76" s="122"/>
      <c r="G76" s="408"/>
      <c r="H76" s="112">
        <v>52.140999999999998</v>
      </c>
      <c r="I76" s="122"/>
      <c r="J76" s="114"/>
      <c r="K76" s="62">
        <v>64.2</v>
      </c>
      <c r="L76" s="65"/>
      <c r="M76" s="114"/>
      <c r="N76" s="112">
        <v>63.557679999999998</v>
      </c>
      <c r="O76" s="357"/>
      <c r="P76" s="459"/>
      <c r="Q76" s="62">
        <f>'AVANISTA INGE - MS 2019 à 2022'!M14/1000</f>
        <v>70</v>
      </c>
      <c r="R76" s="410"/>
      <c r="S76" s="62">
        <f>'AVANISTA INGE - MS 2019 à 2022'!R14/1000</f>
        <v>70</v>
      </c>
      <c r="T76" s="410"/>
      <c r="U76" s="62">
        <f>'AVANISTA INGE - MS 2019 à 2022'!W14/1000</f>
        <v>70</v>
      </c>
      <c r="V76" s="357"/>
    </row>
    <row r="77" spans="1:22" ht="17.25" hidden="1" customHeight="1" outlineLevel="1" x14ac:dyDescent="0.3">
      <c r="A77" s="97" t="s">
        <v>174</v>
      </c>
      <c r="B77" s="62">
        <v>11.263</v>
      </c>
      <c r="C77" s="65"/>
      <c r="D77" s="408"/>
      <c r="E77" s="112">
        <v>0</v>
      </c>
      <c r="F77" s="122"/>
      <c r="G77" s="408"/>
      <c r="H77" s="112">
        <v>0</v>
      </c>
      <c r="I77" s="122"/>
      <c r="J77" s="114"/>
      <c r="K77" s="62">
        <v>0</v>
      </c>
      <c r="L77" s="65"/>
      <c r="M77" s="114"/>
      <c r="N77" s="112">
        <v>0</v>
      </c>
      <c r="O77" s="357"/>
      <c r="P77" s="459"/>
      <c r="Q77" s="62">
        <v>0</v>
      </c>
      <c r="R77" s="410"/>
      <c r="S77" s="62">
        <v>0</v>
      </c>
      <c r="T77" s="410"/>
      <c r="U77" s="62">
        <v>0</v>
      </c>
      <c r="V77" s="357"/>
    </row>
    <row r="78" spans="1:22" ht="17.25" hidden="1" customHeight="1" outlineLevel="1" x14ac:dyDescent="0.3">
      <c r="A78" s="97" t="s">
        <v>27</v>
      </c>
      <c r="B78" s="62">
        <v>33.420999999999999</v>
      </c>
      <c r="C78" s="411">
        <f>(B78+B86)/B76</f>
        <v>0.40933722920876831</v>
      </c>
      <c r="D78" s="408"/>
      <c r="E78" s="112">
        <v>10.541</v>
      </c>
      <c r="F78" s="411">
        <v>0.3659053040821994</v>
      </c>
      <c r="G78" s="408"/>
      <c r="H78" s="112">
        <f>11.61636+3.15249+2.07858+2.18999</f>
        <v>19.037419999999997</v>
      </c>
      <c r="I78" s="411">
        <f>H78/(H76+H77)</f>
        <v>0.36511420954718932</v>
      </c>
      <c r="J78" s="519"/>
      <c r="K78" s="62">
        <v>23.754000000000001</v>
      </c>
      <c r="L78" s="411">
        <v>0.37</v>
      </c>
      <c r="M78" s="519"/>
      <c r="N78" s="112">
        <v>23.199940000000002</v>
      </c>
      <c r="O78" s="411">
        <f>N78/(N76+N77)</f>
        <v>0.3650218195503675</v>
      </c>
      <c r="P78" s="519"/>
      <c r="Q78" s="62">
        <f>'AVANISTA INGE - MS 2019 à 2022'!H18/1000</f>
        <v>23.754000000000001</v>
      </c>
      <c r="R78" s="406"/>
      <c r="S78" s="62">
        <f>'AVANISTA INGE - MS 2019 à 2022'!R18/1000</f>
        <v>25.9</v>
      </c>
      <c r="T78" s="406"/>
      <c r="U78" s="62">
        <f>'AVANISTA INGE - MS 2019 à 2022'!W18/1000</f>
        <v>25.9</v>
      </c>
      <c r="V78" s="122"/>
    </row>
    <row r="79" spans="1:22" ht="17.25" hidden="1" customHeight="1" outlineLevel="1" x14ac:dyDescent="0.3">
      <c r="A79" s="97" t="s">
        <v>55</v>
      </c>
      <c r="B79" s="62">
        <v>1.05</v>
      </c>
      <c r="C79" s="65"/>
      <c r="D79" s="408"/>
      <c r="E79" s="112">
        <v>0</v>
      </c>
      <c r="F79" s="122"/>
      <c r="G79" s="408"/>
      <c r="H79" s="112">
        <v>0</v>
      </c>
      <c r="I79" s="122"/>
      <c r="J79" s="114"/>
      <c r="K79" s="62">
        <v>0</v>
      </c>
      <c r="L79" s="65"/>
      <c r="M79" s="114"/>
      <c r="N79" s="112">
        <v>0</v>
      </c>
      <c r="O79" s="357"/>
      <c r="P79" s="459"/>
      <c r="Q79" s="62">
        <v>0</v>
      </c>
      <c r="R79" s="410"/>
      <c r="S79" s="62">
        <v>0</v>
      </c>
      <c r="T79" s="410"/>
      <c r="U79" s="62">
        <v>0</v>
      </c>
      <c r="V79" s="357"/>
    </row>
    <row r="80" spans="1:22" ht="17.25" hidden="1" customHeight="1" outlineLevel="1" x14ac:dyDescent="0.3">
      <c r="A80" s="97" t="s">
        <v>50</v>
      </c>
      <c r="B80" s="62">
        <v>0.752</v>
      </c>
      <c r="C80" s="65"/>
      <c r="D80" s="408"/>
      <c r="E80" s="112">
        <v>0.376</v>
      </c>
      <c r="F80" s="122"/>
      <c r="G80" s="408"/>
      <c r="H80" s="112">
        <v>0.67679999999999996</v>
      </c>
      <c r="I80" s="122"/>
      <c r="J80" s="114"/>
      <c r="K80" s="62">
        <v>0.83599999999999997</v>
      </c>
      <c r="L80" s="65"/>
      <c r="M80" s="114"/>
      <c r="N80" s="112">
        <v>0.82720000000000005</v>
      </c>
      <c r="O80" s="357"/>
      <c r="P80" s="459"/>
      <c r="Q80" s="62">
        <f>'AVANISTA INGE - MS 2019 à 2022'!L14*38/1000</f>
        <v>0.91200000000000003</v>
      </c>
      <c r="R80" s="410"/>
      <c r="S80" s="62">
        <f>'AVANISTA INGE - MS 2019 à 2022'!Q14*38/1000</f>
        <v>0.91200000000000003</v>
      </c>
      <c r="T80" s="410"/>
      <c r="U80" s="62">
        <f>'AVANISTA INGE - MS 2019 à 2022'!V14*38/1000</f>
        <v>0.91200000000000003</v>
      </c>
      <c r="V80" s="357"/>
    </row>
    <row r="81" spans="1:23" ht="17.25" hidden="1" customHeight="1" outlineLevel="1" x14ac:dyDescent="0.3">
      <c r="A81" s="97" t="s">
        <v>57</v>
      </c>
      <c r="B81" s="376">
        <f>0.528+0.447</f>
        <v>0.97500000000000009</v>
      </c>
      <c r="C81" s="65"/>
      <c r="D81" s="408"/>
      <c r="E81" s="112">
        <v>0.16600000000000001</v>
      </c>
      <c r="F81" s="411">
        <v>5.7622882532629826E-3</v>
      </c>
      <c r="G81" s="408"/>
      <c r="H81" s="112">
        <v>0.33100000000000002</v>
      </c>
      <c r="I81" s="411">
        <f>H81/H76</f>
        <v>6.3481713047314021E-3</v>
      </c>
      <c r="J81" s="519"/>
      <c r="K81" s="376">
        <v>0.40755259776375602</v>
      </c>
      <c r="L81" s="65">
        <v>6.3481713047314021E-3</v>
      </c>
      <c r="M81" s="519"/>
      <c r="N81" s="112">
        <v>3.6549999999999999E-2</v>
      </c>
      <c r="O81" s="411">
        <f>N81/N76</f>
        <v>5.7506819002833332E-4</v>
      </c>
      <c r="P81" s="519"/>
      <c r="Q81" s="62" t="e">
        <f>#REF!*Q76</f>
        <v>#REF!</v>
      </c>
      <c r="R81" s="410"/>
      <c r="S81" s="62" t="e">
        <f>#REF!*S76</f>
        <v>#REF!</v>
      </c>
      <c r="T81" s="410"/>
      <c r="U81" s="62" t="e">
        <f>#REF!*U76</f>
        <v>#REF!</v>
      </c>
      <c r="V81" s="357"/>
    </row>
    <row r="82" spans="1:23" ht="17.25" hidden="1" customHeight="1" outlineLevel="1" x14ac:dyDescent="0.3">
      <c r="A82" s="97" t="s">
        <v>49</v>
      </c>
      <c r="B82" s="62">
        <v>0</v>
      </c>
      <c r="C82" s="65"/>
      <c r="D82" s="408"/>
      <c r="E82" s="112">
        <v>0</v>
      </c>
      <c r="F82" s="122"/>
      <c r="G82" s="408"/>
      <c r="H82" s="112">
        <v>0</v>
      </c>
      <c r="I82" s="122"/>
      <c r="J82" s="114"/>
      <c r="K82" s="62">
        <v>0</v>
      </c>
      <c r="L82" s="65"/>
      <c r="M82" s="114"/>
      <c r="N82" s="112">
        <v>0</v>
      </c>
      <c r="O82" s="357"/>
      <c r="P82" s="459"/>
      <c r="Q82" s="62">
        <v>0</v>
      </c>
      <c r="R82" s="410"/>
      <c r="S82" s="62">
        <v>0</v>
      </c>
      <c r="T82" s="410"/>
      <c r="U82" s="62">
        <v>0</v>
      </c>
      <c r="V82" s="357"/>
    </row>
    <row r="83" spans="1:23" ht="17.25" hidden="1" customHeight="1" outlineLevel="1" x14ac:dyDescent="0.3">
      <c r="A83" s="97" t="s">
        <v>48</v>
      </c>
      <c r="B83" s="62">
        <v>0</v>
      </c>
      <c r="C83" s="65"/>
      <c r="D83" s="408"/>
      <c r="E83" s="112">
        <v>0</v>
      </c>
      <c r="F83" s="122"/>
      <c r="G83" s="408"/>
      <c r="H83" s="112">
        <v>0</v>
      </c>
      <c r="I83" s="122"/>
      <c r="J83" s="114"/>
      <c r="K83" s="62">
        <v>0</v>
      </c>
      <c r="L83" s="65"/>
      <c r="M83" s="114"/>
      <c r="N83" s="112">
        <v>0</v>
      </c>
      <c r="O83" s="357"/>
      <c r="P83" s="459"/>
      <c r="Q83" s="62">
        <v>0</v>
      </c>
      <c r="R83" s="410"/>
      <c r="S83" s="62">
        <v>0</v>
      </c>
      <c r="T83" s="410"/>
      <c r="U83" s="62">
        <v>0</v>
      </c>
      <c r="V83" s="357"/>
    </row>
    <row r="84" spans="1:23" ht="17.25" hidden="1" customHeight="1" outlineLevel="1" x14ac:dyDescent="0.3">
      <c r="A84" s="97" t="s">
        <v>202</v>
      </c>
      <c r="B84" s="62">
        <v>0.99</v>
      </c>
      <c r="C84" s="65"/>
      <c r="D84" s="408"/>
      <c r="E84" s="112">
        <v>2.0779999999999998</v>
      </c>
      <c r="F84" s="122"/>
      <c r="G84" s="408"/>
      <c r="H84" s="112">
        <v>0.25330999999999998</v>
      </c>
      <c r="I84" s="122"/>
      <c r="J84" s="114"/>
      <c r="K84" s="62">
        <v>0.25330999999999998</v>
      </c>
      <c r="L84" s="65"/>
      <c r="M84" s="114"/>
      <c r="N84" s="556">
        <v>2.5839099999999999</v>
      </c>
      <c r="O84" s="357"/>
      <c r="P84" s="459"/>
      <c r="Q84" s="62">
        <f>'AVANISTA INGE - MS 2019 à 2022'!M21</f>
        <v>0.57999999999999996</v>
      </c>
      <c r="R84" s="410"/>
      <c r="S84" s="62">
        <f>'AVANISTA INGE - MS 2019 à 2022'!R21</f>
        <v>0</v>
      </c>
      <c r="T84" s="410"/>
      <c r="U84" s="62">
        <f>'AVANISTA INGE - MS 2019 à 2022'!W21</f>
        <v>0</v>
      </c>
      <c r="V84" s="357"/>
    </row>
    <row r="85" spans="1:23" ht="17.25" hidden="1" customHeight="1" outlineLevel="1" x14ac:dyDescent="0.3">
      <c r="A85" s="97" t="s">
        <v>203</v>
      </c>
      <c r="B85" s="62">
        <v>0.45100000000000001</v>
      </c>
      <c r="C85" s="65"/>
      <c r="D85" s="408"/>
      <c r="E85" s="112">
        <v>0.54500000000000004</v>
      </c>
      <c r="F85" s="122"/>
      <c r="G85" s="408"/>
      <c r="H85" s="112">
        <f>-1.35/1000</f>
        <v>-1.3500000000000001E-3</v>
      </c>
      <c r="I85" s="122"/>
      <c r="J85" s="114"/>
      <c r="K85" s="62">
        <v>-1.3500000000000001E-3</v>
      </c>
      <c r="L85" s="65"/>
      <c r="M85" s="114"/>
      <c r="N85" s="556">
        <v>0.91974</v>
      </c>
      <c r="O85" s="357"/>
      <c r="P85" s="459"/>
      <c r="Q85" s="62">
        <f>Q84*'AVANISTA INGE - MS 2019 à 2022'!A19</f>
        <v>0.21459999999999999</v>
      </c>
      <c r="R85" s="410"/>
      <c r="S85" s="62">
        <f>S84*'AVANISTA INGE - MS 2019 à 2022'!A19</f>
        <v>0</v>
      </c>
      <c r="T85" s="410"/>
      <c r="U85" s="62">
        <f>'AVANISTA INGE - MS 2019 à 2022'!A19*'AVANISTA INGE - MS 2019 à 2022'!W21</f>
        <v>0</v>
      </c>
      <c r="V85" s="357"/>
    </row>
    <row r="86" spans="1:23" ht="17.25" hidden="1" customHeight="1" outlineLevel="1" x14ac:dyDescent="0.3">
      <c r="A86" s="97" t="s">
        <v>153</v>
      </c>
      <c r="B86" s="62">
        <v>-1.62</v>
      </c>
      <c r="C86" s="65"/>
      <c r="D86" s="408"/>
      <c r="E86" s="112">
        <v>0</v>
      </c>
      <c r="F86" s="122"/>
      <c r="G86" s="408"/>
      <c r="H86" s="112">
        <v>0</v>
      </c>
      <c r="I86" s="122"/>
      <c r="J86" s="114"/>
      <c r="K86" s="62">
        <v>0</v>
      </c>
      <c r="L86" s="65"/>
      <c r="M86" s="114"/>
      <c r="N86" s="112">
        <v>0</v>
      </c>
      <c r="O86" s="357"/>
      <c r="P86" s="459"/>
      <c r="Q86" s="62">
        <v>0</v>
      </c>
      <c r="R86" s="410"/>
      <c r="S86" s="62">
        <v>0</v>
      </c>
      <c r="T86" s="410"/>
      <c r="U86" s="62">
        <v>0</v>
      </c>
      <c r="V86" s="357"/>
    </row>
    <row r="87" spans="1:23" ht="17.25" hidden="1" customHeight="1" outlineLevel="1" x14ac:dyDescent="0.3">
      <c r="A87" s="97" t="s">
        <v>82</v>
      </c>
      <c r="B87" s="62">
        <v>0</v>
      </c>
      <c r="C87" s="65"/>
      <c r="D87" s="408"/>
      <c r="E87" s="112">
        <v>0</v>
      </c>
      <c r="F87" s="122"/>
      <c r="G87" s="408"/>
      <c r="H87" s="112">
        <v>0</v>
      </c>
      <c r="I87" s="122"/>
      <c r="J87" s="114"/>
      <c r="K87" s="62">
        <v>0</v>
      </c>
      <c r="L87" s="65"/>
      <c r="M87" s="114"/>
      <c r="N87" s="112">
        <v>0</v>
      </c>
      <c r="O87" s="357"/>
      <c r="P87" s="459"/>
      <c r="Q87" s="62">
        <v>0</v>
      </c>
      <c r="R87" s="410"/>
      <c r="S87" s="62">
        <v>0</v>
      </c>
      <c r="T87" s="410"/>
      <c r="U87" s="62">
        <v>0</v>
      </c>
      <c r="V87" s="357"/>
    </row>
    <row r="88" spans="1:23" ht="17.25" hidden="1" customHeight="1" outlineLevel="1" x14ac:dyDescent="0.3">
      <c r="A88" s="97" t="s">
        <v>63</v>
      </c>
      <c r="B88" s="62">
        <v>0</v>
      </c>
      <c r="C88" s="65"/>
      <c r="D88" s="408"/>
      <c r="E88" s="112">
        <v>0</v>
      </c>
      <c r="F88" s="122"/>
      <c r="G88" s="408"/>
      <c r="H88" s="112">
        <v>0</v>
      </c>
      <c r="I88" s="122"/>
      <c r="J88" s="114"/>
      <c r="K88" s="62">
        <v>0</v>
      </c>
      <c r="L88" s="65"/>
      <c r="M88" s="114"/>
      <c r="N88" s="112">
        <v>0</v>
      </c>
      <c r="O88" s="357"/>
      <c r="P88" s="459"/>
      <c r="Q88" s="62">
        <v>0</v>
      </c>
      <c r="R88" s="410"/>
      <c r="S88" s="62">
        <v>0</v>
      </c>
      <c r="T88" s="410"/>
      <c r="U88" s="62">
        <v>0</v>
      </c>
      <c r="V88" s="357"/>
    </row>
    <row r="89" spans="1:23" ht="17.25" hidden="1" customHeight="1" outlineLevel="1" x14ac:dyDescent="0.3">
      <c r="A89" s="97" t="s">
        <v>56</v>
      </c>
      <c r="B89" s="62">
        <v>0</v>
      </c>
      <c r="C89" s="65"/>
      <c r="D89" s="408"/>
      <c r="E89" s="112">
        <v>0</v>
      </c>
      <c r="F89" s="122"/>
      <c r="G89" s="408"/>
      <c r="H89" s="112">
        <v>0</v>
      </c>
      <c r="I89" s="122"/>
      <c r="J89" s="114"/>
      <c r="K89" s="62">
        <v>0</v>
      </c>
      <c r="L89" s="65"/>
      <c r="M89" s="114"/>
      <c r="N89" s="112">
        <v>0</v>
      </c>
      <c r="O89" s="357"/>
      <c r="P89" s="459"/>
      <c r="Q89" s="62">
        <v>0</v>
      </c>
      <c r="R89" s="410"/>
      <c r="S89" s="62">
        <v>0</v>
      </c>
      <c r="T89" s="410"/>
      <c r="U89" s="62">
        <v>0</v>
      </c>
      <c r="V89" s="357"/>
    </row>
    <row r="90" spans="1:23" ht="17.25" hidden="1" customHeight="1" outlineLevel="1" x14ac:dyDescent="0.3">
      <c r="A90" s="97" t="s">
        <v>46</v>
      </c>
      <c r="B90" s="62">
        <v>0</v>
      </c>
      <c r="C90" s="60"/>
      <c r="D90" s="51"/>
      <c r="E90" s="112">
        <v>2.4700000000000002</v>
      </c>
      <c r="F90" s="120"/>
      <c r="G90" s="51"/>
      <c r="H90" s="112">
        <v>0</v>
      </c>
      <c r="I90" s="120"/>
      <c r="J90" s="75"/>
      <c r="K90" s="62">
        <v>0</v>
      </c>
      <c r="L90" s="60">
        <v>0</v>
      </c>
      <c r="M90" s="75"/>
      <c r="N90" s="556">
        <v>2.4700000000000002</v>
      </c>
      <c r="O90" s="120"/>
      <c r="P90" s="519"/>
      <c r="Q90" s="62">
        <v>0</v>
      </c>
      <c r="R90" s="389"/>
      <c r="S90" s="62">
        <v>0</v>
      </c>
      <c r="T90" s="389"/>
      <c r="U90" s="62">
        <v>0</v>
      </c>
      <c r="V90" s="120"/>
    </row>
    <row r="91" spans="1:23" ht="16.8" thickBot="1" x14ac:dyDescent="0.35">
      <c r="A91" s="95"/>
      <c r="B91" s="28"/>
      <c r="C91" s="199"/>
      <c r="D91" s="51"/>
      <c r="E91" s="117"/>
      <c r="F91" s="201"/>
      <c r="G91" s="51"/>
      <c r="H91" s="117"/>
      <c r="I91" s="201"/>
      <c r="J91" s="75"/>
      <c r="K91" s="28"/>
      <c r="L91" s="199"/>
      <c r="M91" s="75"/>
      <c r="N91" s="117"/>
      <c r="O91" s="201"/>
      <c r="P91" s="75"/>
      <c r="Q91" s="117"/>
      <c r="R91" s="314"/>
      <c r="S91" s="117"/>
      <c r="T91" s="314"/>
      <c r="U91" s="117"/>
      <c r="V91" s="201"/>
    </row>
    <row r="92" spans="1:23" ht="17.399999999999999" thickTop="1" thickBot="1" x14ac:dyDescent="0.35">
      <c r="A92" s="316" t="s">
        <v>92</v>
      </c>
      <c r="B92" s="317">
        <f>B93+B65</f>
        <v>28.547999999999998</v>
      </c>
      <c r="C92" s="318">
        <f>B92/B8</f>
        <v>2.1040792515881198E-2</v>
      </c>
      <c r="D92" s="412"/>
      <c r="E92" s="319">
        <v>89.66040894999999</v>
      </c>
      <c r="F92" s="318">
        <v>9.9835659351060022E-2</v>
      </c>
      <c r="G92" s="412"/>
      <c r="H92" s="319">
        <f>H93+H65</f>
        <v>156.82393000000002</v>
      </c>
      <c r="I92" s="318">
        <f>+H92/H8</f>
        <v>0.10806110694880552</v>
      </c>
      <c r="J92" s="520"/>
      <c r="K92" s="317">
        <v>172.19450793651512</v>
      </c>
      <c r="L92" s="318">
        <v>0.1016840802191542</v>
      </c>
      <c r="M92" s="520"/>
      <c r="N92" s="319">
        <f>N93+N65</f>
        <v>87.17557999999967</v>
      </c>
      <c r="O92" s="318">
        <f>+N92/N8</f>
        <v>5.0879086420677067E-2</v>
      </c>
      <c r="P92" s="520"/>
      <c r="Q92" s="317" t="e">
        <f>Q93+Q65</f>
        <v>#REF!</v>
      </c>
      <c r="R92" s="320" t="e">
        <f>+Q92/Q8</f>
        <v>#REF!</v>
      </c>
      <c r="S92" s="317" t="e">
        <f>S93+S65</f>
        <v>#REF!</v>
      </c>
      <c r="T92" s="320" t="e">
        <f>+S92/S8</f>
        <v>#REF!</v>
      </c>
      <c r="U92" s="317" t="e">
        <f>U93+U65</f>
        <v>#REF!</v>
      </c>
      <c r="V92" s="318" t="e">
        <f>+U92/U8</f>
        <v>#REF!</v>
      </c>
    </row>
    <row r="93" spans="1:23" ht="18.75" customHeight="1" thickTop="1" thickBot="1" x14ac:dyDescent="0.35">
      <c r="A93" s="88" t="s">
        <v>9</v>
      </c>
      <c r="B93" s="80">
        <f>B39-B41-B61-B63-B65-B74</f>
        <v>27.116</v>
      </c>
      <c r="C93" s="189">
        <f>B93/B8</f>
        <v>1.9985362542406987E-2</v>
      </c>
      <c r="D93" s="388"/>
      <c r="E93" s="239">
        <v>87.779348109414997</v>
      </c>
      <c r="F93" s="189">
        <v>9.7741123407062841E-2</v>
      </c>
      <c r="G93" s="388"/>
      <c r="H93" s="239">
        <f>H39-H41-H61-H63-H65-H74</f>
        <v>155.13793000000001</v>
      </c>
      <c r="I93" s="189">
        <f>+H93/H8</f>
        <v>0.10689935168405934</v>
      </c>
      <c r="J93" s="289"/>
      <c r="K93" s="80">
        <v>170.17130793651512</v>
      </c>
      <c r="L93" s="189">
        <v>0.10048934274718303</v>
      </c>
      <c r="M93" s="289"/>
      <c r="N93" s="239">
        <f>N39-N41-N61-N63-N65-N74</f>
        <v>86.353579999999667</v>
      </c>
      <c r="O93" s="189">
        <f>+N93/N8</f>
        <v>5.0399334992148603E-2</v>
      </c>
      <c r="P93" s="289"/>
      <c r="Q93" s="80" t="e">
        <f>Q39-Q41-Q61-Q63-Q65-Q74</f>
        <v>#REF!</v>
      </c>
      <c r="R93" s="313" t="e">
        <f>+Q93/Q8</f>
        <v>#REF!</v>
      </c>
      <c r="S93" s="80" t="e">
        <f>S39-S41-S61-S63-S65-S74</f>
        <v>#REF!</v>
      </c>
      <c r="T93" s="313" t="e">
        <f>+S93/S8</f>
        <v>#REF!</v>
      </c>
      <c r="U93" s="80" t="e">
        <f>U39-U41-U61-U63-U65-U74</f>
        <v>#REF!</v>
      </c>
      <c r="V93" s="189" t="e">
        <f>+U93/U8</f>
        <v>#REF!</v>
      </c>
      <c r="W93" s="45"/>
    </row>
    <row r="94" spans="1:23" ht="17.399999999999999" collapsed="1" thickTop="1" thickBot="1" x14ac:dyDescent="0.35">
      <c r="A94" s="323"/>
      <c r="B94" s="324"/>
      <c r="C94" s="308"/>
      <c r="D94" s="51"/>
      <c r="E94" s="324"/>
      <c r="F94" s="308"/>
      <c r="G94" s="51"/>
      <c r="H94" s="324"/>
      <c r="I94" s="308"/>
      <c r="J94" s="76"/>
      <c r="K94" s="324"/>
      <c r="L94" s="308"/>
      <c r="M94" s="76"/>
      <c r="N94" s="324"/>
      <c r="O94" s="308"/>
      <c r="P94" s="76"/>
      <c r="Q94" s="324"/>
      <c r="R94" s="325"/>
      <c r="S94" s="324"/>
      <c r="T94" s="325"/>
      <c r="U94" s="324"/>
      <c r="V94" s="308"/>
    </row>
    <row r="95" spans="1:23" ht="17.25" hidden="1" customHeight="1" outlineLevel="1" thickTop="1" x14ac:dyDescent="0.3">
      <c r="A95" s="97" t="s">
        <v>58</v>
      </c>
      <c r="B95" s="413">
        <v>4.0000000000000001E-3</v>
      </c>
      <c r="C95" s="123"/>
      <c r="D95" s="51"/>
      <c r="E95" s="414">
        <v>2E-3</v>
      </c>
      <c r="F95" s="123"/>
      <c r="G95" s="51"/>
      <c r="H95" s="414">
        <f>+-0.81/1000</f>
        <v>-8.1000000000000006E-4</v>
      </c>
      <c r="I95" s="123"/>
      <c r="J95" s="76"/>
      <c r="K95" s="413">
        <v>-9.720000000000001E-4</v>
      </c>
      <c r="L95" s="123">
        <v>-5.7398419471924858E-7</v>
      </c>
      <c r="M95" s="76"/>
      <c r="N95" s="414">
        <v>0.36847000000000002</v>
      </c>
      <c r="O95" s="123"/>
      <c r="P95" s="521"/>
      <c r="Q95" s="414">
        <v>0</v>
      </c>
      <c r="R95" s="415"/>
      <c r="S95" s="414">
        <v>0</v>
      </c>
      <c r="T95" s="415"/>
      <c r="U95" s="414">
        <v>0</v>
      </c>
      <c r="V95" s="123"/>
    </row>
    <row r="96" spans="1:23" ht="17.25" hidden="1" customHeight="1" outlineLevel="1" x14ac:dyDescent="0.3">
      <c r="A96" s="97" t="s">
        <v>59</v>
      </c>
      <c r="B96" s="413">
        <v>3.2000000000000001E-2</v>
      </c>
      <c r="C96" s="123"/>
      <c r="D96" s="51"/>
      <c r="E96" s="414">
        <v>7.0000000000000001E-3</v>
      </c>
      <c r="F96" s="123"/>
      <c r="G96" s="51"/>
      <c r="H96" s="414">
        <f>9.18/1000</f>
        <v>9.1799999999999989E-3</v>
      </c>
      <c r="I96" s="123"/>
      <c r="J96" s="76"/>
      <c r="K96" s="413">
        <v>1.1015999999999998E-2</v>
      </c>
      <c r="L96" s="123">
        <v>6.5051542068181492E-6</v>
      </c>
      <c r="M96" s="76"/>
      <c r="N96" s="414">
        <v>8.6899999999999998E-3</v>
      </c>
      <c r="O96" s="123"/>
      <c r="P96" s="521"/>
      <c r="Q96" s="414">
        <v>0</v>
      </c>
      <c r="R96" s="415"/>
      <c r="S96" s="414">
        <v>0</v>
      </c>
      <c r="T96" s="415"/>
      <c r="U96" s="414">
        <v>0</v>
      </c>
      <c r="V96" s="123"/>
    </row>
    <row r="97" spans="1:22" ht="17.25" hidden="1" customHeight="1" outlineLevel="1" x14ac:dyDescent="0.3">
      <c r="A97" s="97" t="s">
        <v>60</v>
      </c>
      <c r="B97" s="413">
        <v>0</v>
      </c>
      <c r="C97" s="123"/>
      <c r="D97" s="51"/>
      <c r="E97" s="414">
        <v>0</v>
      </c>
      <c r="F97" s="123"/>
      <c r="G97" s="51"/>
      <c r="H97" s="414">
        <v>0</v>
      </c>
      <c r="I97" s="123"/>
      <c r="J97" s="76"/>
      <c r="K97" s="413">
        <v>0</v>
      </c>
      <c r="L97" s="123">
        <v>0</v>
      </c>
      <c r="M97" s="76"/>
      <c r="N97" s="414">
        <v>2.31</v>
      </c>
      <c r="O97" s="123"/>
      <c r="P97" s="521"/>
      <c r="Q97" s="414">
        <v>0</v>
      </c>
      <c r="R97" s="415"/>
      <c r="S97" s="414">
        <v>0</v>
      </c>
      <c r="T97" s="415"/>
      <c r="U97" s="414">
        <v>0</v>
      </c>
      <c r="V97" s="123"/>
    </row>
    <row r="98" spans="1:22" ht="17.25" hidden="1" customHeight="1" outlineLevel="1" x14ac:dyDescent="0.3">
      <c r="A98" s="97" t="s">
        <v>81</v>
      </c>
      <c r="B98" s="413">
        <v>0</v>
      </c>
      <c r="C98" s="123"/>
      <c r="D98" s="51"/>
      <c r="E98" s="414">
        <v>0</v>
      </c>
      <c r="F98" s="123"/>
      <c r="G98" s="51"/>
      <c r="H98" s="414">
        <v>0</v>
      </c>
      <c r="I98" s="123"/>
      <c r="J98" s="76"/>
      <c r="K98" s="413">
        <v>0</v>
      </c>
      <c r="L98" s="123">
        <v>0</v>
      </c>
      <c r="M98" s="76"/>
      <c r="N98" s="414">
        <v>0</v>
      </c>
      <c r="O98" s="123"/>
      <c r="P98" s="521"/>
      <c r="Q98" s="414">
        <v>0</v>
      </c>
      <c r="R98" s="415"/>
      <c r="S98" s="414">
        <v>0</v>
      </c>
      <c r="T98" s="415"/>
      <c r="U98" s="414">
        <v>0</v>
      </c>
      <c r="V98" s="123"/>
    </row>
    <row r="99" spans="1:22" ht="17.25" hidden="1" customHeight="1" outlineLevel="1" x14ac:dyDescent="0.3">
      <c r="A99" s="97" t="s">
        <v>8</v>
      </c>
      <c r="B99" s="413">
        <v>0</v>
      </c>
      <c r="C99" s="123"/>
      <c r="D99" s="51"/>
      <c r="E99" s="414">
        <v>0</v>
      </c>
      <c r="F99" s="123"/>
      <c r="G99" s="51"/>
      <c r="H99" s="414">
        <v>0</v>
      </c>
      <c r="I99" s="123"/>
      <c r="J99" s="76"/>
      <c r="K99" s="413">
        <v>0</v>
      </c>
      <c r="L99" s="123">
        <v>0</v>
      </c>
      <c r="M99" s="76"/>
      <c r="N99" s="414">
        <v>0</v>
      </c>
      <c r="O99" s="123"/>
      <c r="P99" s="521"/>
      <c r="Q99" s="414">
        <v>0</v>
      </c>
      <c r="R99" s="415"/>
      <c r="S99" s="414">
        <v>0</v>
      </c>
      <c r="T99" s="415"/>
      <c r="U99" s="414">
        <v>0</v>
      </c>
      <c r="V99" s="123"/>
    </row>
    <row r="100" spans="1:22" ht="17.25" hidden="1" customHeight="1" outlineLevel="1" x14ac:dyDescent="0.3">
      <c r="A100" s="97" t="s">
        <v>61</v>
      </c>
      <c r="B100" s="62">
        <v>0</v>
      </c>
      <c r="C100" s="120"/>
      <c r="D100" s="51"/>
      <c r="E100" s="109">
        <v>0</v>
      </c>
      <c r="F100" s="120"/>
      <c r="G100" s="51"/>
      <c r="H100" s="109">
        <v>0</v>
      </c>
      <c r="I100" s="120"/>
      <c r="J100" s="75"/>
      <c r="K100" s="62">
        <v>0</v>
      </c>
      <c r="L100" s="120">
        <v>0</v>
      </c>
      <c r="M100" s="75"/>
      <c r="N100" s="414">
        <v>0</v>
      </c>
      <c r="O100" s="120"/>
      <c r="P100" s="521"/>
      <c r="Q100" s="109">
        <v>0</v>
      </c>
      <c r="R100" s="389"/>
      <c r="S100" s="109">
        <v>0</v>
      </c>
      <c r="T100" s="389"/>
      <c r="U100" s="109">
        <v>0</v>
      </c>
      <c r="V100" s="120"/>
    </row>
    <row r="101" spans="1:22" ht="17.25" hidden="1" customHeight="1" outlineLevel="1" thickBot="1" x14ac:dyDescent="0.35">
      <c r="A101" s="97"/>
      <c r="B101" s="326"/>
      <c r="C101" s="201"/>
      <c r="D101" s="51"/>
      <c r="E101" s="200"/>
      <c r="F101" s="201"/>
      <c r="G101" s="51"/>
      <c r="H101" s="200"/>
      <c r="I101" s="201"/>
      <c r="J101" s="75"/>
      <c r="K101" s="326"/>
      <c r="L101" s="201"/>
      <c r="M101" s="75"/>
      <c r="N101" s="200"/>
      <c r="O101" s="201"/>
      <c r="P101" s="521"/>
      <c r="Q101" s="200"/>
      <c r="R101" s="314"/>
      <c r="S101" s="200"/>
      <c r="T101" s="314"/>
      <c r="U101" s="200"/>
      <c r="V101" s="201"/>
    </row>
    <row r="102" spans="1:22" ht="17.399999999999999" thickTop="1" thickBot="1" x14ac:dyDescent="0.35">
      <c r="A102" s="316" t="s">
        <v>93</v>
      </c>
      <c r="B102" s="321">
        <f>B103+B65</f>
        <v>28.52</v>
      </c>
      <c r="C102" s="318">
        <f>B102/B8</f>
        <v>2.1020155616958521E-2</v>
      </c>
      <c r="D102" s="412"/>
      <c r="E102" s="322">
        <v>89.65540894999998</v>
      </c>
      <c r="F102" s="318">
        <v>9.9830091918314601E-2</v>
      </c>
      <c r="G102" s="412"/>
      <c r="H102" s="322">
        <f>H103+H65</f>
        <v>156.81394000000003</v>
      </c>
      <c r="I102" s="318">
        <f>H102/H8</f>
        <v>0.10805422323878489</v>
      </c>
      <c r="J102" s="520"/>
      <c r="K102" s="321">
        <v>172.18251993651512</v>
      </c>
      <c r="L102" s="318">
        <v>0.10167700108075267</v>
      </c>
      <c r="M102" s="520"/>
      <c r="N102" s="322">
        <f>N103+N65</f>
        <v>89.845359999999673</v>
      </c>
      <c r="O102" s="318">
        <f>N102/N8</f>
        <v>5.2437274703957724E-2</v>
      </c>
      <c r="P102" s="520"/>
      <c r="Q102" s="321" t="e">
        <f>Q103+Q65</f>
        <v>#REF!</v>
      </c>
      <c r="R102" s="320" t="e">
        <f>Q102/Q8</f>
        <v>#REF!</v>
      </c>
      <c r="S102" s="321" t="e">
        <f>S103+S65</f>
        <v>#REF!</v>
      </c>
      <c r="T102" s="320" t="e">
        <f>S102/S8</f>
        <v>#REF!</v>
      </c>
      <c r="U102" s="321" t="e">
        <f>U103+U65</f>
        <v>#REF!</v>
      </c>
      <c r="V102" s="318" t="e">
        <f>U102/U8</f>
        <v>#REF!</v>
      </c>
    </row>
    <row r="103" spans="1:22" s="13" customFormat="1" ht="22.2" thickTop="1" thickBot="1" x14ac:dyDescent="0.45">
      <c r="A103" s="88" t="s">
        <v>7</v>
      </c>
      <c r="B103" s="80">
        <f>B93+B95-B96+B97-B99-B100+B98</f>
        <v>27.088000000000001</v>
      </c>
      <c r="C103" s="189">
        <f>B103/B8</f>
        <v>1.9964725643484307E-2</v>
      </c>
      <c r="D103" s="388"/>
      <c r="E103" s="239">
        <v>87.774348109414987</v>
      </c>
      <c r="F103" s="189">
        <v>9.773555597431742E-2</v>
      </c>
      <c r="G103" s="388"/>
      <c r="H103" s="239">
        <f>H93+H95-H96+H97-H99-H100</f>
        <v>155.12794000000002</v>
      </c>
      <c r="I103" s="189">
        <f>+H103/H8</f>
        <v>0.1068924679740387</v>
      </c>
      <c r="J103" s="289"/>
      <c r="K103" s="80">
        <v>170.15931993651512</v>
      </c>
      <c r="L103" s="189">
        <v>0.10048226360878149</v>
      </c>
      <c r="M103" s="289"/>
      <c r="N103" s="239">
        <f>N93+N95-N96+N97-N99-N100</f>
        <v>89.02335999999967</v>
      </c>
      <c r="O103" s="189">
        <f>+N103/N8</f>
        <v>5.1957523275429268E-2</v>
      </c>
      <c r="P103" s="289"/>
      <c r="Q103" s="80" t="e">
        <f>Q93+Q95-Q96+Q97-Q99-Q100</f>
        <v>#REF!</v>
      </c>
      <c r="R103" s="313" t="e">
        <f>+Q103/Q8</f>
        <v>#REF!</v>
      </c>
      <c r="S103" s="80" t="e">
        <f>S93+S95-S96+S97-S99-S100</f>
        <v>#REF!</v>
      </c>
      <c r="T103" s="313" t="e">
        <f>+S103/S8</f>
        <v>#REF!</v>
      </c>
      <c r="U103" s="80" t="e">
        <f>U93+U95-U96+U97-U99-U100</f>
        <v>#REF!</v>
      </c>
      <c r="V103" s="189" t="e">
        <f>+U103/U8</f>
        <v>#REF!</v>
      </c>
    </row>
    <row r="104" spans="1:22" ht="16.8" thickTop="1" x14ac:dyDescent="0.3">
      <c r="A104" s="101"/>
      <c r="B104" s="67"/>
      <c r="C104" s="61"/>
      <c r="D104" s="399"/>
      <c r="E104" s="118"/>
      <c r="F104" s="123"/>
      <c r="G104" s="399"/>
      <c r="H104" s="118"/>
      <c r="I104" s="123"/>
      <c r="J104" s="76"/>
      <c r="K104" s="67"/>
      <c r="L104" s="61"/>
      <c r="M104" s="76"/>
      <c r="N104" s="118"/>
      <c r="O104" s="123"/>
      <c r="P104" s="76"/>
      <c r="Q104" s="118"/>
      <c r="R104" s="415"/>
      <c r="S104" s="118"/>
      <c r="T104" s="415"/>
      <c r="U104" s="118"/>
      <c r="V104" s="123"/>
    </row>
    <row r="105" spans="1:22" x14ac:dyDescent="0.3">
      <c r="A105" s="89" t="s">
        <v>6</v>
      </c>
      <c r="B105" s="62">
        <v>0</v>
      </c>
      <c r="C105" s="60"/>
      <c r="D105" s="51"/>
      <c r="E105" s="112">
        <v>0</v>
      </c>
      <c r="F105" s="120"/>
      <c r="G105" s="51"/>
      <c r="H105" s="112">
        <v>1.74285</v>
      </c>
      <c r="I105" s="120"/>
      <c r="J105" s="75"/>
      <c r="K105" s="62">
        <v>2.0914199999999998</v>
      </c>
      <c r="L105" s="60"/>
      <c r="M105" s="75"/>
      <c r="N105" s="112">
        <f>1.89028</f>
        <v>1.89028</v>
      </c>
      <c r="O105" s="120"/>
      <c r="P105" s="75"/>
      <c r="Q105" s="62">
        <v>0</v>
      </c>
      <c r="R105" s="389"/>
      <c r="S105" s="62">
        <v>0</v>
      </c>
      <c r="T105" s="389"/>
      <c r="U105" s="62">
        <v>0</v>
      </c>
      <c r="V105" s="120"/>
    </row>
    <row r="106" spans="1:22" x14ac:dyDescent="0.3">
      <c r="A106" s="102"/>
      <c r="B106" s="66"/>
      <c r="C106" s="65"/>
      <c r="D106" s="408"/>
      <c r="E106" s="115"/>
      <c r="F106" s="120"/>
      <c r="G106" s="408"/>
      <c r="H106" s="115"/>
      <c r="I106" s="120"/>
      <c r="J106" s="75"/>
      <c r="K106" s="66"/>
      <c r="L106" s="65"/>
      <c r="M106" s="75"/>
      <c r="N106" s="115"/>
      <c r="O106" s="120"/>
      <c r="P106" s="75"/>
      <c r="Q106" s="115"/>
      <c r="R106" s="389"/>
      <c r="S106" s="115"/>
      <c r="T106" s="389"/>
      <c r="U106" s="115"/>
      <c r="V106" s="120"/>
    </row>
    <row r="107" spans="1:22" x14ac:dyDescent="0.3">
      <c r="A107" s="103" t="s">
        <v>5</v>
      </c>
      <c r="B107" s="62">
        <v>0</v>
      </c>
      <c r="C107" s="68"/>
      <c r="D107" s="416"/>
      <c r="E107" s="112">
        <v>0</v>
      </c>
      <c r="F107" s="120"/>
      <c r="G107" s="416"/>
      <c r="H107" s="112">
        <v>0</v>
      </c>
      <c r="I107" s="120"/>
      <c r="J107" s="75"/>
      <c r="K107" s="62">
        <v>0</v>
      </c>
      <c r="L107" s="68"/>
      <c r="M107" s="75"/>
      <c r="N107" s="112">
        <f>8.14287+2.31</f>
        <v>10.452870000000001</v>
      </c>
      <c r="O107" s="120"/>
      <c r="P107" s="75"/>
      <c r="Q107" s="62">
        <v>0</v>
      </c>
      <c r="R107" s="389"/>
      <c r="S107" s="62">
        <v>0</v>
      </c>
      <c r="T107" s="389"/>
      <c r="U107" s="62">
        <v>0</v>
      </c>
      <c r="V107" s="120"/>
    </row>
    <row r="108" spans="1:22" x14ac:dyDescent="0.3">
      <c r="A108" s="104"/>
      <c r="B108" s="69"/>
      <c r="C108" s="63"/>
      <c r="D108" s="401"/>
      <c r="E108" s="109"/>
      <c r="F108" s="120"/>
      <c r="G108" s="401"/>
      <c r="H108" s="109"/>
      <c r="I108" s="120"/>
      <c r="J108" s="75"/>
      <c r="K108" s="69"/>
      <c r="L108" s="63"/>
      <c r="M108" s="75"/>
      <c r="N108" s="109"/>
      <c r="O108" s="120"/>
      <c r="P108" s="75"/>
      <c r="Q108" s="109"/>
      <c r="R108" s="389"/>
      <c r="S108" s="109"/>
      <c r="T108" s="389"/>
      <c r="U108" s="109"/>
      <c r="V108" s="120"/>
    </row>
    <row r="109" spans="1:22" x14ac:dyDescent="0.3">
      <c r="A109" s="105" t="s">
        <v>31</v>
      </c>
      <c r="B109" s="62">
        <v>-2.2189999999999999</v>
      </c>
      <c r="C109" s="70"/>
      <c r="D109" s="417"/>
      <c r="E109" s="117"/>
      <c r="F109" s="124"/>
      <c r="G109" s="417"/>
      <c r="H109" s="112" t="e">
        <f>#REF!*(H103+H105+H107)/(#REF!+#REF!+#REF!)</f>
        <v>#REF!</v>
      </c>
      <c r="I109" s="124"/>
      <c r="J109" s="369"/>
      <c r="K109" s="62">
        <v>-48.230207182224234</v>
      </c>
      <c r="L109" s="70"/>
      <c r="M109" s="369"/>
      <c r="N109" s="112">
        <f>-IF((N103+N105+N107)&gt;0,(N103+N105+N107)*0.28,0)</f>
        <v>-28.382622799999911</v>
      </c>
      <c r="O109" s="120"/>
      <c r="P109" s="75"/>
      <c r="Q109" s="62" t="e">
        <f>-IF((Q103+Q105+Q107)&gt;0,(Q103+Q105+Q107)*0.28,0)</f>
        <v>#REF!</v>
      </c>
      <c r="R109" s="389"/>
      <c r="S109" s="62" t="e">
        <f>-IF((S103+S105+S107)&gt;0,(S103+S105+S107)*0.265,0)</f>
        <v>#REF!</v>
      </c>
      <c r="T109" s="389"/>
      <c r="U109" s="62" t="e">
        <f>-IF((U103+U105+U107)&gt;0,(U103+U105+U107)*0.25,0)</f>
        <v>#REF!</v>
      </c>
      <c r="V109" s="120"/>
    </row>
    <row r="110" spans="1:22" ht="16.8" thickBot="1" x14ac:dyDescent="0.35">
      <c r="A110" s="105"/>
      <c r="B110" s="301"/>
      <c r="C110" s="70"/>
      <c r="D110" s="417"/>
      <c r="E110" s="109"/>
      <c r="F110" s="120"/>
      <c r="G110" s="417"/>
      <c r="H110" s="109"/>
      <c r="I110" s="120"/>
      <c r="J110" s="75"/>
      <c r="K110" s="301"/>
      <c r="L110" s="70"/>
      <c r="M110" s="75"/>
      <c r="N110" s="109"/>
      <c r="O110" s="120"/>
      <c r="P110" s="75"/>
      <c r="Q110" s="109"/>
      <c r="R110" s="389"/>
      <c r="S110" s="109"/>
      <c r="T110" s="389"/>
      <c r="U110" s="109"/>
      <c r="V110" s="120"/>
    </row>
    <row r="111" spans="1:22" ht="17.399999999999999" thickTop="1" thickBot="1" x14ac:dyDescent="0.35">
      <c r="A111" s="205" t="s">
        <v>4</v>
      </c>
      <c r="B111" s="304">
        <f>+B103+B105+B107+B109</f>
        <v>24.869</v>
      </c>
      <c r="C111" s="585">
        <f>+B111/B8</f>
        <v>1.8329251403861904E-2</v>
      </c>
      <c r="D111" s="388"/>
      <c r="E111" s="304">
        <v>87.774348109414987</v>
      </c>
      <c r="F111" s="196">
        <v>9.773555597431742E-2</v>
      </c>
      <c r="G111" s="388"/>
      <c r="H111" s="304" t="e">
        <f>+H103+H105+H107+H109</f>
        <v>#REF!</v>
      </c>
      <c r="I111" s="196" t="e">
        <f>+H111/H8</f>
        <v>#REF!</v>
      </c>
      <c r="J111" s="289"/>
      <c r="K111" s="304">
        <v>124.02053275429088</v>
      </c>
      <c r="L111" s="585">
        <v>7.3236446112781697E-2</v>
      </c>
      <c r="M111" s="289"/>
      <c r="N111" s="304">
        <f>+N103+N105+N107+N109</f>
        <v>72.983887199999771</v>
      </c>
      <c r="O111" s="196">
        <f>+N111/N8</f>
        <v>4.2596258082432593E-2</v>
      </c>
      <c r="P111" s="289"/>
      <c r="Q111" s="87" t="e">
        <f>+Q103+Q105+Q107+Q109</f>
        <v>#REF!</v>
      </c>
      <c r="R111" s="272" t="e">
        <f>+Q111/Q8</f>
        <v>#REF!</v>
      </c>
      <c r="S111" s="87" t="e">
        <f>+S103+S105+S107+S109</f>
        <v>#REF!</v>
      </c>
      <c r="T111" s="272" t="e">
        <f>+S111/S8</f>
        <v>#REF!</v>
      </c>
      <c r="U111" s="87" t="e">
        <f>+U103+U105+U107+U109</f>
        <v>#REF!</v>
      </c>
      <c r="V111" s="358" t="e">
        <f>+U111/U8</f>
        <v>#REF!</v>
      </c>
    </row>
    <row r="112" spans="1:22" ht="16.8" thickTop="1" x14ac:dyDescent="0.3">
      <c r="H112" s="2"/>
      <c r="N112" s="2"/>
      <c r="Q112" s="2"/>
      <c r="S112" s="2"/>
    </row>
    <row r="113" spans="1:19" x14ac:dyDescent="0.3">
      <c r="A113" s="27"/>
      <c r="B113" s="27"/>
      <c r="C113" s="53"/>
      <c r="D113" s="53"/>
      <c r="E113" s="53"/>
      <c r="F113" s="53"/>
      <c r="G113" s="53"/>
      <c r="H113" s="47"/>
      <c r="I113" s="56"/>
      <c r="J113" s="583"/>
      <c r="K113" s="583"/>
      <c r="L113" s="583"/>
      <c r="M113" s="565"/>
      <c r="N113" s="2"/>
      <c r="Q113" s="2"/>
      <c r="S113" s="2"/>
    </row>
    <row r="114" spans="1:19" x14ac:dyDescent="0.3">
      <c r="H114" s="445"/>
    </row>
    <row r="116" spans="1:19" x14ac:dyDescent="0.3">
      <c r="H116" s="423"/>
    </row>
  </sheetData>
  <mergeCells count="21">
    <mergeCell ref="K5:L5"/>
    <mergeCell ref="U4:V4"/>
    <mergeCell ref="Q5:R5"/>
    <mergeCell ref="S5:T5"/>
    <mergeCell ref="U5:V5"/>
    <mergeCell ref="S4:T4"/>
    <mergeCell ref="B4:C4"/>
    <mergeCell ref="H4:I4"/>
    <mergeCell ref="N4:O4"/>
    <mergeCell ref="Q4:R4"/>
    <mergeCell ref="E4:F4"/>
    <mergeCell ref="K4:L4"/>
    <mergeCell ref="A1:V1"/>
    <mergeCell ref="B3:C3"/>
    <mergeCell ref="H3:I3"/>
    <mergeCell ref="N3:O3"/>
    <mergeCell ref="Q3:R3"/>
    <mergeCell ref="S3:T3"/>
    <mergeCell ref="U3:V3"/>
    <mergeCell ref="E3:F3"/>
    <mergeCell ref="K3:L3"/>
  </mergeCells>
  <pageMargins left="0.51181102362204722" right="0.59055118110236227" top="0.74803149606299213" bottom="0.35433070866141736" header="0.11811023622047245" footer="0.31496062992125984"/>
  <pageSetup paperSize="8" scale="79" orientation="landscape" horizontalDpi="4294967295" verticalDpi="4294967295" r:id="rId1"/>
  <headerFooter>
    <oddFooter>Page &amp;P&amp;R&amp;A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3"/>
  <sheetViews>
    <sheetView zoomScale="85" zoomScaleNormal="85" workbookViewId="0">
      <selection activeCell="M47" sqref="M46:N47"/>
    </sheetView>
  </sheetViews>
  <sheetFormatPr baseColWidth="10" defaultRowHeight="14.4" x14ac:dyDescent="0.3"/>
  <cols>
    <col min="2" max="2" width="70.21875" bestFit="1" customWidth="1"/>
    <col min="3" max="3" width="14.21875" customWidth="1"/>
    <col min="4" max="5" width="13.21875" bestFit="1" customWidth="1"/>
    <col min="6" max="6" width="13.21875" customWidth="1"/>
    <col min="7" max="7" width="13.21875" bestFit="1" customWidth="1"/>
    <col min="9" max="9" width="12.21875" customWidth="1"/>
    <col min="12" max="12" width="12.5546875" customWidth="1"/>
  </cols>
  <sheetData>
    <row r="2" spans="2:8" x14ac:dyDescent="0.3">
      <c r="C2" s="425" t="s">
        <v>197</v>
      </c>
      <c r="D2" s="216" t="s">
        <v>192</v>
      </c>
      <c r="E2" s="216" t="s">
        <v>189</v>
      </c>
      <c r="F2" s="216" t="s">
        <v>190</v>
      </c>
      <c r="G2" s="216" t="s">
        <v>191</v>
      </c>
    </row>
    <row r="3" spans="2:8" x14ac:dyDescent="0.3">
      <c r="B3" s="255" t="s">
        <v>121</v>
      </c>
      <c r="C3" s="427" t="s">
        <v>185</v>
      </c>
      <c r="D3" s="427" t="s">
        <v>185</v>
      </c>
      <c r="E3" s="427" t="s">
        <v>185</v>
      </c>
      <c r="F3" s="427" t="s">
        <v>185</v>
      </c>
      <c r="G3" s="427" t="s">
        <v>185</v>
      </c>
      <c r="H3" s="216"/>
    </row>
    <row r="4" spans="2:8" x14ac:dyDescent="0.3">
      <c r="B4" s="15"/>
      <c r="C4" s="27"/>
    </row>
    <row r="5" spans="2:8" x14ac:dyDescent="0.3">
      <c r="B5" s="15" t="s">
        <v>184</v>
      </c>
      <c r="C5" s="442">
        <f>'AVANISTA GROUP - BP 2022'!C32</f>
        <v>16.074999999999999</v>
      </c>
      <c r="D5" s="436"/>
      <c r="E5" s="217">
        <v>20</v>
      </c>
      <c r="F5" s="217">
        <v>25</v>
      </c>
      <c r="G5" s="217">
        <v>30</v>
      </c>
    </row>
    <row r="6" spans="2:8" x14ac:dyDescent="0.3">
      <c r="B6" s="15" t="s">
        <v>196</v>
      </c>
      <c r="C6" s="442">
        <f>'AVANISTA GROUP - BP 2022'!C37</f>
        <v>14.679</v>
      </c>
      <c r="D6" s="436"/>
      <c r="E6" s="217">
        <v>20</v>
      </c>
      <c r="F6" s="217">
        <v>25</v>
      </c>
      <c r="G6" s="217">
        <v>30</v>
      </c>
    </row>
    <row r="7" spans="2:8" x14ac:dyDescent="0.3">
      <c r="B7" s="15" t="s">
        <v>195</v>
      </c>
      <c r="C7" s="442">
        <f>'AVANISTA GROUP - BP 2022'!C34</f>
        <v>22.774999999999999</v>
      </c>
      <c r="D7" s="437"/>
      <c r="E7" s="217">
        <v>40</v>
      </c>
      <c r="F7" s="217">
        <v>50</v>
      </c>
      <c r="G7" s="217">
        <v>60</v>
      </c>
    </row>
    <row r="8" spans="2:8" ht="5.25" customHeight="1" x14ac:dyDescent="0.3">
      <c r="B8" s="15"/>
      <c r="C8" s="441"/>
      <c r="D8" s="290"/>
      <c r="E8" s="290"/>
      <c r="F8" s="290"/>
      <c r="G8" s="290"/>
    </row>
    <row r="9" spans="2:8" x14ac:dyDescent="0.3">
      <c r="B9" s="15" t="s">
        <v>186</v>
      </c>
      <c r="C9" s="437"/>
      <c r="D9" s="428">
        <v>0.05</v>
      </c>
      <c r="E9" s="428">
        <v>0.05</v>
      </c>
      <c r="F9" s="428">
        <v>0.05</v>
      </c>
      <c r="G9" s="428">
        <v>0.05</v>
      </c>
    </row>
    <row r="10" spans="2:8" ht="7.5" customHeight="1" x14ac:dyDescent="0.3">
      <c r="B10" s="15"/>
      <c r="C10" s="441"/>
      <c r="D10" s="426"/>
      <c r="E10" s="426"/>
      <c r="F10" s="426"/>
      <c r="G10" s="426"/>
    </row>
    <row r="11" spans="2:8" x14ac:dyDescent="0.3">
      <c r="B11" s="15" t="s">
        <v>187</v>
      </c>
      <c r="C11" s="441"/>
      <c r="D11" s="217">
        <v>50</v>
      </c>
      <c r="E11" s="217">
        <v>0</v>
      </c>
      <c r="F11" s="217">
        <v>0</v>
      </c>
      <c r="G11" s="217">
        <v>0</v>
      </c>
    </row>
    <row r="12" spans="2:8" x14ac:dyDescent="0.3">
      <c r="B12" s="15" t="s">
        <v>188</v>
      </c>
      <c r="C12" s="441"/>
      <c r="D12" s="217">
        <v>0</v>
      </c>
      <c r="E12" s="217">
        <v>0</v>
      </c>
      <c r="F12" s="217">
        <v>0</v>
      </c>
      <c r="G12" s="217">
        <v>0</v>
      </c>
    </row>
    <row r="13" spans="2:8" x14ac:dyDescent="0.3">
      <c r="B13" s="15"/>
      <c r="C13" s="441"/>
      <c r="D13" s="290"/>
      <c r="E13" s="290"/>
      <c r="F13" s="290"/>
      <c r="G13" s="290"/>
    </row>
    <row r="14" spans="2:8" x14ac:dyDescent="0.3">
      <c r="B14" s="15"/>
      <c r="C14" s="441"/>
      <c r="D14" s="425">
        <v>2019</v>
      </c>
      <c r="E14" s="425">
        <v>2020</v>
      </c>
      <c r="F14" s="425">
        <v>2021</v>
      </c>
      <c r="G14" s="425">
        <v>2022</v>
      </c>
    </row>
    <row r="15" spans="2:8" x14ac:dyDescent="0.3">
      <c r="B15" s="15"/>
      <c r="C15" s="441"/>
      <c r="D15" s="427" t="s">
        <v>185</v>
      </c>
      <c r="E15" s="427" t="s">
        <v>185</v>
      </c>
      <c r="F15" s="427" t="s">
        <v>185</v>
      </c>
      <c r="G15" s="427" t="s">
        <v>185</v>
      </c>
    </row>
    <row r="16" spans="2:8" x14ac:dyDescent="0.3">
      <c r="B16" s="15" t="s">
        <v>147</v>
      </c>
      <c r="C16" s="441"/>
      <c r="D16" s="217">
        <v>170</v>
      </c>
      <c r="E16" s="217">
        <v>170</v>
      </c>
      <c r="F16" s="217">
        <v>140</v>
      </c>
      <c r="G16" s="217">
        <v>140</v>
      </c>
    </row>
    <row r="17" spans="2:9" x14ac:dyDescent="0.3">
      <c r="B17" s="15" t="s">
        <v>148</v>
      </c>
      <c r="C17" s="441"/>
      <c r="D17" s="217">
        <v>170</v>
      </c>
      <c r="E17" s="217">
        <v>170</v>
      </c>
      <c r="F17" s="217">
        <v>140</v>
      </c>
      <c r="G17" s="217">
        <v>140</v>
      </c>
    </row>
    <row r="18" spans="2:9" x14ac:dyDescent="0.3">
      <c r="B18" s="15" t="s">
        <v>193</v>
      </c>
      <c r="C18" s="441"/>
      <c r="D18" s="429">
        <v>70</v>
      </c>
      <c r="E18" s="290"/>
      <c r="F18" s="290"/>
      <c r="G18" s="290"/>
    </row>
    <row r="19" spans="2:9" x14ac:dyDescent="0.3">
      <c r="B19" s="15" t="s">
        <v>194</v>
      </c>
      <c r="C19" s="27"/>
      <c r="D19" s="429">
        <v>70</v>
      </c>
      <c r="E19" s="290"/>
      <c r="F19" s="290"/>
      <c r="G19" s="290"/>
    </row>
    <row r="20" spans="2:9" x14ac:dyDescent="0.3">
      <c r="C20" s="27"/>
      <c r="D20" s="15"/>
    </row>
    <row r="21" spans="2:9" x14ac:dyDescent="0.3">
      <c r="C21" s="438">
        <v>2018</v>
      </c>
      <c r="D21" s="425">
        <v>2019</v>
      </c>
      <c r="E21" s="425">
        <v>2020</v>
      </c>
      <c r="F21" s="425">
        <v>2021</v>
      </c>
      <c r="G21" s="425">
        <v>2022</v>
      </c>
    </row>
    <row r="22" spans="2:9" x14ac:dyDescent="0.3">
      <c r="C22" s="427" t="s">
        <v>185</v>
      </c>
      <c r="D22" s="427" t="s">
        <v>185</v>
      </c>
      <c r="E22" s="427" t="s">
        <v>185</v>
      </c>
      <c r="F22" s="427" t="s">
        <v>185</v>
      </c>
      <c r="G22" s="427" t="s">
        <v>185</v>
      </c>
    </row>
    <row r="23" spans="2:9" x14ac:dyDescent="0.3">
      <c r="B23" s="270" t="s">
        <v>116</v>
      </c>
      <c r="C23" s="27"/>
    </row>
    <row r="24" spans="2:9" x14ac:dyDescent="0.3">
      <c r="B24" s="270"/>
      <c r="C24" s="27"/>
    </row>
    <row r="25" spans="2:9" x14ac:dyDescent="0.3">
      <c r="B25" s="309" t="s">
        <v>128</v>
      </c>
      <c r="C25" s="441"/>
      <c r="D25" s="217">
        <v>5063.5810799999999</v>
      </c>
      <c r="E25" s="217">
        <v>5500</v>
      </c>
      <c r="F25" s="217">
        <v>6000</v>
      </c>
      <c r="G25" s="217">
        <v>7000</v>
      </c>
    </row>
    <row r="26" spans="2:9" x14ac:dyDescent="0.3">
      <c r="B26" t="s">
        <v>87</v>
      </c>
      <c r="C26" s="441"/>
      <c r="D26" s="217">
        <v>3199.2834600000001</v>
      </c>
      <c r="E26" s="217">
        <v>2000</v>
      </c>
      <c r="F26" s="217">
        <v>2500</v>
      </c>
      <c r="G26" s="217">
        <v>3500</v>
      </c>
      <c r="I26" s="352">
        <f>D25-D26</f>
        <v>1864.2976199999998</v>
      </c>
    </row>
    <row r="27" spans="2:9" x14ac:dyDescent="0.3">
      <c r="B27" s="15" t="s">
        <v>88</v>
      </c>
      <c r="C27" s="441"/>
      <c r="D27" s="291"/>
      <c r="E27" s="292"/>
      <c r="F27" s="292"/>
      <c r="G27" s="292"/>
    </row>
    <row r="28" spans="2:9" x14ac:dyDescent="0.3">
      <c r="B28" s="15" t="s">
        <v>198</v>
      </c>
      <c r="C28" s="442">
        <f>'AVANISTA - BP 2022'!B50</f>
        <v>8.6829999999999998</v>
      </c>
      <c r="D28" s="217">
        <v>9.9397500000000001</v>
      </c>
      <c r="E28" s="217">
        <v>5</v>
      </c>
      <c r="F28" s="217">
        <v>10</v>
      </c>
      <c r="G28" s="217">
        <v>15</v>
      </c>
    </row>
    <row r="29" spans="2:9" x14ac:dyDescent="0.3">
      <c r="B29" s="15" t="s">
        <v>199</v>
      </c>
      <c r="C29" s="442">
        <f>'AVANISTA - BP 2022'!B53</f>
        <v>16.814</v>
      </c>
      <c r="D29" s="217">
        <v>1</v>
      </c>
      <c r="E29" s="217">
        <v>5</v>
      </c>
      <c r="F29" s="217">
        <v>5</v>
      </c>
      <c r="G29" s="217">
        <v>5</v>
      </c>
    </row>
    <row r="30" spans="2:9" x14ac:dyDescent="0.3">
      <c r="B30" s="15" t="s">
        <v>149</v>
      </c>
      <c r="C30" s="442">
        <f>'AVANISTA - BP 2022'!B54</f>
        <v>13.989000000000001</v>
      </c>
      <c r="D30" s="217"/>
      <c r="E30" s="217">
        <v>15</v>
      </c>
      <c r="F30" s="217">
        <v>20</v>
      </c>
      <c r="G30" s="217">
        <v>25</v>
      </c>
    </row>
    <row r="31" spans="2:9" x14ac:dyDescent="0.3">
      <c r="B31" s="15"/>
      <c r="C31" s="441"/>
      <c r="D31" s="290"/>
      <c r="E31" s="290"/>
      <c r="F31" s="290"/>
      <c r="G31" s="290"/>
    </row>
    <row r="32" spans="2:9" x14ac:dyDescent="0.3">
      <c r="B32" s="270" t="s">
        <v>117</v>
      </c>
      <c r="C32" s="441"/>
      <c r="D32" s="290"/>
      <c r="E32" s="290"/>
      <c r="F32" s="290"/>
      <c r="G32" s="290"/>
    </row>
    <row r="33" spans="2:14" x14ac:dyDescent="0.3">
      <c r="B33" s="15"/>
      <c r="C33" s="441"/>
      <c r="D33" s="290"/>
      <c r="E33" s="290"/>
      <c r="F33" s="290"/>
      <c r="G33" s="290"/>
    </row>
    <row r="34" spans="2:14" x14ac:dyDescent="0.3">
      <c r="B34" s="309" t="s">
        <v>128</v>
      </c>
      <c r="C34" s="441"/>
      <c r="D34" s="217">
        <v>1693.42642</v>
      </c>
      <c r="E34" s="217">
        <v>2500</v>
      </c>
      <c r="F34" s="217">
        <v>3500</v>
      </c>
      <c r="G34" s="217">
        <v>5000</v>
      </c>
    </row>
    <row r="35" spans="2:14" x14ac:dyDescent="0.3">
      <c r="B35" t="s">
        <v>87</v>
      </c>
      <c r="C35" s="441"/>
      <c r="D35" s="217">
        <v>320.83249999999998</v>
      </c>
      <c r="E35" s="217">
        <v>750</v>
      </c>
      <c r="F35" s="217">
        <v>1000</v>
      </c>
      <c r="G35" s="217">
        <v>1500</v>
      </c>
    </row>
    <row r="36" spans="2:14" x14ac:dyDescent="0.3">
      <c r="B36" s="15" t="s">
        <v>88</v>
      </c>
      <c r="C36" s="441"/>
      <c r="D36" s="217"/>
      <c r="E36" s="217"/>
      <c r="F36" s="217"/>
      <c r="G36" s="217"/>
    </row>
    <row r="37" spans="2:14" x14ac:dyDescent="0.3">
      <c r="B37" s="15" t="s">
        <v>149</v>
      </c>
      <c r="C37" s="442">
        <f>'AVANISTA INGENIERIE - BP 2022'!B54</f>
        <v>0</v>
      </c>
      <c r="D37" s="217">
        <v>0</v>
      </c>
      <c r="E37" s="217">
        <v>0</v>
      </c>
      <c r="F37" s="217">
        <v>0</v>
      </c>
      <c r="G37" s="217">
        <v>0</v>
      </c>
    </row>
    <row r="38" spans="2:14" x14ac:dyDescent="0.3">
      <c r="B38" s="15" t="s">
        <v>204</v>
      </c>
      <c r="C38" s="442">
        <f>'AVANISTA INGENIERIE - BP 2022'!B50</f>
        <v>0</v>
      </c>
      <c r="D38" s="217">
        <v>15</v>
      </c>
      <c r="E38" s="217">
        <v>15</v>
      </c>
      <c r="F38" s="217">
        <v>15</v>
      </c>
      <c r="G38" s="217">
        <v>15</v>
      </c>
    </row>
    <row r="39" spans="2:14" x14ac:dyDescent="0.3">
      <c r="B39" s="15" t="s">
        <v>85</v>
      </c>
      <c r="C39" s="442">
        <f>'AVANISTA INGENIERIE - BP 2022'!B53</f>
        <v>7.8970000000000002</v>
      </c>
      <c r="D39" s="217">
        <v>4</v>
      </c>
      <c r="E39" s="217">
        <v>0</v>
      </c>
      <c r="F39" s="217">
        <v>0</v>
      </c>
      <c r="G39" s="217">
        <v>0</v>
      </c>
    </row>
    <row r="40" spans="2:14" x14ac:dyDescent="0.3">
      <c r="B40" s="15"/>
    </row>
    <row r="41" spans="2:14" x14ac:dyDescent="0.3">
      <c r="B41" s="15"/>
    </row>
    <row r="42" spans="2:14" x14ac:dyDescent="0.3">
      <c r="B42" s="281" t="s">
        <v>65</v>
      </c>
    </row>
    <row r="44" spans="2:14" x14ac:dyDescent="0.3">
      <c r="C44" s="652">
        <v>2019</v>
      </c>
      <c r="D44" s="653"/>
      <c r="E44" s="654"/>
      <c r="F44" s="652">
        <v>2020</v>
      </c>
      <c r="G44" s="653"/>
      <c r="H44" s="653"/>
      <c r="I44" s="652">
        <v>2021</v>
      </c>
      <c r="J44" s="653"/>
      <c r="K44" s="653"/>
      <c r="L44" s="652">
        <v>2022</v>
      </c>
      <c r="M44" s="653"/>
      <c r="N44" s="654"/>
    </row>
    <row r="45" spans="2:14" ht="29.25" customHeight="1" x14ac:dyDescent="0.3">
      <c r="C45" s="283" t="s">
        <v>79</v>
      </c>
      <c r="D45" s="284" t="s">
        <v>116</v>
      </c>
      <c r="E45" s="285" t="s">
        <v>117</v>
      </c>
      <c r="F45" s="283" t="s">
        <v>79</v>
      </c>
      <c r="G45" s="284" t="s">
        <v>116</v>
      </c>
      <c r="H45" s="285" t="s">
        <v>117</v>
      </c>
      <c r="I45" s="283" t="s">
        <v>79</v>
      </c>
      <c r="J45" s="284" t="s">
        <v>116</v>
      </c>
      <c r="K45" s="285" t="s">
        <v>117</v>
      </c>
      <c r="L45" s="283" t="s">
        <v>79</v>
      </c>
      <c r="M45" s="284" t="s">
        <v>116</v>
      </c>
      <c r="N45" s="285" t="s">
        <v>117</v>
      </c>
    </row>
    <row r="46" spans="2:14" x14ac:dyDescent="0.3">
      <c r="B46" t="s">
        <v>129</v>
      </c>
      <c r="C46" s="229">
        <v>720</v>
      </c>
      <c r="D46" s="226">
        <v>0.72230000000000005</v>
      </c>
      <c r="E46" s="226">
        <v>0.2777</v>
      </c>
      <c r="F46" s="229">
        <v>720</v>
      </c>
      <c r="G46" s="226">
        <v>0.72230000000000005</v>
      </c>
      <c r="H46" s="226">
        <v>0.2777</v>
      </c>
      <c r="I46" s="229">
        <v>720</v>
      </c>
      <c r="J46" s="226">
        <v>0.72230000000000005</v>
      </c>
      <c r="K46" s="226">
        <v>0.2777</v>
      </c>
      <c r="L46" s="229">
        <v>720</v>
      </c>
      <c r="M46" s="226">
        <v>0.72230000000000005</v>
      </c>
      <c r="N46" s="280">
        <v>0.2777</v>
      </c>
    </row>
    <row r="47" spans="2:14" x14ac:dyDescent="0.3">
      <c r="B47" t="s">
        <v>130</v>
      </c>
      <c r="C47" s="279">
        <v>96.287999999999997</v>
      </c>
      <c r="D47" s="226">
        <v>0.72230000000000005</v>
      </c>
      <c r="E47" s="226">
        <v>0.2777</v>
      </c>
      <c r="F47" s="279"/>
      <c r="G47" s="226">
        <v>0.72230000000000005</v>
      </c>
      <c r="H47" s="226">
        <v>0.2777</v>
      </c>
      <c r="I47" s="279"/>
      <c r="J47" s="226">
        <v>0.72230000000000005</v>
      </c>
      <c r="K47" s="226">
        <v>0.2777</v>
      </c>
      <c r="L47" s="279"/>
      <c r="M47" s="226">
        <v>0.72230000000000005</v>
      </c>
      <c r="N47" s="280">
        <v>0.2777</v>
      </c>
    </row>
    <row r="48" spans="2:14" x14ac:dyDescent="0.3">
      <c r="C48" s="279"/>
      <c r="D48" s="274"/>
      <c r="E48" s="275"/>
      <c r="F48" s="273"/>
      <c r="G48" s="274"/>
      <c r="H48" s="274"/>
      <c r="I48" s="273"/>
      <c r="J48" s="274"/>
      <c r="K48" s="274"/>
      <c r="L48" s="273"/>
      <c r="M48" s="274"/>
      <c r="N48" s="275"/>
    </row>
    <row r="49" spans="2:14" x14ac:dyDescent="0.3">
      <c r="C49" s="276"/>
      <c r="D49" s="277"/>
      <c r="E49" s="278"/>
      <c r="F49" s="276"/>
      <c r="G49" s="277"/>
      <c r="H49" s="277"/>
      <c r="I49" s="276"/>
      <c r="J49" s="277"/>
      <c r="K49" s="277"/>
      <c r="L49" s="276"/>
      <c r="M49" s="277"/>
      <c r="N49" s="278"/>
    </row>
    <row r="50" spans="2:14" x14ac:dyDescent="0.3">
      <c r="B50" t="s">
        <v>180</v>
      </c>
      <c r="D50" s="2">
        <f>'AVANISTA - BP 2022'!K8</f>
        <v>5155</v>
      </c>
      <c r="E50" s="2" t="e">
        <f>'AVANISTA INGENIERIE - BP 2022'!#REF!</f>
        <v>#REF!</v>
      </c>
    </row>
    <row r="51" spans="2:14" x14ac:dyDescent="0.3">
      <c r="D51" s="424" t="e">
        <f>D50/(D50+E50)</f>
        <v>#REF!</v>
      </c>
      <c r="E51" s="424" t="e">
        <f>E50/(D50+E50)</f>
        <v>#REF!</v>
      </c>
    </row>
    <row r="52" spans="2:14" x14ac:dyDescent="0.3">
      <c r="D52" s="352"/>
    </row>
    <row r="53" spans="2:14" x14ac:dyDescent="0.3">
      <c r="D53" s="353"/>
    </row>
  </sheetData>
  <mergeCells count="4">
    <mergeCell ref="I44:K44"/>
    <mergeCell ref="F44:H44"/>
    <mergeCell ref="C44:E44"/>
    <mergeCell ref="L44:N44"/>
  </mergeCells>
  <pageMargins left="0.7" right="0.7" top="0.75" bottom="0.75" header="0.3" footer="0.3"/>
  <pageSetup paperSize="9" orientation="portrait" r:id="rId1"/>
  <headerFooter>
    <oddFooter>Page &amp;P&amp;R&amp;A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4"/>
  <sheetViews>
    <sheetView zoomScale="85" zoomScaleNormal="85" workbookViewId="0">
      <pane xSplit="2" topLeftCell="C1" activePane="topRight" state="frozen"/>
      <selection activeCell="B1" sqref="B1"/>
      <selection pane="topRight" activeCell="H7" sqref="H7:H14"/>
    </sheetView>
  </sheetViews>
  <sheetFormatPr baseColWidth="10" defaultColWidth="11.44140625" defaultRowHeight="14.4" x14ac:dyDescent="0.3"/>
  <cols>
    <col min="1" max="1" width="22.21875" style="15" customWidth="1"/>
    <col min="2" max="2" width="40.21875" style="15" customWidth="1"/>
    <col min="3" max="3" width="4.77734375" style="15" customWidth="1"/>
    <col min="4" max="5" width="14.77734375" style="15" customWidth="1"/>
    <col min="6" max="6" width="14.44140625" style="15" customWidth="1"/>
    <col min="7" max="7" width="11" style="15" customWidth="1"/>
    <col min="8" max="8" width="11.44140625" style="15" customWidth="1"/>
    <col min="9" max="9" width="2" style="15" customWidth="1"/>
    <col min="10" max="10" width="11.44140625" style="15"/>
    <col min="11" max="11" width="12.5546875" style="15" customWidth="1"/>
    <col min="12" max="13" width="11.44140625" style="15"/>
    <col min="14" max="14" width="3" style="15" customWidth="1"/>
    <col min="15" max="15" width="11.44140625" style="15"/>
    <col min="16" max="16" width="13.5546875" style="15" customWidth="1"/>
    <col min="17" max="18" width="11.44140625" style="15"/>
    <col min="19" max="19" width="2.77734375" style="15" customWidth="1"/>
    <col min="20" max="20" width="11.44140625" style="15"/>
    <col min="21" max="21" width="11.77734375" style="15" customWidth="1"/>
    <col min="22" max="16384" width="11.44140625" style="15"/>
  </cols>
  <sheetData>
    <row r="2" spans="1:23" x14ac:dyDescent="0.3">
      <c r="A2" s="18"/>
      <c r="B2" s="18"/>
      <c r="C2" s="18"/>
      <c r="D2" s="18"/>
      <c r="E2" s="18"/>
      <c r="F2" s="18"/>
      <c r="G2" s="18"/>
    </row>
    <row r="3" spans="1:23" x14ac:dyDescent="0.3">
      <c r="A3" s="666" t="s">
        <v>20</v>
      </c>
      <c r="B3" s="667" t="s">
        <v>21</v>
      </c>
      <c r="D3" s="655" t="s">
        <v>142</v>
      </c>
      <c r="E3" s="656"/>
      <c r="F3" s="656"/>
      <c r="G3" s="656"/>
      <c r="H3" s="657"/>
      <c r="I3" s="33"/>
      <c r="J3" s="655" t="s">
        <v>144</v>
      </c>
      <c r="K3" s="656"/>
      <c r="L3" s="656"/>
      <c r="M3" s="657"/>
      <c r="O3" s="655" t="s">
        <v>145</v>
      </c>
      <c r="P3" s="656"/>
      <c r="Q3" s="656"/>
      <c r="R3" s="657"/>
      <c r="T3" s="655" t="s">
        <v>146</v>
      </c>
      <c r="U3" s="656"/>
      <c r="V3" s="656"/>
      <c r="W3" s="657"/>
    </row>
    <row r="4" spans="1:23" ht="21" customHeight="1" x14ac:dyDescent="0.3">
      <c r="A4" s="658"/>
      <c r="B4" s="662"/>
      <c r="C4" s="36"/>
      <c r="D4" s="658" t="s">
        <v>69</v>
      </c>
      <c r="E4" s="660" t="s">
        <v>220</v>
      </c>
      <c r="F4" s="660" t="s">
        <v>172</v>
      </c>
      <c r="G4" s="660" t="s">
        <v>70</v>
      </c>
      <c r="H4" s="662" t="s">
        <v>67</v>
      </c>
      <c r="I4" s="220"/>
      <c r="J4" s="658" t="s">
        <v>69</v>
      </c>
      <c r="K4" s="660" t="s">
        <v>172</v>
      </c>
      <c r="L4" s="660" t="s">
        <v>70</v>
      </c>
      <c r="M4" s="662" t="s">
        <v>67</v>
      </c>
      <c r="O4" s="658" t="s">
        <v>69</v>
      </c>
      <c r="P4" s="660" t="s">
        <v>172</v>
      </c>
      <c r="Q4" s="660" t="s">
        <v>70</v>
      </c>
      <c r="R4" s="662" t="s">
        <v>67</v>
      </c>
      <c r="T4" s="658" t="s">
        <v>69</v>
      </c>
      <c r="U4" s="660" t="s">
        <v>172</v>
      </c>
      <c r="V4" s="660" t="s">
        <v>70</v>
      </c>
      <c r="W4" s="662" t="s">
        <v>67</v>
      </c>
    </row>
    <row r="5" spans="1:23" ht="47.25" customHeight="1" x14ac:dyDescent="0.3">
      <c r="A5" s="659"/>
      <c r="B5" s="663"/>
      <c r="C5" s="36"/>
      <c r="D5" s="659"/>
      <c r="E5" s="661"/>
      <c r="F5" s="661"/>
      <c r="G5" s="661"/>
      <c r="H5" s="663"/>
      <c r="I5" s="220"/>
      <c r="J5" s="659"/>
      <c r="K5" s="661"/>
      <c r="L5" s="661"/>
      <c r="M5" s="663"/>
      <c r="O5" s="659"/>
      <c r="P5" s="661"/>
      <c r="Q5" s="661"/>
      <c r="R5" s="663"/>
      <c r="T5" s="659"/>
      <c r="U5" s="661"/>
      <c r="V5" s="661"/>
      <c r="W5" s="663"/>
    </row>
    <row r="6" spans="1:23" x14ac:dyDescent="0.3">
      <c r="A6" s="28"/>
      <c r="B6" s="236"/>
      <c r="D6" s="28"/>
      <c r="E6" s="29"/>
      <c r="F6" s="29"/>
      <c r="G6" s="29"/>
      <c r="H6" s="30"/>
      <c r="I6" s="29"/>
      <c r="J6" s="28"/>
      <c r="K6" s="29"/>
      <c r="L6" s="29"/>
      <c r="M6" s="30"/>
      <c r="O6" s="28"/>
      <c r="P6" s="29"/>
      <c r="Q6" s="29"/>
      <c r="R6" s="30"/>
      <c r="T6" s="198"/>
      <c r="U6" s="261"/>
      <c r="V6" s="261"/>
      <c r="W6" s="262"/>
    </row>
    <row r="7" spans="1:23" x14ac:dyDescent="0.3">
      <c r="A7" s="223" t="s">
        <v>138</v>
      </c>
      <c r="B7" s="224"/>
      <c r="C7" s="19"/>
      <c r="D7" s="229">
        <v>48500</v>
      </c>
      <c r="E7" s="217">
        <v>12066</v>
      </c>
      <c r="F7" s="217">
        <v>3000</v>
      </c>
      <c r="G7" s="373">
        <v>4</v>
      </c>
      <c r="H7" s="218">
        <f>D7*G7/12+F7</f>
        <v>19166.666666666664</v>
      </c>
      <c r="I7" s="221"/>
      <c r="J7" s="229">
        <v>48500</v>
      </c>
      <c r="K7" s="217">
        <v>6000</v>
      </c>
      <c r="L7" s="269">
        <v>9</v>
      </c>
      <c r="M7" s="218">
        <f>J7*L7/12+K7</f>
        <v>42375</v>
      </c>
      <c r="O7" s="229">
        <v>48500</v>
      </c>
      <c r="P7" s="217">
        <v>6000</v>
      </c>
      <c r="Q7" s="269">
        <v>12</v>
      </c>
      <c r="R7" s="218">
        <f t="shared" ref="R7:R13" si="0">O7*Q7/12+P7</f>
        <v>54500</v>
      </c>
      <c r="T7" s="229">
        <v>48500</v>
      </c>
      <c r="U7" s="217">
        <v>6000</v>
      </c>
      <c r="V7" s="269">
        <v>12</v>
      </c>
      <c r="W7" s="218">
        <f t="shared" ref="W7:W13" si="1">T7*V7/12+U7</f>
        <v>54500</v>
      </c>
    </row>
    <row r="8" spans="1:23" x14ac:dyDescent="0.3">
      <c r="A8" s="235" t="s">
        <v>139</v>
      </c>
      <c r="B8" s="237"/>
      <c r="C8" s="14"/>
      <c r="D8" s="229">
        <v>27000</v>
      </c>
      <c r="E8" s="217">
        <v>7940</v>
      </c>
      <c r="F8" s="217"/>
      <c r="G8" s="373">
        <v>6</v>
      </c>
      <c r="H8" s="218">
        <f t="shared" ref="H8:H13" si="2">D8*G8/12+F8</f>
        <v>13500</v>
      </c>
      <c r="I8" s="221"/>
      <c r="J8" s="229">
        <v>27000</v>
      </c>
      <c r="K8" s="217"/>
      <c r="L8" s="269">
        <v>12</v>
      </c>
      <c r="M8" s="218">
        <f t="shared" ref="M8:M13" si="3">J8*L8/12+K8</f>
        <v>27000</v>
      </c>
      <c r="O8" s="229">
        <v>27000</v>
      </c>
      <c r="P8" s="217"/>
      <c r="Q8" s="269">
        <v>12</v>
      </c>
      <c r="R8" s="218">
        <f t="shared" si="0"/>
        <v>27000</v>
      </c>
      <c r="T8" s="229">
        <v>27000</v>
      </c>
      <c r="U8" s="217"/>
      <c r="V8" s="269">
        <v>12</v>
      </c>
      <c r="W8" s="218">
        <f t="shared" si="1"/>
        <v>27000</v>
      </c>
    </row>
    <row r="9" spans="1:23" x14ac:dyDescent="0.3">
      <c r="A9" s="223" t="s">
        <v>140</v>
      </c>
      <c r="B9" s="224"/>
      <c r="C9" s="32"/>
      <c r="D9" s="229">
        <v>6300</v>
      </c>
      <c r="E9" s="217">
        <v>603.75</v>
      </c>
      <c r="F9" s="217"/>
      <c r="G9" s="373">
        <v>2</v>
      </c>
      <c r="H9" s="218">
        <f>D9*G9/12+F9</f>
        <v>1050</v>
      </c>
      <c r="I9" s="221"/>
      <c r="J9" s="229">
        <v>6300</v>
      </c>
      <c r="K9" s="217"/>
      <c r="L9" s="269">
        <v>2</v>
      </c>
      <c r="M9" s="218">
        <f t="shared" si="3"/>
        <v>1050</v>
      </c>
      <c r="O9" s="229">
        <v>6300</v>
      </c>
      <c r="P9" s="217"/>
      <c r="Q9" s="269">
        <v>12</v>
      </c>
      <c r="R9" s="218">
        <f t="shared" si="0"/>
        <v>6300</v>
      </c>
      <c r="T9" s="229">
        <v>6300</v>
      </c>
      <c r="U9" s="217"/>
      <c r="V9" s="269">
        <v>12</v>
      </c>
      <c r="W9" s="218">
        <f t="shared" si="1"/>
        <v>6300</v>
      </c>
    </row>
    <row r="10" spans="1:23" x14ac:dyDescent="0.3">
      <c r="A10" s="235" t="s">
        <v>141</v>
      </c>
      <c r="B10" s="237"/>
      <c r="C10" s="32"/>
      <c r="D10" s="229">
        <v>6300</v>
      </c>
      <c r="E10" s="217">
        <v>840</v>
      </c>
      <c r="F10" s="217"/>
      <c r="G10" s="373">
        <v>2</v>
      </c>
      <c r="H10" s="218">
        <f t="shared" si="2"/>
        <v>1050</v>
      </c>
      <c r="I10" s="221"/>
      <c r="J10" s="229">
        <v>6300</v>
      </c>
      <c r="K10" s="217"/>
      <c r="L10" s="269">
        <v>2</v>
      </c>
      <c r="M10" s="218">
        <f t="shared" si="3"/>
        <v>1050</v>
      </c>
      <c r="O10" s="229">
        <v>6300</v>
      </c>
      <c r="P10" s="217"/>
      <c r="Q10" s="269">
        <v>12</v>
      </c>
      <c r="R10" s="218">
        <f t="shared" si="0"/>
        <v>6300</v>
      </c>
      <c r="T10" s="229">
        <v>6300</v>
      </c>
      <c r="U10" s="217"/>
      <c r="V10" s="269">
        <v>12</v>
      </c>
      <c r="W10" s="218">
        <f t="shared" si="1"/>
        <v>6300</v>
      </c>
    </row>
    <row r="11" spans="1:23" x14ac:dyDescent="0.3">
      <c r="A11" s="219" t="s">
        <v>24</v>
      </c>
      <c r="B11" s="225"/>
      <c r="C11" s="32"/>
      <c r="D11" s="229"/>
      <c r="E11" s="217"/>
      <c r="F11" s="217"/>
      <c r="G11" s="269"/>
      <c r="H11" s="218">
        <f t="shared" si="2"/>
        <v>0</v>
      </c>
      <c r="I11" s="221"/>
      <c r="J11" s="229"/>
      <c r="K11" s="217"/>
      <c r="L11" s="269"/>
      <c r="M11" s="218">
        <f t="shared" si="3"/>
        <v>0</v>
      </c>
      <c r="O11" s="229"/>
      <c r="P11" s="217"/>
      <c r="Q11" s="269"/>
      <c r="R11" s="218">
        <f t="shared" si="0"/>
        <v>0</v>
      </c>
      <c r="T11" s="229"/>
      <c r="U11" s="217"/>
      <c r="V11" s="269"/>
      <c r="W11" s="218">
        <f t="shared" si="1"/>
        <v>0</v>
      </c>
    </row>
    <row r="12" spans="1:23" x14ac:dyDescent="0.3">
      <c r="A12" s="219" t="s">
        <v>25</v>
      </c>
      <c r="B12" s="225"/>
      <c r="C12" s="32"/>
      <c r="D12" s="229"/>
      <c r="E12" s="217"/>
      <c r="F12" s="217"/>
      <c r="G12" s="269"/>
      <c r="H12" s="218">
        <f t="shared" si="2"/>
        <v>0</v>
      </c>
      <c r="I12" s="221"/>
      <c r="J12" s="229"/>
      <c r="K12" s="217"/>
      <c r="L12" s="269"/>
      <c r="M12" s="218">
        <f t="shared" si="3"/>
        <v>0</v>
      </c>
      <c r="O12" s="229"/>
      <c r="P12" s="217"/>
      <c r="Q12" s="269"/>
      <c r="R12" s="218">
        <f t="shared" si="0"/>
        <v>0</v>
      </c>
      <c r="T12" s="229"/>
      <c r="U12" s="217"/>
      <c r="V12" s="269"/>
      <c r="W12" s="218">
        <f t="shared" si="1"/>
        <v>0</v>
      </c>
    </row>
    <row r="13" spans="1:23" x14ac:dyDescent="0.3">
      <c r="A13" s="219" t="s">
        <v>71</v>
      </c>
      <c r="B13" s="225"/>
      <c r="C13" s="32"/>
      <c r="D13" s="229"/>
      <c r="E13" s="217"/>
      <c r="F13" s="217"/>
      <c r="G13" s="269"/>
      <c r="H13" s="218">
        <f t="shared" si="2"/>
        <v>0</v>
      </c>
      <c r="I13" s="221"/>
      <c r="J13" s="229"/>
      <c r="K13" s="217"/>
      <c r="L13" s="269"/>
      <c r="M13" s="218">
        <f t="shared" si="3"/>
        <v>0</v>
      </c>
      <c r="O13" s="229"/>
      <c r="P13" s="217"/>
      <c r="Q13" s="269"/>
      <c r="R13" s="218">
        <f t="shared" si="0"/>
        <v>0</v>
      </c>
      <c r="T13" s="229"/>
      <c r="U13" s="217"/>
      <c r="V13" s="269"/>
      <c r="W13" s="218">
        <f t="shared" si="1"/>
        <v>0</v>
      </c>
    </row>
    <row r="14" spans="1:23" x14ac:dyDescent="0.3">
      <c r="A14" s="664" t="s">
        <v>53</v>
      </c>
      <c r="B14" s="665"/>
      <c r="C14" s="31"/>
      <c r="D14" s="227">
        <f>SUM(D7:D13)</f>
        <v>88100</v>
      </c>
      <c r="E14" s="44">
        <f>SUM(E7:E13)</f>
        <v>21449.75</v>
      </c>
      <c r="F14" s="44">
        <f>SUM(F7:F13)</f>
        <v>3000</v>
      </c>
      <c r="G14" s="44">
        <f>SUM(G7:G13)</f>
        <v>14</v>
      </c>
      <c r="H14" s="228">
        <f>SUM(H7:H13)</f>
        <v>34766.666666666664</v>
      </c>
      <c r="I14" s="222"/>
      <c r="J14" s="227">
        <f>SUM(J7:J13)</f>
        <v>88100</v>
      </c>
      <c r="K14" s="44">
        <f>SUM(K7:K13)</f>
        <v>6000</v>
      </c>
      <c r="L14" s="44">
        <f>SUM(L7:L13)</f>
        <v>25</v>
      </c>
      <c r="M14" s="228">
        <f>SUM(M7:M13)</f>
        <v>71475</v>
      </c>
      <c r="O14" s="227">
        <f>SUM(O7:O13)</f>
        <v>88100</v>
      </c>
      <c r="P14" s="44">
        <f>SUM(P7:P13)</f>
        <v>6000</v>
      </c>
      <c r="Q14" s="44">
        <f>SUM(Q7:Q13)</f>
        <v>48</v>
      </c>
      <c r="R14" s="228">
        <f>SUM(R7:R13)</f>
        <v>94100</v>
      </c>
      <c r="T14" s="227">
        <f>SUM(T7:T13)</f>
        <v>88100</v>
      </c>
      <c r="U14" s="44">
        <f>SUM(U7:U13)</f>
        <v>6000</v>
      </c>
      <c r="V14" s="44">
        <f>SUM(V7:V13)</f>
        <v>48</v>
      </c>
      <c r="W14" s="228">
        <f>SUM(W7:W13)</f>
        <v>94100</v>
      </c>
    </row>
    <row r="15" spans="1:23" ht="9.75" customHeight="1" x14ac:dyDescent="0.3">
      <c r="A15" s="24"/>
      <c r="B15" s="22"/>
      <c r="C15" s="22"/>
      <c r="D15" s="22"/>
      <c r="E15" s="22"/>
      <c r="F15" s="22"/>
      <c r="G15" s="22"/>
    </row>
    <row r="16" spans="1:23" x14ac:dyDescent="0.3">
      <c r="A16" s="247" t="s">
        <v>66</v>
      </c>
      <c r="C16" s="22"/>
      <c r="D16" s="245">
        <f>COUNTA(D7:D13)</f>
        <v>4</v>
      </c>
      <c r="E16" s="245"/>
      <c r="F16" s="246"/>
      <c r="G16" s="246"/>
      <c r="H16" s="29"/>
      <c r="I16" s="29"/>
      <c r="J16" s="245">
        <f>COUNTA(J7:J13)</f>
        <v>4</v>
      </c>
      <c r="K16" s="29"/>
      <c r="L16" s="29"/>
      <c r="M16" s="29"/>
      <c r="N16" s="29"/>
      <c r="O16" s="245">
        <f>COUNTA(O7:O13)</f>
        <v>4</v>
      </c>
      <c r="P16" s="29"/>
      <c r="Q16" s="29"/>
      <c r="R16" s="29"/>
      <c r="S16" s="29"/>
      <c r="T16" s="245">
        <f>COUNTA(T7:T13)</f>
        <v>4</v>
      </c>
    </row>
    <row r="17" spans="1:23" x14ac:dyDescent="0.3">
      <c r="A17" s="24"/>
      <c r="B17" s="22"/>
      <c r="C17" s="22"/>
      <c r="D17" s="22"/>
      <c r="E17" s="22"/>
      <c r="F17" s="22"/>
      <c r="G17" s="22"/>
    </row>
    <row r="18" spans="1:23" x14ac:dyDescent="0.3">
      <c r="A18" s="230" t="s">
        <v>68</v>
      </c>
      <c r="B18" s="231"/>
      <c r="C18" s="231"/>
      <c r="D18" s="232"/>
      <c r="E18" s="232"/>
      <c r="F18" s="232"/>
      <c r="G18" s="232"/>
      <c r="H18" s="233">
        <f>H14*A19</f>
        <v>13906.666666666666</v>
      </c>
      <c r="I18" s="234"/>
      <c r="J18" s="231"/>
      <c r="K18" s="231"/>
      <c r="L18" s="231"/>
      <c r="M18" s="233">
        <f>M14*A19</f>
        <v>28590</v>
      </c>
      <c r="N18" s="231"/>
      <c r="O18" s="231"/>
      <c r="P18" s="231"/>
      <c r="Q18" s="231"/>
      <c r="R18" s="233">
        <f>R14*A19</f>
        <v>37640</v>
      </c>
      <c r="S18" s="231"/>
      <c r="T18" s="231"/>
      <c r="U18" s="231"/>
      <c r="V18" s="231"/>
      <c r="W18" s="233">
        <f>W14*A19</f>
        <v>37640</v>
      </c>
    </row>
    <row r="19" spans="1:23" x14ac:dyDescent="0.3">
      <c r="A19" s="252">
        <v>0.4</v>
      </c>
      <c r="B19" s="25"/>
      <c r="C19" s="25"/>
      <c r="D19" s="25"/>
      <c r="E19" s="25"/>
      <c r="F19" s="25"/>
      <c r="G19" s="25"/>
    </row>
    <row r="20" spans="1:23" ht="8.25" customHeight="1" x14ac:dyDescent="0.3">
      <c r="A20" s="23"/>
      <c r="B20" s="25"/>
      <c r="C20" s="25"/>
      <c r="D20" s="25"/>
      <c r="E20" s="25"/>
      <c r="F20" s="25"/>
      <c r="G20" s="25"/>
    </row>
    <row r="21" spans="1:23" x14ac:dyDescent="0.3">
      <c r="A21" s="20"/>
      <c r="B21" s="20"/>
      <c r="C21" s="20"/>
      <c r="D21" s="20"/>
      <c r="E21" s="20"/>
      <c r="F21" s="20"/>
      <c r="G21" s="20"/>
    </row>
    <row r="22" spans="1:23" x14ac:dyDescent="0.3">
      <c r="B22" s="34"/>
      <c r="C22" s="34"/>
      <c r="D22" s="34"/>
      <c r="E22" s="34"/>
      <c r="F22" s="35"/>
      <c r="G22" s="253"/>
    </row>
    <row r="23" spans="1:23" x14ac:dyDescent="0.3">
      <c r="E23" s="440"/>
    </row>
    <row r="24" spans="1:23" x14ac:dyDescent="0.3">
      <c r="E24" s="440"/>
    </row>
  </sheetData>
  <mergeCells count="24">
    <mergeCell ref="D4:D5"/>
    <mergeCell ref="F4:F5"/>
    <mergeCell ref="G4:G5"/>
    <mergeCell ref="M4:M5"/>
    <mergeCell ref="A14:B14"/>
    <mergeCell ref="A3:A5"/>
    <mergeCell ref="B3:B5"/>
    <mergeCell ref="J3:M3"/>
    <mergeCell ref="D3:H3"/>
    <mergeCell ref="E4:E5"/>
    <mergeCell ref="H4:H5"/>
    <mergeCell ref="K4:K5"/>
    <mergeCell ref="L4:L5"/>
    <mergeCell ref="J4:J5"/>
    <mergeCell ref="O3:R3"/>
    <mergeCell ref="O4:O5"/>
    <mergeCell ref="P4:P5"/>
    <mergeCell ref="Q4:Q5"/>
    <mergeCell ref="R4:R5"/>
    <mergeCell ref="T3:W3"/>
    <mergeCell ref="T4:T5"/>
    <mergeCell ref="U4:U5"/>
    <mergeCell ref="V4:V5"/>
    <mergeCell ref="W4:W5"/>
  </mergeCells>
  <phoneticPr fontId="26" type="noConversion"/>
  <pageMargins left="0.11811023622047245" right="0.19685039370078741" top="0.74803149606299213" bottom="0.74803149606299213" header="0.31496062992125984" footer="0.31496062992125984"/>
  <pageSetup paperSize="9" scale="65" orientation="landscape" r:id="rId1"/>
  <headerFooter>
    <oddFooter>Page &amp;P&amp;R&amp;A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zoomScale="85" zoomScaleNormal="85" workbookViewId="0">
      <pane xSplit="2" topLeftCell="C1" activePane="topRight" state="frozen"/>
      <selection activeCell="B1" sqref="B1"/>
      <selection pane="topRight" activeCell="F7" sqref="F7"/>
    </sheetView>
  </sheetViews>
  <sheetFormatPr baseColWidth="10" defaultColWidth="11.44140625" defaultRowHeight="14.4" x14ac:dyDescent="0.3"/>
  <cols>
    <col min="1" max="1" width="22.21875" style="15" customWidth="1"/>
    <col min="2" max="2" width="40.21875" style="15" customWidth="1"/>
    <col min="3" max="3" width="4.77734375" style="15" customWidth="1"/>
    <col min="4" max="5" width="14.77734375" style="15" customWidth="1"/>
    <col min="6" max="6" width="13.77734375" style="15" customWidth="1"/>
    <col min="7" max="7" width="11" style="15" customWidth="1"/>
    <col min="8" max="8" width="11.44140625" style="15" customWidth="1"/>
    <col min="9" max="9" width="2" style="15" customWidth="1"/>
    <col min="10" max="13" width="11.44140625" style="15"/>
    <col min="14" max="14" width="3" style="15" customWidth="1"/>
    <col min="15" max="18" width="11.44140625" style="15"/>
    <col min="19" max="19" width="2.77734375" style="15" customWidth="1"/>
    <col min="20" max="16384" width="11.44140625" style="15"/>
  </cols>
  <sheetData>
    <row r="2" spans="1:23" x14ac:dyDescent="0.3">
      <c r="A2" s="18"/>
      <c r="B2" s="18"/>
      <c r="C2" s="18"/>
      <c r="D2" s="18"/>
      <c r="E2" s="18"/>
      <c r="F2" s="18"/>
      <c r="G2" s="18"/>
    </row>
    <row r="3" spans="1:23" x14ac:dyDescent="0.3">
      <c r="A3" s="666" t="s">
        <v>20</v>
      </c>
      <c r="B3" s="667" t="s">
        <v>21</v>
      </c>
      <c r="D3" s="655" t="s">
        <v>142</v>
      </c>
      <c r="E3" s="656"/>
      <c r="F3" s="656"/>
      <c r="G3" s="656"/>
      <c r="H3" s="657"/>
      <c r="I3" s="33"/>
      <c r="J3" s="655">
        <v>2020</v>
      </c>
      <c r="K3" s="656"/>
      <c r="L3" s="656"/>
      <c r="M3" s="657"/>
      <c r="O3" s="655">
        <v>2021</v>
      </c>
      <c r="P3" s="656"/>
      <c r="Q3" s="656"/>
      <c r="R3" s="657"/>
      <c r="T3" s="655">
        <v>2022</v>
      </c>
      <c r="U3" s="656"/>
      <c r="V3" s="656"/>
      <c r="W3" s="657"/>
    </row>
    <row r="4" spans="1:23" ht="21" customHeight="1" x14ac:dyDescent="0.3">
      <c r="A4" s="658"/>
      <c r="B4" s="662"/>
      <c r="C4" s="36"/>
      <c r="D4" s="658" t="s">
        <v>69</v>
      </c>
      <c r="E4" s="660" t="s">
        <v>143</v>
      </c>
      <c r="F4" s="660" t="s">
        <v>172</v>
      </c>
      <c r="G4" s="660" t="s">
        <v>70</v>
      </c>
      <c r="H4" s="662" t="s">
        <v>67</v>
      </c>
      <c r="I4" s="220"/>
      <c r="J4" s="658" t="s">
        <v>69</v>
      </c>
      <c r="K4" s="660" t="s">
        <v>172</v>
      </c>
      <c r="L4" s="660" t="s">
        <v>70</v>
      </c>
      <c r="M4" s="662" t="s">
        <v>67</v>
      </c>
      <c r="O4" s="658" t="s">
        <v>69</v>
      </c>
      <c r="P4" s="660" t="s">
        <v>172</v>
      </c>
      <c r="Q4" s="660" t="s">
        <v>70</v>
      </c>
      <c r="R4" s="662" t="s">
        <v>67</v>
      </c>
      <c r="T4" s="658" t="s">
        <v>69</v>
      </c>
      <c r="U4" s="660" t="s">
        <v>172</v>
      </c>
      <c r="V4" s="660" t="s">
        <v>70</v>
      </c>
      <c r="W4" s="662" t="s">
        <v>67</v>
      </c>
    </row>
    <row r="5" spans="1:23" ht="47.25" customHeight="1" x14ac:dyDescent="0.3">
      <c r="A5" s="659"/>
      <c r="B5" s="663"/>
      <c r="C5" s="36"/>
      <c r="D5" s="659"/>
      <c r="E5" s="661"/>
      <c r="F5" s="661"/>
      <c r="G5" s="661"/>
      <c r="H5" s="663"/>
      <c r="I5" s="220"/>
      <c r="J5" s="659"/>
      <c r="K5" s="661"/>
      <c r="L5" s="661"/>
      <c r="M5" s="663"/>
      <c r="O5" s="659"/>
      <c r="P5" s="661"/>
      <c r="Q5" s="661"/>
      <c r="R5" s="663"/>
      <c r="T5" s="659"/>
      <c r="U5" s="661"/>
      <c r="V5" s="661"/>
      <c r="W5" s="663"/>
    </row>
    <row r="6" spans="1:23" x14ac:dyDescent="0.3">
      <c r="A6" s="28"/>
      <c r="B6" s="236"/>
      <c r="D6" s="28"/>
      <c r="E6" s="29"/>
      <c r="F6" s="29"/>
      <c r="G6" s="29"/>
      <c r="H6" s="30"/>
      <c r="I6" s="29"/>
      <c r="J6" s="28"/>
      <c r="K6" s="29"/>
      <c r="L6" s="29"/>
      <c r="M6" s="30"/>
      <c r="O6" s="28"/>
      <c r="P6" s="29"/>
      <c r="Q6" s="29"/>
      <c r="R6" s="30"/>
      <c r="T6" s="198"/>
      <c r="U6" s="261"/>
      <c r="V6" s="261"/>
      <c r="W6" s="262"/>
    </row>
    <row r="7" spans="1:23" x14ac:dyDescent="0.3">
      <c r="A7" s="223" t="s">
        <v>171</v>
      </c>
      <c r="B7" s="224"/>
      <c r="C7" s="19"/>
      <c r="D7" s="229">
        <v>39000</v>
      </c>
      <c r="E7" s="217">
        <v>24400</v>
      </c>
      <c r="F7" s="217">
        <v>12500</v>
      </c>
      <c r="G7" s="373">
        <v>12</v>
      </c>
      <c r="H7" s="218">
        <f t="shared" ref="H7:H12" si="0">D7*G7/12+F7</f>
        <v>51500</v>
      </c>
      <c r="I7" s="221"/>
      <c r="J7" s="229">
        <v>39000</v>
      </c>
      <c r="K7" s="217">
        <v>10000</v>
      </c>
      <c r="L7" s="269">
        <v>12</v>
      </c>
      <c r="M7" s="218">
        <f t="shared" ref="M7:M12" si="1">J7*L7/12+K7</f>
        <v>49000</v>
      </c>
      <c r="O7" s="229">
        <v>39000</v>
      </c>
      <c r="P7" s="217">
        <v>10000</v>
      </c>
      <c r="Q7" s="269">
        <v>12</v>
      </c>
      <c r="R7" s="218">
        <f t="shared" ref="R7:R12" si="2">O7*Q7/12+P7</f>
        <v>49000</v>
      </c>
      <c r="T7" s="229">
        <v>39000</v>
      </c>
      <c r="U7" s="217">
        <v>10000</v>
      </c>
      <c r="V7" s="269">
        <v>12</v>
      </c>
      <c r="W7" s="218">
        <f t="shared" ref="W7:W12" si="3">T7*V7/12+U7</f>
        <v>49000</v>
      </c>
    </row>
    <row r="8" spans="1:23" x14ac:dyDescent="0.3">
      <c r="A8" s="219" t="s">
        <v>169</v>
      </c>
      <c r="B8" s="225"/>
      <c r="C8" s="32"/>
      <c r="D8" s="229"/>
      <c r="E8" s="217"/>
      <c r="F8" s="217"/>
      <c r="G8" s="373"/>
      <c r="H8" s="218">
        <f t="shared" si="0"/>
        <v>0</v>
      </c>
      <c r="I8" s="221"/>
      <c r="J8" s="229"/>
      <c r="K8" s="217"/>
      <c r="L8" s="269"/>
      <c r="M8" s="218">
        <f t="shared" si="1"/>
        <v>0</v>
      </c>
      <c r="O8" s="229"/>
      <c r="P8" s="217"/>
      <c r="Q8" s="269"/>
      <c r="R8" s="218">
        <f t="shared" si="2"/>
        <v>0</v>
      </c>
      <c r="T8" s="229"/>
      <c r="U8" s="217"/>
      <c r="V8" s="269"/>
      <c r="W8" s="218">
        <f t="shared" si="3"/>
        <v>0</v>
      </c>
    </row>
    <row r="9" spans="1:23" x14ac:dyDescent="0.3">
      <c r="A9" s="219" t="s">
        <v>170</v>
      </c>
      <c r="B9" s="225"/>
      <c r="C9" s="32"/>
      <c r="D9" s="229"/>
      <c r="E9" s="217"/>
      <c r="F9" s="217"/>
      <c r="G9" s="373"/>
      <c r="H9" s="218">
        <f t="shared" si="0"/>
        <v>0</v>
      </c>
      <c r="I9" s="221"/>
      <c r="J9" s="229"/>
      <c r="K9" s="217"/>
      <c r="L9" s="269"/>
      <c r="M9" s="218">
        <f t="shared" si="1"/>
        <v>0</v>
      </c>
      <c r="O9" s="229"/>
      <c r="P9" s="217"/>
      <c r="Q9" s="269"/>
      <c r="R9" s="218">
        <f t="shared" si="2"/>
        <v>0</v>
      </c>
      <c r="T9" s="229"/>
      <c r="U9" s="217"/>
      <c r="V9" s="269"/>
      <c r="W9" s="218">
        <f t="shared" si="3"/>
        <v>0</v>
      </c>
    </row>
    <row r="10" spans="1:23" x14ac:dyDescent="0.3">
      <c r="A10" s="219" t="s">
        <v>24</v>
      </c>
      <c r="B10" s="225"/>
      <c r="C10" s="32"/>
      <c r="D10" s="229"/>
      <c r="E10" s="217"/>
      <c r="F10" s="217"/>
      <c r="G10" s="269"/>
      <c r="H10" s="218">
        <f t="shared" si="0"/>
        <v>0</v>
      </c>
      <c r="I10" s="221"/>
      <c r="J10" s="229"/>
      <c r="K10" s="217"/>
      <c r="L10" s="269"/>
      <c r="M10" s="218">
        <f t="shared" si="1"/>
        <v>0</v>
      </c>
      <c r="O10" s="229"/>
      <c r="P10" s="217"/>
      <c r="Q10" s="269"/>
      <c r="R10" s="218">
        <f t="shared" si="2"/>
        <v>0</v>
      </c>
      <c r="T10" s="229"/>
      <c r="U10" s="217"/>
      <c r="V10" s="269"/>
      <c r="W10" s="218">
        <f t="shared" si="3"/>
        <v>0</v>
      </c>
    </row>
    <row r="11" spans="1:23" x14ac:dyDescent="0.3">
      <c r="A11" s="219" t="s">
        <v>25</v>
      </c>
      <c r="B11" s="225"/>
      <c r="C11" s="32"/>
      <c r="D11" s="229"/>
      <c r="E11" s="217"/>
      <c r="F11" s="217"/>
      <c r="G11" s="269"/>
      <c r="H11" s="218">
        <f t="shared" si="0"/>
        <v>0</v>
      </c>
      <c r="I11" s="221"/>
      <c r="J11" s="229"/>
      <c r="K11" s="217"/>
      <c r="L11" s="269"/>
      <c r="M11" s="218">
        <f t="shared" si="1"/>
        <v>0</v>
      </c>
      <c r="O11" s="229"/>
      <c r="P11" s="217"/>
      <c r="Q11" s="269"/>
      <c r="R11" s="218">
        <f t="shared" si="2"/>
        <v>0</v>
      </c>
      <c r="T11" s="229"/>
      <c r="U11" s="217"/>
      <c r="V11" s="269"/>
      <c r="W11" s="218">
        <f t="shared" si="3"/>
        <v>0</v>
      </c>
    </row>
    <row r="12" spans="1:23" x14ac:dyDescent="0.3">
      <c r="A12" s="219" t="s">
        <v>71</v>
      </c>
      <c r="B12" s="225"/>
      <c r="C12" s="32"/>
      <c r="D12" s="229"/>
      <c r="E12" s="217"/>
      <c r="F12" s="217"/>
      <c r="G12" s="269"/>
      <c r="H12" s="218">
        <f t="shared" si="0"/>
        <v>0</v>
      </c>
      <c r="I12" s="221"/>
      <c r="J12" s="229"/>
      <c r="K12" s="217"/>
      <c r="L12" s="269"/>
      <c r="M12" s="218">
        <f t="shared" si="1"/>
        <v>0</v>
      </c>
      <c r="O12" s="229"/>
      <c r="P12" s="217"/>
      <c r="Q12" s="269"/>
      <c r="R12" s="218">
        <f t="shared" si="2"/>
        <v>0</v>
      </c>
      <c r="T12" s="229"/>
      <c r="U12" s="217"/>
      <c r="V12" s="269"/>
      <c r="W12" s="218">
        <f t="shared" si="3"/>
        <v>0</v>
      </c>
    </row>
    <row r="13" spans="1:23" x14ac:dyDescent="0.3">
      <c r="A13" s="664" t="s">
        <v>53</v>
      </c>
      <c r="B13" s="665"/>
      <c r="C13" s="31"/>
      <c r="D13" s="227">
        <f>SUM(D7:D12)</f>
        <v>39000</v>
      </c>
      <c r="E13" s="44">
        <f>SUM(E7:E12)</f>
        <v>24400</v>
      </c>
      <c r="F13" s="44">
        <f>SUM(F7:F12)</f>
        <v>12500</v>
      </c>
      <c r="G13" s="44">
        <f>SUM(G7:G12)</f>
        <v>12</v>
      </c>
      <c r="H13" s="228">
        <f>SUM(H7:H12)</f>
        <v>51500</v>
      </c>
      <c r="I13" s="222"/>
      <c r="J13" s="227">
        <f>SUM(J7:J12)</f>
        <v>39000</v>
      </c>
      <c r="K13" s="44">
        <f>SUM(K7:K12)</f>
        <v>10000</v>
      </c>
      <c r="L13" s="44">
        <f>SUM(L7:L12)</f>
        <v>12</v>
      </c>
      <c r="M13" s="228">
        <f>SUM(M7:M12)</f>
        <v>49000</v>
      </c>
      <c r="O13" s="227">
        <f>SUM(O7:O12)</f>
        <v>39000</v>
      </c>
      <c r="P13" s="44">
        <f>SUM(P7:P12)</f>
        <v>10000</v>
      </c>
      <c r="Q13" s="44">
        <f>SUM(Q7:Q12)</f>
        <v>12</v>
      </c>
      <c r="R13" s="228">
        <f>SUM(R7:R12)</f>
        <v>49000</v>
      </c>
      <c r="T13" s="227">
        <f>SUM(T7:T12)</f>
        <v>39000</v>
      </c>
      <c r="U13" s="44">
        <f>SUM(U7:U12)</f>
        <v>10000</v>
      </c>
      <c r="V13" s="44">
        <f>SUM(V7:V12)</f>
        <v>12</v>
      </c>
      <c r="W13" s="228">
        <f>SUM(W7:W12)</f>
        <v>49000</v>
      </c>
    </row>
    <row r="14" spans="1:23" ht="9.75" customHeight="1" x14ac:dyDescent="0.3">
      <c r="A14" s="24"/>
      <c r="B14" s="22"/>
      <c r="C14" s="22"/>
      <c r="D14" s="22"/>
      <c r="E14" s="22"/>
      <c r="F14" s="22"/>
      <c r="G14" s="22"/>
    </row>
    <row r="15" spans="1:23" x14ac:dyDescent="0.3">
      <c r="A15" s="247" t="s">
        <v>66</v>
      </c>
      <c r="C15" s="22"/>
      <c r="D15" s="245">
        <f>COUNTA(D7:D12)</f>
        <v>1</v>
      </c>
      <c r="E15" s="245"/>
      <c r="F15" s="246"/>
      <c r="G15" s="246"/>
      <c r="H15" s="29"/>
      <c r="I15" s="29"/>
      <c r="J15" s="245">
        <f>COUNTA(J7:J12)</f>
        <v>1</v>
      </c>
      <c r="K15" s="29"/>
      <c r="L15" s="29"/>
      <c r="M15" s="29"/>
      <c r="N15" s="29"/>
      <c r="O15" s="245">
        <f>COUNTA(O7:O12)</f>
        <v>1</v>
      </c>
      <c r="P15" s="29"/>
      <c r="Q15" s="29"/>
      <c r="R15" s="29"/>
      <c r="S15" s="29"/>
      <c r="T15" s="245">
        <f>COUNTA(T7:T12)</f>
        <v>1</v>
      </c>
    </row>
    <row r="16" spans="1:23" x14ac:dyDescent="0.3">
      <c r="A16" s="24"/>
      <c r="B16" s="22"/>
      <c r="C16" s="22"/>
      <c r="D16" s="22"/>
      <c r="E16" s="22"/>
      <c r="F16" s="22"/>
      <c r="G16" s="22"/>
    </row>
    <row r="17" spans="1:23" x14ac:dyDescent="0.3">
      <c r="A17" s="230" t="s">
        <v>68</v>
      </c>
      <c r="B17" s="231"/>
      <c r="C17" s="231"/>
      <c r="D17" s="232"/>
      <c r="E17" s="232"/>
      <c r="F17" s="232"/>
      <c r="G17" s="232"/>
      <c r="H17" s="233">
        <f>H13*A18</f>
        <v>22145</v>
      </c>
      <c r="I17" s="234"/>
      <c r="J17" s="231"/>
      <c r="K17" s="231"/>
      <c r="L17" s="231"/>
      <c r="M17" s="233">
        <f>M13*A18</f>
        <v>21070</v>
      </c>
      <c r="N17" s="231"/>
      <c r="O17" s="231"/>
      <c r="P17" s="231"/>
      <c r="Q17" s="231"/>
      <c r="R17" s="233">
        <f>R13*A18</f>
        <v>21070</v>
      </c>
      <c r="S17" s="231"/>
      <c r="T17" s="231"/>
      <c r="U17" s="231"/>
      <c r="V17" s="231"/>
      <c r="W17" s="233">
        <f>W13*A18</f>
        <v>21070</v>
      </c>
    </row>
    <row r="18" spans="1:23" x14ac:dyDescent="0.3">
      <c r="A18" s="252">
        <v>0.43</v>
      </c>
      <c r="B18" s="25"/>
      <c r="C18" s="25"/>
      <c r="D18" s="25"/>
      <c r="E18" s="25"/>
      <c r="F18" s="25"/>
      <c r="G18" s="25"/>
    </row>
    <row r="19" spans="1:23" ht="8.25" customHeight="1" x14ac:dyDescent="0.3">
      <c r="A19" s="23"/>
      <c r="B19" s="25"/>
      <c r="C19" s="25"/>
      <c r="D19" s="25"/>
      <c r="E19" s="25"/>
      <c r="F19" s="25"/>
      <c r="G19" s="25"/>
    </row>
    <row r="20" spans="1:23" x14ac:dyDescent="0.3">
      <c r="A20" s="443" t="s">
        <v>207</v>
      </c>
      <c r="B20" s="20"/>
      <c r="C20" s="20"/>
      <c r="D20" s="20"/>
      <c r="E20" s="20"/>
      <c r="F20" s="20"/>
      <c r="G20" s="20"/>
      <c r="M20" s="440">
        <f>(M13-H13)*10%/1000</f>
        <v>-0.25</v>
      </c>
      <c r="R20" s="440">
        <f>(R13-M13)*10%/1000</f>
        <v>0</v>
      </c>
      <c r="W20" s="440">
        <f>(W13-R13)*10%/1000</f>
        <v>0</v>
      </c>
    </row>
    <row r="21" spans="1:23" x14ac:dyDescent="0.3">
      <c r="B21" s="34"/>
      <c r="C21" s="34"/>
      <c r="D21" s="34"/>
      <c r="E21" s="34"/>
      <c r="F21" s="35"/>
      <c r="G21" s="253"/>
    </row>
  </sheetData>
  <mergeCells count="24">
    <mergeCell ref="A13:B13"/>
    <mergeCell ref="P4:P5"/>
    <mergeCell ref="Q4:Q5"/>
    <mergeCell ref="R4:R5"/>
    <mergeCell ref="T4:T5"/>
    <mergeCell ref="H4:H5"/>
    <mergeCell ref="J4:J5"/>
    <mergeCell ref="K4:K5"/>
    <mergeCell ref="L4:L5"/>
    <mergeCell ref="M4:M5"/>
    <mergeCell ref="O4:O5"/>
    <mergeCell ref="A3:A5"/>
    <mergeCell ref="B3:B5"/>
    <mergeCell ref="D3:H3"/>
    <mergeCell ref="J3:M3"/>
    <mergeCell ref="O3:R3"/>
    <mergeCell ref="T3:W3"/>
    <mergeCell ref="D4:D5"/>
    <mergeCell ref="E4:E5"/>
    <mergeCell ref="F4:F5"/>
    <mergeCell ref="G4:G5"/>
    <mergeCell ref="W4:W5"/>
    <mergeCell ref="U4:U5"/>
    <mergeCell ref="V4:V5"/>
  </mergeCells>
  <phoneticPr fontId="26" type="noConversion"/>
  <pageMargins left="0.11811023622047245" right="0.19685039370078741" top="0.74803149606299213" bottom="0.74803149606299213" header="0.31496062992125984" footer="0.31496062992125984"/>
  <pageSetup paperSize="9" scale="65" orientation="landscape" r:id="rId1"/>
  <headerFooter>
    <oddFooter>Page &amp;P&amp;R&amp;A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"/>
  <sheetViews>
    <sheetView zoomScale="85" zoomScaleNormal="85" workbookViewId="0">
      <pane xSplit="2" topLeftCell="C1" activePane="topRight" state="frozen"/>
      <selection activeCell="B1" sqref="B1"/>
      <selection pane="topRight" activeCell="H21" sqref="B17:H21"/>
    </sheetView>
  </sheetViews>
  <sheetFormatPr baseColWidth="10" defaultColWidth="11.44140625" defaultRowHeight="14.4" x14ac:dyDescent="0.3"/>
  <cols>
    <col min="1" max="1" width="22.21875" style="15" customWidth="1"/>
    <col min="2" max="2" width="40.21875" style="15" customWidth="1"/>
    <col min="3" max="3" width="4.77734375" style="15" customWidth="1"/>
    <col min="4" max="5" width="14.77734375" style="15" customWidth="1"/>
    <col min="6" max="6" width="13.77734375" style="15" customWidth="1"/>
    <col min="7" max="7" width="11" style="15" customWidth="1"/>
    <col min="8" max="8" width="11.44140625" style="15" customWidth="1"/>
    <col min="9" max="9" width="2" style="15" customWidth="1"/>
    <col min="10" max="10" width="11.44140625" style="15"/>
    <col min="11" max="11" width="12.77734375" style="15" customWidth="1"/>
    <col min="12" max="13" width="11.44140625" style="15"/>
    <col min="14" max="14" width="3" style="15" customWidth="1"/>
    <col min="15" max="15" width="11.44140625" style="15"/>
    <col min="16" max="16" width="12.21875" style="15" customWidth="1"/>
    <col min="17" max="18" width="11.44140625" style="15"/>
    <col min="19" max="19" width="2.77734375" style="15" customWidth="1"/>
    <col min="20" max="20" width="11.44140625" style="15"/>
    <col min="21" max="21" width="13" style="15" customWidth="1"/>
    <col min="22" max="16384" width="11.44140625" style="15"/>
  </cols>
  <sheetData>
    <row r="2" spans="1:23" x14ac:dyDescent="0.3">
      <c r="A2" s="18"/>
      <c r="B2" s="18"/>
      <c r="C2" s="18"/>
      <c r="D2" s="18"/>
      <c r="E2" s="18"/>
      <c r="F2" s="18"/>
      <c r="G2" s="18"/>
    </row>
    <row r="3" spans="1:23" x14ac:dyDescent="0.3">
      <c r="A3" s="666" t="s">
        <v>20</v>
      </c>
      <c r="B3" s="667" t="s">
        <v>21</v>
      </c>
      <c r="D3" s="655" t="s">
        <v>142</v>
      </c>
      <c r="E3" s="656"/>
      <c r="F3" s="656"/>
      <c r="G3" s="656"/>
      <c r="H3" s="657"/>
      <c r="I3" s="33"/>
      <c r="J3" s="655">
        <v>2020</v>
      </c>
      <c r="K3" s="656"/>
      <c r="L3" s="656"/>
      <c r="M3" s="657"/>
      <c r="O3" s="655">
        <v>2021</v>
      </c>
      <c r="P3" s="656"/>
      <c r="Q3" s="656"/>
      <c r="R3" s="657"/>
      <c r="T3" s="655">
        <v>2022</v>
      </c>
      <c r="U3" s="656"/>
      <c r="V3" s="656"/>
      <c r="W3" s="657"/>
    </row>
    <row r="4" spans="1:23" ht="21" customHeight="1" x14ac:dyDescent="0.3">
      <c r="A4" s="658"/>
      <c r="B4" s="662"/>
      <c r="C4" s="36"/>
      <c r="D4" s="658" t="s">
        <v>69</v>
      </c>
      <c r="E4" s="660" t="s">
        <v>143</v>
      </c>
      <c r="F4" s="660" t="s">
        <v>172</v>
      </c>
      <c r="G4" s="660" t="s">
        <v>70</v>
      </c>
      <c r="H4" s="662" t="s">
        <v>67</v>
      </c>
      <c r="I4" s="220"/>
      <c r="J4" s="658" t="s">
        <v>69</v>
      </c>
      <c r="K4" s="660" t="s">
        <v>172</v>
      </c>
      <c r="L4" s="660" t="s">
        <v>70</v>
      </c>
      <c r="M4" s="662" t="s">
        <v>67</v>
      </c>
      <c r="O4" s="658" t="s">
        <v>69</v>
      </c>
      <c r="P4" s="660" t="s">
        <v>172</v>
      </c>
      <c r="Q4" s="660" t="s">
        <v>70</v>
      </c>
      <c r="R4" s="662" t="s">
        <v>67</v>
      </c>
      <c r="T4" s="658" t="s">
        <v>69</v>
      </c>
      <c r="U4" s="660" t="s">
        <v>172</v>
      </c>
      <c r="V4" s="660" t="s">
        <v>70</v>
      </c>
      <c r="W4" s="662" t="s">
        <v>67</v>
      </c>
    </row>
    <row r="5" spans="1:23" ht="47.25" customHeight="1" x14ac:dyDescent="0.3">
      <c r="A5" s="659"/>
      <c r="B5" s="663"/>
      <c r="C5" s="36"/>
      <c r="D5" s="659"/>
      <c r="E5" s="661"/>
      <c r="F5" s="661"/>
      <c r="G5" s="661"/>
      <c r="H5" s="663"/>
      <c r="I5" s="220"/>
      <c r="J5" s="659"/>
      <c r="K5" s="661"/>
      <c r="L5" s="661"/>
      <c r="M5" s="663"/>
      <c r="O5" s="659"/>
      <c r="P5" s="661"/>
      <c r="Q5" s="661"/>
      <c r="R5" s="663"/>
      <c r="T5" s="659"/>
      <c r="U5" s="661"/>
      <c r="V5" s="661"/>
      <c r="W5" s="663"/>
    </row>
    <row r="6" spans="1:23" x14ac:dyDescent="0.3">
      <c r="A6" s="28"/>
      <c r="B6" s="236"/>
      <c r="D6" s="28"/>
      <c r="E6" s="29"/>
      <c r="F6" s="29"/>
      <c r="G6" s="29"/>
      <c r="H6" s="30"/>
      <c r="I6" s="29"/>
      <c r="J6" s="28"/>
      <c r="K6" s="29"/>
      <c r="L6" s="29"/>
      <c r="M6" s="30"/>
      <c r="O6" s="28"/>
      <c r="P6" s="29"/>
      <c r="Q6" s="29"/>
      <c r="R6" s="30"/>
      <c r="T6" s="198"/>
      <c r="U6" s="261"/>
      <c r="V6" s="261"/>
      <c r="W6" s="262"/>
    </row>
    <row r="7" spans="1:23" x14ac:dyDescent="0.3">
      <c r="A7" s="223" t="s">
        <v>176</v>
      </c>
      <c r="B7" s="224" t="s">
        <v>178</v>
      </c>
      <c r="C7" s="19"/>
      <c r="D7" s="229">
        <f>2900*12</f>
        <v>34800</v>
      </c>
      <c r="E7" s="217">
        <v>11308</v>
      </c>
      <c r="F7" s="217"/>
      <c r="G7" s="373">
        <v>10</v>
      </c>
      <c r="H7" s="218">
        <f t="shared" ref="H7:H13" si="0">D7*G7/12+F7</f>
        <v>29000</v>
      </c>
      <c r="I7" s="221"/>
      <c r="J7" s="229">
        <v>34800</v>
      </c>
      <c r="K7" s="217"/>
      <c r="L7" s="269">
        <v>12</v>
      </c>
      <c r="M7" s="218">
        <f>J7*L7/12+K7</f>
        <v>34800</v>
      </c>
      <c r="O7" s="229">
        <v>34800</v>
      </c>
      <c r="P7" s="217"/>
      <c r="Q7" s="269">
        <v>12</v>
      </c>
      <c r="R7" s="218">
        <f t="shared" ref="R7:R13" si="1">O7*Q7/12+P7</f>
        <v>34800</v>
      </c>
      <c r="T7" s="229">
        <v>34800</v>
      </c>
      <c r="U7" s="217"/>
      <c r="V7" s="269">
        <v>12</v>
      </c>
      <c r="W7" s="218">
        <f t="shared" ref="W7:W13" si="2">T7*V7/12+U7</f>
        <v>34800</v>
      </c>
    </row>
    <row r="8" spans="1:23" x14ac:dyDescent="0.3">
      <c r="A8" s="235" t="s">
        <v>177</v>
      </c>
      <c r="B8" s="237" t="s">
        <v>179</v>
      </c>
      <c r="C8" s="14"/>
      <c r="D8" s="229">
        <v>31200</v>
      </c>
      <c r="E8" s="217">
        <v>17500</v>
      </c>
      <c r="F8" s="217">
        <v>4000</v>
      </c>
      <c r="G8" s="373">
        <v>12</v>
      </c>
      <c r="H8" s="218">
        <f t="shared" si="0"/>
        <v>35200</v>
      </c>
      <c r="I8" s="221"/>
      <c r="J8" s="229">
        <v>31200</v>
      </c>
      <c r="K8" s="217">
        <v>4000</v>
      </c>
      <c r="L8" s="269">
        <v>12</v>
      </c>
      <c r="M8" s="218">
        <f t="shared" ref="M8:M13" si="3">J8*L8/12+K8</f>
        <v>35200</v>
      </c>
      <c r="O8" s="229">
        <v>31200</v>
      </c>
      <c r="P8" s="217">
        <v>4000</v>
      </c>
      <c r="Q8" s="269">
        <v>12</v>
      </c>
      <c r="R8" s="218">
        <f t="shared" si="1"/>
        <v>35200</v>
      </c>
      <c r="T8" s="229">
        <v>31200</v>
      </c>
      <c r="U8" s="217">
        <v>4000</v>
      </c>
      <c r="V8" s="269">
        <v>12</v>
      </c>
      <c r="W8" s="218">
        <f t="shared" si="2"/>
        <v>35200</v>
      </c>
    </row>
    <row r="9" spans="1:23" x14ac:dyDescent="0.3">
      <c r="A9" s="219" t="s">
        <v>169</v>
      </c>
      <c r="B9" s="225"/>
      <c r="C9" s="32"/>
      <c r="D9" s="229"/>
      <c r="E9" s="217"/>
      <c r="F9" s="217"/>
      <c r="G9" s="373"/>
      <c r="H9" s="218">
        <f t="shared" si="0"/>
        <v>0</v>
      </c>
      <c r="I9" s="221"/>
      <c r="J9" s="229"/>
      <c r="K9" s="217"/>
      <c r="L9" s="269"/>
      <c r="M9" s="218">
        <f t="shared" si="3"/>
        <v>0</v>
      </c>
      <c r="O9" s="229"/>
      <c r="P9" s="217"/>
      <c r="Q9" s="269"/>
      <c r="R9" s="218">
        <f t="shared" si="1"/>
        <v>0</v>
      </c>
      <c r="T9" s="229"/>
      <c r="U9" s="217"/>
      <c r="V9" s="269"/>
      <c r="W9" s="218">
        <f t="shared" si="2"/>
        <v>0</v>
      </c>
    </row>
    <row r="10" spans="1:23" x14ac:dyDescent="0.3">
      <c r="A10" s="219" t="s">
        <v>170</v>
      </c>
      <c r="B10" s="225"/>
      <c r="C10" s="32"/>
      <c r="D10" s="229"/>
      <c r="E10" s="217"/>
      <c r="F10" s="217"/>
      <c r="G10" s="373"/>
      <c r="H10" s="218">
        <f t="shared" si="0"/>
        <v>0</v>
      </c>
      <c r="I10" s="221"/>
      <c r="J10" s="229"/>
      <c r="K10" s="217"/>
      <c r="L10" s="269"/>
      <c r="M10" s="218">
        <f t="shared" si="3"/>
        <v>0</v>
      </c>
      <c r="O10" s="229"/>
      <c r="P10" s="217"/>
      <c r="Q10" s="269"/>
      <c r="R10" s="218">
        <f t="shared" si="1"/>
        <v>0</v>
      </c>
      <c r="T10" s="229"/>
      <c r="U10" s="217"/>
      <c r="V10" s="269"/>
      <c r="W10" s="218">
        <f t="shared" si="2"/>
        <v>0</v>
      </c>
    </row>
    <row r="11" spans="1:23" x14ac:dyDescent="0.3">
      <c r="A11" s="219" t="s">
        <v>24</v>
      </c>
      <c r="B11" s="225"/>
      <c r="C11" s="32"/>
      <c r="D11" s="229"/>
      <c r="E11" s="217"/>
      <c r="F11" s="217"/>
      <c r="G11" s="269"/>
      <c r="H11" s="218">
        <f t="shared" si="0"/>
        <v>0</v>
      </c>
      <c r="I11" s="221"/>
      <c r="J11" s="229"/>
      <c r="K11" s="217"/>
      <c r="L11" s="269"/>
      <c r="M11" s="218">
        <f t="shared" si="3"/>
        <v>0</v>
      </c>
      <c r="O11" s="229"/>
      <c r="P11" s="217"/>
      <c r="Q11" s="269"/>
      <c r="R11" s="218">
        <f t="shared" si="1"/>
        <v>0</v>
      </c>
      <c r="T11" s="229"/>
      <c r="U11" s="217"/>
      <c r="V11" s="269"/>
      <c r="W11" s="218">
        <f t="shared" si="2"/>
        <v>0</v>
      </c>
    </row>
    <row r="12" spans="1:23" x14ac:dyDescent="0.3">
      <c r="A12" s="219" t="s">
        <v>25</v>
      </c>
      <c r="B12" s="225"/>
      <c r="C12" s="32"/>
      <c r="D12" s="229"/>
      <c r="E12" s="217"/>
      <c r="F12" s="217"/>
      <c r="G12" s="269"/>
      <c r="H12" s="218">
        <f t="shared" si="0"/>
        <v>0</v>
      </c>
      <c r="I12" s="221"/>
      <c r="J12" s="229"/>
      <c r="K12" s="217"/>
      <c r="L12" s="269"/>
      <c r="M12" s="218">
        <f t="shared" si="3"/>
        <v>0</v>
      </c>
      <c r="O12" s="229"/>
      <c r="P12" s="217"/>
      <c r="Q12" s="269"/>
      <c r="R12" s="218">
        <f t="shared" si="1"/>
        <v>0</v>
      </c>
      <c r="T12" s="229"/>
      <c r="U12" s="217"/>
      <c r="V12" s="269"/>
      <c r="W12" s="218">
        <f t="shared" si="2"/>
        <v>0</v>
      </c>
    </row>
    <row r="13" spans="1:23" x14ac:dyDescent="0.3">
      <c r="A13" s="219" t="s">
        <v>71</v>
      </c>
      <c r="B13" s="225"/>
      <c r="C13" s="32"/>
      <c r="D13" s="229"/>
      <c r="E13" s="217"/>
      <c r="F13" s="217"/>
      <c r="G13" s="269"/>
      <c r="H13" s="218">
        <f t="shared" si="0"/>
        <v>0</v>
      </c>
      <c r="I13" s="221"/>
      <c r="J13" s="229"/>
      <c r="K13" s="217"/>
      <c r="L13" s="269"/>
      <c r="M13" s="218">
        <f t="shared" si="3"/>
        <v>0</v>
      </c>
      <c r="O13" s="229"/>
      <c r="P13" s="217"/>
      <c r="Q13" s="269"/>
      <c r="R13" s="218">
        <f t="shared" si="1"/>
        <v>0</v>
      </c>
      <c r="T13" s="229"/>
      <c r="U13" s="217"/>
      <c r="V13" s="269"/>
      <c r="W13" s="218">
        <f t="shared" si="2"/>
        <v>0</v>
      </c>
    </row>
    <row r="14" spans="1:23" x14ac:dyDescent="0.3">
      <c r="A14" s="664" t="s">
        <v>53</v>
      </c>
      <c r="B14" s="665"/>
      <c r="C14" s="31"/>
      <c r="D14" s="227">
        <f>SUM(D7:D13)</f>
        <v>66000</v>
      </c>
      <c r="E14" s="44">
        <f>SUM(E7:E13)</f>
        <v>28808</v>
      </c>
      <c r="F14" s="44">
        <f>SUM(F7:F13)</f>
        <v>4000</v>
      </c>
      <c r="G14" s="44">
        <f>SUM(G7:G13)</f>
        <v>22</v>
      </c>
      <c r="H14" s="228">
        <f>SUM(H7:H13)</f>
        <v>64200</v>
      </c>
      <c r="I14" s="222"/>
      <c r="J14" s="227">
        <f>SUM(J7:J13)</f>
        <v>66000</v>
      </c>
      <c r="K14" s="44">
        <f>SUM(K7:K13)</f>
        <v>4000</v>
      </c>
      <c r="L14" s="44">
        <f>SUM(L7:L13)</f>
        <v>24</v>
      </c>
      <c r="M14" s="228">
        <f>SUM(M7:M13)</f>
        <v>70000</v>
      </c>
      <c r="O14" s="227">
        <f>SUM(O7:O13)</f>
        <v>66000</v>
      </c>
      <c r="P14" s="44">
        <f>SUM(P7:P13)</f>
        <v>4000</v>
      </c>
      <c r="Q14" s="44">
        <f>SUM(Q7:Q13)</f>
        <v>24</v>
      </c>
      <c r="R14" s="228">
        <f>SUM(R7:R13)</f>
        <v>70000</v>
      </c>
      <c r="T14" s="227">
        <f>SUM(T7:T13)</f>
        <v>66000</v>
      </c>
      <c r="U14" s="44">
        <f>SUM(U7:U13)</f>
        <v>4000</v>
      </c>
      <c r="V14" s="44">
        <f>SUM(V7:V13)</f>
        <v>24</v>
      </c>
      <c r="W14" s="228">
        <f>SUM(W7:W13)</f>
        <v>70000</v>
      </c>
    </row>
    <row r="15" spans="1:23" ht="9.75" customHeight="1" x14ac:dyDescent="0.3">
      <c r="A15" s="24"/>
      <c r="B15" s="22"/>
      <c r="C15" s="22"/>
      <c r="D15" s="22"/>
      <c r="E15" s="22"/>
      <c r="F15" s="22"/>
      <c r="G15" s="22"/>
    </row>
    <row r="16" spans="1:23" x14ac:dyDescent="0.3">
      <c r="A16" s="247" t="s">
        <v>66</v>
      </c>
      <c r="C16" s="22"/>
      <c r="D16" s="245">
        <f>COUNTA(D7:D13)</f>
        <v>2</v>
      </c>
      <c r="E16" s="245"/>
      <c r="F16" s="246"/>
      <c r="G16" s="246"/>
      <c r="H16" s="29"/>
      <c r="I16" s="29"/>
      <c r="J16" s="245">
        <f>COUNTA(J7:J13)</f>
        <v>2</v>
      </c>
      <c r="K16" s="29"/>
      <c r="L16" s="29"/>
      <c r="M16" s="29"/>
      <c r="N16" s="29"/>
      <c r="O16" s="245">
        <f>COUNTA(O7:O13)</f>
        <v>2</v>
      </c>
      <c r="P16" s="29"/>
      <c r="Q16" s="29"/>
      <c r="R16" s="29"/>
      <c r="S16" s="29"/>
      <c r="T16" s="245">
        <f>COUNTA(T7:T13)</f>
        <v>2</v>
      </c>
    </row>
    <row r="17" spans="1:23" x14ac:dyDescent="0.3">
      <c r="A17" s="24"/>
      <c r="B17" s="22"/>
      <c r="C17" s="22"/>
      <c r="D17" s="22"/>
      <c r="E17" s="22"/>
      <c r="F17" s="22"/>
      <c r="G17" s="22"/>
    </row>
    <row r="18" spans="1:23" x14ac:dyDescent="0.3">
      <c r="A18" s="230" t="s">
        <v>68</v>
      </c>
      <c r="B18" s="231"/>
      <c r="C18" s="231"/>
      <c r="D18" s="232"/>
      <c r="E18" s="232"/>
      <c r="F18" s="232"/>
      <c r="G18" s="232"/>
      <c r="H18" s="233">
        <f>H14*A19</f>
        <v>23754</v>
      </c>
      <c r="I18" s="234"/>
      <c r="J18" s="231"/>
      <c r="K18" s="231"/>
      <c r="L18" s="231"/>
      <c r="M18" s="233">
        <f>M14*A19</f>
        <v>25900</v>
      </c>
      <c r="N18" s="231"/>
      <c r="O18" s="231"/>
      <c r="P18" s="231"/>
      <c r="Q18" s="231"/>
      <c r="R18" s="233">
        <f>R14*A19</f>
        <v>25900</v>
      </c>
      <c r="S18" s="231"/>
      <c r="T18" s="231"/>
      <c r="U18" s="231"/>
      <c r="V18" s="231"/>
      <c r="W18" s="233">
        <f>W14*A19</f>
        <v>25900</v>
      </c>
    </row>
    <row r="19" spans="1:23" x14ac:dyDescent="0.3">
      <c r="A19" s="252">
        <v>0.37</v>
      </c>
      <c r="B19" s="25"/>
      <c r="C19" s="25"/>
      <c r="D19" s="25"/>
      <c r="E19" s="25"/>
      <c r="F19" s="25"/>
      <c r="G19" s="25"/>
    </row>
    <row r="20" spans="1:23" ht="8.25" customHeight="1" x14ac:dyDescent="0.3">
      <c r="A20" s="23"/>
      <c r="B20" s="25"/>
      <c r="C20" s="25"/>
      <c r="D20" s="25"/>
      <c r="E20" s="25"/>
      <c r="F20" s="25"/>
      <c r="G20" s="25"/>
    </row>
    <row r="21" spans="1:23" x14ac:dyDescent="0.3">
      <c r="A21" s="443" t="s">
        <v>207</v>
      </c>
      <c r="B21" s="20"/>
      <c r="C21" s="20"/>
      <c r="D21" s="20"/>
      <c r="E21" s="20"/>
      <c r="F21" s="20"/>
      <c r="G21" s="20"/>
      <c r="M21" s="440">
        <f>(M14-H14)*10%/1000</f>
        <v>0.57999999999999996</v>
      </c>
      <c r="R21" s="440">
        <f>(R14-M14)*10%/1000</f>
        <v>0</v>
      </c>
      <c r="W21" s="440">
        <f>(W14-R14)*10%/1000</f>
        <v>0</v>
      </c>
    </row>
    <row r="22" spans="1:23" x14ac:dyDescent="0.3">
      <c r="B22" s="34"/>
      <c r="C22" s="34"/>
      <c r="D22" s="34"/>
      <c r="E22" s="34"/>
      <c r="F22" s="35"/>
      <c r="G22" s="253"/>
    </row>
  </sheetData>
  <mergeCells count="24">
    <mergeCell ref="A14:B14"/>
    <mergeCell ref="P4:P5"/>
    <mergeCell ref="Q4:Q5"/>
    <mergeCell ref="R4:R5"/>
    <mergeCell ref="T4:T5"/>
    <mergeCell ref="H4:H5"/>
    <mergeCell ref="J4:J5"/>
    <mergeCell ref="K4:K5"/>
    <mergeCell ref="L4:L5"/>
    <mergeCell ref="M4:M5"/>
    <mergeCell ref="O4:O5"/>
    <mergeCell ref="A3:A5"/>
    <mergeCell ref="B3:B5"/>
    <mergeCell ref="D3:H3"/>
    <mergeCell ref="J3:M3"/>
    <mergeCell ref="O3:R3"/>
    <mergeCell ref="T3:W3"/>
    <mergeCell ref="D4:D5"/>
    <mergeCell ref="E4:E5"/>
    <mergeCell ref="F4:F5"/>
    <mergeCell ref="G4:G5"/>
    <mergeCell ref="W4:W5"/>
    <mergeCell ref="U4:U5"/>
    <mergeCell ref="V4:V5"/>
  </mergeCells>
  <pageMargins left="0.11811023622047245" right="0.19685039370078741" top="0.74803149606299213" bottom="0.74803149606299213" header="0.31496062992125984" footer="0.31496062992125984"/>
  <pageSetup paperSize="9" scale="65" orientation="landscape" r:id="rId1"/>
  <headerFooter>
    <oddFooter>Page &amp;P&amp;R&amp;A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SYNTHESE GROUPE 2019</vt:lpstr>
      <vt:lpstr>AVANISTA GROUP - BP 2022</vt:lpstr>
      <vt:lpstr>AVANISTA - BP 2022</vt:lpstr>
      <vt:lpstr>AVANISTA INGENIERIE - BP 2022</vt:lpstr>
      <vt:lpstr>VARIABLE</vt:lpstr>
      <vt:lpstr>AVANISTA GROUP - MS 2019 à 2022</vt:lpstr>
      <vt:lpstr>AVANISTA - MS 2019 à 2022</vt:lpstr>
      <vt:lpstr>AVANISTA INGE - MS 2019 à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Alexandre DARDOL (Comptabilite)</cp:lastModifiedBy>
  <cp:lastPrinted>2019-08-06T06:50:35Z</cp:lastPrinted>
  <dcterms:created xsi:type="dcterms:W3CDTF">2014-08-19T06:31:44Z</dcterms:created>
  <dcterms:modified xsi:type="dcterms:W3CDTF">2020-04-21T09:24:15Z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c55952-1fc0-4bcb-977a-64773f1984fe_Enabled">
    <vt:lpwstr>True</vt:lpwstr>
  </property>
  <property fmtid="{D5CDD505-2E9C-101B-9397-08002B2CF9AE}" pid="3" name="MSIP_Label_0fc55952-1fc0-4bcb-977a-64773f1984fe_SiteId">
    <vt:lpwstr>081c4a9c-ea86-468c-9b4c-30d99d63df76</vt:lpwstr>
  </property>
  <property fmtid="{D5CDD505-2E9C-101B-9397-08002B2CF9AE}" pid="4" name="MSIP_Label_0fc55952-1fc0-4bcb-977a-64773f1984fe_Owner">
    <vt:lpwstr>5490LS@tera.infragaz.com</vt:lpwstr>
  </property>
  <property fmtid="{D5CDD505-2E9C-101B-9397-08002B2CF9AE}" pid="5" name="MSIP_Label_0fc55952-1fc0-4bcb-977a-64773f1984fe_SetDate">
    <vt:lpwstr>2019-07-11T13:04:51.9042488Z</vt:lpwstr>
  </property>
  <property fmtid="{D5CDD505-2E9C-101B-9397-08002B2CF9AE}" pid="6" name="MSIP_Label_0fc55952-1fc0-4bcb-977a-64773f1984fe_Name">
    <vt:lpwstr>Interne</vt:lpwstr>
  </property>
  <property fmtid="{D5CDD505-2E9C-101B-9397-08002B2CF9AE}" pid="7" name="MSIP_Label_0fc55952-1fc0-4bcb-977a-64773f1984fe_Application">
    <vt:lpwstr>Microsoft Azure Information Protection</vt:lpwstr>
  </property>
  <property fmtid="{D5CDD505-2E9C-101B-9397-08002B2CF9AE}" pid="8" name="MSIP_Label_0fc55952-1fc0-4bcb-977a-64773f1984fe_ActionId">
    <vt:lpwstr>9cc92206-151f-4a99-9f88-a4e9ec51c1ff</vt:lpwstr>
  </property>
  <property fmtid="{D5CDD505-2E9C-101B-9397-08002B2CF9AE}" pid="9" name="MSIP_Label_0fc55952-1fc0-4bcb-977a-64773f1984fe_Extended_MSFT_Method">
    <vt:lpwstr>Automatic</vt:lpwstr>
  </property>
  <property fmtid="{D5CDD505-2E9C-101B-9397-08002B2CF9AE}" pid="10" name="Sensitivity">
    <vt:lpwstr>Interne</vt:lpwstr>
  </property>
</Properties>
</file>