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BBDD_Bernat\Datos_vf\"/>
    </mc:Choice>
  </mc:AlternateContent>
  <bookViews>
    <workbookView xWindow="0" yWindow="465" windowWidth="28800" windowHeight="16575" tabRatio="844" firstSheet="4" activeTab="5"/>
  </bookViews>
  <sheets>
    <sheet name="datos9-2014" sheetId="9" r:id="rId1"/>
    <sheet name="datos9-2015" sheetId="28" r:id="rId2"/>
    <sheet name="Ingresos2014" sheetId="29" r:id="rId3"/>
    <sheet name="Ingresos2015" sheetId="1" r:id="rId4"/>
    <sheet name="Totales ingresos" sheetId="18" r:id="rId5"/>
    <sheet name="Fondos2014" sheetId="16" r:id="rId6"/>
    <sheet name="Fondos2015" sheetId="30" r:id="rId7"/>
    <sheet name="comparativa2013" sheetId="32" r:id="rId8"/>
    <sheet name="Totales fondos" sheetId="17" r:id="rId9"/>
    <sheet name="Comparación" sheetId="3" r:id="rId10"/>
    <sheet name="Concentración 2014" sheetId="21" r:id="rId11"/>
    <sheet name="Concentracion 2015" sheetId="31" r:id="rId12"/>
    <sheet name="totales concent 2015" sheetId="5" r:id="rId13"/>
    <sheet name="Internacional" sheetId="22" r:id="rId14"/>
  </sheets>
  <externalReferences>
    <externalReference r:id="rId15"/>
  </externalReferences>
  <definedNames>
    <definedName name="_xlnm._FilterDatabase" localSheetId="0" hidden="1">'datos9-2014'!$A$1:$AL$81</definedName>
    <definedName name="_xlnm._FilterDatabase" localSheetId="5" hidden="1">Fondos2014!$B$4:$AS$82</definedName>
    <definedName name="_xlnm._FilterDatabase" localSheetId="3" hidden="1">Ingresos2015!$D$4:$D$87</definedName>
    <definedName name="_xlnm.Print_Area" localSheetId="9">Comparación!$B$2:$I$22</definedName>
    <definedName name="_xlnm.Print_Area" localSheetId="3">Ingresos2015!$A$2:$O$85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32" l="1"/>
  <c r="B36" i="32"/>
  <c r="B30" i="32"/>
  <c r="B47" i="32"/>
  <c r="B18" i="32"/>
  <c r="B14" i="32"/>
  <c r="B9" i="32"/>
  <c r="B5" i="32"/>
  <c r="B25" i="32"/>
  <c r="B50" i="32"/>
  <c r="F41" i="32"/>
  <c r="F36" i="32"/>
  <c r="F30" i="32"/>
  <c r="F47" i="32"/>
  <c r="F18" i="32"/>
  <c r="F14" i="32"/>
  <c r="F9" i="32"/>
  <c r="F5" i="32"/>
  <c r="F25" i="32"/>
  <c r="F50" i="32"/>
  <c r="J50" i="32"/>
  <c r="D41" i="32"/>
  <c r="D36" i="32"/>
  <c r="D30" i="32"/>
  <c r="D47" i="32"/>
  <c r="D18" i="32"/>
  <c r="D14" i="32"/>
  <c r="D9" i="32"/>
  <c r="D5" i="32"/>
  <c r="D25" i="32"/>
  <c r="D50" i="32"/>
  <c r="E47" i="32"/>
  <c r="E46" i="32"/>
  <c r="E41" i="32"/>
  <c r="E36" i="32"/>
  <c r="E30" i="32"/>
  <c r="C46" i="32"/>
  <c r="C41" i="32"/>
  <c r="C47" i="32"/>
  <c r="C36" i="32"/>
  <c r="C30" i="32"/>
  <c r="C25" i="32"/>
  <c r="E24" i="32"/>
  <c r="E23" i="32"/>
  <c r="E18" i="32"/>
  <c r="E14" i="32"/>
  <c r="E9" i="32"/>
  <c r="E5" i="32"/>
  <c r="E25" i="32"/>
  <c r="C24" i="32"/>
  <c r="C23" i="32"/>
  <c r="C18" i="32"/>
  <c r="C14" i="32"/>
  <c r="C9" i="32"/>
  <c r="C5" i="32"/>
  <c r="I50" i="32"/>
  <c r="J41" i="32"/>
  <c r="I36" i="32"/>
  <c r="I30" i="32"/>
  <c r="I25" i="32"/>
  <c r="J14" i="32"/>
  <c r="G9" i="32"/>
  <c r="I5" i="32"/>
  <c r="I6" i="32"/>
  <c r="I7" i="32"/>
  <c r="I8" i="32"/>
  <c r="I10" i="32"/>
  <c r="I11" i="32"/>
  <c r="I12" i="32"/>
  <c r="I13" i="32"/>
  <c r="I15" i="32"/>
  <c r="I16" i="32"/>
  <c r="I17" i="32"/>
  <c r="I19" i="32"/>
  <c r="I20" i="32"/>
  <c r="I21" i="32"/>
  <c r="I22" i="32"/>
  <c r="I23" i="32"/>
  <c r="I24" i="32"/>
  <c r="I31" i="32"/>
  <c r="I32" i="32"/>
  <c r="I33" i="32"/>
  <c r="I34" i="32"/>
  <c r="I35" i="32"/>
  <c r="I37" i="32"/>
  <c r="I38" i="32"/>
  <c r="I39" i="32"/>
  <c r="I40" i="32"/>
  <c r="I42" i="32"/>
  <c r="I43" i="32"/>
  <c r="I44" i="32"/>
  <c r="I45" i="32"/>
  <c r="I46" i="32"/>
  <c r="P11" i="3"/>
  <c r="P10" i="3"/>
  <c r="J32" i="32"/>
  <c r="J33" i="32"/>
  <c r="J6" i="32"/>
  <c r="J7" i="32"/>
  <c r="J8" i="32"/>
  <c r="J9" i="32"/>
  <c r="J10" i="32"/>
  <c r="J11" i="32"/>
  <c r="J12" i="32"/>
  <c r="J13" i="32"/>
  <c r="J15" i="32"/>
  <c r="J16" i="32"/>
  <c r="J17" i="32"/>
  <c r="J18" i="32"/>
  <c r="J19" i="32"/>
  <c r="J20" i="32"/>
  <c r="J21" i="32"/>
  <c r="J22" i="32"/>
  <c r="J23" i="32"/>
  <c r="J24" i="32"/>
  <c r="J31" i="32"/>
  <c r="J34" i="32"/>
  <c r="J35" i="32"/>
  <c r="J37" i="32"/>
  <c r="J38" i="32"/>
  <c r="J39" i="32"/>
  <c r="J40" i="32"/>
  <c r="J42" i="32"/>
  <c r="J43" i="32"/>
  <c r="J44" i="32"/>
  <c r="J45" i="32"/>
  <c r="J46" i="32"/>
  <c r="G46" i="32"/>
  <c r="G14" i="32"/>
  <c r="Q10" i="3"/>
  <c r="E45" i="9"/>
  <c r="L45" i="9"/>
  <c r="L45" i="28"/>
  <c r="L8" i="9"/>
  <c r="L27" i="9"/>
  <c r="C30" i="22"/>
  <c r="D30" i="22"/>
  <c r="E30" i="22"/>
  <c r="B30" i="22"/>
  <c r="F9" i="22"/>
  <c r="F24" i="22"/>
  <c r="F20" i="22"/>
  <c r="F26" i="22"/>
  <c r="F18" i="22"/>
  <c r="F17" i="22"/>
  <c r="F14" i="22"/>
  <c r="F13" i="22"/>
  <c r="F10" i="22"/>
  <c r="F27" i="22"/>
  <c r="F16" i="22"/>
  <c r="F21" i="22"/>
  <c r="F28" i="22"/>
  <c r="F15" i="22"/>
  <c r="F25" i="22"/>
  <c r="F6" i="22"/>
  <c r="F7" i="22"/>
  <c r="F11" i="22"/>
  <c r="F12" i="22"/>
  <c r="F5" i="22"/>
  <c r="F22" i="22"/>
  <c r="F8" i="22"/>
  <c r="F23" i="22"/>
  <c r="F19" i="22"/>
  <c r="F4" i="22"/>
  <c r="F30" i="22"/>
  <c r="F20" i="5"/>
  <c r="F18" i="5"/>
  <c r="F17" i="5"/>
  <c r="F16" i="5"/>
  <c r="F15" i="5"/>
  <c r="F14" i="5"/>
  <c r="E20" i="5"/>
  <c r="E16" i="5"/>
  <c r="E15" i="5"/>
  <c r="E14" i="5"/>
  <c r="F12" i="5"/>
  <c r="F11" i="5"/>
  <c r="F10" i="5"/>
  <c r="F9" i="5"/>
  <c r="F8" i="5"/>
  <c r="F7" i="5"/>
  <c r="E12" i="5"/>
  <c r="E10" i="5"/>
  <c r="E9" i="5"/>
  <c r="E8" i="5"/>
  <c r="F6" i="5"/>
  <c r="E7" i="5"/>
  <c r="E6" i="5"/>
  <c r="O72" i="31"/>
  <c r="O73" i="31"/>
  <c r="O74" i="31"/>
  <c r="O75" i="31"/>
  <c r="O76" i="31"/>
  <c r="O77" i="31"/>
  <c r="Q11" i="3"/>
  <c r="Q15" i="3"/>
  <c r="Y7" i="3"/>
  <c r="Y8" i="3"/>
  <c r="T15" i="3"/>
  <c r="Y10" i="3"/>
  <c r="S15" i="3"/>
  <c r="Y9" i="3"/>
  <c r="T11" i="3"/>
  <c r="T10" i="3"/>
  <c r="S11" i="3"/>
  <c r="S10" i="3"/>
  <c r="R11" i="3"/>
  <c r="R10" i="3"/>
  <c r="O181" i="31"/>
  <c r="O180" i="31"/>
  <c r="O179" i="31"/>
  <c r="O178" i="31"/>
  <c r="O177" i="31"/>
  <c r="O176" i="31"/>
  <c r="O175" i="31"/>
  <c r="O174" i="31"/>
  <c r="O173" i="31"/>
  <c r="O172" i="31"/>
  <c r="O171" i="31"/>
  <c r="O170" i="31"/>
  <c r="O169" i="31"/>
  <c r="O168" i="31"/>
  <c r="O167" i="31"/>
  <c r="O166" i="31"/>
  <c r="O165" i="31"/>
  <c r="O164" i="31"/>
  <c r="O163" i="31"/>
  <c r="O162" i="31"/>
  <c r="O161" i="31"/>
  <c r="O160" i="31"/>
  <c r="O159" i="31"/>
  <c r="O158" i="31"/>
  <c r="O157" i="31"/>
  <c r="O156" i="31"/>
  <c r="O155" i="31"/>
  <c r="O154" i="31"/>
  <c r="O153" i="31"/>
  <c r="O152" i="31"/>
  <c r="O151" i="31"/>
  <c r="O150" i="31"/>
  <c r="O149" i="31"/>
  <c r="O148" i="31"/>
  <c r="O147" i="31"/>
  <c r="O146" i="31"/>
  <c r="O145" i="31"/>
  <c r="O144" i="31"/>
  <c r="O143" i="31"/>
  <c r="O142" i="31"/>
  <c r="O141" i="31"/>
  <c r="O140" i="31"/>
  <c r="O139" i="31"/>
  <c r="O138" i="31"/>
  <c r="O137" i="31"/>
  <c r="O136" i="31"/>
  <c r="O135" i="31"/>
  <c r="O134" i="31"/>
  <c r="O133" i="31"/>
  <c r="O132" i="31"/>
  <c r="O71" i="31"/>
  <c r="O70" i="31"/>
  <c r="O69" i="31"/>
  <c r="O68" i="31"/>
  <c r="O67" i="31"/>
  <c r="O66" i="31"/>
  <c r="O65" i="31"/>
  <c r="O64" i="31"/>
  <c r="O63" i="31"/>
  <c r="O62" i="31"/>
  <c r="O61" i="31"/>
  <c r="O60" i="31"/>
  <c r="O59" i="31"/>
  <c r="O58" i="31"/>
  <c r="O57" i="31"/>
  <c r="O56" i="31"/>
  <c r="O55" i="31"/>
  <c r="O54" i="31"/>
  <c r="O53" i="31"/>
  <c r="O52" i="31"/>
  <c r="O51" i="31"/>
  <c r="O50" i="31"/>
  <c r="O49" i="31"/>
  <c r="O48" i="31"/>
  <c r="O47" i="31"/>
  <c r="O46" i="31"/>
  <c r="O45" i="31"/>
  <c r="O44" i="31"/>
  <c r="O43" i="31"/>
  <c r="O42" i="31"/>
  <c r="O41" i="31"/>
  <c r="O40" i="31"/>
  <c r="O39" i="31"/>
  <c r="O38" i="31"/>
  <c r="O37" i="31"/>
  <c r="O36" i="31"/>
  <c r="O35" i="31"/>
  <c r="O34" i="31"/>
  <c r="O33" i="31"/>
  <c r="O32" i="31"/>
  <c r="O31" i="31"/>
  <c r="O30" i="31"/>
  <c r="O29" i="31"/>
  <c r="O28" i="31"/>
  <c r="O27" i="31"/>
  <c r="O26" i="31"/>
  <c r="O25" i="31"/>
  <c r="O24" i="31"/>
  <c r="O23" i="31"/>
  <c r="O22" i="31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AP9" i="30"/>
  <c r="M3" i="31"/>
  <c r="AP10" i="30"/>
  <c r="M4" i="31"/>
  <c r="AP11" i="30"/>
  <c r="M5" i="31"/>
  <c r="AP12" i="30"/>
  <c r="M6" i="31"/>
  <c r="AP13" i="30"/>
  <c r="M7" i="31"/>
  <c r="AP14" i="30"/>
  <c r="M8" i="31"/>
  <c r="AP15" i="30"/>
  <c r="M9" i="31"/>
  <c r="AP16" i="30"/>
  <c r="M10" i="31"/>
  <c r="AP17" i="30"/>
  <c r="M11" i="31"/>
  <c r="AP18" i="30"/>
  <c r="M12" i="31"/>
  <c r="AP19" i="30"/>
  <c r="AP20" i="30"/>
  <c r="M14" i="31"/>
  <c r="AP21" i="30"/>
  <c r="M15" i="31"/>
  <c r="AP22" i="30"/>
  <c r="M16" i="31"/>
  <c r="AP23" i="30"/>
  <c r="M17" i="31"/>
  <c r="AP24" i="30"/>
  <c r="M18" i="31"/>
  <c r="AP25" i="30"/>
  <c r="M19" i="31"/>
  <c r="AP26" i="30"/>
  <c r="M20" i="31"/>
  <c r="AP27" i="30"/>
  <c r="M21" i="31"/>
  <c r="AP28" i="30"/>
  <c r="M22" i="31"/>
  <c r="AP29" i="30"/>
  <c r="M23" i="31"/>
  <c r="AP30" i="30"/>
  <c r="M24" i="31"/>
  <c r="AP31" i="30"/>
  <c r="M25" i="31"/>
  <c r="AP32" i="30"/>
  <c r="M26" i="31"/>
  <c r="AP33" i="30"/>
  <c r="M27" i="31"/>
  <c r="AP34" i="30"/>
  <c r="AP35" i="30"/>
  <c r="M29" i="31"/>
  <c r="AP36" i="30"/>
  <c r="AP37" i="30"/>
  <c r="M31" i="31"/>
  <c r="AP38" i="30"/>
  <c r="M32" i="31"/>
  <c r="AP39" i="30"/>
  <c r="M33" i="31"/>
  <c r="AP55" i="30"/>
  <c r="M34" i="31"/>
  <c r="AP40" i="30"/>
  <c r="M35" i="31"/>
  <c r="AP41" i="30"/>
  <c r="AP42" i="30"/>
  <c r="M37" i="31"/>
  <c r="AP43" i="30"/>
  <c r="M38" i="31"/>
  <c r="AP44" i="30"/>
  <c r="M39" i="31"/>
  <c r="AP45" i="30"/>
  <c r="M40" i="31"/>
  <c r="AP46" i="30"/>
  <c r="M41" i="31"/>
  <c r="AP47" i="30"/>
  <c r="M42" i="31"/>
  <c r="AP49" i="30"/>
  <c r="M43" i="31"/>
  <c r="AP50" i="30"/>
  <c r="M44" i="31"/>
  <c r="AP51" i="30"/>
  <c r="M45" i="31"/>
  <c r="AP53" i="30"/>
  <c r="AP54" i="30"/>
  <c r="M47" i="31"/>
  <c r="AP56" i="30"/>
  <c r="AP57" i="30"/>
  <c r="M49" i="31"/>
  <c r="AP58" i="30"/>
  <c r="AP59" i="30"/>
  <c r="M51" i="31"/>
  <c r="AP60" i="30"/>
  <c r="M52" i="31"/>
  <c r="AP61" i="30"/>
  <c r="M53" i="31"/>
  <c r="AP62" i="30"/>
  <c r="AP48" i="30"/>
  <c r="AP63" i="30"/>
  <c r="AP64" i="30"/>
  <c r="M57" i="31"/>
  <c r="AP65" i="30"/>
  <c r="AP66" i="30"/>
  <c r="M59" i="31"/>
  <c r="AP67" i="30"/>
  <c r="M60" i="31"/>
  <c r="AP68" i="30"/>
  <c r="M61" i="31"/>
  <c r="AP69" i="30"/>
  <c r="AP70" i="30"/>
  <c r="M63" i="31"/>
  <c r="AP71" i="30"/>
  <c r="M64" i="31"/>
  <c r="AP72" i="30"/>
  <c r="M65" i="31"/>
  <c r="AP73" i="30"/>
  <c r="M66" i="31"/>
  <c r="AP74" i="30"/>
  <c r="M67" i="31"/>
  <c r="AP75" i="30"/>
  <c r="M68" i="31"/>
  <c r="AP52" i="30"/>
  <c r="M69" i="31"/>
  <c r="AP76" i="30"/>
  <c r="M70" i="31"/>
  <c r="AP77" i="30"/>
  <c r="M71" i="31"/>
  <c r="AP78" i="30"/>
  <c r="M72" i="31"/>
  <c r="AP79" i="30"/>
  <c r="M73" i="31"/>
  <c r="AP80" i="30"/>
  <c r="M74" i="31"/>
  <c r="AP81" i="30"/>
  <c r="M75" i="31"/>
  <c r="AP82" i="30"/>
  <c r="M76" i="31"/>
  <c r="AP83" i="30"/>
  <c r="M77" i="31"/>
  <c r="AP8" i="30"/>
  <c r="M2" i="31"/>
  <c r="AN9" i="30"/>
  <c r="AN10" i="30"/>
  <c r="AN11" i="30"/>
  <c r="AN12" i="30"/>
  <c r="AN13" i="30"/>
  <c r="AN14" i="30"/>
  <c r="AN15" i="30"/>
  <c r="AN16" i="30"/>
  <c r="AN17" i="30"/>
  <c r="AN18" i="30"/>
  <c r="AN19" i="30"/>
  <c r="AN20" i="30"/>
  <c r="AN21" i="30"/>
  <c r="AN22" i="30"/>
  <c r="AN23" i="30"/>
  <c r="AN24" i="30"/>
  <c r="AN25" i="30"/>
  <c r="AN26" i="30"/>
  <c r="AN27" i="30"/>
  <c r="AN28" i="30"/>
  <c r="AN29" i="30"/>
  <c r="AN30" i="30"/>
  <c r="AN31" i="30"/>
  <c r="AN32" i="30"/>
  <c r="AN33" i="30"/>
  <c r="AN34" i="30"/>
  <c r="AN35" i="30"/>
  <c r="AN36" i="30"/>
  <c r="AN37" i="30"/>
  <c r="AN38" i="30"/>
  <c r="AN39" i="30"/>
  <c r="AN55" i="30"/>
  <c r="AN40" i="30"/>
  <c r="AN41" i="30"/>
  <c r="AN42" i="30"/>
  <c r="AN43" i="30"/>
  <c r="AN44" i="30"/>
  <c r="AN45" i="30"/>
  <c r="AN46" i="30"/>
  <c r="AN47" i="30"/>
  <c r="AN49" i="30"/>
  <c r="AN50" i="30"/>
  <c r="AN51" i="30"/>
  <c r="AN53" i="30"/>
  <c r="AN54" i="30"/>
  <c r="AN56" i="30"/>
  <c r="AN57" i="30"/>
  <c r="AN58" i="30"/>
  <c r="AN59" i="30"/>
  <c r="AN60" i="30"/>
  <c r="AN61" i="30"/>
  <c r="AN62" i="30"/>
  <c r="AN48" i="30"/>
  <c r="AN63" i="30"/>
  <c r="AN64" i="30"/>
  <c r="AN65" i="30"/>
  <c r="AN66" i="30"/>
  <c r="AN67" i="30"/>
  <c r="AN68" i="30"/>
  <c r="AN69" i="30"/>
  <c r="AN70" i="30"/>
  <c r="AN71" i="30"/>
  <c r="AN72" i="30"/>
  <c r="AN73" i="30"/>
  <c r="AN74" i="30"/>
  <c r="AN75" i="30"/>
  <c r="AN52" i="30"/>
  <c r="AN76" i="30"/>
  <c r="AN77" i="30"/>
  <c r="AN78" i="30"/>
  <c r="AN79" i="30"/>
  <c r="AN80" i="30"/>
  <c r="AN81" i="30"/>
  <c r="AN82" i="30"/>
  <c r="AN83" i="30"/>
  <c r="AN8" i="30"/>
  <c r="AM9" i="30"/>
  <c r="AM10" i="30"/>
  <c r="AM11" i="30"/>
  <c r="AM12" i="30"/>
  <c r="AM13" i="30"/>
  <c r="AM14" i="30"/>
  <c r="AM15" i="30"/>
  <c r="AM16" i="30"/>
  <c r="AM17" i="30"/>
  <c r="AM18" i="30"/>
  <c r="AM19" i="30"/>
  <c r="AM20" i="30"/>
  <c r="AM21" i="30"/>
  <c r="AM22" i="30"/>
  <c r="AM23" i="30"/>
  <c r="AM24" i="30"/>
  <c r="AM25" i="30"/>
  <c r="AM26" i="30"/>
  <c r="AM27" i="30"/>
  <c r="AM28" i="30"/>
  <c r="AM29" i="30"/>
  <c r="AM30" i="30"/>
  <c r="AM31" i="30"/>
  <c r="AM32" i="30"/>
  <c r="AM33" i="30"/>
  <c r="AM34" i="30"/>
  <c r="AM35" i="30"/>
  <c r="AM36" i="30"/>
  <c r="AM37" i="30"/>
  <c r="AM38" i="30"/>
  <c r="AM39" i="30"/>
  <c r="AM55" i="30"/>
  <c r="AM40" i="30"/>
  <c r="AM41" i="30"/>
  <c r="AM42" i="30"/>
  <c r="AM43" i="30"/>
  <c r="AM44" i="30"/>
  <c r="AM45" i="30"/>
  <c r="AM46" i="30"/>
  <c r="AM47" i="30"/>
  <c r="AM49" i="30"/>
  <c r="AM50" i="30"/>
  <c r="AM51" i="30"/>
  <c r="AM53" i="30"/>
  <c r="AM54" i="30"/>
  <c r="AM56" i="30"/>
  <c r="AM57" i="30"/>
  <c r="AM58" i="30"/>
  <c r="AM59" i="30"/>
  <c r="AM60" i="30"/>
  <c r="AM61" i="30"/>
  <c r="AM62" i="30"/>
  <c r="AM48" i="30"/>
  <c r="AM63" i="30"/>
  <c r="AM64" i="30"/>
  <c r="AM65" i="30"/>
  <c r="AM66" i="30"/>
  <c r="AM67" i="30"/>
  <c r="AM68" i="30"/>
  <c r="AM69" i="30"/>
  <c r="AM70" i="30"/>
  <c r="AM71" i="30"/>
  <c r="AM72" i="30"/>
  <c r="AM73" i="30"/>
  <c r="AM74" i="30"/>
  <c r="AM75" i="30"/>
  <c r="AM52" i="30"/>
  <c r="AM76" i="30"/>
  <c r="AM77" i="30"/>
  <c r="AM78" i="30"/>
  <c r="AM79" i="30"/>
  <c r="AM80" i="30"/>
  <c r="AM81" i="30"/>
  <c r="AM82" i="30"/>
  <c r="AM83" i="30"/>
  <c r="AM8" i="30"/>
  <c r="AL9" i="30"/>
  <c r="AL10" i="30"/>
  <c r="AL11" i="30"/>
  <c r="AL12" i="30"/>
  <c r="AL13" i="30"/>
  <c r="AL14" i="30"/>
  <c r="AL15" i="30"/>
  <c r="AL16" i="30"/>
  <c r="AL17" i="30"/>
  <c r="AL18" i="30"/>
  <c r="AL19" i="30"/>
  <c r="AL20" i="30"/>
  <c r="AL21" i="30"/>
  <c r="AL22" i="30"/>
  <c r="AL23" i="30"/>
  <c r="AL24" i="30"/>
  <c r="AL25" i="30"/>
  <c r="AL26" i="30"/>
  <c r="AL27" i="30"/>
  <c r="AL28" i="30"/>
  <c r="AL29" i="30"/>
  <c r="AL30" i="30"/>
  <c r="AL31" i="30"/>
  <c r="AL32" i="30"/>
  <c r="AL33" i="30"/>
  <c r="AL34" i="30"/>
  <c r="AL35" i="30"/>
  <c r="AL36" i="30"/>
  <c r="AL37" i="30"/>
  <c r="AL38" i="30"/>
  <c r="AL39" i="30"/>
  <c r="AL55" i="30"/>
  <c r="AL40" i="30"/>
  <c r="AL41" i="30"/>
  <c r="AL42" i="30"/>
  <c r="AL43" i="30"/>
  <c r="AL44" i="30"/>
  <c r="AL45" i="30"/>
  <c r="AL46" i="30"/>
  <c r="AL47" i="30"/>
  <c r="AL49" i="30"/>
  <c r="AL50" i="30"/>
  <c r="AL51" i="30"/>
  <c r="AL53" i="30"/>
  <c r="AL54" i="30"/>
  <c r="AL56" i="30"/>
  <c r="AL57" i="30"/>
  <c r="AL58" i="30"/>
  <c r="AL59" i="30"/>
  <c r="AL60" i="30"/>
  <c r="AL61" i="30"/>
  <c r="AL62" i="30"/>
  <c r="AL48" i="30"/>
  <c r="AL63" i="30"/>
  <c r="AL64" i="30"/>
  <c r="AL65" i="30"/>
  <c r="AL66" i="30"/>
  <c r="AL67" i="30"/>
  <c r="AL68" i="30"/>
  <c r="AL69" i="30"/>
  <c r="AL70" i="30"/>
  <c r="AL71" i="30"/>
  <c r="AL72" i="30"/>
  <c r="AL73" i="30"/>
  <c r="AL74" i="30"/>
  <c r="AL75" i="30"/>
  <c r="AL52" i="30"/>
  <c r="AL76" i="30"/>
  <c r="AL77" i="30"/>
  <c r="AL78" i="30"/>
  <c r="AL79" i="30"/>
  <c r="AL80" i="30"/>
  <c r="AL81" i="30"/>
  <c r="AL82" i="30"/>
  <c r="AL83" i="30"/>
  <c r="AL8" i="30"/>
  <c r="AK9" i="30"/>
  <c r="AK10" i="30"/>
  <c r="AO10" i="30"/>
  <c r="L4" i="31"/>
  <c r="AK11" i="30"/>
  <c r="AK12" i="30"/>
  <c r="AK13" i="30"/>
  <c r="AK14" i="30"/>
  <c r="AK15" i="30"/>
  <c r="AK16" i="30"/>
  <c r="AK17" i="30"/>
  <c r="AK18" i="30"/>
  <c r="AK19" i="30"/>
  <c r="AK20" i="30"/>
  <c r="AK21" i="30"/>
  <c r="AK22" i="30"/>
  <c r="AK23" i="30"/>
  <c r="AK24" i="30"/>
  <c r="AK25" i="30"/>
  <c r="AK26" i="30"/>
  <c r="AK27" i="30"/>
  <c r="AK28" i="30"/>
  <c r="AK29" i="30"/>
  <c r="AK30" i="30"/>
  <c r="AK31" i="30"/>
  <c r="AO31" i="30"/>
  <c r="L25" i="31"/>
  <c r="AK32" i="30"/>
  <c r="AO32" i="30"/>
  <c r="AK33" i="30"/>
  <c r="AK34" i="30"/>
  <c r="AK35" i="30"/>
  <c r="AO35" i="30"/>
  <c r="L29" i="31"/>
  <c r="AK36" i="30"/>
  <c r="AK37" i="30"/>
  <c r="AK38" i="30"/>
  <c r="AK39" i="30"/>
  <c r="AK55" i="30"/>
  <c r="AO55" i="30"/>
  <c r="AK40" i="30"/>
  <c r="AK41" i="30"/>
  <c r="AK42" i="30"/>
  <c r="AK43" i="30"/>
  <c r="AK44" i="30"/>
  <c r="AK45" i="30"/>
  <c r="AK46" i="30"/>
  <c r="AK47" i="30"/>
  <c r="AK49" i="30"/>
  <c r="AK50" i="30"/>
  <c r="AK51" i="30"/>
  <c r="AK53" i="30"/>
  <c r="AK54" i="30"/>
  <c r="AK56" i="30"/>
  <c r="AK57" i="30"/>
  <c r="AK58" i="30"/>
  <c r="AK59" i="30"/>
  <c r="AK60" i="30"/>
  <c r="AK61" i="30"/>
  <c r="AK62" i="30"/>
  <c r="AK48" i="30"/>
  <c r="AK63" i="30"/>
  <c r="AK64" i="30"/>
  <c r="AK65" i="30"/>
  <c r="AK66" i="30"/>
  <c r="AK67" i="30"/>
  <c r="AK68" i="30"/>
  <c r="AK69" i="30"/>
  <c r="AK70" i="30"/>
  <c r="AK71" i="30"/>
  <c r="AK72" i="30"/>
  <c r="AK73" i="30"/>
  <c r="AK74" i="30"/>
  <c r="AK75" i="30"/>
  <c r="AK52" i="30"/>
  <c r="AK76" i="30"/>
  <c r="AK77" i="30"/>
  <c r="AK78" i="30"/>
  <c r="AK79" i="30"/>
  <c r="AK80" i="30"/>
  <c r="AK81" i="30"/>
  <c r="AK82" i="30"/>
  <c r="AK83" i="30"/>
  <c r="AK8" i="30"/>
  <c r="AI9" i="30"/>
  <c r="AI10" i="30"/>
  <c r="AI11" i="30"/>
  <c r="AI12" i="30"/>
  <c r="AI13" i="30"/>
  <c r="AI14" i="30"/>
  <c r="AI15" i="30"/>
  <c r="AI16" i="30"/>
  <c r="AI17" i="30"/>
  <c r="AI18" i="30"/>
  <c r="AI19" i="30"/>
  <c r="AI20" i="30"/>
  <c r="AI21" i="30"/>
  <c r="AI22" i="30"/>
  <c r="AI23" i="30"/>
  <c r="AI24" i="30"/>
  <c r="AI25" i="30"/>
  <c r="AI26" i="30"/>
  <c r="AI27" i="30"/>
  <c r="AI28" i="30"/>
  <c r="AI29" i="30"/>
  <c r="AI30" i="30"/>
  <c r="AI31" i="30"/>
  <c r="AI32" i="30"/>
  <c r="AI33" i="30"/>
  <c r="AI34" i="30"/>
  <c r="AI35" i="30"/>
  <c r="AI36" i="30"/>
  <c r="AI37" i="30"/>
  <c r="AI38" i="30"/>
  <c r="AI39" i="30"/>
  <c r="AI55" i="30"/>
  <c r="AI40" i="30"/>
  <c r="AI41" i="30"/>
  <c r="AI42" i="30"/>
  <c r="AI43" i="30"/>
  <c r="AI44" i="30"/>
  <c r="AI45" i="30"/>
  <c r="AI46" i="30"/>
  <c r="AI47" i="30"/>
  <c r="AI49" i="30"/>
  <c r="AI50" i="30"/>
  <c r="AI51" i="30"/>
  <c r="AI53" i="30"/>
  <c r="AI54" i="30"/>
  <c r="AI56" i="30"/>
  <c r="AI57" i="30"/>
  <c r="AI58" i="30"/>
  <c r="AI59" i="30"/>
  <c r="AI60" i="30"/>
  <c r="AI61" i="30"/>
  <c r="AI62" i="30"/>
  <c r="AI48" i="30"/>
  <c r="AI63" i="30"/>
  <c r="AI64" i="30"/>
  <c r="AI65" i="30"/>
  <c r="AI66" i="30"/>
  <c r="AI67" i="30"/>
  <c r="AI68" i="30"/>
  <c r="AI69" i="30"/>
  <c r="AI70" i="30"/>
  <c r="AI71" i="30"/>
  <c r="AI72" i="30"/>
  <c r="AI73" i="30"/>
  <c r="AI74" i="30"/>
  <c r="AI75" i="30"/>
  <c r="AI52" i="30"/>
  <c r="AI76" i="30"/>
  <c r="AI77" i="30"/>
  <c r="AI78" i="30"/>
  <c r="AI79" i="30"/>
  <c r="AI80" i="30"/>
  <c r="AI81" i="30"/>
  <c r="AI82" i="30"/>
  <c r="AI83" i="30"/>
  <c r="AI8" i="30"/>
  <c r="AH9" i="30"/>
  <c r="AH10" i="30"/>
  <c r="AH11" i="30"/>
  <c r="AH12" i="30"/>
  <c r="AH13" i="30"/>
  <c r="AH14" i="30"/>
  <c r="AH15" i="30"/>
  <c r="AH16" i="30"/>
  <c r="AH17" i="30"/>
  <c r="AH18" i="30"/>
  <c r="AH19" i="30"/>
  <c r="AH20" i="30"/>
  <c r="AH21" i="30"/>
  <c r="AH22" i="30"/>
  <c r="AH23" i="30"/>
  <c r="AH24" i="30"/>
  <c r="AH25" i="30"/>
  <c r="AH26" i="30"/>
  <c r="AH27" i="30"/>
  <c r="AH28" i="30"/>
  <c r="AH29" i="30"/>
  <c r="AH30" i="30"/>
  <c r="AH31" i="30"/>
  <c r="AH32" i="30"/>
  <c r="AH33" i="30"/>
  <c r="AH34" i="30"/>
  <c r="AH35" i="30"/>
  <c r="AH36" i="30"/>
  <c r="AH37" i="30"/>
  <c r="AH38" i="30"/>
  <c r="AH39" i="30"/>
  <c r="AH55" i="30"/>
  <c r="AH40" i="30"/>
  <c r="AH41" i="30"/>
  <c r="AH42" i="30"/>
  <c r="AH43" i="30"/>
  <c r="AH44" i="30"/>
  <c r="AH45" i="30"/>
  <c r="AH46" i="30"/>
  <c r="AH47" i="30"/>
  <c r="AH49" i="30"/>
  <c r="AH50" i="30"/>
  <c r="AH51" i="30"/>
  <c r="AH53" i="30"/>
  <c r="AH54" i="30"/>
  <c r="AH56" i="30"/>
  <c r="AH57" i="30"/>
  <c r="AH58" i="30"/>
  <c r="AH59" i="30"/>
  <c r="AH60" i="30"/>
  <c r="AH61" i="30"/>
  <c r="AH62" i="30"/>
  <c r="AH48" i="30"/>
  <c r="AH63" i="30"/>
  <c r="AH64" i="30"/>
  <c r="AH65" i="30"/>
  <c r="AH66" i="30"/>
  <c r="AH67" i="30"/>
  <c r="AH68" i="30"/>
  <c r="AH69" i="30"/>
  <c r="AH70" i="30"/>
  <c r="AH71" i="30"/>
  <c r="AH72" i="30"/>
  <c r="AH73" i="30"/>
  <c r="AH74" i="30"/>
  <c r="AH75" i="30"/>
  <c r="AH52" i="30"/>
  <c r="AH76" i="30"/>
  <c r="AH77" i="30"/>
  <c r="AH78" i="30"/>
  <c r="AH79" i="30"/>
  <c r="AH80" i="30"/>
  <c r="AH81" i="30"/>
  <c r="AH82" i="30"/>
  <c r="AH83" i="30"/>
  <c r="AH8" i="30"/>
  <c r="AG9" i="30"/>
  <c r="AG10" i="30"/>
  <c r="AG11" i="30"/>
  <c r="AG12" i="30"/>
  <c r="AG13" i="30"/>
  <c r="AG14" i="30"/>
  <c r="AG15" i="30"/>
  <c r="AG16" i="30"/>
  <c r="AG17" i="30"/>
  <c r="AG18" i="30"/>
  <c r="AG19" i="30"/>
  <c r="AG20" i="30"/>
  <c r="AG21" i="30"/>
  <c r="AG22" i="30"/>
  <c r="AG23" i="30"/>
  <c r="AG24" i="30"/>
  <c r="AG25" i="30"/>
  <c r="AG26" i="30"/>
  <c r="AG27" i="30"/>
  <c r="AG28" i="30"/>
  <c r="AG29" i="30"/>
  <c r="AG30" i="30"/>
  <c r="AG31" i="30"/>
  <c r="AG32" i="30"/>
  <c r="AG33" i="30"/>
  <c r="AG34" i="30"/>
  <c r="AG35" i="30"/>
  <c r="AG36" i="30"/>
  <c r="AG37" i="30"/>
  <c r="AG38" i="30"/>
  <c r="AG39" i="30"/>
  <c r="AG55" i="30"/>
  <c r="AG40" i="30"/>
  <c r="AG41" i="30"/>
  <c r="AG42" i="30"/>
  <c r="AG43" i="30"/>
  <c r="AG44" i="30"/>
  <c r="AG45" i="30"/>
  <c r="AG46" i="30"/>
  <c r="AG47" i="30"/>
  <c r="AG49" i="30"/>
  <c r="AG50" i="30"/>
  <c r="AG51" i="30"/>
  <c r="AG53" i="30"/>
  <c r="AG54" i="30"/>
  <c r="AG56" i="30"/>
  <c r="AG57" i="30"/>
  <c r="AG58" i="30"/>
  <c r="AG59" i="30"/>
  <c r="AG60" i="30"/>
  <c r="AG61" i="30"/>
  <c r="AG62" i="30"/>
  <c r="AG48" i="30"/>
  <c r="AG63" i="30"/>
  <c r="AG64" i="30"/>
  <c r="AG65" i="30"/>
  <c r="AG66" i="30"/>
  <c r="AG67" i="30"/>
  <c r="AG68" i="30"/>
  <c r="AG69" i="30"/>
  <c r="AG70" i="30"/>
  <c r="AG71" i="30"/>
  <c r="AG72" i="30"/>
  <c r="AG73" i="30"/>
  <c r="AG74" i="30"/>
  <c r="AG75" i="30"/>
  <c r="AG52" i="30"/>
  <c r="AG76" i="30"/>
  <c r="AG77" i="30"/>
  <c r="AG78" i="30"/>
  <c r="AG79" i="30"/>
  <c r="AG80" i="30"/>
  <c r="AG81" i="30"/>
  <c r="AG82" i="30"/>
  <c r="AG83" i="30"/>
  <c r="AG8" i="30"/>
  <c r="AF9" i="30"/>
  <c r="AJ9" i="30"/>
  <c r="K3" i="31"/>
  <c r="AF10" i="30"/>
  <c r="AJ10" i="30"/>
  <c r="AF11" i="30"/>
  <c r="AJ11" i="30"/>
  <c r="AF12" i="30"/>
  <c r="AF13" i="30"/>
  <c r="AF14" i="30"/>
  <c r="AF15" i="30"/>
  <c r="AF16" i="30"/>
  <c r="AF17" i="30"/>
  <c r="AF18" i="30"/>
  <c r="AJ18" i="30"/>
  <c r="K12" i="31"/>
  <c r="AF19" i="30"/>
  <c r="AF20" i="30"/>
  <c r="AF21" i="30"/>
  <c r="AF22" i="30"/>
  <c r="AJ22" i="30"/>
  <c r="K16" i="31"/>
  <c r="AF23" i="30"/>
  <c r="AJ23" i="30"/>
  <c r="K17" i="31"/>
  <c r="AF24" i="30"/>
  <c r="AF25" i="30"/>
  <c r="AJ25" i="30"/>
  <c r="AF26" i="30"/>
  <c r="AJ26" i="30"/>
  <c r="K20" i="31"/>
  <c r="AF27" i="30"/>
  <c r="AF28" i="30"/>
  <c r="AF29" i="30"/>
  <c r="AJ29" i="30"/>
  <c r="AF30" i="30"/>
  <c r="AJ30" i="30"/>
  <c r="K24" i="31"/>
  <c r="AF31" i="30"/>
  <c r="AF32" i="30"/>
  <c r="AF33" i="30"/>
  <c r="AJ33" i="30"/>
  <c r="K27" i="31"/>
  <c r="AF34" i="30"/>
  <c r="AJ34" i="30"/>
  <c r="AF35" i="30"/>
  <c r="AJ35" i="30"/>
  <c r="AF36" i="30"/>
  <c r="AF37" i="30"/>
  <c r="AJ37" i="30"/>
  <c r="K31" i="31"/>
  <c r="AF38" i="30"/>
  <c r="AF39" i="30"/>
  <c r="AF55" i="30"/>
  <c r="AF40" i="30"/>
  <c r="AJ40" i="30"/>
  <c r="AF41" i="30"/>
  <c r="AJ41" i="30"/>
  <c r="K36" i="31"/>
  <c r="AF42" i="30"/>
  <c r="AF43" i="30"/>
  <c r="AF44" i="30"/>
  <c r="AF45" i="30"/>
  <c r="AJ45" i="30"/>
  <c r="K40" i="31"/>
  <c r="AF46" i="30"/>
  <c r="AF47" i="30"/>
  <c r="AF49" i="30"/>
  <c r="AF50" i="30"/>
  <c r="AJ50" i="30"/>
  <c r="K44" i="31"/>
  <c r="AF51" i="30"/>
  <c r="AF53" i="30"/>
  <c r="AF54" i="30"/>
  <c r="AJ54" i="30"/>
  <c r="K47" i="31"/>
  <c r="AF56" i="30"/>
  <c r="AJ56" i="30"/>
  <c r="K48" i="31"/>
  <c r="AF57" i="30"/>
  <c r="AF58" i="30"/>
  <c r="AF59" i="30"/>
  <c r="AJ59" i="30"/>
  <c r="AF60" i="30"/>
  <c r="AJ60" i="30"/>
  <c r="K52" i="31"/>
  <c r="AF61" i="30"/>
  <c r="AF62" i="30"/>
  <c r="AF48" i="30"/>
  <c r="AF63" i="30"/>
  <c r="AF64" i="30"/>
  <c r="AF65" i="30"/>
  <c r="AF66" i="30"/>
  <c r="AF67" i="30"/>
  <c r="AF68" i="30"/>
  <c r="AF69" i="30"/>
  <c r="AF70" i="30"/>
  <c r="AF71" i="30"/>
  <c r="AF72" i="30"/>
  <c r="AF73" i="30"/>
  <c r="AF74" i="30"/>
  <c r="AF75" i="30"/>
  <c r="AF52" i="30"/>
  <c r="AF76" i="30"/>
  <c r="AF77" i="30"/>
  <c r="AJ77" i="30"/>
  <c r="K71" i="31"/>
  <c r="AF78" i="30"/>
  <c r="AJ78" i="30"/>
  <c r="K72" i="31"/>
  <c r="AF79" i="30"/>
  <c r="AF80" i="30"/>
  <c r="AF81" i="30"/>
  <c r="AF82" i="30"/>
  <c r="AJ82" i="30"/>
  <c r="K76" i="31"/>
  <c r="AF83" i="30"/>
  <c r="AF8" i="30"/>
  <c r="AD9" i="30"/>
  <c r="AD10" i="30"/>
  <c r="AD11" i="30"/>
  <c r="AD12" i="30"/>
  <c r="AD13" i="30"/>
  <c r="AD14" i="30"/>
  <c r="AD15" i="30"/>
  <c r="AD16" i="30"/>
  <c r="AD17" i="30"/>
  <c r="AD18" i="30"/>
  <c r="AD19" i="30"/>
  <c r="AD20" i="30"/>
  <c r="AD21" i="30"/>
  <c r="AD22" i="30"/>
  <c r="AD23" i="30"/>
  <c r="AD24" i="30"/>
  <c r="AD25" i="30"/>
  <c r="AD26" i="30"/>
  <c r="AD27" i="30"/>
  <c r="AD28" i="30"/>
  <c r="AD29" i="30"/>
  <c r="AD30" i="30"/>
  <c r="AD31" i="30"/>
  <c r="AD32" i="30"/>
  <c r="AD33" i="30"/>
  <c r="AD34" i="30"/>
  <c r="AD35" i="30"/>
  <c r="AD36" i="30"/>
  <c r="AD37" i="30"/>
  <c r="AD38" i="30"/>
  <c r="AD39" i="30"/>
  <c r="AD55" i="30"/>
  <c r="AD40" i="30"/>
  <c r="AD41" i="30"/>
  <c r="AD42" i="30"/>
  <c r="AD43" i="30"/>
  <c r="AD44" i="30"/>
  <c r="AD45" i="30"/>
  <c r="AD46" i="30"/>
  <c r="AD47" i="30"/>
  <c r="AD49" i="30"/>
  <c r="AD50" i="30"/>
  <c r="AD51" i="30"/>
  <c r="AD53" i="30"/>
  <c r="AD54" i="30"/>
  <c r="AD56" i="30"/>
  <c r="AD57" i="30"/>
  <c r="AD58" i="30"/>
  <c r="AD59" i="30"/>
  <c r="AD60" i="30"/>
  <c r="AD61" i="30"/>
  <c r="AD62" i="30"/>
  <c r="AD48" i="30"/>
  <c r="AD63" i="30"/>
  <c r="AD64" i="30"/>
  <c r="AD65" i="30"/>
  <c r="AD66" i="30"/>
  <c r="AD67" i="30"/>
  <c r="AD68" i="30"/>
  <c r="AD69" i="30"/>
  <c r="AD70" i="30"/>
  <c r="AD71" i="30"/>
  <c r="AD72" i="30"/>
  <c r="AD73" i="30"/>
  <c r="AD74" i="30"/>
  <c r="AD75" i="30"/>
  <c r="AD52" i="30"/>
  <c r="AD76" i="30"/>
  <c r="AD77" i="30"/>
  <c r="AD78" i="30"/>
  <c r="AD79" i="30"/>
  <c r="AD80" i="30"/>
  <c r="AD81" i="30"/>
  <c r="AD82" i="30"/>
  <c r="AD83" i="30"/>
  <c r="AD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55" i="30"/>
  <c r="AC40" i="30"/>
  <c r="AC41" i="30"/>
  <c r="AC42" i="30"/>
  <c r="AC43" i="30"/>
  <c r="AC44" i="30"/>
  <c r="AC45" i="30"/>
  <c r="AC46" i="30"/>
  <c r="AC47" i="30"/>
  <c r="AC49" i="30"/>
  <c r="AC50" i="30"/>
  <c r="AC51" i="30"/>
  <c r="AC53" i="30"/>
  <c r="AC54" i="30"/>
  <c r="AC56" i="30"/>
  <c r="AC57" i="30"/>
  <c r="AC58" i="30"/>
  <c r="AC59" i="30"/>
  <c r="AC60" i="30"/>
  <c r="AC61" i="30"/>
  <c r="AC62" i="30"/>
  <c r="AC48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52" i="30"/>
  <c r="AC76" i="30"/>
  <c r="AC77" i="30"/>
  <c r="AC78" i="30"/>
  <c r="AC79" i="30"/>
  <c r="AC80" i="30"/>
  <c r="AC81" i="30"/>
  <c r="AC82" i="30"/>
  <c r="AC83" i="30"/>
  <c r="AC8" i="30"/>
  <c r="AB9" i="30"/>
  <c r="AB10" i="30"/>
  <c r="AB11" i="30"/>
  <c r="AB12" i="30"/>
  <c r="AB13" i="30"/>
  <c r="AB14" i="30"/>
  <c r="AB15" i="30"/>
  <c r="AB16" i="30"/>
  <c r="AB17" i="30"/>
  <c r="AB18" i="30"/>
  <c r="AB19" i="30"/>
  <c r="AB20" i="30"/>
  <c r="AB21" i="30"/>
  <c r="AB22" i="30"/>
  <c r="AB23" i="30"/>
  <c r="AB24" i="30"/>
  <c r="AB25" i="30"/>
  <c r="AB26" i="30"/>
  <c r="AB27" i="30"/>
  <c r="AB28" i="30"/>
  <c r="AB29" i="30"/>
  <c r="AB30" i="30"/>
  <c r="AB31" i="30"/>
  <c r="AB32" i="30"/>
  <c r="AB33" i="30"/>
  <c r="AB34" i="30"/>
  <c r="AB35" i="30"/>
  <c r="AB36" i="30"/>
  <c r="AB37" i="30"/>
  <c r="AB38" i="30"/>
  <c r="AB39" i="30"/>
  <c r="AB55" i="30"/>
  <c r="AB40" i="30"/>
  <c r="AB41" i="30"/>
  <c r="AB42" i="30"/>
  <c r="AB43" i="30"/>
  <c r="AB44" i="30"/>
  <c r="AB45" i="30"/>
  <c r="AB46" i="30"/>
  <c r="AB47" i="30"/>
  <c r="AB49" i="30"/>
  <c r="AB50" i="30"/>
  <c r="AB51" i="30"/>
  <c r="AB53" i="30"/>
  <c r="AB54" i="30"/>
  <c r="AB56" i="30"/>
  <c r="AB57" i="30"/>
  <c r="AB58" i="30"/>
  <c r="AB59" i="30"/>
  <c r="AB60" i="30"/>
  <c r="AB61" i="30"/>
  <c r="AB62" i="30"/>
  <c r="AB48" i="30"/>
  <c r="AB63" i="30"/>
  <c r="AB64" i="30"/>
  <c r="AB65" i="30"/>
  <c r="AB66" i="30"/>
  <c r="AB67" i="30"/>
  <c r="AB68" i="30"/>
  <c r="AB69" i="30"/>
  <c r="AB70" i="30"/>
  <c r="AB71" i="30"/>
  <c r="AB72" i="30"/>
  <c r="AB73" i="30"/>
  <c r="AB74" i="30"/>
  <c r="AB75" i="30"/>
  <c r="AB52" i="30"/>
  <c r="AB76" i="30"/>
  <c r="AB77" i="30"/>
  <c r="AB78" i="30"/>
  <c r="AB79" i="30"/>
  <c r="AB80" i="30"/>
  <c r="AB81" i="30"/>
  <c r="AB82" i="30"/>
  <c r="AB83" i="30"/>
  <c r="AB8" i="30"/>
  <c r="AA9" i="30"/>
  <c r="AA10" i="30"/>
  <c r="AA11" i="30"/>
  <c r="AA12" i="30"/>
  <c r="AA13" i="30"/>
  <c r="AA14" i="30"/>
  <c r="AA15" i="30"/>
  <c r="AA16" i="30"/>
  <c r="AA17" i="30"/>
  <c r="AA18" i="30"/>
  <c r="AA19" i="30"/>
  <c r="AA20" i="30"/>
  <c r="AA21" i="30"/>
  <c r="AA22" i="30"/>
  <c r="AA23" i="30"/>
  <c r="AA24" i="30"/>
  <c r="AA25" i="30"/>
  <c r="AA26" i="30"/>
  <c r="AA27" i="30"/>
  <c r="AA28" i="30"/>
  <c r="AA29" i="30"/>
  <c r="AA30" i="30"/>
  <c r="AA31" i="30"/>
  <c r="AA32" i="30"/>
  <c r="AA33" i="30"/>
  <c r="AA34" i="30"/>
  <c r="AA35" i="30"/>
  <c r="AA36" i="30"/>
  <c r="AA37" i="30"/>
  <c r="AA38" i="30"/>
  <c r="AA39" i="30"/>
  <c r="AA55" i="30"/>
  <c r="AA40" i="30"/>
  <c r="AA41" i="30"/>
  <c r="AA42" i="30"/>
  <c r="AA43" i="30"/>
  <c r="AA44" i="30"/>
  <c r="AA45" i="30"/>
  <c r="AA46" i="30"/>
  <c r="AA47" i="30"/>
  <c r="AA49" i="30"/>
  <c r="AA50" i="30"/>
  <c r="AA51" i="30"/>
  <c r="AA53" i="30"/>
  <c r="AA54" i="30"/>
  <c r="AA56" i="30"/>
  <c r="AA57" i="30"/>
  <c r="AA58" i="30"/>
  <c r="AA59" i="30"/>
  <c r="AA60" i="30"/>
  <c r="AA61" i="30"/>
  <c r="AA62" i="30"/>
  <c r="AA48" i="30"/>
  <c r="AA63" i="30"/>
  <c r="AA64" i="30"/>
  <c r="AA65" i="30"/>
  <c r="AA66" i="30"/>
  <c r="AA67" i="30"/>
  <c r="AA68" i="30"/>
  <c r="AA69" i="30"/>
  <c r="AA70" i="30"/>
  <c r="AA71" i="30"/>
  <c r="AA72" i="30"/>
  <c r="AA73" i="30"/>
  <c r="AA74" i="30"/>
  <c r="AA75" i="30"/>
  <c r="AA52" i="30"/>
  <c r="AA76" i="30"/>
  <c r="AA77" i="30"/>
  <c r="AA78" i="30"/>
  <c r="AA79" i="30"/>
  <c r="AA80" i="30"/>
  <c r="AA81" i="30"/>
  <c r="AA82" i="30"/>
  <c r="AA83" i="30"/>
  <c r="AA8" i="30"/>
  <c r="Z9" i="30"/>
  <c r="AE9" i="30"/>
  <c r="J3" i="31"/>
  <c r="Z10" i="30"/>
  <c r="Z11" i="30"/>
  <c r="Z12" i="30"/>
  <c r="Z13" i="30"/>
  <c r="AE13" i="30"/>
  <c r="J7" i="31"/>
  <c r="Z14" i="30"/>
  <c r="Z15" i="30"/>
  <c r="Z16" i="30"/>
  <c r="Z17" i="30"/>
  <c r="Z18" i="30"/>
  <c r="AE18" i="30"/>
  <c r="J12" i="31"/>
  <c r="Z19" i="30"/>
  <c r="Z20" i="30"/>
  <c r="Z21" i="30"/>
  <c r="AE21" i="30"/>
  <c r="J15" i="31"/>
  <c r="Z22" i="30"/>
  <c r="Z23" i="30"/>
  <c r="Z24" i="30"/>
  <c r="Z25" i="30"/>
  <c r="AE25" i="30"/>
  <c r="J19" i="31"/>
  <c r="Z26" i="30"/>
  <c r="Z27" i="30"/>
  <c r="Z28" i="30"/>
  <c r="AE28" i="30"/>
  <c r="Z29" i="30"/>
  <c r="Z30" i="30"/>
  <c r="Z31" i="30"/>
  <c r="Z32" i="30"/>
  <c r="Z33" i="30"/>
  <c r="AE33" i="30"/>
  <c r="Z34" i="30"/>
  <c r="AE34" i="30"/>
  <c r="J28" i="31"/>
  <c r="Z35" i="30"/>
  <c r="Z36" i="30"/>
  <c r="Z37" i="30"/>
  <c r="AE37" i="30"/>
  <c r="Z38" i="30"/>
  <c r="Z39" i="30"/>
  <c r="Z55" i="30"/>
  <c r="Z40" i="30"/>
  <c r="Z41" i="30"/>
  <c r="Z42" i="30"/>
  <c r="Z43" i="30"/>
  <c r="Z44" i="30"/>
  <c r="Z45" i="30"/>
  <c r="Z46" i="30"/>
  <c r="Z47" i="30"/>
  <c r="AE47" i="30"/>
  <c r="Z49" i="30"/>
  <c r="Z50" i="30"/>
  <c r="Z51" i="30"/>
  <c r="Z53" i="30"/>
  <c r="AE53" i="30"/>
  <c r="J46" i="31"/>
  <c r="Z54" i="30"/>
  <c r="Z56" i="30"/>
  <c r="Z57" i="30"/>
  <c r="Z58" i="30"/>
  <c r="Z59" i="30"/>
  <c r="Z60" i="30"/>
  <c r="Z61" i="30"/>
  <c r="Z62" i="30"/>
  <c r="Z48" i="30"/>
  <c r="Z63" i="30"/>
  <c r="Z64" i="30"/>
  <c r="Z65" i="30"/>
  <c r="Z66" i="30"/>
  <c r="Z67" i="30"/>
  <c r="Z68" i="30"/>
  <c r="Z69" i="30"/>
  <c r="Z70" i="30"/>
  <c r="AE70" i="30"/>
  <c r="Z71" i="30"/>
  <c r="Z72" i="30"/>
  <c r="Z73" i="30"/>
  <c r="Z74" i="30"/>
  <c r="Z75" i="30"/>
  <c r="Z52" i="30"/>
  <c r="Z76" i="30"/>
  <c r="Z77" i="30"/>
  <c r="Z78" i="30"/>
  <c r="Z79" i="30"/>
  <c r="Z80" i="30"/>
  <c r="Z81" i="30"/>
  <c r="AE81" i="30"/>
  <c r="J75" i="31"/>
  <c r="Z82" i="30"/>
  <c r="Z83" i="30"/>
  <c r="Z8" i="30"/>
  <c r="AE8" i="30"/>
  <c r="J2" i="31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55" i="30"/>
  <c r="W40" i="30"/>
  <c r="W41" i="30"/>
  <c r="W42" i="30"/>
  <c r="W43" i="30"/>
  <c r="W44" i="30"/>
  <c r="W45" i="30"/>
  <c r="W46" i="30"/>
  <c r="W47" i="30"/>
  <c r="W49" i="30"/>
  <c r="W50" i="30"/>
  <c r="W51" i="30"/>
  <c r="W53" i="30"/>
  <c r="W54" i="30"/>
  <c r="W56" i="30"/>
  <c r="W57" i="30"/>
  <c r="W58" i="30"/>
  <c r="W59" i="30"/>
  <c r="W60" i="30"/>
  <c r="W61" i="30"/>
  <c r="W62" i="30"/>
  <c r="W48" i="30"/>
  <c r="W63" i="30"/>
  <c r="W64" i="30"/>
  <c r="W65" i="30"/>
  <c r="W66" i="30"/>
  <c r="W67" i="30"/>
  <c r="W68" i="30"/>
  <c r="W69" i="30"/>
  <c r="W70" i="30"/>
  <c r="W71" i="30"/>
  <c r="W72" i="30"/>
  <c r="W73" i="30"/>
  <c r="W74" i="30"/>
  <c r="W75" i="30"/>
  <c r="W52" i="30"/>
  <c r="W76" i="30"/>
  <c r="W77" i="30"/>
  <c r="W78" i="30"/>
  <c r="W79" i="30"/>
  <c r="W80" i="30"/>
  <c r="W81" i="30"/>
  <c r="W82" i="30"/>
  <c r="W83" i="30"/>
  <c r="W8" i="30"/>
  <c r="V9" i="30"/>
  <c r="V10" i="30"/>
  <c r="X10" i="30"/>
  <c r="H4" i="31"/>
  <c r="V11" i="30"/>
  <c r="X11" i="30"/>
  <c r="V12" i="30"/>
  <c r="V13" i="30"/>
  <c r="V14" i="30"/>
  <c r="X14" i="30"/>
  <c r="H8" i="31"/>
  <c r="V15" i="30"/>
  <c r="X15" i="30"/>
  <c r="H9" i="31"/>
  <c r="V16" i="30"/>
  <c r="V17" i="30"/>
  <c r="X17" i="30"/>
  <c r="V18" i="30"/>
  <c r="V19" i="30"/>
  <c r="V20" i="30"/>
  <c r="V21" i="30"/>
  <c r="X21" i="30"/>
  <c r="V22" i="30"/>
  <c r="V23" i="30"/>
  <c r="V24" i="30"/>
  <c r="V25" i="30"/>
  <c r="V26" i="30"/>
  <c r="V27" i="30"/>
  <c r="V28" i="30"/>
  <c r="V29" i="30"/>
  <c r="V30" i="30"/>
  <c r="V31" i="30"/>
  <c r="V32" i="30"/>
  <c r="V33" i="30"/>
  <c r="X33" i="30"/>
  <c r="H27" i="31"/>
  <c r="V34" i="30"/>
  <c r="V35" i="30"/>
  <c r="V36" i="30"/>
  <c r="V37" i="30"/>
  <c r="X37" i="30"/>
  <c r="H31" i="31"/>
  <c r="V38" i="30"/>
  <c r="V39" i="30"/>
  <c r="V55" i="30"/>
  <c r="V40" i="30"/>
  <c r="V41" i="30"/>
  <c r="V42" i="30"/>
  <c r="V43" i="30"/>
  <c r="V44" i="30"/>
  <c r="X44" i="30"/>
  <c r="H39" i="31"/>
  <c r="V45" i="30"/>
  <c r="V46" i="30"/>
  <c r="V47" i="30"/>
  <c r="V49" i="30"/>
  <c r="X49" i="30"/>
  <c r="H43" i="31"/>
  <c r="V50" i="30"/>
  <c r="V51" i="30"/>
  <c r="V53" i="30"/>
  <c r="V54" i="30"/>
  <c r="X54" i="30"/>
  <c r="H47" i="31"/>
  <c r="V56" i="30"/>
  <c r="V57" i="30"/>
  <c r="V58" i="30"/>
  <c r="V59" i="30"/>
  <c r="X59" i="30"/>
  <c r="H51" i="31"/>
  <c r="V60" i="30"/>
  <c r="V61" i="30"/>
  <c r="V62" i="30"/>
  <c r="V48" i="30"/>
  <c r="X48" i="30"/>
  <c r="H55" i="31"/>
  <c r="V63" i="30"/>
  <c r="V64" i="30"/>
  <c r="V65" i="30"/>
  <c r="V66" i="30"/>
  <c r="X66" i="30"/>
  <c r="H59" i="31"/>
  <c r="V67" i="30"/>
  <c r="V68" i="30"/>
  <c r="V69" i="30"/>
  <c r="V70" i="30"/>
  <c r="X70" i="30"/>
  <c r="H63" i="31"/>
  <c r="V71" i="30"/>
  <c r="V72" i="30"/>
  <c r="V73" i="30"/>
  <c r="V74" i="30"/>
  <c r="X74" i="30"/>
  <c r="H67" i="31"/>
  <c r="V75" i="30"/>
  <c r="V52" i="30"/>
  <c r="V76" i="30"/>
  <c r="V77" i="30"/>
  <c r="X77" i="30"/>
  <c r="H71" i="31"/>
  <c r="V78" i="30"/>
  <c r="V79" i="30"/>
  <c r="V80" i="30"/>
  <c r="V81" i="30"/>
  <c r="X81" i="30"/>
  <c r="H75" i="31"/>
  <c r="V82" i="30"/>
  <c r="V83" i="30"/>
  <c r="V8" i="30"/>
  <c r="T9" i="30"/>
  <c r="T10" i="30"/>
  <c r="T11" i="30"/>
  <c r="T12" i="30"/>
  <c r="T13" i="30"/>
  <c r="T14" i="30"/>
  <c r="T15" i="30"/>
  <c r="T16" i="30"/>
  <c r="T17" i="30"/>
  <c r="T18" i="30"/>
  <c r="T19" i="30"/>
  <c r="T20" i="30"/>
  <c r="T21" i="30"/>
  <c r="T22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55" i="30"/>
  <c r="T40" i="30"/>
  <c r="T41" i="30"/>
  <c r="T42" i="30"/>
  <c r="T43" i="30"/>
  <c r="T44" i="30"/>
  <c r="T45" i="30"/>
  <c r="T46" i="30"/>
  <c r="T47" i="30"/>
  <c r="T49" i="30"/>
  <c r="T50" i="30"/>
  <c r="T51" i="30"/>
  <c r="T53" i="30"/>
  <c r="T54" i="30"/>
  <c r="T56" i="30"/>
  <c r="T57" i="30"/>
  <c r="T58" i="30"/>
  <c r="T59" i="30"/>
  <c r="T60" i="30"/>
  <c r="T61" i="30"/>
  <c r="T62" i="30"/>
  <c r="T48" i="30"/>
  <c r="T63" i="30"/>
  <c r="T64" i="30"/>
  <c r="T65" i="30"/>
  <c r="T66" i="30"/>
  <c r="T67" i="30"/>
  <c r="T68" i="30"/>
  <c r="T69" i="30"/>
  <c r="T70" i="30"/>
  <c r="T71" i="30"/>
  <c r="T72" i="30"/>
  <c r="T73" i="30"/>
  <c r="T74" i="30"/>
  <c r="T75" i="30"/>
  <c r="T52" i="30"/>
  <c r="T76" i="30"/>
  <c r="T77" i="30"/>
  <c r="T78" i="30"/>
  <c r="T79" i="30"/>
  <c r="T80" i="30"/>
  <c r="T81" i="30"/>
  <c r="T82" i="30"/>
  <c r="T83" i="30"/>
  <c r="T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55" i="30"/>
  <c r="S40" i="30"/>
  <c r="S41" i="30"/>
  <c r="S42" i="30"/>
  <c r="S43" i="30"/>
  <c r="S44" i="30"/>
  <c r="S45" i="30"/>
  <c r="S46" i="30"/>
  <c r="S47" i="30"/>
  <c r="S49" i="30"/>
  <c r="S50" i="30"/>
  <c r="S51" i="30"/>
  <c r="S53" i="30"/>
  <c r="S54" i="30"/>
  <c r="S56" i="30"/>
  <c r="S57" i="30"/>
  <c r="S58" i="30"/>
  <c r="S59" i="30"/>
  <c r="S60" i="30"/>
  <c r="S61" i="30"/>
  <c r="S62" i="30"/>
  <c r="S48" i="30"/>
  <c r="S63" i="30"/>
  <c r="S64" i="30"/>
  <c r="S65" i="30"/>
  <c r="S66" i="30"/>
  <c r="S67" i="30"/>
  <c r="S68" i="30"/>
  <c r="S69" i="30"/>
  <c r="S70" i="30"/>
  <c r="S71" i="30"/>
  <c r="S72" i="30"/>
  <c r="S73" i="30"/>
  <c r="S74" i="30"/>
  <c r="S75" i="30"/>
  <c r="S52" i="30"/>
  <c r="S76" i="30"/>
  <c r="S77" i="30"/>
  <c r="S78" i="30"/>
  <c r="S79" i="30"/>
  <c r="S80" i="30"/>
  <c r="S81" i="30"/>
  <c r="S82" i="30"/>
  <c r="S83" i="30"/>
  <c r="S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55" i="30"/>
  <c r="R40" i="30"/>
  <c r="R41" i="30"/>
  <c r="R42" i="30"/>
  <c r="R43" i="30"/>
  <c r="R44" i="30"/>
  <c r="R45" i="30"/>
  <c r="R46" i="30"/>
  <c r="R47" i="30"/>
  <c r="R49" i="30"/>
  <c r="R50" i="30"/>
  <c r="R51" i="30"/>
  <c r="R53" i="30"/>
  <c r="R54" i="30"/>
  <c r="R56" i="30"/>
  <c r="R57" i="30"/>
  <c r="R58" i="30"/>
  <c r="R59" i="30"/>
  <c r="R60" i="30"/>
  <c r="R61" i="30"/>
  <c r="R62" i="30"/>
  <c r="R48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52" i="30"/>
  <c r="R76" i="30"/>
  <c r="R77" i="30"/>
  <c r="R78" i="30"/>
  <c r="R79" i="30"/>
  <c r="R80" i="30"/>
  <c r="R81" i="30"/>
  <c r="R82" i="30"/>
  <c r="R83" i="30"/>
  <c r="R8" i="30"/>
  <c r="Q9" i="30"/>
  <c r="U9" i="30"/>
  <c r="G3" i="31"/>
  <c r="Q10" i="30"/>
  <c r="Q11" i="30"/>
  <c r="Q12" i="30"/>
  <c r="Q13" i="30"/>
  <c r="Q14" i="30"/>
  <c r="Q15" i="30"/>
  <c r="U15" i="30"/>
  <c r="Q16" i="30"/>
  <c r="Q17" i="30"/>
  <c r="Q18" i="30"/>
  <c r="Q19" i="30"/>
  <c r="U19" i="30"/>
  <c r="G13" i="31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U35" i="30"/>
  <c r="G29" i="31"/>
  <c r="Q36" i="30"/>
  <c r="Q37" i="30"/>
  <c r="Q38" i="30"/>
  <c r="Q39" i="30"/>
  <c r="Q55" i="30"/>
  <c r="Q40" i="30"/>
  <c r="Q41" i="30"/>
  <c r="Q42" i="30"/>
  <c r="U42" i="30"/>
  <c r="G37" i="31"/>
  <c r="Q43" i="30"/>
  <c r="Q44" i="30"/>
  <c r="Q45" i="30"/>
  <c r="Q46" i="30"/>
  <c r="U46" i="30"/>
  <c r="G41" i="31"/>
  <c r="Q47" i="30"/>
  <c r="Q49" i="30"/>
  <c r="Q50" i="30"/>
  <c r="Q51" i="30"/>
  <c r="U51" i="30"/>
  <c r="G45" i="31"/>
  <c r="Q53" i="30"/>
  <c r="Q54" i="30"/>
  <c r="Q56" i="30"/>
  <c r="Q57" i="30"/>
  <c r="Q58" i="30"/>
  <c r="Q59" i="30"/>
  <c r="Q60" i="30"/>
  <c r="Q61" i="30"/>
  <c r="Q62" i="30"/>
  <c r="Q48" i="30"/>
  <c r="Q63" i="30"/>
  <c r="Q64" i="30"/>
  <c r="Q65" i="30"/>
  <c r="Q66" i="30"/>
  <c r="Q67" i="30"/>
  <c r="Q68" i="30"/>
  <c r="Q69" i="30"/>
  <c r="Q70" i="30"/>
  <c r="Q71" i="30"/>
  <c r="Q72" i="30"/>
  <c r="Q73" i="30"/>
  <c r="Q74" i="30"/>
  <c r="Q75" i="30"/>
  <c r="Q52" i="30"/>
  <c r="Q76" i="30"/>
  <c r="Q77" i="30"/>
  <c r="Q78" i="30"/>
  <c r="Q79" i="30"/>
  <c r="U79" i="30"/>
  <c r="G73" i="31"/>
  <c r="Q80" i="30"/>
  <c r="Q81" i="30"/>
  <c r="Q82" i="30"/>
  <c r="Q83" i="30"/>
  <c r="U83" i="30"/>
  <c r="Q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55" i="30"/>
  <c r="O40" i="30"/>
  <c r="O41" i="30"/>
  <c r="O42" i="30"/>
  <c r="O43" i="30"/>
  <c r="O44" i="30"/>
  <c r="O45" i="30"/>
  <c r="O46" i="30"/>
  <c r="O47" i="30"/>
  <c r="O49" i="30"/>
  <c r="O50" i="30"/>
  <c r="O51" i="30"/>
  <c r="O53" i="30"/>
  <c r="O54" i="30"/>
  <c r="O56" i="30"/>
  <c r="O57" i="30"/>
  <c r="O58" i="30"/>
  <c r="O59" i="30"/>
  <c r="O60" i="30"/>
  <c r="O61" i="30"/>
  <c r="O62" i="30"/>
  <c r="O48" i="30"/>
  <c r="O63" i="30"/>
  <c r="O64" i="30"/>
  <c r="O65" i="30"/>
  <c r="O66" i="30"/>
  <c r="O67" i="30"/>
  <c r="O68" i="30"/>
  <c r="O69" i="30"/>
  <c r="O70" i="30"/>
  <c r="O71" i="30"/>
  <c r="O72" i="30"/>
  <c r="O73" i="30"/>
  <c r="O74" i="30"/>
  <c r="O75" i="30"/>
  <c r="O52" i="30"/>
  <c r="O76" i="30"/>
  <c r="O77" i="30"/>
  <c r="O78" i="30"/>
  <c r="O79" i="30"/>
  <c r="O80" i="30"/>
  <c r="O81" i="30"/>
  <c r="O82" i="30"/>
  <c r="O83" i="30"/>
  <c r="O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55" i="30"/>
  <c r="N40" i="30"/>
  <c r="N41" i="30"/>
  <c r="N42" i="30"/>
  <c r="N43" i="30"/>
  <c r="N44" i="30"/>
  <c r="N45" i="30"/>
  <c r="N46" i="30"/>
  <c r="N47" i="30"/>
  <c r="N49" i="30"/>
  <c r="N50" i="30"/>
  <c r="N51" i="30"/>
  <c r="N53" i="30"/>
  <c r="N54" i="30"/>
  <c r="N56" i="30"/>
  <c r="N57" i="30"/>
  <c r="N58" i="30"/>
  <c r="N59" i="30"/>
  <c r="N60" i="30"/>
  <c r="N61" i="30"/>
  <c r="N62" i="30"/>
  <c r="N48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52" i="30"/>
  <c r="N76" i="30"/>
  <c r="N77" i="30"/>
  <c r="N78" i="30"/>
  <c r="N79" i="30"/>
  <c r="N80" i="30"/>
  <c r="N81" i="30"/>
  <c r="N82" i="30"/>
  <c r="N83" i="30"/>
  <c r="N8" i="30"/>
  <c r="M9" i="30"/>
  <c r="P9" i="30"/>
  <c r="F3" i="31"/>
  <c r="M10" i="30"/>
  <c r="M11" i="30"/>
  <c r="M12" i="30"/>
  <c r="P12" i="30"/>
  <c r="F6" i="31"/>
  <c r="M13" i="30"/>
  <c r="M14" i="30"/>
  <c r="M15" i="30"/>
  <c r="M16" i="30"/>
  <c r="P16" i="30"/>
  <c r="F10" i="31"/>
  <c r="M17" i="30"/>
  <c r="M18" i="30"/>
  <c r="M19" i="30"/>
  <c r="P19" i="30"/>
  <c r="F13" i="31"/>
  <c r="M20" i="30"/>
  <c r="P20" i="30"/>
  <c r="F14" i="31"/>
  <c r="M21" i="30"/>
  <c r="M22" i="30"/>
  <c r="M23" i="30"/>
  <c r="M24" i="30"/>
  <c r="P24" i="30"/>
  <c r="F18" i="31"/>
  <c r="M25" i="30"/>
  <c r="M26" i="30"/>
  <c r="M27" i="30"/>
  <c r="P27" i="30"/>
  <c r="M28" i="30"/>
  <c r="M29" i="30"/>
  <c r="P29" i="30"/>
  <c r="F23" i="31"/>
  <c r="M30" i="30"/>
  <c r="M31" i="30"/>
  <c r="M32" i="30"/>
  <c r="M33" i="30"/>
  <c r="M34" i="30"/>
  <c r="M35" i="30"/>
  <c r="P35" i="30"/>
  <c r="F29" i="31"/>
  <c r="M36" i="30"/>
  <c r="M37" i="30"/>
  <c r="M38" i="30"/>
  <c r="M39" i="30"/>
  <c r="M55" i="30"/>
  <c r="M40" i="30"/>
  <c r="M41" i="30"/>
  <c r="M42" i="30"/>
  <c r="M43" i="30"/>
  <c r="M44" i="30"/>
  <c r="M45" i="30"/>
  <c r="M46" i="30"/>
  <c r="M47" i="30"/>
  <c r="M49" i="30"/>
  <c r="M50" i="30"/>
  <c r="M51" i="30"/>
  <c r="M53" i="30"/>
  <c r="M54" i="30"/>
  <c r="M56" i="30"/>
  <c r="M57" i="30"/>
  <c r="M58" i="30"/>
  <c r="M59" i="30"/>
  <c r="M60" i="30"/>
  <c r="M61" i="30"/>
  <c r="M62" i="30"/>
  <c r="M48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52" i="30"/>
  <c r="M76" i="30"/>
  <c r="M77" i="30"/>
  <c r="M78" i="30"/>
  <c r="M79" i="30"/>
  <c r="M80" i="30"/>
  <c r="M81" i="30"/>
  <c r="M82" i="30"/>
  <c r="M83" i="30"/>
  <c r="M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55" i="30"/>
  <c r="K40" i="30"/>
  <c r="K41" i="30"/>
  <c r="K42" i="30"/>
  <c r="K43" i="30"/>
  <c r="K44" i="30"/>
  <c r="K45" i="30"/>
  <c r="K46" i="30"/>
  <c r="K47" i="30"/>
  <c r="K49" i="30"/>
  <c r="K50" i="30"/>
  <c r="K51" i="30"/>
  <c r="K53" i="30"/>
  <c r="K54" i="30"/>
  <c r="K56" i="30"/>
  <c r="K57" i="30"/>
  <c r="K58" i="30"/>
  <c r="K59" i="30"/>
  <c r="K60" i="30"/>
  <c r="K61" i="30"/>
  <c r="K62" i="30"/>
  <c r="K48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52" i="30"/>
  <c r="K76" i="30"/>
  <c r="K77" i="30"/>
  <c r="K78" i="30"/>
  <c r="K79" i="30"/>
  <c r="K80" i="30"/>
  <c r="K81" i="30"/>
  <c r="K82" i="30"/>
  <c r="K83" i="30"/>
  <c r="K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55" i="30"/>
  <c r="J40" i="30"/>
  <c r="J41" i="30"/>
  <c r="J42" i="30"/>
  <c r="J43" i="30"/>
  <c r="J44" i="30"/>
  <c r="J45" i="30"/>
  <c r="J46" i="30"/>
  <c r="J47" i="30"/>
  <c r="J49" i="30"/>
  <c r="J50" i="30"/>
  <c r="J51" i="30"/>
  <c r="J53" i="30"/>
  <c r="J54" i="30"/>
  <c r="J56" i="30"/>
  <c r="J57" i="30"/>
  <c r="J58" i="30"/>
  <c r="J59" i="30"/>
  <c r="J60" i="30"/>
  <c r="J61" i="30"/>
  <c r="J62" i="30"/>
  <c r="J48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52" i="30"/>
  <c r="J76" i="30"/>
  <c r="J77" i="30"/>
  <c r="J78" i="30"/>
  <c r="J79" i="30"/>
  <c r="J80" i="30"/>
  <c r="J81" i="30"/>
  <c r="J82" i="30"/>
  <c r="J83" i="30"/>
  <c r="J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55" i="30"/>
  <c r="I40" i="30"/>
  <c r="I41" i="30"/>
  <c r="I42" i="30"/>
  <c r="I43" i="30"/>
  <c r="I44" i="30"/>
  <c r="I45" i="30"/>
  <c r="I46" i="30"/>
  <c r="I47" i="30"/>
  <c r="I49" i="30"/>
  <c r="I50" i="30"/>
  <c r="I51" i="30"/>
  <c r="I53" i="30"/>
  <c r="I54" i="30"/>
  <c r="I56" i="30"/>
  <c r="I57" i="30"/>
  <c r="I58" i="30"/>
  <c r="I59" i="30"/>
  <c r="I60" i="30"/>
  <c r="I61" i="30"/>
  <c r="I62" i="30"/>
  <c r="I48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52" i="30"/>
  <c r="I76" i="30"/>
  <c r="I77" i="30"/>
  <c r="I78" i="30"/>
  <c r="I79" i="30"/>
  <c r="I80" i="30"/>
  <c r="I81" i="30"/>
  <c r="I82" i="30"/>
  <c r="I83" i="30"/>
  <c r="I8" i="30"/>
  <c r="H9" i="30"/>
  <c r="H10" i="30"/>
  <c r="H11" i="30"/>
  <c r="H12" i="30"/>
  <c r="L12" i="30"/>
  <c r="E6" i="31"/>
  <c r="H13" i="30"/>
  <c r="H14" i="30"/>
  <c r="H15" i="30"/>
  <c r="H16" i="30"/>
  <c r="H17" i="30"/>
  <c r="H18" i="30"/>
  <c r="H19" i="30"/>
  <c r="H20" i="30"/>
  <c r="H21" i="30"/>
  <c r="H22" i="30"/>
  <c r="H23" i="30"/>
  <c r="H24" i="30"/>
  <c r="L24" i="30"/>
  <c r="E18" i="31"/>
  <c r="H25" i="30"/>
  <c r="H26" i="30"/>
  <c r="H27" i="30"/>
  <c r="H28" i="30"/>
  <c r="L28" i="30"/>
  <c r="E22" i="31"/>
  <c r="H29" i="30"/>
  <c r="H30" i="30"/>
  <c r="H31" i="30"/>
  <c r="H32" i="30"/>
  <c r="H33" i="30"/>
  <c r="H34" i="30"/>
  <c r="H35" i="30"/>
  <c r="H36" i="30"/>
  <c r="H37" i="30"/>
  <c r="H38" i="30"/>
  <c r="H39" i="30"/>
  <c r="H55" i="30"/>
  <c r="L55" i="30"/>
  <c r="E34" i="31"/>
  <c r="H40" i="30"/>
  <c r="H41" i="30"/>
  <c r="H42" i="30"/>
  <c r="H43" i="30"/>
  <c r="H44" i="30"/>
  <c r="H45" i="30"/>
  <c r="L45" i="30"/>
  <c r="E40" i="31"/>
  <c r="H46" i="30"/>
  <c r="H47" i="30"/>
  <c r="H49" i="30"/>
  <c r="L49" i="30"/>
  <c r="E43" i="31"/>
  <c r="H50" i="30"/>
  <c r="H51" i="30"/>
  <c r="H53" i="30"/>
  <c r="H54" i="30"/>
  <c r="L54" i="30"/>
  <c r="E47" i="31"/>
  <c r="H56" i="30"/>
  <c r="H57" i="30"/>
  <c r="H58" i="30"/>
  <c r="H59" i="30"/>
  <c r="H60" i="30"/>
  <c r="H61" i="30"/>
  <c r="H62" i="30"/>
  <c r="H48" i="30"/>
  <c r="L48" i="30"/>
  <c r="E55" i="31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52" i="30"/>
  <c r="H76" i="30"/>
  <c r="H77" i="30"/>
  <c r="H78" i="30"/>
  <c r="H79" i="30"/>
  <c r="H80" i="30"/>
  <c r="H81" i="30"/>
  <c r="L81" i="30"/>
  <c r="H82" i="30"/>
  <c r="H83" i="30"/>
  <c r="H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55" i="30"/>
  <c r="F40" i="30"/>
  <c r="F41" i="30"/>
  <c r="F42" i="30"/>
  <c r="F43" i="30"/>
  <c r="F44" i="30"/>
  <c r="F45" i="30"/>
  <c r="F46" i="30"/>
  <c r="F47" i="30"/>
  <c r="F49" i="30"/>
  <c r="F50" i="30"/>
  <c r="F51" i="30"/>
  <c r="F53" i="30"/>
  <c r="F54" i="30"/>
  <c r="F56" i="30"/>
  <c r="F57" i="30"/>
  <c r="F58" i="30"/>
  <c r="F59" i="30"/>
  <c r="F60" i="30"/>
  <c r="F61" i="30"/>
  <c r="F62" i="30"/>
  <c r="F48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52" i="30"/>
  <c r="F76" i="30"/>
  <c r="F77" i="30"/>
  <c r="F78" i="30"/>
  <c r="F79" i="30"/>
  <c r="F80" i="30"/>
  <c r="F81" i="30"/>
  <c r="F82" i="30"/>
  <c r="F83" i="30"/>
  <c r="F8" i="30"/>
  <c r="E9" i="30"/>
  <c r="D3" i="31"/>
  <c r="E10" i="30"/>
  <c r="D4" i="31"/>
  <c r="E11" i="30"/>
  <c r="E12" i="30"/>
  <c r="D6" i="31"/>
  <c r="E13" i="30"/>
  <c r="D7" i="31"/>
  <c r="E14" i="30"/>
  <c r="D8" i="31"/>
  <c r="E15" i="30"/>
  <c r="D9" i="31"/>
  <c r="E16" i="30"/>
  <c r="E17" i="30"/>
  <c r="D11" i="31"/>
  <c r="E18" i="30"/>
  <c r="D12" i="31"/>
  <c r="E19" i="30"/>
  <c r="D13" i="31"/>
  <c r="E20" i="30"/>
  <c r="E21" i="30"/>
  <c r="D15" i="31"/>
  <c r="E22" i="30"/>
  <c r="D16" i="31"/>
  <c r="E23" i="30"/>
  <c r="D17" i="31"/>
  <c r="E24" i="30"/>
  <c r="D18" i="31"/>
  <c r="E25" i="30"/>
  <c r="D19" i="31"/>
  <c r="E26" i="30"/>
  <c r="D20" i="31"/>
  <c r="E27" i="30"/>
  <c r="E28" i="30"/>
  <c r="D22" i="31"/>
  <c r="E29" i="30"/>
  <c r="D23" i="31"/>
  <c r="E30" i="30"/>
  <c r="D24" i="31"/>
  <c r="E31" i="30"/>
  <c r="E32" i="30"/>
  <c r="E33" i="30"/>
  <c r="D27" i="31"/>
  <c r="E34" i="30"/>
  <c r="D28" i="31"/>
  <c r="E35" i="30"/>
  <c r="E36" i="30"/>
  <c r="E37" i="30"/>
  <c r="D31" i="31"/>
  <c r="E38" i="30"/>
  <c r="D32" i="31"/>
  <c r="E39" i="30"/>
  <c r="D33" i="31"/>
  <c r="E55" i="30"/>
  <c r="E40" i="30"/>
  <c r="D35" i="31"/>
  <c r="E41" i="30"/>
  <c r="D36" i="31"/>
  <c r="E42" i="30"/>
  <c r="E43" i="30"/>
  <c r="D38" i="31"/>
  <c r="E44" i="30"/>
  <c r="D39" i="31"/>
  <c r="E45" i="30"/>
  <c r="E46" i="30"/>
  <c r="D41" i="31"/>
  <c r="E47" i="30"/>
  <c r="D42" i="31"/>
  <c r="E49" i="30"/>
  <c r="E50" i="30"/>
  <c r="D44" i="31"/>
  <c r="E51" i="30"/>
  <c r="E53" i="30"/>
  <c r="D46" i="31"/>
  <c r="E54" i="30"/>
  <c r="D47" i="31"/>
  <c r="E56" i="30"/>
  <c r="D48" i="31"/>
  <c r="E57" i="30"/>
  <c r="D49" i="31"/>
  <c r="E58" i="30"/>
  <c r="D50" i="31"/>
  <c r="E59" i="30"/>
  <c r="D51" i="31"/>
  <c r="E60" i="30"/>
  <c r="D52" i="31"/>
  <c r="E61" i="30"/>
  <c r="D53" i="31"/>
  <c r="E62" i="30"/>
  <c r="D54" i="31"/>
  <c r="E48" i="30"/>
  <c r="D55" i="31"/>
  <c r="E63" i="30"/>
  <c r="D56" i="31"/>
  <c r="E64" i="30"/>
  <c r="E65" i="30"/>
  <c r="D58" i="31"/>
  <c r="E66" i="30"/>
  <c r="E67" i="30"/>
  <c r="E68" i="30"/>
  <c r="D61" i="31"/>
  <c r="E69" i="30"/>
  <c r="D62" i="31"/>
  <c r="E70" i="30"/>
  <c r="D63" i="31"/>
  <c r="E71" i="30"/>
  <c r="D64" i="31"/>
  <c r="E72" i="30"/>
  <c r="E73" i="30"/>
  <c r="E74" i="30"/>
  <c r="D67" i="31"/>
  <c r="E75" i="30"/>
  <c r="D68" i="31"/>
  <c r="E52" i="30"/>
  <c r="D69" i="31"/>
  <c r="E76" i="30"/>
  <c r="D70" i="31"/>
  <c r="E77" i="30"/>
  <c r="D71" i="31"/>
  <c r="E78" i="30"/>
  <c r="E79" i="30"/>
  <c r="D73" i="31"/>
  <c r="E80" i="30"/>
  <c r="D74" i="31"/>
  <c r="E81" i="30"/>
  <c r="D75" i="31"/>
  <c r="E82" i="30"/>
  <c r="D76" i="31"/>
  <c r="E83" i="30"/>
  <c r="D77" i="31"/>
  <c r="E8" i="30"/>
  <c r="D9" i="30"/>
  <c r="C3" i="31"/>
  <c r="D10" i="30"/>
  <c r="D11" i="30"/>
  <c r="D12" i="30"/>
  <c r="D13" i="30"/>
  <c r="C7" i="31"/>
  <c r="D14" i="30"/>
  <c r="D15" i="30"/>
  <c r="G15" i="30"/>
  <c r="D16" i="30"/>
  <c r="C10" i="31"/>
  <c r="D17" i="30"/>
  <c r="C11" i="31"/>
  <c r="D18" i="30"/>
  <c r="D19" i="30"/>
  <c r="C13" i="31"/>
  <c r="D20" i="30"/>
  <c r="C14" i="31"/>
  <c r="D21" i="30"/>
  <c r="D22" i="30"/>
  <c r="D23" i="30"/>
  <c r="D24" i="30"/>
  <c r="C18" i="31"/>
  <c r="D25" i="30"/>
  <c r="C19" i="31"/>
  <c r="D26" i="30"/>
  <c r="D27" i="30"/>
  <c r="C21" i="31"/>
  <c r="D28" i="30"/>
  <c r="C22" i="31"/>
  <c r="D29" i="30"/>
  <c r="D30" i="30"/>
  <c r="C24" i="31"/>
  <c r="D31" i="30"/>
  <c r="C25" i="31"/>
  <c r="D32" i="30"/>
  <c r="D33" i="30"/>
  <c r="C27" i="31"/>
  <c r="D34" i="30"/>
  <c r="C28" i="31"/>
  <c r="D35" i="30"/>
  <c r="D36" i="30"/>
  <c r="D37" i="30"/>
  <c r="D38" i="30"/>
  <c r="C32" i="31"/>
  <c r="D39" i="30"/>
  <c r="C33" i="31"/>
  <c r="D55" i="30"/>
  <c r="D40" i="30"/>
  <c r="C35" i="31"/>
  <c r="D41" i="30"/>
  <c r="C36" i="31"/>
  <c r="D42" i="30"/>
  <c r="C37" i="31"/>
  <c r="D43" i="30"/>
  <c r="C38" i="31"/>
  <c r="D44" i="30"/>
  <c r="C39" i="31"/>
  <c r="D45" i="30"/>
  <c r="C40" i="31"/>
  <c r="D46" i="30"/>
  <c r="C41" i="31"/>
  <c r="D47" i="30"/>
  <c r="D49" i="30"/>
  <c r="C43" i="31"/>
  <c r="D50" i="30"/>
  <c r="D51" i="30"/>
  <c r="C45" i="31"/>
  <c r="D53" i="30"/>
  <c r="D54" i="30"/>
  <c r="C47" i="31"/>
  <c r="D56" i="30"/>
  <c r="D57" i="30"/>
  <c r="C49" i="31"/>
  <c r="D58" i="30"/>
  <c r="C50" i="31"/>
  <c r="D59" i="30"/>
  <c r="C51" i="31"/>
  <c r="D60" i="30"/>
  <c r="D61" i="30"/>
  <c r="D62" i="30"/>
  <c r="D48" i="30"/>
  <c r="C55" i="31"/>
  <c r="D63" i="30"/>
  <c r="D64" i="30"/>
  <c r="D65" i="30"/>
  <c r="D66" i="30"/>
  <c r="C59" i="31"/>
  <c r="D67" i="30"/>
  <c r="D68" i="30"/>
  <c r="C61" i="31"/>
  <c r="D69" i="30"/>
  <c r="D70" i="30"/>
  <c r="D71" i="30"/>
  <c r="C64" i="31"/>
  <c r="D72" i="30"/>
  <c r="C65" i="31"/>
  <c r="D73" i="30"/>
  <c r="C66" i="31"/>
  <c r="D74" i="30"/>
  <c r="D75" i="30"/>
  <c r="D52" i="30"/>
  <c r="D76" i="30"/>
  <c r="C70" i="31"/>
  <c r="D77" i="30"/>
  <c r="D78" i="30"/>
  <c r="C72" i="31"/>
  <c r="D79" i="30"/>
  <c r="D80" i="30"/>
  <c r="D81" i="30"/>
  <c r="D82" i="30"/>
  <c r="D83" i="30"/>
  <c r="D8" i="30"/>
  <c r="C2" i="31"/>
  <c r="AO80" i="30"/>
  <c r="L74" i="31"/>
  <c r="AJ80" i="30"/>
  <c r="K74" i="31"/>
  <c r="AE79" i="30"/>
  <c r="J73" i="31"/>
  <c r="AO77" i="30"/>
  <c r="L71" i="31"/>
  <c r="AO76" i="30"/>
  <c r="L70" i="31"/>
  <c r="U76" i="30"/>
  <c r="G70" i="31"/>
  <c r="AO74" i="30"/>
  <c r="L67" i="31"/>
  <c r="AO73" i="30"/>
  <c r="L66" i="31"/>
  <c r="AJ73" i="30"/>
  <c r="K66" i="31"/>
  <c r="AE73" i="30"/>
  <c r="J66" i="31"/>
  <c r="X73" i="30"/>
  <c r="H66" i="31"/>
  <c r="AO70" i="30"/>
  <c r="L63" i="31"/>
  <c r="AJ70" i="30"/>
  <c r="K63" i="31"/>
  <c r="AO69" i="30"/>
  <c r="L62" i="31"/>
  <c r="AJ69" i="30"/>
  <c r="K62" i="31"/>
  <c r="AE69" i="30"/>
  <c r="J62" i="31"/>
  <c r="X69" i="30"/>
  <c r="H62" i="31"/>
  <c r="AO66" i="30"/>
  <c r="AO65" i="30"/>
  <c r="L58" i="31"/>
  <c r="AJ65" i="30"/>
  <c r="K58" i="31"/>
  <c r="AE65" i="30"/>
  <c r="J58" i="31"/>
  <c r="AO48" i="30"/>
  <c r="L55" i="31"/>
  <c r="AJ48" i="30"/>
  <c r="K55" i="31"/>
  <c r="AO62" i="30"/>
  <c r="L54" i="31"/>
  <c r="AJ62" i="30"/>
  <c r="K54" i="31"/>
  <c r="AE62" i="30"/>
  <c r="J54" i="31"/>
  <c r="AO59" i="30"/>
  <c r="L51" i="31"/>
  <c r="AO58" i="30"/>
  <c r="L50" i="31"/>
  <c r="AE58" i="30"/>
  <c r="J50" i="31"/>
  <c r="AE57" i="30"/>
  <c r="J49" i="31"/>
  <c r="AO54" i="30"/>
  <c r="L47" i="31"/>
  <c r="AO53" i="30"/>
  <c r="L46" i="31"/>
  <c r="AJ53" i="30"/>
  <c r="K46" i="31"/>
  <c r="X53" i="30"/>
  <c r="H46" i="31"/>
  <c r="AO51" i="30"/>
  <c r="L45" i="31"/>
  <c r="AO49" i="30"/>
  <c r="L43" i="31"/>
  <c r="AE49" i="30"/>
  <c r="J43" i="31"/>
  <c r="AO47" i="30"/>
  <c r="AJ47" i="30"/>
  <c r="K42" i="31"/>
  <c r="X46" i="30"/>
  <c r="H41" i="31"/>
  <c r="AO44" i="30"/>
  <c r="AO43" i="30"/>
  <c r="L38" i="31"/>
  <c r="AJ43" i="30"/>
  <c r="K38" i="31"/>
  <c r="AE43" i="30"/>
  <c r="AO40" i="30"/>
  <c r="L35" i="31"/>
  <c r="AE40" i="30"/>
  <c r="L34" i="31"/>
  <c r="AJ55" i="30"/>
  <c r="AE55" i="30"/>
  <c r="J34" i="31"/>
  <c r="X39" i="30"/>
  <c r="H33" i="31"/>
  <c r="AO37" i="30"/>
  <c r="L31" i="31"/>
  <c r="AO36" i="30"/>
  <c r="AJ36" i="30"/>
  <c r="K30" i="31"/>
  <c r="AE36" i="30"/>
  <c r="J30" i="31"/>
  <c r="P36" i="30"/>
  <c r="F30" i="31"/>
  <c r="AO33" i="30"/>
  <c r="L27" i="31"/>
  <c r="AJ32" i="30"/>
  <c r="K26" i="31"/>
  <c r="AE32" i="30"/>
  <c r="J26" i="31"/>
  <c r="P32" i="30"/>
  <c r="F26" i="31"/>
  <c r="AE31" i="30"/>
  <c r="J25" i="31"/>
  <c r="AO29" i="30"/>
  <c r="AE29" i="30"/>
  <c r="J23" i="31"/>
  <c r="AO28" i="30"/>
  <c r="L22" i="31"/>
  <c r="AJ28" i="30"/>
  <c r="K22" i="31"/>
  <c r="P28" i="30"/>
  <c r="F22" i="31"/>
  <c r="AE27" i="30"/>
  <c r="J21" i="31"/>
  <c r="AO25" i="30"/>
  <c r="L19" i="31"/>
  <c r="X25" i="30"/>
  <c r="H19" i="31"/>
  <c r="AO24" i="30"/>
  <c r="AJ24" i="30"/>
  <c r="K18" i="31"/>
  <c r="AE24" i="30"/>
  <c r="J18" i="31"/>
  <c r="AO23" i="30"/>
  <c r="L17" i="31"/>
  <c r="AO21" i="30"/>
  <c r="L15" i="31"/>
  <c r="P21" i="30"/>
  <c r="F15" i="31"/>
  <c r="AO20" i="30"/>
  <c r="L14" i="31"/>
  <c r="AJ20" i="30"/>
  <c r="AE20" i="30"/>
  <c r="J14" i="31"/>
  <c r="AO17" i="30"/>
  <c r="L11" i="31"/>
  <c r="AE17" i="30"/>
  <c r="J11" i="31"/>
  <c r="AO16" i="30"/>
  <c r="AJ16" i="30"/>
  <c r="K10" i="31"/>
  <c r="AE16" i="30"/>
  <c r="J10" i="31"/>
  <c r="AO15" i="30"/>
  <c r="L9" i="31"/>
  <c r="AE15" i="30"/>
  <c r="J9" i="31"/>
  <c r="AO13" i="30"/>
  <c r="AO12" i="30"/>
  <c r="AJ12" i="30"/>
  <c r="K6" i="31"/>
  <c r="AE12" i="30"/>
  <c r="J6" i="31"/>
  <c r="X12" i="30"/>
  <c r="H6" i="31"/>
  <c r="AO9" i="30"/>
  <c r="X9" i="30"/>
  <c r="H3" i="31"/>
  <c r="AP8" i="16"/>
  <c r="M3" i="21"/>
  <c r="AP9" i="16"/>
  <c r="M4" i="21"/>
  <c r="AP10" i="16"/>
  <c r="M5" i="21"/>
  <c r="AP11" i="16"/>
  <c r="M6" i="21"/>
  <c r="AP12" i="16"/>
  <c r="M7" i="21"/>
  <c r="AP13" i="16"/>
  <c r="M8" i="21"/>
  <c r="AP14" i="16"/>
  <c r="M9" i="21"/>
  <c r="AP15" i="16"/>
  <c r="M10" i="21"/>
  <c r="AP16" i="16"/>
  <c r="M11" i="21"/>
  <c r="AP17" i="16"/>
  <c r="M12" i="21"/>
  <c r="AP18" i="16"/>
  <c r="M13" i="21"/>
  <c r="AP19" i="16"/>
  <c r="M14" i="21"/>
  <c r="AP20" i="16"/>
  <c r="M15" i="21"/>
  <c r="AP21" i="16"/>
  <c r="M16" i="21"/>
  <c r="AP22" i="16"/>
  <c r="M17" i="21"/>
  <c r="AP23" i="16"/>
  <c r="AP24" i="16"/>
  <c r="M19" i="21"/>
  <c r="AP40" i="16"/>
  <c r="M35" i="21"/>
  <c r="AP25" i="16"/>
  <c r="AP26" i="16"/>
  <c r="M21" i="21"/>
  <c r="AP27" i="16"/>
  <c r="M22" i="21"/>
  <c r="AP28" i="16"/>
  <c r="M23" i="21"/>
  <c r="AP29" i="16"/>
  <c r="M24" i="21"/>
  <c r="AP30" i="16"/>
  <c r="M25" i="21"/>
  <c r="AP31" i="16"/>
  <c r="M26" i="21"/>
  <c r="AP32" i="16"/>
  <c r="M27" i="21"/>
  <c r="AP33" i="16"/>
  <c r="M28" i="21"/>
  <c r="AP34" i="16"/>
  <c r="M29" i="21"/>
  <c r="AP35" i="16"/>
  <c r="M30" i="21"/>
  <c r="AP36" i="16"/>
  <c r="M31" i="21"/>
  <c r="AP37" i="16"/>
  <c r="M32" i="21"/>
  <c r="AP38" i="16"/>
  <c r="M33" i="21"/>
  <c r="AP39" i="16"/>
  <c r="M34" i="21"/>
  <c r="AP41" i="16"/>
  <c r="AP42" i="16"/>
  <c r="M37" i="21"/>
  <c r="AP43" i="16"/>
  <c r="M38" i="21"/>
  <c r="AP44" i="16"/>
  <c r="M39" i="21"/>
  <c r="AP46" i="16"/>
  <c r="M41" i="21"/>
  <c r="AP47" i="16"/>
  <c r="AP48" i="16"/>
  <c r="M43" i="21"/>
  <c r="AP49" i="16"/>
  <c r="M44" i="21"/>
  <c r="AP50" i="16"/>
  <c r="M45" i="21"/>
  <c r="AP51" i="16"/>
  <c r="M46" i="21"/>
  <c r="AP52" i="16"/>
  <c r="M47" i="21"/>
  <c r="AP55" i="16"/>
  <c r="AP45" i="16"/>
  <c r="M40" i="21"/>
  <c r="AP56" i="16"/>
  <c r="AP70" i="16"/>
  <c r="M65" i="21"/>
  <c r="AP57" i="16"/>
  <c r="M52" i="21"/>
  <c r="AP58" i="16"/>
  <c r="M53" i="21"/>
  <c r="AP59" i="16"/>
  <c r="M54" i="21"/>
  <c r="AP60" i="16"/>
  <c r="M55" i="21"/>
  <c r="AP61" i="16"/>
  <c r="M56" i="21"/>
  <c r="AP62" i="16"/>
  <c r="M57" i="21"/>
  <c r="AP63" i="16"/>
  <c r="M58" i="21"/>
  <c r="AP64" i="16"/>
  <c r="M59" i="21"/>
  <c r="AP65" i="16"/>
  <c r="M60" i="21"/>
  <c r="AP66" i="16"/>
  <c r="M61" i="21"/>
  <c r="AP67" i="16"/>
  <c r="M62" i="21"/>
  <c r="AP68" i="16"/>
  <c r="M63" i="21"/>
  <c r="AP69" i="16"/>
  <c r="AP71" i="16"/>
  <c r="M66" i="21"/>
  <c r="AP72" i="16"/>
  <c r="M67" i="21"/>
  <c r="AP73" i="16"/>
  <c r="M68" i="21"/>
  <c r="AP74" i="16"/>
  <c r="M69" i="21"/>
  <c r="AP75" i="16"/>
  <c r="M70" i="21"/>
  <c r="AP76" i="16"/>
  <c r="M71" i="21"/>
  <c r="AP53" i="16"/>
  <c r="M48" i="21"/>
  <c r="AP54" i="16"/>
  <c r="AP77" i="16"/>
  <c r="M72" i="21"/>
  <c r="AP78" i="16"/>
  <c r="M73" i="21"/>
  <c r="AP79" i="16"/>
  <c r="M74" i="21"/>
  <c r="AP80" i="16"/>
  <c r="M75" i="21"/>
  <c r="AP81" i="16"/>
  <c r="M76" i="21"/>
  <c r="AP82" i="16"/>
  <c r="M77" i="21"/>
  <c r="AP7" i="16"/>
  <c r="M2" i="21"/>
  <c r="AN8" i="16"/>
  <c r="AN9" i="16"/>
  <c r="AN10" i="16"/>
  <c r="AN11" i="16"/>
  <c r="AN12" i="16"/>
  <c r="AN13" i="16"/>
  <c r="AN14" i="16"/>
  <c r="AN15" i="16"/>
  <c r="AN16" i="16"/>
  <c r="AN17" i="16"/>
  <c r="AN18" i="16"/>
  <c r="AN19" i="16"/>
  <c r="AN20" i="16"/>
  <c r="AN21" i="16"/>
  <c r="AN22" i="16"/>
  <c r="AN23" i="16"/>
  <c r="AN24" i="16"/>
  <c r="AN40" i="16"/>
  <c r="AN25" i="16"/>
  <c r="AN26" i="16"/>
  <c r="AN27" i="16"/>
  <c r="AN28" i="16"/>
  <c r="AN29" i="16"/>
  <c r="AN30" i="16"/>
  <c r="AN31" i="16"/>
  <c r="AN32" i="16"/>
  <c r="AN33" i="16"/>
  <c r="AN34" i="16"/>
  <c r="AN35" i="16"/>
  <c r="AN36" i="16"/>
  <c r="AN37" i="16"/>
  <c r="AN38" i="16"/>
  <c r="AN39" i="16"/>
  <c r="AN41" i="16"/>
  <c r="AN42" i="16"/>
  <c r="AN43" i="16"/>
  <c r="AN44" i="16"/>
  <c r="AN46" i="16"/>
  <c r="AN47" i="16"/>
  <c r="AN48" i="16"/>
  <c r="AN49" i="16"/>
  <c r="AN50" i="16"/>
  <c r="AN51" i="16"/>
  <c r="AN52" i="16"/>
  <c r="AN55" i="16"/>
  <c r="AN45" i="16"/>
  <c r="AN56" i="16"/>
  <c r="AN70" i="16"/>
  <c r="AN57" i="16"/>
  <c r="AN58" i="16"/>
  <c r="AN59" i="16"/>
  <c r="AN60" i="16"/>
  <c r="AN61" i="16"/>
  <c r="AN62" i="16"/>
  <c r="AN63" i="16"/>
  <c r="AN64" i="16"/>
  <c r="AN65" i="16"/>
  <c r="AN66" i="16"/>
  <c r="AN67" i="16"/>
  <c r="AN68" i="16"/>
  <c r="AN69" i="16"/>
  <c r="AN71" i="16"/>
  <c r="AN72" i="16"/>
  <c r="AN73" i="16"/>
  <c r="AN74" i="16"/>
  <c r="AN75" i="16"/>
  <c r="AN76" i="16"/>
  <c r="AN53" i="16"/>
  <c r="AN54" i="16"/>
  <c r="AN77" i="16"/>
  <c r="AN78" i="16"/>
  <c r="AN79" i="16"/>
  <c r="AN80" i="16"/>
  <c r="AN81" i="16"/>
  <c r="AN82" i="16"/>
  <c r="AN7" i="16"/>
  <c r="AM8" i="16"/>
  <c r="AM9" i="16"/>
  <c r="AM10" i="16"/>
  <c r="AM11" i="16"/>
  <c r="AM12" i="16"/>
  <c r="AM13" i="16"/>
  <c r="AM14" i="16"/>
  <c r="AM15" i="16"/>
  <c r="AM16" i="16"/>
  <c r="AM17" i="16"/>
  <c r="AM18" i="16"/>
  <c r="AM19" i="16"/>
  <c r="AM20" i="16"/>
  <c r="AM21" i="16"/>
  <c r="AM22" i="16"/>
  <c r="AM23" i="16"/>
  <c r="AM24" i="16"/>
  <c r="AM40" i="16"/>
  <c r="AM25" i="16"/>
  <c r="AM26" i="16"/>
  <c r="AM27" i="16"/>
  <c r="AM28" i="16"/>
  <c r="AM29" i="16"/>
  <c r="AM30" i="16"/>
  <c r="AM31" i="16"/>
  <c r="AM32" i="16"/>
  <c r="AM33" i="16"/>
  <c r="AM34" i="16"/>
  <c r="AM35" i="16"/>
  <c r="AM36" i="16"/>
  <c r="AM37" i="16"/>
  <c r="AM38" i="16"/>
  <c r="AM39" i="16"/>
  <c r="AM41" i="16"/>
  <c r="AM42" i="16"/>
  <c r="AM43" i="16"/>
  <c r="AM44" i="16"/>
  <c r="AM46" i="16"/>
  <c r="AM47" i="16"/>
  <c r="AM48" i="16"/>
  <c r="AM49" i="16"/>
  <c r="AM50" i="16"/>
  <c r="AM51" i="16"/>
  <c r="AM52" i="16"/>
  <c r="AM55" i="16"/>
  <c r="AM45" i="16"/>
  <c r="AM56" i="16"/>
  <c r="AM70" i="16"/>
  <c r="AM57" i="16"/>
  <c r="AM58" i="16"/>
  <c r="AM59" i="16"/>
  <c r="AM60" i="16"/>
  <c r="AM61" i="16"/>
  <c r="AM62" i="16"/>
  <c r="AM63" i="16"/>
  <c r="AM64" i="16"/>
  <c r="AM65" i="16"/>
  <c r="AM66" i="16"/>
  <c r="AM67" i="16"/>
  <c r="AM68" i="16"/>
  <c r="AM69" i="16"/>
  <c r="AM71" i="16"/>
  <c r="AM72" i="16"/>
  <c r="AM73" i="16"/>
  <c r="AM74" i="16"/>
  <c r="AM75" i="16"/>
  <c r="AM76" i="16"/>
  <c r="AM53" i="16"/>
  <c r="AM54" i="16"/>
  <c r="AM77" i="16"/>
  <c r="AM78" i="16"/>
  <c r="AM79" i="16"/>
  <c r="AM80" i="16"/>
  <c r="AM81" i="16"/>
  <c r="AM82" i="16"/>
  <c r="AM7" i="16"/>
  <c r="AL8" i="16"/>
  <c r="AL9" i="16"/>
  <c r="AL10" i="16"/>
  <c r="AL11" i="16"/>
  <c r="AL12" i="16"/>
  <c r="AL13" i="16"/>
  <c r="AL14" i="16"/>
  <c r="AL15" i="16"/>
  <c r="AL16" i="16"/>
  <c r="AL17" i="16"/>
  <c r="AL18" i="16"/>
  <c r="AL19" i="16"/>
  <c r="AL20" i="16"/>
  <c r="AL21" i="16"/>
  <c r="AL22" i="16"/>
  <c r="AL23" i="16"/>
  <c r="AL24" i="16"/>
  <c r="AL40" i="16"/>
  <c r="AL25" i="16"/>
  <c r="AL26" i="16"/>
  <c r="AL27" i="16"/>
  <c r="AL28" i="16"/>
  <c r="AL29" i="16"/>
  <c r="AL30" i="16"/>
  <c r="AL31" i="16"/>
  <c r="AL32" i="16"/>
  <c r="AL33" i="16"/>
  <c r="AL34" i="16"/>
  <c r="AL35" i="16"/>
  <c r="AL36" i="16"/>
  <c r="AL37" i="16"/>
  <c r="AL38" i="16"/>
  <c r="AL39" i="16"/>
  <c r="AL41" i="16"/>
  <c r="AL42" i="16"/>
  <c r="AL43" i="16"/>
  <c r="AL44" i="16"/>
  <c r="AL46" i="16"/>
  <c r="AL47" i="16"/>
  <c r="AL48" i="16"/>
  <c r="AL49" i="16"/>
  <c r="AL50" i="16"/>
  <c r="AL51" i="16"/>
  <c r="AL52" i="16"/>
  <c r="AL55" i="16"/>
  <c r="AL45" i="16"/>
  <c r="AL56" i="16"/>
  <c r="AL70" i="16"/>
  <c r="AL57" i="16"/>
  <c r="AL58" i="16"/>
  <c r="AL59" i="16"/>
  <c r="AL60" i="16"/>
  <c r="AL61" i="16"/>
  <c r="AL62" i="16"/>
  <c r="AL63" i="16"/>
  <c r="AL64" i="16"/>
  <c r="AL65" i="16"/>
  <c r="AL66" i="16"/>
  <c r="AL67" i="16"/>
  <c r="AL68" i="16"/>
  <c r="AL69" i="16"/>
  <c r="AL71" i="16"/>
  <c r="AL72" i="16"/>
  <c r="AL73" i="16"/>
  <c r="AL74" i="16"/>
  <c r="AL75" i="16"/>
  <c r="AL76" i="16"/>
  <c r="AL53" i="16"/>
  <c r="AL54" i="16"/>
  <c r="AL77" i="16"/>
  <c r="AL78" i="16"/>
  <c r="AL79" i="16"/>
  <c r="AL80" i="16"/>
  <c r="AL81" i="16"/>
  <c r="AL82" i="16"/>
  <c r="AL7" i="16"/>
  <c r="AK8" i="16"/>
  <c r="AK9" i="16"/>
  <c r="AO9" i="16"/>
  <c r="L4" i="21"/>
  <c r="AK10" i="16"/>
  <c r="AK11" i="16"/>
  <c r="AK12" i="16"/>
  <c r="AK13" i="16"/>
  <c r="AO13" i="16"/>
  <c r="AK14" i="16"/>
  <c r="AK15" i="16"/>
  <c r="AO15" i="16"/>
  <c r="L10" i="21"/>
  <c r="AK16" i="16"/>
  <c r="AK17" i="16"/>
  <c r="AK18" i="16"/>
  <c r="AK19" i="16"/>
  <c r="AO19" i="16"/>
  <c r="AK20" i="16"/>
  <c r="AK21" i="16"/>
  <c r="AK22" i="16"/>
  <c r="AK23" i="16"/>
  <c r="AO23" i="16"/>
  <c r="L18" i="21"/>
  <c r="AK24" i="16"/>
  <c r="AK40" i="16"/>
  <c r="AK25" i="16"/>
  <c r="AK26" i="16"/>
  <c r="AO26" i="16"/>
  <c r="L21" i="21"/>
  <c r="AK27" i="16"/>
  <c r="AK28" i="16"/>
  <c r="AO28" i="16"/>
  <c r="L23" i="21"/>
  <c r="AK29" i="16"/>
  <c r="AK30" i="16"/>
  <c r="AK31" i="16"/>
  <c r="AK32" i="16"/>
  <c r="AO32" i="16"/>
  <c r="L27" i="21"/>
  <c r="AK33" i="16"/>
  <c r="AK34" i="16"/>
  <c r="AK35" i="16"/>
  <c r="AK36" i="16"/>
  <c r="AO36" i="16"/>
  <c r="AK37" i="16"/>
  <c r="AK38" i="16"/>
  <c r="AO38" i="16"/>
  <c r="L33" i="21"/>
  <c r="AK39" i="16"/>
  <c r="AK41" i="16"/>
  <c r="AO41" i="16"/>
  <c r="L36" i="21"/>
  <c r="AK42" i="16"/>
  <c r="AK43" i="16"/>
  <c r="AO43" i="16"/>
  <c r="AK44" i="16"/>
  <c r="AK46" i="16"/>
  <c r="AO46" i="16"/>
  <c r="L41" i="21"/>
  <c r="AK47" i="16"/>
  <c r="AK48" i="16"/>
  <c r="AO48" i="16"/>
  <c r="L43" i="21"/>
  <c r="AK49" i="16"/>
  <c r="AK50" i="16"/>
  <c r="AK51" i="16"/>
  <c r="AK52" i="16"/>
  <c r="AO52" i="16"/>
  <c r="AK55" i="16"/>
  <c r="AK45" i="16"/>
  <c r="AK56" i="16"/>
  <c r="AK70" i="16"/>
  <c r="AK57" i="16"/>
  <c r="AK58" i="16"/>
  <c r="AK59" i="16"/>
  <c r="AK60" i="16"/>
  <c r="AO60" i="16"/>
  <c r="L55" i="21"/>
  <c r="AK61" i="16"/>
  <c r="AK62" i="16"/>
  <c r="AK63" i="16"/>
  <c r="AK64" i="16"/>
  <c r="AO64" i="16"/>
  <c r="L59" i="21"/>
  <c r="AK65" i="16"/>
  <c r="AK66" i="16"/>
  <c r="AK67" i="16"/>
  <c r="AK68" i="16"/>
  <c r="AK69" i="16"/>
  <c r="AK71" i="16"/>
  <c r="AK72" i="16"/>
  <c r="AK73" i="16"/>
  <c r="AO73" i="16"/>
  <c r="AK74" i="16"/>
  <c r="AK75" i="16"/>
  <c r="AK76" i="16"/>
  <c r="AK53" i="16"/>
  <c r="AO53" i="16"/>
  <c r="L48" i="21"/>
  <c r="AK54" i="16"/>
  <c r="AK77" i="16"/>
  <c r="AK78" i="16"/>
  <c r="AK79" i="16"/>
  <c r="AO79" i="16"/>
  <c r="AK80" i="16"/>
  <c r="AK81" i="16"/>
  <c r="AO81" i="16"/>
  <c r="AK82" i="16"/>
  <c r="AK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AI24" i="16"/>
  <c r="AI40" i="16"/>
  <c r="AI25" i="16"/>
  <c r="AI26" i="16"/>
  <c r="AI27" i="16"/>
  <c r="AI28" i="16"/>
  <c r="AI29" i="16"/>
  <c r="AI30" i="16"/>
  <c r="AI31" i="16"/>
  <c r="AI32" i="16"/>
  <c r="AI33" i="16"/>
  <c r="AI34" i="16"/>
  <c r="AI35" i="16"/>
  <c r="AI36" i="16"/>
  <c r="AI37" i="16"/>
  <c r="AI38" i="16"/>
  <c r="AI39" i="16"/>
  <c r="AI41" i="16"/>
  <c r="AI42" i="16"/>
  <c r="AI43" i="16"/>
  <c r="AI44" i="16"/>
  <c r="AI46" i="16"/>
  <c r="AI47" i="16"/>
  <c r="AI48" i="16"/>
  <c r="AI49" i="16"/>
  <c r="AI50" i="16"/>
  <c r="AI51" i="16"/>
  <c r="AI52" i="16"/>
  <c r="AI55" i="16"/>
  <c r="AI45" i="16"/>
  <c r="AI56" i="16"/>
  <c r="AI70" i="16"/>
  <c r="AI57" i="16"/>
  <c r="AI58" i="16"/>
  <c r="AI59" i="16"/>
  <c r="AI60" i="16"/>
  <c r="AI61" i="16"/>
  <c r="AI62" i="16"/>
  <c r="AI63" i="16"/>
  <c r="AI64" i="16"/>
  <c r="AI65" i="16"/>
  <c r="AI66" i="16"/>
  <c r="AI67" i="16"/>
  <c r="AI68" i="16"/>
  <c r="AI69" i="16"/>
  <c r="AI71" i="16"/>
  <c r="AI72" i="16"/>
  <c r="AI73" i="16"/>
  <c r="AI74" i="16"/>
  <c r="AI75" i="16"/>
  <c r="AI76" i="16"/>
  <c r="AI53" i="16"/>
  <c r="AI54" i="16"/>
  <c r="AI77" i="16"/>
  <c r="AI78" i="16"/>
  <c r="AI79" i="16"/>
  <c r="AI80" i="16"/>
  <c r="AI81" i="16"/>
  <c r="AI82" i="16"/>
  <c r="AI7" i="16"/>
  <c r="AH8" i="16"/>
  <c r="AH9" i="16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40" i="16"/>
  <c r="AH25" i="16"/>
  <c r="AH26" i="16"/>
  <c r="AH27" i="16"/>
  <c r="AH28" i="16"/>
  <c r="AH29" i="16"/>
  <c r="AH30" i="16"/>
  <c r="AH31" i="16"/>
  <c r="AH32" i="16"/>
  <c r="AH33" i="16"/>
  <c r="AH34" i="16"/>
  <c r="AH35" i="16"/>
  <c r="AH36" i="16"/>
  <c r="AH37" i="16"/>
  <c r="AH38" i="16"/>
  <c r="AH39" i="16"/>
  <c r="AH41" i="16"/>
  <c r="AH42" i="16"/>
  <c r="AH43" i="16"/>
  <c r="AH44" i="16"/>
  <c r="AH46" i="16"/>
  <c r="AH47" i="16"/>
  <c r="AH48" i="16"/>
  <c r="AH49" i="16"/>
  <c r="AH50" i="16"/>
  <c r="AH51" i="16"/>
  <c r="AH52" i="16"/>
  <c r="AH55" i="16"/>
  <c r="AH45" i="16"/>
  <c r="AH56" i="16"/>
  <c r="AH70" i="16"/>
  <c r="AH57" i="16"/>
  <c r="AH58" i="16"/>
  <c r="AH59" i="16"/>
  <c r="AH60" i="16"/>
  <c r="AH61" i="16"/>
  <c r="AH62" i="16"/>
  <c r="AH63" i="16"/>
  <c r="AH64" i="16"/>
  <c r="AH65" i="16"/>
  <c r="AH66" i="16"/>
  <c r="AH67" i="16"/>
  <c r="AH68" i="16"/>
  <c r="AH69" i="16"/>
  <c r="AH71" i="16"/>
  <c r="AH72" i="16"/>
  <c r="AH73" i="16"/>
  <c r="AH74" i="16"/>
  <c r="AH75" i="16"/>
  <c r="AH76" i="16"/>
  <c r="AH53" i="16"/>
  <c r="AH54" i="16"/>
  <c r="AH77" i="16"/>
  <c r="AH78" i="16"/>
  <c r="AH79" i="16"/>
  <c r="AH80" i="16"/>
  <c r="AH81" i="16"/>
  <c r="AH82" i="16"/>
  <c r="AH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40" i="16"/>
  <c r="AG25" i="16"/>
  <c r="AG26" i="16"/>
  <c r="AG27" i="16"/>
  <c r="AG28" i="16"/>
  <c r="AG29" i="16"/>
  <c r="AG30" i="16"/>
  <c r="AG31" i="16"/>
  <c r="AG32" i="16"/>
  <c r="AG33" i="16"/>
  <c r="AG34" i="16"/>
  <c r="AG35" i="16"/>
  <c r="AG36" i="16"/>
  <c r="AG37" i="16"/>
  <c r="AG38" i="16"/>
  <c r="AG39" i="16"/>
  <c r="AG41" i="16"/>
  <c r="AG42" i="16"/>
  <c r="AG43" i="16"/>
  <c r="AG44" i="16"/>
  <c r="AG46" i="16"/>
  <c r="AG47" i="16"/>
  <c r="AG48" i="16"/>
  <c r="AG49" i="16"/>
  <c r="AG50" i="16"/>
  <c r="AG51" i="16"/>
  <c r="AG52" i="16"/>
  <c r="AG55" i="16"/>
  <c r="AG45" i="16"/>
  <c r="AG56" i="16"/>
  <c r="AG70" i="16"/>
  <c r="AG57" i="16"/>
  <c r="AG58" i="16"/>
  <c r="AG59" i="16"/>
  <c r="AG60" i="16"/>
  <c r="AG61" i="16"/>
  <c r="AG62" i="16"/>
  <c r="AG63" i="16"/>
  <c r="AG64" i="16"/>
  <c r="AG65" i="16"/>
  <c r="AG66" i="16"/>
  <c r="AG67" i="16"/>
  <c r="AG68" i="16"/>
  <c r="AG69" i="16"/>
  <c r="AG71" i="16"/>
  <c r="AG72" i="16"/>
  <c r="AG73" i="16"/>
  <c r="AG74" i="16"/>
  <c r="AG75" i="16"/>
  <c r="AG76" i="16"/>
  <c r="AG53" i="16"/>
  <c r="AG54" i="16"/>
  <c r="AG77" i="16"/>
  <c r="AG78" i="16"/>
  <c r="AG79" i="16"/>
  <c r="AG80" i="16"/>
  <c r="AG81" i="16"/>
  <c r="AG82" i="16"/>
  <c r="AG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J19" i="16"/>
  <c r="AF20" i="16"/>
  <c r="AF21" i="16"/>
  <c r="AF22" i="16"/>
  <c r="AF23" i="16"/>
  <c r="AF24" i="16"/>
  <c r="AF40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1" i="16"/>
  <c r="AF42" i="16"/>
  <c r="AF43" i="16"/>
  <c r="AJ43" i="16"/>
  <c r="K38" i="21"/>
  <c r="AF44" i="16"/>
  <c r="AF46" i="16"/>
  <c r="AF47" i="16"/>
  <c r="AF48" i="16"/>
  <c r="AF49" i="16"/>
  <c r="AF50" i="16"/>
  <c r="AF51" i="16"/>
  <c r="AF52" i="16"/>
  <c r="AF55" i="16"/>
  <c r="AF45" i="16"/>
  <c r="AF56" i="16"/>
  <c r="AF70" i="16"/>
  <c r="AF57" i="16"/>
  <c r="AF58" i="16"/>
  <c r="AF59" i="16"/>
  <c r="AF60" i="16"/>
  <c r="AF61" i="16"/>
  <c r="AF62" i="16"/>
  <c r="AF63" i="16"/>
  <c r="AF64" i="16"/>
  <c r="AF65" i="16"/>
  <c r="AF66" i="16"/>
  <c r="AF67" i="16"/>
  <c r="AF68" i="16"/>
  <c r="AF69" i="16"/>
  <c r="AF71" i="16"/>
  <c r="AF72" i="16"/>
  <c r="AF73" i="16"/>
  <c r="AJ73" i="16"/>
  <c r="K68" i="21"/>
  <c r="AF74" i="16"/>
  <c r="AF75" i="16"/>
  <c r="AF76" i="16"/>
  <c r="AF53" i="16"/>
  <c r="AJ53" i="16"/>
  <c r="AF54" i="16"/>
  <c r="AF77" i="16"/>
  <c r="AF78" i="16"/>
  <c r="AF79" i="16"/>
  <c r="AF80" i="16"/>
  <c r="AF81" i="16"/>
  <c r="AF82" i="16"/>
  <c r="AF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40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1" i="16"/>
  <c r="AD42" i="16"/>
  <c r="AD43" i="16"/>
  <c r="AD44" i="16"/>
  <c r="AD46" i="16"/>
  <c r="AD47" i="16"/>
  <c r="AD48" i="16"/>
  <c r="AD49" i="16"/>
  <c r="AD50" i="16"/>
  <c r="AD51" i="16"/>
  <c r="AD52" i="16"/>
  <c r="AD55" i="16"/>
  <c r="AD45" i="16"/>
  <c r="AD56" i="16"/>
  <c r="AD70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1" i="16"/>
  <c r="AD72" i="16"/>
  <c r="AD73" i="16"/>
  <c r="AD74" i="16"/>
  <c r="AD75" i="16"/>
  <c r="AD76" i="16"/>
  <c r="AD53" i="16"/>
  <c r="AD54" i="16"/>
  <c r="AD77" i="16"/>
  <c r="AD78" i="16"/>
  <c r="AD79" i="16"/>
  <c r="AD80" i="16"/>
  <c r="AD81" i="16"/>
  <c r="AD82" i="16"/>
  <c r="AD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40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1" i="16"/>
  <c r="AC42" i="16"/>
  <c r="AC43" i="16"/>
  <c r="AC44" i="16"/>
  <c r="AC46" i="16"/>
  <c r="AC47" i="16"/>
  <c r="AC48" i="16"/>
  <c r="AC49" i="16"/>
  <c r="AC50" i="16"/>
  <c r="AC51" i="16"/>
  <c r="AC52" i="16"/>
  <c r="AC55" i="16"/>
  <c r="AC45" i="16"/>
  <c r="AC56" i="16"/>
  <c r="AC70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1" i="16"/>
  <c r="AC72" i="16"/>
  <c r="AC73" i="16"/>
  <c r="AC74" i="16"/>
  <c r="AC75" i="16"/>
  <c r="AC76" i="16"/>
  <c r="AC53" i="16"/>
  <c r="AC54" i="16"/>
  <c r="AC77" i="16"/>
  <c r="AC78" i="16"/>
  <c r="AC79" i="16"/>
  <c r="AC80" i="16"/>
  <c r="AC81" i="16"/>
  <c r="AC82" i="16"/>
  <c r="AC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40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1" i="16"/>
  <c r="AB42" i="16"/>
  <c r="AB43" i="16"/>
  <c r="AB44" i="16"/>
  <c r="AB46" i="16"/>
  <c r="AB47" i="16"/>
  <c r="AB48" i="16"/>
  <c r="AB49" i="16"/>
  <c r="AB50" i="16"/>
  <c r="AB51" i="16"/>
  <c r="AB52" i="16"/>
  <c r="AB55" i="16"/>
  <c r="AB45" i="16"/>
  <c r="AB56" i="16"/>
  <c r="AB70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1" i="16"/>
  <c r="AB72" i="16"/>
  <c r="AB73" i="16"/>
  <c r="AB74" i="16"/>
  <c r="AB75" i="16"/>
  <c r="AB76" i="16"/>
  <c r="AB53" i="16"/>
  <c r="AB54" i="16"/>
  <c r="AB77" i="16"/>
  <c r="AB78" i="16"/>
  <c r="AB79" i="16"/>
  <c r="AB80" i="16"/>
  <c r="AB81" i="16"/>
  <c r="AB82" i="16"/>
  <c r="AB7" i="16"/>
  <c r="AB85" i="16"/>
  <c r="E33" i="17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40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1" i="16"/>
  <c r="AA42" i="16"/>
  <c r="AA43" i="16"/>
  <c r="AA44" i="16"/>
  <c r="AA46" i="16"/>
  <c r="AA47" i="16"/>
  <c r="AA48" i="16"/>
  <c r="AA49" i="16"/>
  <c r="AA50" i="16"/>
  <c r="AA51" i="16"/>
  <c r="AA52" i="16"/>
  <c r="AA55" i="16"/>
  <c r="AA45" i="16"/>
  <c r="AA56" i="16"/>
  <c r="AA70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1" i="16"/>
  <c r="AA72" i="16"/>
  <c r="AA73" i="16"/>
  <c r="AA74" i="16"/>
  <c r="AA75" i="16"/>
  <c r="AA76" i="16"/>
  <c r="AA53" i="16"/>
  <c r="AA54" i="16"/>
  <c r="AA77" i="16"/>
  <c r="AA78" i="16"/>
  <c r="AA79" i="16"/>
  <c r="AA80" i="16"/>
  <c r="AA81" i="16"/>
  <c r="AA82" i="16"/>
  <c r="AA7" i="16"/>
  <c r="AA85" i="16"/>
  <c r="E32" i="17"/>
  <c r="Z8" i="16"/>
  <c r="Z9" i="16"/>
  <c r="Z10" i="16"/>
  <c r="Z11" i="16"/>
  <c r="Z12" i="16"/>
  <c r="Z13" i="16"/>
  <c r="Z14" i="16"/>
  <c r="Z15" i="16"/>
  <c r="Z16" i="16"/>
  <c r="AE16" i="16"/>
  <c r="Z17" i="16"/>
  <c r="Z18" i="16"/>
  <c r="Z19" i="16"/>
  <c r="Z20" i="16"/>
  <c r="Z21" i="16"/>
  <c r="Z22" i="16"/>
  <c r="Z23" i="16"/>
  <c r="Z24" i="16"/>
  <c r="Z40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1" i="16"/>
  <c r="Z42" i="16"/>
  <c r="Z43" i="16"/>
  <c r="Z44" i="16"/>
  <c r="Z46" i="16"/>
  <c r="Z47" i="16"/>
  <c r="Z48" i="16"/>
  <c r="Z49" i="16"/>
  <c r="Z50" i="16"/>
  <c r="Z51" i="16"/>
  <c r="Z52" i="16"/>
  <c r="Z55" i="16"/>
  <c r="Z45" i="16"/>
  <c r="Z56" i="16"/>
  <c r="Z70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1" i="16"/>
  <c r="Z72" i="16"/>
  <c r="Z73" i="16"/>
  <c r="Z74" i="16"/>
  <c r="Z75" i="16"/>
  <c r="Z76" i="16"/>
  <c r="Z53" i="16"/>
  <c r="Z54" i="16"/>
  <c r="Z77" i="16"/>
  <c r="Z78" i="16"/>
  <c r="Z79" i="16"/>
  <c r="Z80" i="16"/>
  <c r="Z81" i="16"/>
  <c r="Z82" i="16"/>
  <c r="Z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40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1" i="16"/>
  <c r="W42" i="16"/>
  <c r="W43" i="16"/>
  <c r="W44" i="16"/>
  <c r="W46" i="16"/>
  <c r="W47" i="16"/>
  <c r="W48" i="16"/>
  <c r="W49" i="16"/>
  <c r="W50" i="16"/>
  <c r="W51" i="16"/>
  <c r="W52" i="16"/>
  <c r="W55" i="16"/>
  <c r="W45" i="16"/>
  <c r="W56" i="16"/>
  <c r="W70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1" i="16"/>
  <c r="W72" i="16"/>
  <c r="W73" i="16"/>
  <c r="W74" i="16"/>
  <c r="W75" i="16"/>
  <c r="W76" i="16"/>
  <c r="W53" i="16"/>
  <c r="W54" i="16"/>
  <c r="W77" i="16"/>
  <c r="W78" i="16"/>
  <c r="W79" i="16"/>
  <c r="W80" i="16"/>
  <c r="W81" i="16"/>
  <c r="W82" i="16"/>
  <c r="W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X20" i="16"/>
  <c r="H15" i="21"/>
  <c r="V21" i="16"/>
  <c r="V22" i="16"/>
  <c r="V23" i="16"/>
  <c r="V24" i="16"/>
  <c r="V40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X39" i="16"/>
  <c r="H34" i="21"/>
  <c r="V41" i="16"/>
  <c r="V42" i="16"/>
  <c r="V43" i="16"/>
  <c r="V44" i="16"/>
  <c r="V46" i="16"/>
  <c r="V47" i="16"/>
  <c r="V48" i="16"/>
  <c r="V49" i="16"/>
  <c r="V50" i="16"/>
  <c r="V51" i="16"/>
  <c r="V52" i="16"/>
  <c r="V55" i="16"/>
  <c r="V45" i="16"/>
  <c r="V56" i="16"/>
  <c r="V70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X69" i="16"/>
  <c r="V71" i="16"/>
  <c r="V72" i="16"/>
  <c r="V73" i="16"/>
  <c r="V74" i="16"/>
  <c r="V75" i="16"/>
  <c r="V76" i="16"/>
  <c r="V53" i="16"/>
  <c r="V54" i="16"/>
  <c r="X54" i="16"/>
  <c r="V77" i="16"/>
  <c r="V78" i="16"/>
  <c r="V79" i="16"/>
  <c r="V80" i="16"/>
  <c r="X80" i="16"/>
  <c r="H75" i="21"/>
  <c r="V81" i="16"/>
  <c r="V82" i="16"/>
  <c r="V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40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1" i="16"/>
  <c r="T42" i="16"/>
  <c r="T43" i="16"/>
  <c r="T44" i="16"/>
  <c r="T46" i="16"/>
  <c r="T47" i="16"/>
  <c r="T48" i="16"/>
  <c r="T49" i="16"/>
  <c r="T50" i="16"/>
  <c r="T51" i="16"/>
  <c r="T52" i="16"/>
  <c r="T55" i="16"/>
  <c r="T45" i="16"/>
  <c r="T56" i="16"/>
  <c r="T70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1" i="16"/>
  <c r="T72" i="16"/>
  <c r="T73" i="16"/>
  <c r="T74" i="16"/>
  <c r="T75" i="16"/>
  <c r="T76" i="16"/>
  <c r="T53" i="16"/>
  <c r="T54" i="16"/>
  <c r="T77" i="16"/>
  <c r="T78" i="16"/>
  <c r="T79" i="16"/>
  <c r="T80" i="16"/>
  <c r="T81" i="16"/>
  <c r="T82" i="16"/>
  <c r="T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40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1" i="16"/>
  <c r="S42" i="16"/>
  <c r="S43" i="16"/>
  <c r="S44" i="16"/>
  <c r="S46" i="16"/>
  <c r="S47" i="16"/>
  <c r="S48" i="16"/>
  <c r="S49" i="16"/>
  <c r="S50" i="16"/>
  <c r="S51" i="16"/>
  <c r="S52" i="16"/>
  <c r="S55" i="16"/>
  <c r="S45" i="16"/>
  <c r="S56" i="16"/>
  <c r="S70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1" i="16"/>
  <c r="S72" i="16"/>
  <c r="S73" i="16"/>
  <c r="S74" i="16"/>
  <c r="S75" i="16"/>
  <c r="S76" i="16"/>
  <c r="S53" i="16"/>
  <c r="S54" i="16"/>
  <c r="S77" i="16"/>
  <c r="S78" i="16"/>
  <c r="S79" i="16"/>
  <c r="S80" i="16"/>
  <c r="S81" i="16"/>
  <c r="S82" i="16"/>
  <c r="S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40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1" i="16"/>
  <c r="R42" i="16"/>
  <c r="R43" i="16"/>
  <c r="R44" i="16"/>
  <c r="R46" i="16"/>
  <c r="R47" i="16"/>
  <c r="R48" i="16"/>
  <c r="R49" i="16"/>
  <c r="R50" i="16"/>
  <c r="R51" i="16"/>
  <c r="R52" i="16"/>
  <c r="R55" i="16"/>
  <c r="R45" i="16"/>
  <c r="R56" i="16"/>
  <c r="R70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1" i="16"/>
  <c r="R72" i="16"/>
  <c r="R73" i="16"/>
  <c r="R74" i="16"/>
  <c r="R75" i="16"/>
  <c r="R76" i="16"/>
  <c r="R53" i="16"/>
  <c r="R54" i="16"/>
  <c r="R77" i="16"/>
  <c r="R78" i="16"/>
  <c r="R79" i="16"/>
  <c r="R80" i="16"/>
  <c r="R81" i="16"/>
  <c r="R82" i="16"/>
  <c r="R7" i="16"/>
  <c r="Q8" i="16"/>
  <c r="Q9" i="16"/>
  <c r="Q10" i="16"/>
  <c r="U10" i="16"/>
  <c r="Q11" i="16"/>
  <c r="Q12" i="16"/>
  <c r="Q13" i="16"/>
  <c r="Q14" i="16"/>
  <c r="U14" i="16"/>
  <c r="G9" i="21"/>
  <c r="Q15" i="16"/>
  <c r="Q16" i="16"/>
  <c r="U16" i="16"/>
  <c r="G11" i="21"/>
  <c r="Q17" i="16"/>
  <c r="Q18" i="16"/>
  <c r="U18" i="16"/>
  <c r="Q19" i="16"/>
  <c r="Q20" i="16"/>
  <c r="Q21" i="16"/>
  <c r="Q22" i="16"/>
  <c r="Q23" i="16"/>
  <c r="Q24" i="16"/>
  <c r="U24" i="16"/>
  <c r="Q40" i="16"/>
  <c r="Q25" i="16"/>
  <c r="Q26" i="16"/>
  <c r="Q27" i="16"/>
  <c r="Q28" i="16"/>
  <c r="Q29" i="16"/>
  <c r="Q30" i="16"/>
  <c r="Q31" i="16"/>
  <c r="Q32" i="16"/>
  <c r="Q33" i="16"/>
  <c r="U33" i="16"/>
  <c r="G28" i="21"/>
  <c r="Q34" i="16"/>
  <c r="Q35" i="16"/>
  <c r="Q36" i="16"/>
  <c r="Q37" i="16"/>
  <c r="U37" i="16"/>
  <c r="G32" i="21"/>
  <c r="Q38" i="16"/>
  <c r="Q39" i="16"/>
  <c r="Q41" i="16"/>
  <c r="Q42" i="16"/>
  <c r="U42" i="16"/>
  <c r="Q43" i="16"/>
  <c r="Q44" i="16"/>
  <c r="Q46" i="16"/>
  <c r="Q47" i="16"/>
  <c r="Q48" i="16"/>
  <c r="Q49" i="16"/>
  <c r="Q50" i="16"/>
  <c r="Q51" i="16"/>
  <c r="Q52" i="16"/>
  <c r="Q55" i="16"/>
  <c r="Q45" i="16"/>
  <c r="Q56" i="16"/>
  <c r="Q70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1" i="16"/>
  <c r="Q72" i="16"/>
  <c r="Q73" i="16"/>
  <c r="Q74" i="16"/>
  <c r="Q75" i="16"/>
  <c r="Q76" i="16"/>
  <c r="Q53" i="16"/>
  <c r="Q54" i="16"/>
  <c r="Q77" i="16"/>
  <c r="Q78" i="16"/>
  <c r="Q79" i="16"/>
  <c r="Q80" i="16"/>
  <c r="Q81" i="16"/>
  <c r="Q82" i="16"/>
  <c r="Q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40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1" i="16"/>
  <c r="O42" i="16"/>
  <c r="O43" i="16"/>
  <c r="O44" i="16"/>
  <c r="O46" i="16"/>
  <c r="O47" i="16"/>
  <c r="O48" i="16"/>
  <c r="O49" i="16"/>
  <c r="O50" i="16"/>
  <c r="O51" i="16"/>
  <c r="O52" i="16"/>
  <c r="O55" i="16"/>
  <c r="O45" i="16"/>
  <c r="O56" i="16"/>
  <c r="O70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1" i="16"/>
  <c r="O72" i="16"/>
  <c r="O73" i="16"/>
  <c r="O74" i="16"/>
  <c r="O75" i="16"/>
  <c r="O76" i="16"/>
  <c r="O53" i="16"/>
  <c r="O54" i="16"/>
  <c r="O77" i="16"/>
  <c r="O78" i="16"/>
  <c r="O79" i="16"/>
  <c r="O80" i="16"/>
  <c r="O81" i="16"/>
  <c r="O82" i="16"/>
  <c r="O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40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1" i="16"/>
  <c r="N42" i="16"/>
  <c r="N43" i="16"/>
  <c r="N44" i="16"/>
  <c r="N46" i="16"/>
  <c r="N47" i="16"/>
  <c r="N48" i="16"/>
  <c r="N49" i="16"/>
  <c r="N50" i="16"/>
  <c r="N51" i="16"/>
  <c r="N52" i="16"/>
  <c r="N55" i="16"/>
  <c r="N45" i="16"/>
  <c r="N56" i="16"/>
  <c r="N70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1" i="16"/>
  <c r="N72" i="16"/>
  <c r="N73" i="16"/>
  <c r="N74" i="16"/>
  <c r="N75" i="16"/>
  <c r="N76" i="16"/>
  <c r="N53" i="16"/>
  <c r="N54" i="16"/>
  <c r="N77" i="16"/>
  <c r="N78" i="16"/>
  <c r="N79" i="16"/>
  <c r="N80" i="16"/>
  <c r="N81" i="16"/>
  <c r="N82" i="16"/>
  <c r="N7" i="16"/>
  <c r="M8" i="16"/>
  <c r="M9" i="16"/>
  <c r="P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P23" i="16"/>
  <c r="M24" i="16"/>
  <c r="M40" i="16"/>
  <c r="M25" i="16"/>
  <c r="M26" i="16"/>
  <c r="P26" i="16"/>
  <c r="F21" i="21"/>
  <c r="M27" i="16"/>
  <c r="M28" i="16"/>
  <c r="M29" i="16"/>
  <c r="M30" i="16"/>
  <c r="M31" i="16"/>
  <c r="M32" i="16"/>
  <c r="M33" i="16"/>
  <c r="M34" i="16"/>
  <c r="M35" i="16"/>
  <c r="M36" i="16"/>
  <c r="M37" i="16"/>
  <c r="M38" i="16"/>
  <c r="P38" i="16"/>
  <c r="M39" i="16"/>
  <c r="M41" i="16"/>
  <c r="M42" i="16"/>
  <c r="M43" i="16"/>
  <c r="M44" i="16"/>
  <c r="M46" i="16"/>
  <c r="M47" i="16"/>
  <c r="M48" i="16"/>
  <c r="M49" i="16"/>
  <c r="M50" i="16"/>
  <c r="M51" i="16"/>
  <c r="M52" i="16"/>
  <c r="M55" i="16"/>
  <c r="M45" i="16"/>
  <c r="M56" i="16"/>
  <c r="M70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1" i="16"/>
  <c r="M72" i="16"/>
  <c r="M73" i="16"/>
  <c r="M74" i="16"/>
  <c r="M75" i="16"/>
  <c r="M76" i="16"/>
  <c r="M53" i="16"/>
  <c r="P53" i="16"/>
  <c r="F48" i="21"/>
  <c r="M54" i="16"/>
  <c r="M77" i="16"/>
  <c r="M78" i="16"/>
  <c r="M79" i="16"/>
  <c r="M80" i="16"/>
  <c r="M81" i="16"/>
  <c r="M82" i="16"/>
  <c r="M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40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1" i="16"/>
  <c r="K42" i="16"/>
  <c r="K43" i="16"/>
  <c r="K44" i="16"/>
  <c r="K46" i="16"/>
  <c r="K47" i="16"/>
  <c r="K48" i="16"/>
  <c r="K49" i="16"/>
  <c r="K50" i="16"/>
  <c r="K51" i="16"/>
  <c r="K52" i="16"/>
  <c r="K55" i="16"/>
  <c r="K45" i="16"/>
  <c r="K56" i="16"/>
  <c r="K70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1" i="16"/>
  <c r="K72" i="16"/>
  <c r="K73" i="16"/>
  <c r="K74" i="16"/>
  <c r="K75" i="16"/>
  <c r="K76" i="16"/>
  <c r="K53" i="16"/>
  <c r="K54" i="16"/>
  <c r="K77" i="16"/>
  <c r="K78" i="16"/>
  <c r="K79" i="16"/>
  <c r="K80" i="16"/>
  <c r="K81" i="16"/>
  <c r="K82" i="16"/>
  <c r="K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40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1" i="16"/>
  <c r="J42" i="16"/>
  <c r="J43" i="16"/>
  <c r="J44" i="16"/>
  <c r="J46" i="16"/>
  <c r="J47" i="16"/>
  <c r="J48" i="16"/>
  <c r="J49" i="16"/>
  <c r="J50" i="16"/>
  <c r="J51" i="16"/>
  <c r="J52" i="16"/>
  <c r="J55" i="16"/>
  <c r="J45" i="16"/>
  <c r="J56" i="16"/>
  <c r="J70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1" i="16"/>
  <c r="J72" i="16"/>
  <c r="J73" i="16"/>
  <c r="J74" i="16"/>
  <c r="J75" i="16"/>
  <c r="J76" i="16"/>
  <c r="J53" i="16"/>
  <c r="J54" i="16"/>
  <c r="J77" i="16"/>
  <c r="J78" i="16"/>
  <c r="J79" i="16"/>
  <c r="J80" i="16"/>
  <c r="J81" i="16"/>
  <c r="J82" i="16"/>
  <c r="J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40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1" i="16"/>
  <c r="I42" i="16"/>
  <c r="I43" i="16"/>
  <c r="I44" i="16"/>
  <c r="I46" i="16"/>
  <c r="I47" i="16"/>
  <c r="I48" i="16"/>
  <c r="I49" i="16"/>
  <c r="I50" i="16"/>
  <c r="I51" i="16"/>
  <c r="I52" i="16"/>
  <c r="I55" i="16"/>
  <c r="I45" i="16"/>
  <c r="I56" i="16"/>
  <c r="I70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1" i="16"/>
  <c r="I72" i="16"/>
  <c r="I73" i="16"/>
  <c r="I74" i="16"/>
  <c r="I75" i="16"/>
  <c r="I76" i="16"/>
  <c r="I53" i="16"/>
  <c r="I54" i="16"/>
  <c r="I77" i="16"/>
  <c r="I78" i="16"/>
  <c r="I79" i="16"/>
  <c r="I80" i="16"/>
  <c r="I81" i="16"/>
  <c r="I82" i="16"/>
  <c r="I7" i="16"/>
  <c r="H8" i="16"/>
  <c r="H9" i="16"/>
  <c r="H10" i="16"/>
  <c r="H11" i="16"/>
  <c r="H12" i="16"/>
  <c r="H13" i="16"/>
  <c r="L13" i="16"/>
  <c r="E8" i="21"/>
  <c r="H14" i="16"/>
  <c r="H15" i="16"/>
  <c r="H16" i="16"/>
  <c r="H17" i="16"/>
  <c r="L17" i="16"/>
  <c r="E12" i="21"/>
  <c r="H18" i="16"/>
  <c r="H19" i="16"/>
  <c r="H20" i="16"/>
  <c r="H21" i="16"/>
  <c r="L21" i="16"/>
  <c r="H22" i="16"/>
  <c r="H23" i="16"/>
  <c r="H24" i="16"/>
  <c r="H40" i="16"/>
  <c r="L40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1" i="16"/>
  <c r="L41" i="16"/>
  <c r="E36" i="21"/>
  <c r="H42" i="16"/>
  <c r="H43" i="16"/>
  <c r="H44" i="16"/>
  <c r="H46" i="16"/>
  <c r="L46" i="16"/>
  <c r="H47" i="16"/>
  <c r="H48" i="16"/>
  <c r="H49" i="16"/>
  <c r="H50" i="16"/>
  <c r="L50" i="16"/>
  <c r="E45" i="21"/>
  <c r="H51" i="16"/>
  <c r="H52" i="16"/>
  <c r="H55" i="16"/>
  <c r="H45" i="16"/>
  <c r="L45" i="16"/>
  <c r="H56" i="16"/>
  <c r="H70" i="16"/>
  <c r="H57" i="16"/>
  <c r="H58" i="16"/>
  <c r="H59" i="16"/>
  <c r="H60" i="16"/>
  <c r="H61" i="16"/>
  <c r="H62" i="16"/>
  <c r="L62" i="16"/>
  <c r="E57" i="21"/>
  <c r="H63" i="16"/>
  <c r="H64" i="16"/>
  <c r="H65" i="16"/>
  <c r="H66" i="16"/>
  <c r="H67" i="16"/>
  <c r="H68" i="16"/>
  <c r="H69" i="16"/>
  <c r="H71" i="16"/>
  <c r="L71" i="16"/>
  <c r="H72" i="16"/>
  <c r="H73" i="16"/>
  <c r="H74" i="16"/>
  <c r="H75" i="16"/>
  <c r="L75" i="16"/>
  <c r="E70" i="21"/>
  <c r="H76" i="16"/>
  <c r="H53" i="16"/>
  <c r="H54" i="16"/>
  <c r="H77" i="16"/>
  <c r="H78" i="16"/>
  <c r="H79" i="16"/>
  <c r="H80" i="16"/>
  <c r="L80" i="16"/>
  <c r="E75" i="21"/>
  <c r="H81" i="16"/>
  <c r="H82" i="16"/>
  <c r="H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40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1" i="16"/>
  <c r="F42" i="16"/>
  <c r="F43" i="16"/>
  <c r="F44" i="16"/>
  <c r="F46" i="16"/>
  <c r="F47" i="16"/>
  <c r="F48" i="16"/>
  <c r="F49" i="16"/>
  <c r="F50" i="16"/>
  <c r="F51" i="16"/>
  <c r="F52" i="16"/>
  <c r="F55" i="16"/>
  <c r="F45" i="16"/>
  <c r="F56" i="16"/>
  <c r="F70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1" i="16"/>
  <c r="F72" i="16"/>
  <c r="F73" i="16"/>
  <c r="F74" i="16"/>
  <c r="F75" i="16"/>
  <c r="F76" i="16"/>
  <c r="F53" i="16"/>
  <c r="F54" i="16"/>
  <c r="F77" i="16"/>
  <c r="F78" i="16"/>
  <c r="F79" i="16"/>
  <c r="F80" i="16"/>
  <c r="F81" i="16"/>
  <c r="F82" i="16"/>
  <c r="F7" i="16"/>
  <c r="E8" i="16"/>
  <c r="E9" i="16"/>
  <c r="D4" i="21"/>
  <c r="E10" i="16"/>
  <c r="E11" i="16"/>
  <c r="E12" i="16"/>
  <c r="D7" i="21"/>
  <c r="E13" i="16"/>
  <c r="D8" i="21"/>
  <c r="E14" i="16"/>
  <c r="D9" i="21"/>
  <c r="E15" i="16"/>
  <c r="E16" i="16"/>
  <c r="D11" i="21"/>
  <c r="E17" i="16"/>
  <c r="E18" i="16"/>
  <c r="E19" i="16"/>
  <c r="D14" i="21"/>
  <c r="E20" i="16"/>
  <c r="E21" i="16"/>
  <c r="D16" i="21"/>
  <c r="E22" i="16"/>
  <c r="D17" i="21"/>
  <c r="E23" i="16"/>
  <c r="E24" i="16"/>
  <c r="E40" i="16"/>
  <c r="D35" i="21"/>
  <c r="E25" i="16"/>
  <c r="E26" i="16"/>
  <c r="D21" i="21"/>
  <c r="E27" i="16"/>
  <c r="D22" i="21"/>
  <c r="E28" i="16"/>
  <c r="D23" i="21"/>
  <c r="E29" i="16"/>
  <c r="D24" i="21"/>
  <c r="E30" i="16"/>
  <c r="E31" i="16"/>
  <c r="E32" i="16"/>
  <c r="D27" i="21"/>
  <c r="E33" i="16"/>
  <c r="D28" i="21"/>
  <c r="E34" i="16"/>
  <c r="E35" i="16"/>
  <c r="D30" i="21"/>
  <c r="E36" i="16"/>
  <c r="D31" i="21"/>
  <c r="E37" i="16"/>
  <c r="E38" i="16"/>
  <c r="E39" i="16"/>
  <c r="E41" i="16"/>
  <c r="E42" i="16"/>
  <c r="E43" i="16"/>
  <c r="D38" i="21"/>
  <c r="E44" i="16"/>
  <c r="E46" i="16"/>
  <c r="E47" i="16"/>
  <c r="D42" i="21"/>
  <c r="E48" i="16"/>
  <c r="E49" i="16"/>
  <c r="D44" i="21"/>
  <c r="E50" i="16"/>
  <c r="E51" i="16"/>
  <c r="E52" i="16"/>
  <c r="D47" i="21"/>
  <c r="E55" i="16"/>
  <c r="E45" i="16"/>
  <c r="D40" i="21"/>
  <c r="E56" i="16"/>
  <c r="E70" i="16"/>
  <c r="E57" i="16"/>
  <c r="D52" i="21"/>
  <c r="E58" i="16"/>
  <c r="E59" i="16"/>
  <c r="E60" i="16"/>
  <c r="E61" i="16"/>
  <c r="D56" i="21"/>
  <c r="E62" i="16"/>
  <c r="D57" i="21"/>
  <c r="E63" i="16"/>
  <c r="D58" i="21"/>
  <c r="E64" i="16"/>
  <c r="E65" i="16"/>
  <c r="D60" i="21"/>
  <c r="E66" i="16"/>
  <c r="E67" i="16"/>
  <c r="E68" i="16"/>
  <c r="E69" i="16"/>
  <c r="E71" i="16"/>
  <c r="D66" i="21"/>
  <c r="E72" i="16"/>
  <c r="D67" i="21"/>
  <c r="E73" i="16"/>
  <c r="E74" i="16"/>
  <c r="D69" i="21"/>
  <c r="E75" i="16"/>
  <c r="D70" i="21"/>
  <c r="E76" i="16"/>
  <c r="E53" i="16"/>
  <c r="D48" i="21"/>
  <c r="E54" i="16"/>
  <c r="E77" i="16"/>
  <c r="E78" i="16"/>
  <c r="E79" i="16"/>
  <c r="D74" i="21"/>
  <c r="E80" i="16"/>
  <c r="E81" i="16"/>
  <c r="E82" i="16"/>
  <c r="D77" i="21"/>
  <c r="E7" i="16"/>
  <c r="D2" i="21"/>
  <c r="D8" i="16"/>
  <c r="C3" i="21"/>
  <c r="D9" i="16"/>
  <c r="D10" i="16"/>
  <c r="D11" i="16"/>
  <c r="C6" i="21"/>
  <c r="D12" i="16"/>
  <c r="C7" i="21"/>
  <c r="D13" i="16"/>
  <c r="D14" i="16"/>
  <c r="D15" i="16"/>
  <c r="D16" i="16"/>
  <c r="D17" i="16"/>
  <c r="D18" i="16"/>
  <c r="D19" i="16"/>
  <c r="C14" i="21"/>
  <c r="D20" i="16"/>
  <c r="C15" i="21"/>
  <c r="D21" i="16"/>
  <c r="D22" i="16"/>
  <c r="C17" i="21"/>
  <c r="D23" i="16"/>
  <c r="D24" i="16"/>
  <c r="C19" i="21"/>
  <c r="D40" i="16"/>
  <c r="D25" i="16"/>
  <c r="D26" i="16"/>
  <c r="C21" i="21"/>
  <c r="D27" i="16"/>
  <c r="D28" i="16"/>
  <c r="C23" i="21"/>
  <c r="D29" i="16"/>
  <c r="C24" i="21"/>
  <c r="D30" i="16"/>
  <c r="C25" i="21"/>
  <c r="D31" i="16"/>
  <c r="C26" i="21"/>
  <c r="D32" i="16"/>
  <c r="D33" i="16"/>
  <c r="C28" i="21"/>
  <c r="D34" i="16"/>
  <c r="C29" i="21"/>
  <c r="D35" i="16"/>
  <c r="C30" i="21"/>
  <c r="D36" i="16"/>
  <c r="G36" i="16"/>
  <c r="D37" i="16"/>
  <c r="C32" i="21"/>
  <c r="D38" i="16"/>
  <c r="C33" i="21"/>
  <c r="D39" i="16"/>
  <c r="C34" i="21"/>
  <c r="D41" i="16"/>
  <c r="G41" i="16"/>
  <c r="D42" i="16"/>
  <c r="D43" i="16"/>
  <c r="C38" i="21"/>
  <c r="D44" i="16"/>
  <c r="C39" i="21"/>
  <c r="D46" i="16"/>
  <c r="D47" i="16"/>
  <c r="D48" i="16"/>
  <c r="D49" i="16"/>
  <c r="D50" i="16"/>
  <c r="D51" i="16"/>
  <c r="D52" i="16"/>
  <c r="D55" i="16"/>
  <c r="D45" i="16"/>
  <c r="C40" i="21"/>
  <c r="D56" i="16"/>
  <c r="D70" i="16"/>
  <c r="D57" i="16"/>
  <c r="C52" i="21"/>
  <c r="D58" i="16"/>
  <c r="G58" i="16"/>
  <c r="D59" i="16"/>
  <c r="D60" i="16"/>
  <c r="D61" i="16"/>
  <c r="C56" i="21"/>
  <c r="D62" i="16"/>
  <c r="G62" i="16"/>
  <c r="D63" i="16"/>
  <c r="D64" i="16"/>
  <c r="D65" i="16"/>
  <c r="G65" i="16"/>
  <c r="D66" i="16"/>
  <c r="G66" i="16"/>
  <c r="D67" i="16"/>
  <c r="D68" i="16"/>
  <c r="D69" i="16"/>
  <c r="D71" i="16"/>
  <c r="G71" i="16"/>
  <c r="D72" i="16"/>
  <c r="C67" i="21"/>
  <c r="D73" i="16"/>
  <c r="D74" i="16"/>
  <c r="C69" i="21"/>
  <c r="D75" i="16"/>
  <c r="G75" i="16"/>
  <c r="D76" i="16"/>
  <c r="C71" i="21"/>
  <c r="D53" i="16"/>
  <c r="C48" i="21"/>
  <c r="D54" i="16"/>
  <c r="D77" i="16"/>
  <c r="C72" i="21"/>
  <c r="D78" i="16"/>
  <c r="C73" i="21"/>
  <c r="D79" i="16"/>
  <c r="D80" i="16"/>
  <c r="C75" i="21"/>
  <c r="D81" i="16"/>
  <c r="G81" i="16"/>
  <c r="D82" i="16"/>
  <c r="D7" i="1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7" i="1"/>
  <c r="C8" i="1"/>
  <c r="L8" i="1"/>
  <c r="C9" i="1"/>
  <c r="C10" i="1"/>
  <c r="C11" i="1"/>
  <c r="C12" i="1"/>
  <c r="C13" i="1"/>
  <c r="L13" i="1"/>
  <c r="C14" i="1"/>
  <c r="C15" i="1"/>
  <c r="C16" i="1"/>
  <c r="C17" i="1"/>
  <c r="C18" i="1"/>
  <c r="C19" i="1"/>
  <c r="C20" i="1"/>
  <c r="C21" i="1"/>
  <c r="L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L44" i="1"/>
  <c r="C45" i="1"/>
  <c r="L45" i="1"/>
  <c r="C46" i="1"/>
  <c r="C47" i="1"/>
  <c r="C48" i="1"/>
  <c r="L48" i="1"/>
  <c r="C49" i="1"/>
  <c r="L49" i="1"/>
  <c r="C50" i="1"/>
  <c r="C51" i="1"/>
  <c r="C52" i="1"/>
  <c r="C53" i="1"/>
  <c r="L53" i="1"/>
  <c r="C54" i="1"/>
  <c r="C55" i="1"/>
  <c r="C56" i="1"/>
  <c r="L56" i="1"/>
  <c r="C57" i="1"/>
  <c r="L57" i="1"/>
  <c r="C58" i="1"/>
  <c r="C59" i="1"/>
  <c r="C60" i="1"/>
  <c r="C61" i="1"/>
  <c r="L61" i="1"/>
  <c r="C62" i="1"/>
  <c r="C63" i="1"/>
  <c r="C64" i="1"/>
  <c r="L64" i="1"/>
  <c r="C65" i="1"/>
  <c r="L65" i="1"/>
  <c r="C66" i="1"/>
  <c r="C67" i="1"/>
  <c r="C68" i="1"/>
  <c r="L68" i="1"/>
  <c r="C69" i="1"/>
  <c r="L69" i="1"/>
  <c r="C70" i="1"/>
  <c r="C71" i="1"/>
  <c r="C72" i="1"/>
  <c r="C73" i="1"/>
  <c r="L73" i="1"/>
  <c r="C74" i="1"/>
  <c r="C75" i="1"/>
  <c r="C76" i="1"/>
  <c r="C77" i="1"/>
  <c r="C78" i="1"/>
  <c r="C79" i="1"/>
  <c r="C80" i="1"/>
  <c r="C81" i="1"/>
  <c r="C82" i="1"/>
  <c r="C7" i="1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7" i="29"/>
  <c r="C8" i="29"/>
  <c r="L8" i="29"/>
  <c r="C9" i="29"/>
  <c r="C10" i="29"/>
  <c r="C11" i="29"/>
  <c r="L11" i="29"/>
  <c r="C12" i="29"/>
  <c r="C13" i="29"/>
  <c r="C14" i="29"/>
  <c r="L14" i="29"/>
  <c r="C15" i="29"/>
  <c r="C16" i="29"/>
  <c r="L16" i="29"/>
  <c r="C17" i="29"/>
  <c r="C18" i="29"/>
  <c r="L18" i="29"/>
  <c r="C19" i="29"/>
  <c r="C20" i="29"/>
  <c r="C21" i="29"/>
  <c r="C22" i="29"/>
  <c r="C23" i="29"/>
  <c r="C24" i="29"/>
  <c r="L24" i="29"/>
  <c r="C25" i="29"/>
  <c r="C26" i="29"/>
  <c r="C27" i="29"/>
  <c r="C28" i="29"/>
  <c r="L28" i="29"/>
  <c r="C29" i="29"/>
  <c r="C30" i="29"/>
  <c r="C31" i="29"/>
  <c r="C32" i="29"/>
  <c r="L32" i="29"/>
  <c r="C33" i="29"/>
  <c r="C34" i="29"/>
  <c r="L34" i="29"/>
  <c r="C35" i="29"/>
  <c r="C36" i="29"/>
  <c r="C37" i="29"/>
  <c r="L37" i="29"/>
  <c r="C38" i="29"/>
  <c r="C39" i="29"/>
  <c r="C40" i="29"/>
  <c r="C41" i="29"/>
  <c r="L41" i="29"/>
  <c r="C42" i="29"/>
  <c r="C43" i="29"/>
  <c r="C44" i="29"/>
  <c r="C45" i="29"/>
  <c r="C46" i="29"/>
  <c r="C47" i="29"/>
  <c r="L47" i="29"/>
  <c r="C48" i="29"/>
  <c r="L48" i="29"/>
  <c r="C49" i="29"/>
  <c r="C50" i="29"/>
  <c r="C51" i="29"/>
  <c r="C52" i="29"/>
  <c r="C53" i="29"/>
  <c r="C54" i="29"/>
  <c r="C55" i="29"/>
  <c r="C56" i="29"/>
  <c r="L56" i="29"/>
  <c r="C57" i="29"/>
  <c r="C58" i="29"/>
  <c r="L58" i="29"/>
  <c r="C59" i="29"/>
  <c r="C60" i="29"/>
  <c r="C61" i="29"/>
  <c r="C62" i="29"/>
  <c r="C63" i="29"/>
  <c r="C64" i="29"/>
  <c r="L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L79" i="29"/>
  <c r="C80" i="29"/>
  <c r="C81" i="29"/>
  <c r="C82" i="29"/>
  <c r="C7" i="29"/>
  <c r="L7" i="29"/>
  <c r="X16" i="16"/>
  <c r="H11" i="21"/>
  <c r="X23" i="16"/>
  <c r="H18" i="21"/>
  <c r="X36" i="16"/>
  <c r="H31" i="21"/>
  <c r="X46" i="16"/>
  <c r="H41" i="21"/>
  <c r="X45" i="16"/>
  <c r="H40" i="21"/>
  <c r="X81" i="16"/>
  <c r="H76" i="21"/>
  <c r="U36" i="16"/>
  <c r="AC85" i="16"/>
  <c r="E34" i="17"/>
  <c r="AG85" i="16"/>
  <c r="E38" i="17"/>
  <c r="AH85" i="16"/>
  <c r="E39" i="17"/>
  <c r="AI85" i="16"/>
  <c r="E40" i="17"/>
  <c r="AK85" i="16"/>
  <c r="E42" i="17"/>
  <c r="AL85" i="16"/>
  <c r="E43" i="17"/>
  <c r="AM85" i="16"/>
  <c r="E44" i="17"/>
  <c r="AN85" i="16"/>
  <c r="E45" i="17"/>
  <c r="AP85" i="16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M7" i="3"/>
  <c r="N7" i="3"/>
  <c r="U80" i="16"/>
  <c r="U63" i="16"/>
  <c r="G58" i="21"/>
  <c r="AF85" i="16"/>
  <c r="E37" i="17"/>
  <c r="P45" i="16"/>
  <c r="F40" i="21"/>
  <c r="U53" i="16"/>
  <c r="G48" i="21"/>
  <c r="U60" i="16"/>
  <c r="G55" i="21"/>
  <c r="U43" i="16"/>
  <c r="G38" i="21"/>
  <c r="U40" i="16"/>
  <c r="U15" i="16"/>
  <c r="G10" i="21"/>
  <c r="P60" i="16"/>
  <c r="Z85" i="16"/>
  <c r="E31" i="17"/>
  <c r="X35" i="16"/>
  <c r="H30" i="21"/>
  <c r="X7" i="16"/>
  <c r="H2" i="21"/>
  <c r="AJ7" i="16"/>
  <c r="K2" i="21"/>
  <c r="X34" i="16"/>
  <c r="X28" i="16"/>
  <c r="H23" i="21"/>
  <c r="X82" i="16"/>
  <c r="H77" i="21"/>
  <c r="X72" i="16"/>
  <c r="H67" i="21"/>
  <c r="X37" i="16"/>
  <c r="H32" i="21"/>
  <c r="X13" i="16"/>
  <c r="H8" i="21"/>
  <c r="X75" i="16"/>
  <c r="H70" i="21"/>
  <c r="X71" i="16"/>
  <c r="H66" i="21"/>
  <c r="X66" i="16"/>
  <c r="H61" i="21"/>
  <c r="X62" i="16"/>
  <c r="H57" i="21"/>
  <c r="X22" i="16"/>
  <c r="H17" i="21"/>
  <c r="X12" i="16"/>
  <c r="H7" i="21"/>
  <c r="AJ8" i="30"/>
  <c r="K2" i="31"/>
  <c r="U8" i="30"/>
  <c r="G2" i="31"/>
  <c r="AO8" i="30"/>
  <c r="AQ8" i="30"/>
  <c r="AO7" i="16"/>
  <c r="X19" i="16"/>
  <c r="H14" i="21"/>
  <c r="X79" i="16"/>
  <c r="X24" i="16"/>
  <c r="H19" i="21"/>
  <c r="X8" i="16"/>
  <c r="H3" i="21"/>
  <c r="X63" i="16"/>
  <c r="H58" i="21"/>
  <c r="X51" i="16"/>
  <c r="X42" i="16"/>
  <c r="H37" i="21"/>
  <c r="X25" i="16"/>
  <c r="H20" i="21"/>
  <c r="X17" i="16"/>
  <c r="H12" i="21"/>
  <c r="X55" i="16"/>
  <c r="X44" i="16"/>
  <c r="X52" i="16"/>
  <c r="H47" i="21"/>
  <c r="X43" i="16"/>
  <c r="H38" i="21"/>
  <c r="X26" i="16"/>
  <c r="H21" i="21"/>
  <c r="AE7" i="16"/>
  <c r="X58" i="16"/>
  <c r="P44" i="16"/>
  <c r="F39" i="21"/>
  <c r="X57" i="16"/>
  <c r="H52" i="21"/>
  <c r="P51" i="16"/>
  <c r="AJ13" i="16"/>
  <c r="K8" i="21"/>
  <c r="AJ11" i="16"/>
  <c r="K6" i="21"/>
  <c r="AJ9" i="16"/>
  <c r="AJ18" i="16"/>
  <c r="K13" i="21"/>
  <c r="AJ16" i="16"/>
  <c r="K11" i="21"/>
  <c r="AJ14" i="16"/>
  <c r="K9" i="21"/>
  <c r="AO82" i="16"/>
  <c r="AO80" i="16"/>
  <c r="L75" i="21"/>
  <c r="AO78" i="16"/>
  <c r="L73" i="21"/>
  <c r="AO54" i="16"/>
  <c r="L49" i="21"/>
  <c r="AO76" i="16"/>
  <c r="L71" i="21"/>
  <c r="AO74" i="16"/>
  <c r="L69" i="21"/>
  <c r="AO72" i="16"/>
  <c r="AO69" i="16"/>
  <c r="L64" i="21"/>
  <c r="AO67" i="16"/>
  <c r="L62" i="21"/>
  <c r="AO65" i="16"/>
  <c r="L60" i="21"/>
  <c r="AO63" i="16"/>
  <c r="AO61" i="16"/>
  <c r="AO59" i="16"/>
  <c r="AO57" i="16"/>
  <c r="L52" i="21"/>
  <c r="AO56" i="16"/>
  <c r="AO55" i="16"/>
  <c r="L50" i="21"/>
  <c r="AO51" i="16"/>
  <c r="AO49" i="16"/>
  <c r="AO47" i="16"/>
  <c r="L42" i="21"/>
  <c r="AO44" i="16"/>
  <c r="L39" i="21"/>
  <c r="AO42" i="16"/>
  <c r="L37" i="21"/>
  <c r="AO39" i="16"/>
  <c r="L34" i="21"/>
  <c r="AO37" i="16"/>
  <c r="AO35" i="16"/>
  <c r="AO33" i="16"/>
  <c r="L28" i="21"/>
  <c r="AO31" i="16"/>
  <c r="L26" i="21"/>
  <c r="AO29" i="16"/>
  <c r="L24" i="21"/>
  <c r="AO27" i="16"/>
  <c r="L22" i="21"/>
  <c r="AO25" i="16"/>
  <c r="AO24" i="16"/>
  <c r="L19" i="21"/>
  <c r="AO22" i="16"/>
  <c r="L17" i="21"/>
  <c r="AO20" i="16"/>
  <c r="L15" i="21"/>
  <c r="AO18" i="16"/>
  <c r="L13" i="21"/>
  <c r="AO16" i="16"/>
  <c r="L11" i="21"/>
  <c r="AO14" i="16"/>
  <c r="L9" i="21"/>
  <c r="AO12" i="16"/>
  <c r="L7" i="21"/>
  <c r="AO10" i="16"/>
  <c r="L5" i="21"/>
  <c r="AO8" i="16"/>
  <c r="L3" i="21"/>
  <c r="L59" i="16"/>
  <c r="E54" i="21"/>
  <c r="L53" i="16"/>
  <c r="E48" i="21"/>
  <c r="L68" i="16"/>
  <c r="E63" i="21"/>
  <c r="L60" i="16"/>
  <c r="L70" i="16"/>
  <c r="E65" i="21"/>
  <c r="L52" i="16"/>
  <c r="E47" i="21"/>
  <c r="L48" i="16"/>
  <c r="E43" i="21"/>
  <c r="L43" i="16"/>
  <c r="E38" i="21"/>
  <c r="L38" i="16"/>
  <c r="E33" i="21"/>
  <c r="L30" i="16"/>
  <c r="E25" i="21"/>
  <c r="L26" i="16"/>
  <c r="E21" i="21"/>
  <c r="L19" i="16"/>
  <c r="E14" i="21"/>
  <c r="L9" i="16"/>
  <c r="E4" i="21"/>
  <c r="L82" i="16"/>
  <c r="E77" i="21"/>
  <c r="L78" i="16"/>
  <c r="E73" i="21"/>
  <c r="L74" i="16"/>
  <c r="E69" i="21"/>
  <c r="L63" i="16"/>
  <c r="E58" i="21"/>
  <c r="L56" i="16"/>
  <c r="E51" i="21"/>
  <c r="L51" i="16"/>
  <c r="E46" i="21"/>
  <c r="L47" i="16"/>
  <c r="E42" i="21"/>
  <c r="L42" i="16"/>
  <c r="E37" i="21"/>
  <c r="L37" i="16"/>
  <c r="E32" i="21"/>
  <c r="L35" i="16"/>
  <c r="E30" i="21"/>
  <c r="L29" i="16"/>
  <c r="E24" i="21"/>
  <c r="L22" i="16"/>
  <c r="E17" i="21"/>
  <c r="L18" i="16"/>
  <c r="E13" i="21"/>
  <c r="L14" i="16"/>
  <c r="E9" i="21"/>
  <c r="P7" i="16"/>
  <c r="F2" i="21"/>
  <c r="P82" i="16"/>
  <c r="F77" i="21"/>
  <c r="P80" i="16"/>
  <c r="F75" i="21"/>
  <c r="P78" i="16"/>
  <c r="P54" i="16"/>
  <c r="F49" i="21"/>
  <c r="P76" i="16"/>
  <c r="F71" i="21"/>
  <c r="P74" i="16"/>
  <c r="F69" i="21"/>
  <c r="P72" i="16"/>
  <c r="P69" i="16"/>
  <c r="F64" i="21"/>
  <c r="P67" i="16"/>
  <c r="F62" i="21"/>
  <c r="P65" i="16"/>
  <c r="P63" i="16"/>
  <c r="F58" i="21"/>
  <c r="P61" i="16"/>
  <c r="F56" i="21"/>
  <c r="P59" i="16"/>
  <c r="F54" i="21"/>
  <c r="P57" i="16"/>
  <c r="P56" i="16"/>
  <c r="F51" i="21"/>
  <c r="P55" i="16"/>
  <c r="F50" i="21"/>
  <c r="P49" i="16"/>
  <c r="F44" i="21"/>
  <c r="P47" i="16"/>
  <c r="F42" i="21"/>
  <c r="P42" i="16"/>
  <c r="F37" i="21"/>
  <c r="P39" i="16"/>
  <c r="F34" i="21"/>
  <c r="P37" i="16"/>
  <c r="P35" i="16"/>
  <c r="F30" i="21"/>
  <c r="P33" i="16"/>
  <c r="P31" i="16"/>
  <c r="F26" i="21"/>
  <c r="P29" i="16"/>
  <c r="P27" i="16"/>
  <c r="F22" i="21"/>
  <c r="P25" i="16"/>
  <c r="F20" i="21"/>
  <c r="P24" i="16"/>
  <c r="F19" i="21"/>
  <c r="P22" i="16"/>
  <c r="F17" i="21"/>
  <c r="P20" i="16"/>
  <c r="F15" i="21"/>
  <c r="P18" i="16"/>
  <c r="F13" i="21"/>
  <c r="P16" i="16"/>
  <c r="F11" i="21"/>
  <c r="P14" i="16"/>
  <c r="F9" i="21"/>
  <c r="P12" i="16"/>
  <c r="F7" i="21"/>
  <c r="P10" i="16"/>
  <c r="F5" i="21"/>
  <c r="P8" i="16"/>
  <c r="F3" i="21"/>
  <c r="U79" i="16"/>
  <c r="U73" i="16"/>
  <c r="G68" i="21"/>
  <c r="U68" i="16"/>
  <c r="G63" i="21"/>
  <c r="U64" i="16"/>
  <c r="G59" i="21"/>
  <c r="U70" i="16"/>
  <c r="U52" i="16"/>
  <c r="U48" i="16"/>
  <c r="G43" i="21"/>
  <c r="U38" i="16"/>
  <c r="U32" i="16"/>
  <c r="G27" i="21"/>
  <c r="U28" i="16"/>
  <c r="G23" i="21"/>
  <c r="U19" i="16"/>
  <c r="G14" i="21"/>
  <c r="U11" i="16"/>
  <c r="G12" i="16"/>
  <c r="S85" i="16"/>
  <c r="E21" i="17"/>
  <c r="U81" i="16"/>
  <c r="G76" i="21"/>
  <c r="U75" i="16"/>
  <c r="G70" i="21"/>
  <c r="U66" i="16"/>
  <c r="U62" i="16"/>
  <c r="G57" i="21"/>
  <c r="U45" i="16"/>
  <c r="G40" i="21"/>
  <c r="U50" i="16"/>
  <c r="G45" i="21"/>
  <c r="U46" i="16"/>
  <c r="G41" i="21"/>
  <c r="U41" i="16"/>
  <c r="G36" i="21"/>
  <c r="U34" i="16"/>
  <c r="G29" i="21"/>
  <c r="U30" i="16"/>
  <c r="G25" i="21"/>
  <c r="U26" i="16"/>
  <c r="G21" i="21"/>
  <c r="U23" i="16"/>
  <c r="G18" i="21"/>
  <c r="U21" i="16"/>
  <c r="U17" i="16"/>
  <c r="G12" i="21"/>
  <c r="U13" i="16"/>
  <c r="G8" i="21"/>
  <c r="U9" i="16"/>
  <c r="X77" i="16"/>
  <c r="H72" i="21"/>
  <c r="X53" i="16"/>
  <c r="H48" i="21"/>
  <c r="X73" i="16"/>
  <c r="H68" i="21"/>
  <c r="G76" i="16"/>
  <c r="G26" i="16"/>
  <c r="V85" i="16"/>
  <c r="E23" i="17"/>
  <c r="X68" i="16"/>
  <c r="H63" i="21"/>
  <c r="X64" i="16"/>
  <c r="H59" i="21"/>
  <c r="X60" i="16"/>
  <c r="X50" i="16"/>
  <c r="H45" i="21"/>
  <c r="X48" i="16"/>
  <c r="H43" i="21"/>
  <c r="X41" i="16"/>
  <c r="H36" i="21"/>
  <c r="X38" i="16"/>
  <c r="H33" i="21"/>
  <c r="X32" i="16"/>
  <c r="H27" i="21"/>
  <c r="X30" i="16"/>
  <c r="H25" i="21"/>
  <c r="X40" i="16"/>
  <c r="H35" i="21"/>
  <c r="X21" i="16"/>
  <c r="H16" i="21"/>
  <c r="X15" i="16"/>
  <c r="H10" i="21"/>
  <c r="X11" i="16"/>
  <c r="H6" i="21"/>
  <c r="X9" i="16"/>
  <c r="H4" i="21"/>
  <c r="AE56" i="16"/>
  <c r="J51" i="21"/>
  <c r="AD85" i="16"/>
  <c r="E35" i="17"/>
  <c r="C59" i="21"/>
  <c r="D34" i="21"/>
  <c r="G38" i="16"/>
  <c r="W85" i="16"/>
  <c r="E24" i="17"/>
  <c r="X70" i="16"/>
  <c r="H65" i="21"/>
  <c r="AE82" i="16"/>
  <c r="J77" i="21"/>
  <c r="AE80" i="16"/>
  <c r="J75" i="21"/>
  <c r="AE78" i="16"/>
  <c r="J73" i="21"/>
  <c r="AE54" i="16"/>
  <c r="J49" i="21"/>
  <c r="AE76" i="16"/>
  <c r="J71" i="21"/>
  <c r="AE74" i="16"/>
  <c r="J69" i="21"/>
  <c r="AE72" i="16"/>
  <c r="J67" i="21"/>
  <c r="AE69" i="16"/>
  <c r="J64" i="21"/>
  <c r="AE67" i="16"/>
  <c r="J62" i="21"/>
  <c r="AE65" i="16"/>
  <c r="J60" i="21"/>
  <c r="AE63" i="16"/>
  <c r="J58" i="21"/>
  <c r="AE61" i="16"/>
  <c r="J56" i="21"/>
  <c r="AE59" i="16"/>
  <c r="J54" i="21"/>
  <c r="AE57" i="16"/>
  <c r="J52" i="21"/>
  <c r="AE45" i="16"/>
  <c r="J40" i="21"/>
  <c r="AE52" i="16"/>
  <c r="J47" i="21"/>
  <c r="AE50" i="16"/>
  <c r="J45" i="21"/>
  <c r="AE48" i="16"/>
  <c r="J43" i="21"/>
  <c r="AE36" i="16"/>
  <c r="J31" i="21"/>
  <c r="AE34" i="16"/>
  <c r="J29" i="21"/>
  <c r="AE32" i="16"/>
  <c r="J27" i="21"/>
  <c r="AE30" i="16"/>
  <c r="J25" i="21"/>
  <c r="C65" i="21"/>
  <c r="C57" i="21"/>
  <c r="C13" i="21"/>
  <c r="G18" i="16"/>
  <c r="C9" i="21"/>
  <c r="D6" i="21"/>
  <c r="G11" i="16"/>
  <c r="F85" i="16"/>
  <c r="E8" i="17"/>
  <c r="O85" i="16"/>
  <c r="E17" i="17"/>
  <c r="R85" i="16"/>
  <c r="E20" i="17"/>
  <c r="T85" i="16"/>
  <c r="E22" i="17"/>
  <c r="M85" i="16"/>
  <c r="E15" i="17"/>
  <c r="AU6" i="16"/>
  <c r="G34" i="16"/>
  <c r="Q85" i="16"/>
  <c r="E19" i="17"/>
  <c r="L54" i="16"/>
  <c r="E49" i="21"/>
  <c r="L76" i="16"/>
  <c r="L72" i="16"/>
  <c r="E67" i="21"/>
  <c r="L69" i="16"/>
  <c r="E64" i="21"/>
  <c r="L67" i="16"/>
  <c r="E62" i="21"/>
  <c r="L65" i="16"/>
  <c r="E60" i="21"/>
  <c r="L61" i="16"/>
  <c r="E56" i="21"/>
  <c r="L57" i="16"/>
  <c r="E52" i="21"/>
  <c r="L55" i="16"/>
  <c r="E50" i="21"/>
  <c r="L49" i="16"/>
  <c r="E44" i="21"/>
  <c r="L44" i="16"/>
  <c r="E39" i="21"/>
  <c r="L39" i="16"/>
  <c r="E34" i="21"/>
  <c r="L33" i="16"/>
  <c r="E28" i="21"/>
  <c r="L31" i="16"/>
  <c r="E26" i="21"/>
  <c r="L27" i="16"/>
  <c r="E22" i="21"/>
  <c r="L25" i="16"/>
  <c r="E20" i="21"/>
  <c r="L24" i="16"/>
  <c r="E19" i="21"/>
  <c r="L20" i="16"/>
  <c r="E15" i="21"/>
  <c r="L16" i="16"/>
  <c r="E11" i="21"/>
  <c r="L12" i="16"/>
  <c r="E7" i="21"/>
  <c r="L10" i="16"/>
  <c r="E5" i="21"/>
  <c r="L8" i="16"/>
  <c r="E3" i="21"/>
  <c r="AE81" i="16"/>
  <c r="J76" i="21"/>
  <c r="AE79" i="16"/>
  <c r="J74" i="21"/>
  <c r="AE77" i="16"/>
  <c r="J72" i="21"/>
  <c r="AE53" i="16"/>
  <c r="AE75" i="16"/>
  <c r="J70" i="21"/>
  <c r="AE73" i="16"/>
  <c r="AE71" i="16"/>
  <c r="J66" i="21"/>
  <c r="AE68" i="16"/>
  <c r="J63" i="21"/>
  <c r="AE66" i="16"/>
  <c r="J61" i="21"/>
  <c r="AE64" i="16"/>
  <c r="J59" i="21"/>
  <c r="AE55" i="16"/>
  <c r="J50" i="21"/>
  <c r="AE51" i="16"/>
  <c r="AE49" i="16"/>
  <c r="J44" i="21"/>
  <c r="AE47" i="16"/>
  <c r="J42" i="21"/>
  <c r="AE44" i="16"/>
  <c r="J39" i="21"/>
  <c r="AE42" i="16"/>
  <c r="AE39" i="16"/>
  <c r="J34" i="21"/>
  <c r="AE37" i="16"/>
  <c r="AE35" i="16"/>
  <c r="J30" i="21"/>
  <c r="AE33" i="16"/>
  <c r="J28" i="21"/>
  <c r="AE31" i="16"/>
  <c r="J26" i="21"/>
  <c r="AE29" i="16"/>
  <c r="J24" i="21"/>
  <c r="AE27" i="16"/>
  <c r="J22" i="21"/>
  <c r="AJ27" i="16"/>
  <c r="K22" i="21"/>
  <c r="I22" i="21"/>
  <c r="AE25" i="16"/>
  <c r="J20" i="21"/>
  <c r="AE24" i="16"/>
  <c r="J19" i="21"/>
  <c r="AE21" i="16"/>
  <c r="J16" i="21"/>
  <c r="AE19" i="16"/>
  <c r="J14" i="21"/>
  <c r="AE17" i="16"/>
  <c r="J12" i="21"/>
  <c r="AE15" i="16"/>
  <c r="J10" i="21"/>
  <c r="L23" i="16"/>
  <c r="E18" i="21"/>
  <c r="L15" i="16"/>
  <c r="E10" i="21"/>
  <c r="L11" i="16"/>
  <c r="E6" i="21"/>
  <c r="G46" i="16"/>
  <c r="G43" i="16"/>
  <c r="L79" i="16"/>
  <c r="E74" i="21"/>
  <c r="L73" i="16"/>
  <c r="E68" i="21"/>
  <c r="L64" i="16"/>
  <c r="L34" i="16"/>
  <c r="E29" i="21"/>
  <c r="AE62" i="16"/>
  <c r="J57" i="21"/>
  <c r="AE60" i="16"/>
  <c r="J55" i="21"/>
  <c r="AE58" i="16"/>
  <c r="J53" i="21"/>
  <c r="AE70" i="16"/>
  <c r="J65" i="21"/>
  <c r="AE46" i="16"/>
  <c r="J41" i="21"/>
  <c r="AE43" i="16"/>
  <c r="J38" i="21"/>
  <c r="AE41" i="16"/>
  <c r="J36" i="21"/>
  <c r="AE38" i="16"/>
  <c r="J33" i="21"/>
  <c r="AE28" i="16"/>
  <c r="J23" i="21"/>
  <c r="AE26" i="16"/>
  <c r="J21" i="21"/>
  <c r="AE40" i="16"/>
  <c r="J35" i="21"/>
  <c r="AE23" i="16"/>
  <c r="J18" i="21"/>
  <c r="AE13" i="16"/>
  <c r="J8" i="21"/>
  <c r="AE11" i="16"/>
  <c r="J6" i="21"/>
  <c r="AE9" i="16"/>
  <c r="AJ82" i="16"/>
  <c r="K77" i="21"/>
  <c r="AJ80" i="16"/>
  <c r="AJ78" i="16"/>
  <c r="K73" i="21"/>
  <c r="AJ54" i="16"/>
  <c r="K49" i="21"/>
  <c r="AJ76" i="16"/>
  <c r="AJ74" i="16"/>
  <c r="AJ72" i="16"/>
  <c r="AJ69" i="16"/>
  <c r="AJ67" i="16"/>
  <c r="K62" i="21"/>
  <c r="AJ65" i="16"/>
  <c r="AJ63" i="16"/>
  <c r="AJ61" i="16"/>
  <c r="K56" i="21"/>
  <c r="AJ59" i="16"/>
  <c r="K54" i="21"/>
  <c r="AJ57" i="16"/>
  <c r="K52" i="21"/>
  <c r="AJ56" i="16"/>
  <c r="K51" i="21"/>
  <c r="AJ55" i="16"/>
  <c r="K50" i="21"/>
  <c r="AJ51" i="16"/>
  <c r="AJ49" i="16"/>
  <c r="K44" i="21"/>
  <c r="AJ47" i="16"/>
  <c r="AJ44" i="16"/>
  <c r="AJ42" i="16"/>
  <c r="K37" i="21"/>
  <c r="AJ39" i="16"/>
  <c r="AJ37" i="16"/>
  <c r="K32" i="21"/>
  <c r="AJ35" i="16"/>
  <c r="K30" i="21"/>
  <c r="AJ33" i="16"/>
  <c r="K28" i="21"/>
  <c r="AJ31" i="16"/>
  <c r="AQ31" i="16"/>
  <c r="AJ29" i="16"/>
  <c r="AJ25" i="16"/>
  <c r="K20" i="21"/>
  <c r="AJ24" i="16"/>
  <c r="K19" i="21"/>
  <c r="AJ22" i="16"/>
  <c r="K17" i="21"/>
  <c r="AJ20" i="16"/>
  <c r="K15" i="21"/>
  <c r="AJ12" i="16"/>
  <c r="K7" i="21"/>
  <c r="AJ10" i="16"/>
  <c r="AJ8" i="16"/>
  <c r="C68" i="21"/>
  <c r="G28" i="16"/>
  <c r="C20" i="21"/>
  <c r="C18" i="21"/>
  <c r="G23" i="16"/>
  <c r="C16" i="21"/>
  <c r="C12" i="21"/>
  <c r="C10" i="21"/>
  <c r="C4" i="21"/>
  <c r="G9" i="16"/>
  <c r="G7" i="16"/>
  <c r="G82" i="16"/>
  <c r="D73" i="21"/>
  <c r="D71" i="21"/>
  <c r="G54" i="16"/>
  <c r="D63" i="21"/>
  <c r="D61" i="21"/>
  <c r="G67" i="16"/>
  <c r="D55" i="21"/>
  <c r="D53" i="21"/>
  <c r="G59" i="16"/>
  <c r="D51" i="21"/>
  <c r="D45" i="21"/>
  <c r="D39" i="21"/>
  <c r="G44" i="16"/>
  <c r="D33" i="21"/>
  <c r="D29" i="21"/>
  <c r="G33" i="16"/>
  <c r="D25" i="21"/>
  <c r="G29" i="16"/>
  <c r="D19" i="21"/>
  <c r="G24" i="16"/>
  <c r="D15" i="21"/>
  <c r="G20" i="16"/>
  <c r="D5" i="21"/>
  <c r="G10" i="16"/>
  <c r="D3" i="21"/>
  <c r="G8" i="16"/>
  <c r="C74" i="21"/>
  <c r="G79" i="16"/>
  <c r="C54" i="21"/>
  <c r="G60" i="16"/>
  <c r="G56" i="16"/>
  <c r="G35" i="16"/>
  <c r="G30" i="16"/>
  <c r="G47" i="16"/>
  <c r="G19" i="16"/>
  <c r="G22" i="16"/>
  <c r="H85" i="16"/>
  <c r="E10" i="17"/>
  <c r="L7" i="16"/>
  <c r="E2" i="21"/>
  <c r="P76" i="30"/>
  <c r="F70" i="31"/>
  <c r="P69" i="30"/>
  <c r="F62" i="31"/>
  <c r="P65" i="30"/>
  <c r="F58" i="31"/>
  <c r="P62" i="30"/>
  <c r="F54" i="31"/>
  <c r="P58" i="30"/>
  <c r="F50" i="31"/>
  <c r="P53" i="30"/>
  <c r="F46" i="31"/>
  <c r="P47" i="30"/>
  <c r="F42" i="31"/>
  <c r="U33" i="30"/>
  <c r="G27" i="31"/>
  <c r="U27" i="30"/>
  <c r="G21" i="31"/>
  <c r="C2" i="21"/>
  <c r="L47" i="21"/>
  <c r="L51" i="21"/>
  <c r="G80" i="16"/>
  <c r="D45" i="31"/>
  <c r="D29" i="31"/>
  <c r="D25" i="31"/>
  <c r="D21" i="31"/>
  <c r="M62" i="31"/>
  <c r="M54" i="31"/>
  <c r="M58" i="31"/>
  <c r="M55" i="31"/>
  <c r="D60" i="31"/>
  <c r="M36" i="31"/>
  <c r="M50" i="31"/>
  <c r="D64" i="21"/>
  <c r="C77" i="21"/>
  <c r="C46" i="21"/>
  <c r="D18" i="21"/>
  <c r="C62" i="21"/>
  <c r="C58" i="21"/>
  <c r="B58" i="21"/>
  <c r="D76" i="21"/>
  <c r="D62" i="21"/>
  <c r="C61" i="21"/>
  <c r="C53" i="21"/>
  <c r="C42" i="21"/>
  <c r="D41" i="21"/>
  <c r="D75" i="21"/>
  <c r="F73" i="21"/>
  <c r="D72" i="21"/>
  <c r="D54" i="21"/>
  <c r="C36" i="21"/>
  <c r="D36" i="21"/>
  <c r="D12" i="21"/>
  <c r="M42" i="21"/>
  <c r="M64" i="21"/>
  <c r="C63" i="21"/>
  <c r="C55" i="21"/>
  <c r="C45" i="21"/>
  <c r="C41" i="21"/>
  <c r="C37" i="21"/>
  <c r="D49" i="21"/>
  <c r="H46" i="21"/>
  <c r="H74" i="21"/>
  <c r="C49" i="21"/>
  <c r="D50" i="21"/>
  <c r="D20" i="21"/>
  <c r="P17" i="16"/>
  <c r="F12" i="21"/>
  <c r="M49" i="21"/>
  <c r="M20" i="21"/>
  <c r="L77" i="21"/>
  <c r="C43" i="21"/>
  <c r="D13" i="21"/>
  <c r="F60" i="21"/>
  <c r="U22" i="16"/>
  <c r="G17" i="21"/>
  <c r="AJ34" i="16"/>
  <c r="K29" i="21"/>
  <c r="M50" i="21"/>
  <c r="M36" i="21"/>
  <c r="G74" i="21"/>
  <c r="C51" i="21"/>
  <c r="G13" i="21"/>
  <c r="U35" i="16"/>
  <c r="G30" i="21"/>
  <c r="L74" i="21"/>
  <c r="M51" i="21"/>
  <c r="M18" i="21"/>
  <c r="L22" i="29"/>
  <c r="L60" i="29"/>
  <c r="K84" i="29"/>
  <c r="F13" i="18"/>
  <c r="J2" i="21"/>
  <c r="P48" i="16"/>
  <c r="F43" i="21"/>
  <c r="P34" i="16"/>
  <c r="F29" i="21"/>
  <c r="P13" i="16"/>
  <c r="F8" i="21"/>
  <c r="U67" i="16"/>
  <c r="G62" i="21"/>
  <c r="U59" i="16"/>
  <c r="X59" i="16"/>
  <c r="Y59" i="16"/>
  <c r="U56" i="16"/>
  <c r="G51" i="21"/>
  <c r="U51" i="16"/>
  <c r="G46" i="21"/>
  <c r="X47" i="16"/>
  <c r="X33" i="16"/>
  <c r="H29" i="21"/>
  <c r="X29" i="16"/>
  <c r="H24" i="21"/>
  <c r="X18" i="16"/>
  <c r="H13" i="21"/>
  <c r="X14" i="16"/>
  <c r="H9" i="21"/>
  <c r="X10" i="16"/>
  <c r="AE20" i="16"/>
  <c r="J15" i="21"/>
  <c r="AE12" i="16"/>
  <c r="J7" i="21"/>
  <c r="AE8" i="16"/>
  <c r="J3" i="21"/>
  <c r="AJ81" i="16"/>
  <c r="K76" i="21"/>
  <c r="AJ77" i="16"/>
  <c r="K72" i="21"/>
  <c r="AJ75" i="16"/>
  <c r="K70" i="21"/>
  <c r="AJ71" i="16"/>
  <c r="K66" i="21"/>
  <c r="AJ66" i="16"/>
  <c r="AJ62" i="16"/>
  <c r="K57" i="21"/>
  <c r="AJ41" i="16"/>
  <c r="K36" i="21"/>
  <c r="AJ30" i="16"/>
  <c r="K25" i="21"/>
  <c r="AJ26" i="16"/>
  <c r="K21" i="21"/>
  <c r="AJ23" i="16"/>
  <c r="K18" i="21"/>
  <c r="AJ15" i="16"/>
  <c r="L61" i="29"/>
  <c r="L35" i="29"/>
  <c r="L27" i="29"/>
  <c r="P79" i="16"/>
  <c r="F74" i="21"/>
  <c r="P68" i="16"/>
  <c r="P64" i="16"/>
  <c r="F59" i="21"/>
  <c r="P70" i="16"/>
  <c r="F67" i="21"/>
  <c r="P28" i="16"/>
  <c r="F23" i="21"/>
  <c r="F24" i="21"/>
  <c r="P40" i="16"/>
  <c r="F35" i="21"/>
  <c r="P21" i="16"/>
  <c r="F16" i="21"/>
  <c r="U82" i="16"/>
  <c r="G77" i="21"/>
  <c r="U78" i="16"/>
  <c r="G73" i="21"/>
  <c r="U76" i="16"/>
  <c r="G71" i="21"/>
  <c r="U44" i="16"/>
  <c r="G39" i="21"/>
  <c r="U39" i="16"/>
  <c r="G34" i="21"/>
  <c r="U29" i="16"/>
  <c r="U12" i="16"/>
  <c r="Y12" i="16"/>
  <c r="U8" i="16"/>
  <c r="H54" i="21"/>
  <c r="H53" i="21"/>
  <c r="X56" i="16"/>
  <c r="H49" i="21"/>
  <c r="L20" i="29"/>
  <c r="P11" i="16"/>
  <c r="X67" i="16"/>
  <c r="AE22" i="16"/>
  <c r="AE18" i="16"/>
  <c r="J13" i="21"/>
  <c r="I13" i="21"/>
  <c r="AE14" i="16"/>
  <c r="AQ14" i="16"/>
  <c r="AE10" i="16"/>
  <c r="J5" i="21"/>
  <c r="AJ79" i="16"/>
  <c r="AJ68" i="16"/>
  <c r="AJ64" i="16"/>
  <c r="K59" i="21"/>
  <c r="AJ60" i="16"/>
  <c r="K55" i="21"/>
  <c r="AJ70" i="16"/>
  <c r="K65" i="21"/>
  <c r="AJ52" i="16"/>
  <c r="K47" i="21"/>
  <c r="AJ48" i="16"/>
  <c r="AJ28" i="16"/>
  <c r="K23" i="21"/>
  <c r="AJ40" i="16"/>
  <c r="K35" i="21"/>
  <c r="AJ21" i="16"/>
  <c r="AJ17" i="16"/>
  <c r="K12" i="21"/>
  <c r="P36" i="16"/>
  <c r="F31" i="21"/>
  <c r="U25" i="16"/>
  <c r="G20" i="21"/>
  <c r="L55" i="29"/>
  <c r="P15" i="16"/>
  <c r="F10" i="21"/>
  <c r="G61" i="21"/>
  <c r="H55" i="21"/>
  <c r="F28" i="21"/>
  <c r="L76" i="21"/>
  <c r="L58" i="21"/>
  <c r="L32" i="21"/>
  <c r="G65" i="21"/>
  <c r="G35" i="21"/>
  <c r="J11" i="21"/>
  <c r="I11" i="21"/>
  <c r="K14" i="21"/>
  <c r="L56" i="21"/>
  <c r="L30" i="21"/>
  <c r="F52" i="21"/>
  <c r="G47" i="21"/>
  <c r="G75" i="21"/>
  <c r="F32" i="21"/>
  <c r="H50" i="21"/>
  <c r="K26" i="21"/>
  <c r="K46" i="21"/>
  <c r="AE23" i="30"/>
  <c r="C30" i="31"/>
  <c r="D57" i="31"/>
  <c r="L27" i="30"/>
  <c r="E21" i="31"/>
  <c r="L23" i="30"/>
  <c r="E17" i="31"/>
  <c r="U80" i="30"/>
  <c r="G74" i="31"/>
  <c r="P83" i="30"/>
  <c r="M48" i="31"/>
  <c r="D14" i="31"/>
  <c r="M46" i="31"/>
  <c r="G20" i="30"/>
  <c r="P54" i="30"/>
  <c r="F47" i="31"/>
  <c r="M30" i="31"/>
  <c r="C62" i="31"/>
  <c r="D37" i="31"/>
  <c r="M13" i="31"/>
  <c r="P50" i="16"/>
  <c r="F45" i="21"/>
  <c r="U7" i="16"/>
  <c r="Y7" i="16"/>
  <c r="G2" i="21"/>
  <c r="D10" i="31"/>
  <c r="F46" i="21"/>
  <c r="C48" i="31"/>
  <c r="P81" i="30"/>
  <c r="F75" i="31"/>
  <c r="C34" i="31"/>
  <c r="C56" i="31"/>
  <c r="P82" i="30"/>
  <c r="F76" i="31"/>
  <c r="AO34" i="30"/>
  <c r="AQ62" i="30"/>
  <c r="G71" i="30"/>
  <c r="P60" i="30"/>
  <c r="F52" i="31"/>
  <c r="G33" i="30"/>
  <c r="M86" i="30"/>
  <c r="C15" i="17"/>
  <c r="L72" i="30"/>
  <c r="E65" i="31"/>
  <c r="L67" i="30"/>
  <c r="E60" i="31"/>
  <c r="L63" i="30"/>
  <c r="E56" i="31"/>
  <c r="L60" i="30"/>
  <c r="L41" i="30"/>
  <c r="E36" i="31"/>
  <c r="L34" i="30"/>
  <c r="E28" i="31"/>
  <c r="L22" i="30"/>
  <c r="E16" i="31"/>
  <c r="L18" i="30"/>
  <c r="E12" i="31"/>
  <c r="G25" i="30"/>
  <c r="G13" i="30"/>
  <c r="AQ69" i="30"/>
  <c r="G43" i="30"/>
  <c r="L78" i="30"/>
  <c r="E72" i="31"/>
  <c r="L75" i="30"/>
  <c r="E68" i="31"/>
  <c r="L71" i="30"/>
  <c r="E64" i="31"/>
  <c r="P79" i="30"/>
  <c r="L52" i="30"/>
  <c r="E69" i="31"/>
  <c r="L39" i="30"/>
  <c r="E33" i="31"/>
  <c r="L31" i="30"/>
  <c r="E25" i="31"/>
  <c r="L19" i="30"/>
  <c r="E13" i="31"/>
  <c r="L44" i="30"/>
  <c r="E39" i="31"/>
  <c r="X78" i="30"/>
  <c r="H72" i="31"/>
  <c r="X71" i="30"/>
  <c r="H64" i="31"/>
  <c r="X67" i="30"/>
  <c r="H60" i="31"/>
  <c r="X63" i="30"/>
  <c r="H56" i="31"/>
  <c r="X60" i="30"/>
  <c r="H52" i="31"/>
  <c r="X56" i="30"/>
  <c r="H48" i="31"/>
  <c r="X50" i="30"/>
  <c r="H44" i="31"/>
  <c r="X45" i="30"/>
  <c r="H40" i="31"/>
  <c r="P80" i="30"/>
  <c r="F74" i="31"/>
  <c r="U81" i="30"/>
  <c r="G75" i="31"/>
  <c r="U77" i="30"/>
  <c r="G71" i="31"/>
  <c r="U74" i="30"/>
  <c r="G67" i="31"/>
  <c r="U70" i="30"/>
  <c r="G63" i="31"/>
  <c r="U48" i="30"/>
  <c r="U59" i="30"/>
  <c r="G51" i="31"/>
  <c r="U44" i="30"/>
  <c r="G39" i="31"/>
  <c r="U37" i="30"/>
  <c r="G31" i="31"/>
  <c r="U29" i="30"/>
  <c r="G23" i="31"/>
  <c r="U25" i="30"/>
  <c r="U21" i="30"/>
  <c r="G15" i="31"/>
  <c r="U17" i="30"/>
  <c r="G11" i="31"/>
  <c r="U13" i="30"/>
  <c r="G7" i="31"/>
  <c r="G24" i="30"/>
  <c r="G48" i="30"/>
  <c r="P52" i="30"/>
  <c r="F69" i="31"/>
  <c r="P72" i="30"/>
  <c r="P68" i="30"/>
  <c r="F61" i="31"/>
  <c r="P64" i="30"/>
  <c r="F57" i="31"/>
  <c r="P57" i="30"/>
  <c r="F49" i="31"/>
  <c r="P51" i="30"/>
  <c r="F45" i="31"/>
  <c r="N86" i="30"/>
  <c r="O86" i="30"/>
  <c r="L39" i="31"/>
  <c r="C57" i="31"/>
  <c r="C53" i="31"/>
  <c r="G61" i="30"/>
  <c r="D5" i="31"/>
  <c r="AE82" i="30"/>
  <c r="J76" i="31"/>
  <c r="AE75" i="30"/>
  <c r="J68" i="31"/>
  <c r="AE67" i="30"/>
  <c r="J60" i="31"/>
  <c r="AA86" i="30"/>
  <c r="C32" i="17"/>
  <c r="H32" i="17"/>
  <c r="AE50" i="30"/>
  <c r="J44" i="31"/>
  <c r="AE41" i="30"/>
  <c r="AB86" i="30"/>
  <c r="C33" i="17"/>
  <c r="H33" i="17"/>
  <c r="AD86" i="30"/>
  <c r="C35" i="17"/>
  <c r="AM86" i="30"/>
  <c r="C44" i="17"/>
  <c r="G28" i="30"/>
  <c r="D2" i="31"/>
  <c r="G8" i="30"/>
  <c r="D43" i="31"/>
  <c r="G49" i="30"/>
  <c r="D40" i="31"/>
  <c r="G45" i="30"/>
  <c r="F86" i="30"/>
  <c r="AE78" i="30"/>
  <c r="J72" i="31"/>
  <c r="AE71" i="30"/>
  <c r="J64" i="31"/>
  <c r="AE63" i="30"/>
  <c r="J56" i="31"/>
  <c r="AE56" i="30"/>
  <c r="J48" i="31"/>
  <c r="AE45" i="30"/>
  <c r="J40" i="31"/>
  <c r="L23" i="31"/>
  <c r="T86" i="30"/>
  <c r="C22" i="17"/>
  <c r="H22" i="17"/>
  <c r="G19" i="30"/>
  <c r="AQ73" i="30"/>
  <c r="L38" i="30"/>
  <c r="E32" i="31"/>
  <c r="L30" i="30"/>
  <c r="L26" i="30"/>
  <c r="E20" i="31"/>
  <c r="L20" i="30"/>
  <c r="X8" i="30"/>
  <c r="X80" i="30"/>
  <c r="X76" i="30"/>
  <c r="H70" i="31"/>
  <c r="X65" i="30"/>
  <c r="H58" i="31"/>
  <c r="X62" i="30"/>
  <c r="H54" i="31"/>
  <c r="X58" i="30"/>
  <c r="H50" i="31"/>
  <c r="X47" i="30"/>
  <c r="H42" i="31"/>
  <c r="G44" i="30"/>
  <c r="AQ65" i="30"/>
  <c r="U22" i="30"/>
  <c r="U18" i="30"/>
  <c r="G12" i="31"/>
  <c r="U14" i="30"/>
  <c r="G8" i="31"/>
  <c r="X82" i="30"/>
  <c r="H76" i="31"/>
  <c r="X75" i="30"/>
  <c r="H68" i="31"/>
  <c r="AO52" i="30"/>
  <c r="L30" i="31"/>
  <c r="AQ36" i="30"/>
  <c r="C44" i="31"/>
  <c r="G69" i="30"/>
  <c r="L9" i="30"/>
  <c r="K86" i="30"/>
  <c r="C13" i="17"/>
  <c r="G39" i="30"/>
  <c r="Q86" i="30"/>
  <c r="C19" i="17"/>
  <c r="G30" i="30"/>
  <c r="G17" i="30"/>
  <c r="C26" i="31"/>
  <c r="G76" i="30"/>
  <c r="C73" i="31"/>
  <c r="G79" i="30"/>
  <c r="AC86" i="30"/>
  <c r="C34" i="17"/>
  <c r="H34" i="17"/>
  <c r="Z86" i="30"/>
  <c r="C31" i="17"/>
  <c r="G34" i="30"/>
  <c r="L3" i="31"/>
  <c r="I3" i="31"/>
  <c r="AQ9" i="30"/>
  <c r="U71" i="30"/>
  <c r="G64" i="31"/>
  <c r="U67" i="30"/>
  <c r="G60" i="31"/>
  <c r="U63" i="30"/>
  <c r="G56" i="31"/>
  <c r="U50" i="30"/>
  <c r="G44" i="31"/>
  <c r="U45" i="30"/>
  <c r="G40" i="31"/>
  <c r="P45" i="30"/>
  <c r="F40" i="31"/>
  <c r="B40" i="31"/>
  <c r="U38" i="30"/>
  <c r="G32" i="31"/>
  <c r="AU6" i="30"/>
  <c r="AL86" i="30"/>
  <c r="C43" i="17"/>
  <c r="AN86" i="30"/>
  <c r="C45" i="17"/>
  <c r="G9" i="30"/>
  <c r="L77" i="30"/>
  <c r="P34" i="30"/>
  <c r="F28" i="31"/>
  <c r="U40" i="30"/>
  <c r="G35" i="31"/>
  <c r="X83" i="30"/>
  <c r="H77" i="31"/>
  <c r="X64" i="30"/>
  <c r="H57" i="31"/>
  <c r="X35" i="30"/>
  <c r="H29" i="31"/>
  <c r="G58" i="30"/>
  <c r="G68" i="30"/>
  <c r="G46" i="30"/>
  <c r="L79" i="30"/>
  <c r="L68" i="30"/>
  <c r="L64" i="30"/>
  <c r="E57" i="31"/>
  <c r="L61" i="30"/>
  <c r="E53" i="31"/>
  <c r="L57" i="30"/>
  <c r="E49" i="31"/>
  <c r="L51" i="30"/>
  <c r="E45" i="31"/>
  <c r="X51" i="30"/>
  <c r="H45" i="31"/>
  <c r="B45" i="31"/>
  <c r="L46" i="30"/>
  <c r="E41" i="31"/>
  <c r="L42" i="30"/>
  <c r="G57" i="30"/>
  <c r="L73" i="30"/>
  <c r="E66" i="31"/>
  <c r="AE68" i="30"/>
  <c r="J61" i="31"/>
  <c r="AE35" i="30"/>
  <c r="J29" i="31"/>
  <c r="K29" i="31"/>
  <c r="I29" i="31"/>
  <c r="AO83" i="30"/>
  <c r="AO79" i="30"/>
  <c r="L73" i="31"/>
  <c r="AO72" i="30"/>
  <c r="AO64" i="30"/>
  <c r="L57" i="31"/>
  <c r="AO61" i="30"/>
  <c r="AJ61" i="30"/>
  <c r="AE61" i="30"/>
  <c r="AQ61" i="30"/>
  <c r="U61" i="30"/>
  <c r="P61" i="30"/>
  <c r="X61" i="30"/>
  <c r="Y61" i="30"/>
  <c r="AS61" i="30"/>
  <c r="C60" i="31"/>
  <c r="G67" i="30"/>
  <c r="G42" i="30"/>
  <c r="G35" i="30"/>
  <c r="C29" i="31"/>
  <c r="C4" i="31"/>
  <c r="G10" i="30"/>
  <c r="D66" i="31"/>
  <c r="G73" i="30"/>
  <c r="L59" i="31"/>
  <c r="C6" i="31"/>
  <c r="G12" i="30"/>
  <c r="C71" i="31"/>
  <c r="G77" i="30"/>
  <c r="G74" i="30"/>
  <c r="C67" i="31"/>
  <c r="C42" i="31"/>
  <c r="G47" i="30"/>
  <c r="C9" i="31"/>
  <c r="L7" i="31"/>
  <c r="C23" i="31"/>
  <c r="G29" i="30"/>
  <c r="C16" i="31"/>
  <c r="G22" i="30"/>
  <c r="D59" i="31"/>
  <c r="G66" i="30"/>
  <c r="U82" i="30"/>
  <c r="G76" i="31"/>
  <c r="U34" i="30"/>
  <c r="G28" i="31"/>
  <c r="AJ52" i="30"/>
  <c r="K69" i="31"/>
  <c r="AJ72" i="30"/>
  <c r="K65" i="31"/>
  <c r="AJ68" i="30"/>
  <c r="K61" i="31"/>
  <c r="AJ64" i="30"/>
  <c r="K57" i="31"/>
  <c r="AJ57" i="30"/>
  <c r="K49" i="31"/>
  <c r="AO57" i="30"/>
  <c r="L49" i="31"/>
  <c r="I49" i="31"/>
  <c r="AJ51" i="30"/>
  <c r="K45" i="31"/>
  <c r="AE51" i="30"/>
  <c r="J45" i="31"/>
  <c r="I45" i="31"/>
  <c r="AJ46" i="30"/>
  <c r="K41" i="31"/>
  <c r="AJ42" i="30"/>
  <c r="K37" i="31"/>
  <c r="AJ39" i="30"/>
  <c r="K33" i="31"/>
  <c r="AJ31" i="30"/>
  <c r="K25" i="31"/>
  <c r="I25" i="31"/>
  <c r="AJ27" i="30"/>
  <c r="K21" i="31"/>
  <c r="G59" i="30"/>
  <c r="G38" i="30"/>
  <c r="L33" i="30"/>
  <c r="E27" i="31"/>
  <c r="L29" i="30"/>
  <c r="E23" i="31"/>
  <c r="L21" i="30"/>
  <c r="E15" i="31"/>
  <c r="L82" i="30"/>
  <c r="E76" i="31"/>
  <c r="C76" i="31"/>
  <c r="B76" i="31"/>
  <c r="L65" i="30"/>
  <c r="E58" i="31"/>
  <c r="C58" i="31"/>
  <c r="U65" i="30"/>
  <c r="G58" i="31"/>
  <c r="B58" i="31"/>
  <c r="I58" i="31"/>
  <c r="N58" i="31"/>
  <c r="L58" i="30"/>
  <c r="E50" i="31"/>
  <c r="L53" i="30"/>
  <c r="E46" i="31"/>
  <c r="C46" i="31"/>
  <c r="U53" i="30"/>
  <c r="G46" i="31"/>
  <c r="B46" i="31"/>
  <c r="I46" i="31"/>
  <c r="N46" i="31"/>
  <c r="L43" i="30"/>
  <c r="E38" i="31"/>
  <c r="X68" i="30"/>
  <c r="H61" i="31"/>
  <c r="AE52" i="30"/>
  <c r="J69" i="31"/>
  <c r="AE72" i="30"/>
  <c r="J65" i="31"/>
  <c r="L65" i="31"/>
  <c r="I65" i="31"/>
  <c r="G54" i="30"/>
  <c r="G40" i="30"/>
  <c r="G31" i="30"/>
  <c r="G27" i="30"/>
  <c r="L74" i="30"/>
  <c r="L17" i="30"/>
  <c r="E11" i="31"/>
  <c r="P17" i="30"/>
  <c r="F11" i="31"/>
  <c r="H11" i="31"/>
  <c r="B11" i="31"/>
  <c r="P73" i="30"/>
  <c r="F66" i="31"/>
  <c r="U49" i="30"/>
  <c r="G43" i="31"/>
  <c r="P49" i="30"/>
  <c r="F43" i="31"/>
  <c r="B43" i="31"/>
  <c r="U55" i="30"/>
  <c r="G34" i="31"/>
  <c r="X31" i="30"/>
  <c r="H25" i="31"/>
  <c r="L40" i="30"/>
  <c r="E35" i="31"/>
  <c r="L35" i="30"/>
  <c r="E29" i="31"/>
  <c r="P78" i="30"/>
  <c r="F72" i="31"/>
  <c r="P56" i="30"/>
  <c r="F48" i="31"/>
  <c r="P38" i="30"/>
  <c r="U52" i="30"/>
  <c r="G69" i="31"/>
  <c r="X57" i="30"/>
  <c r="H49" i="31"/>
  <c r="J53" i="31"/>
  <c r="AE46" i="30"/>
  <c r="J41" i="31"/>
  <c r="AO46" i="30"/>
  <c r="L41" i="31"/>
  <c r="I41" i="31"/>
  <c r="L16" i="30"/>
  <c r="E10" i="31"/>
  <c r="I86" i="30"/>
  <c r="C11" i="17"/>
  <c r="U30" i="30"/>
  <c r="G24" i="31"/>
  <c r="R86" i="30"/>
  <c r="C20" i="17"/>
  <c r="AG86" i="30"/>
  <c r="C38" i="17"/>
  <c r="AH86" i="30"/>
  <c r="C39" i="17"/>
  <c r="AI86" i="30"/>
  <c r="C40" i="17"/>
  <c r="S86" i="30"/>
  <c r="C21" i="17"/>
  <c r="H21" i="17"/>
  <c r="U60" i="30"/>
  <c r="AO68" i="30"/>
  <c r="AK86" i="30"/>
  <c r="C42" i="17"/>
  <c r="M56" i="31"/>
  <c r="AP86" i="30"/>
  <c r="E46" i="17"/>
  <c r="M28" i="31"/>
  <c r="AJ19" i="30"/>
  <c r="K13" i="31"/>
  <c r="AF86" i="30"/>
  <c r="C37" i="17"/>
  <c r="H37" i="17"/>
  <c r="K5" i="31"/>
  <c r="AQ53" i="30"/>
  <c r="L18" i="31"/>
  <c r="AQ24" i="30"/>
  <c r="U24" i="30"/>
  <c r="X24" i="30"/>
  <c r="Y24" i="30"/>
  <c r="AS24" i="30"/>
  <c r="L6" i="31"/>
  <c r="AQ12" i="30"/>
  <c r="K34" i="31"/>
  <c r="AQ55" i="30"/>
  <c r="J38" i="31"/>
  <c r="AQ43" i="30"/>
  <c r="G18" i="30"/>
  <c r="C12" i="31"/>
  <c r="P18" i="30"/>
  <c r="F12" i="31"/>
  <c r="X18" i="30"/>
  <c r="H12" i="31"/>
  <c r="B12" i="31"/>
  <c r="C8" i="31"/>
  <c r="G14" i="30"/>
  <c r="D72" i="31"/>
  <c r="G78" i="30"/>
  <c r="E86" i="30"/>
  <c r="C7" i="17"/>
  <c r="E85" i="16"/>
  <c r="E7" i="17"/>
  <c r="H7" i="17"/>
  <c r="G72" i="30"/>
  <c r="D65" i="31"/>
  <c r="G83" i="30"/>
  <c r="C77" i="31"/>
  <c r="C69" i="31"/>
  <c r="G52" i="30"/>
  <c r="G65" i="30"/>
  <c r="C54" i="31"/>
  <c r="G62" i="30"/>
  <c r="G37" i="30"/>
  <c r="C31" i="31"/>
  <c r="G75" i="30"/>
  <c r="C68" i="31"/>
  <c r="G23" i="30"/>
  <c r="C17" i="31"/>
  <c r="G81" i="30"/>
  <c r="C75" i="31"/>
  <c r="C52" i="31"/>
  <c r="G60" i="30"/>
  <c r="G51" i="30"/>
  <c r="L42" i="31"/>
  <c r="G41" i="30"/>
  <c r="U64" i="30"/>
  <c r="G57" i="31"/>
  <c r="X19" i="30"/>
  <c r="H13" i="31"/>
  <c r="B13" i="31"/>
  <c r="V86" i="30"/>
  <c r="C23" i="17"/>
  <c r="J86" i="30"/>
  <c r="C12" i="17"/>
  <c r="L69" i="30"/>
  <c r="E62" i="31"/>
  <c r="P75" i="30"/>
  <c r="F68" i="31"/>
  <c r="P71" i="30"/>
  <c r="F64" i="31"/>
  <c r="P50" i="30"/>
  <c r="F44" i="31"/>
  <c r="P10" i="30"/>
  <c r="F4" i="31"/>
  <c r="U56" i="30"/>
  <c r="G48" i="31"/>
  <c r="U39" i="30"/>
  <c r="G33" i="31"/>
  <c r="U10" i="30"/>
  <c r="G4" i="31"/>
  <c r="L37" i="30"/>
  <c r="E31" i="31"/>
  <c r="U41" i="30"/>
  <c r="G36" i="31"/>
  <c r="U26" i="30"/>
  <c r="G20" i="31"/>
  <c r="L62" i="30"/>
  <c r="E54" i="31"/>
  <c r="U62" i="30"/>
  <c r="G54" i="31"/>
  <c r="B54" i="31"/>
  <c r="I54" i="31"/>
  <c r="N54" i="31"/>
  <c r="P26" i="30"/>
  <c r="F20" i="31"/>
  <c r="P22" i="30"/>
  <c r="F16" i="31"/>
  <c r="U78" i="30"/>
  <c r="U72" i="30"/>
  <c r="G65" i="31"/>
  <c r="U75" i="30"/>
  <c r="G68" i="31"/>
  <c r="W86" i="30"/>
  <c r="C24" i="17"/>
  <c r="AJ83" i="30"/>
  <c r="K77" i="31"/>
  <c r="H74" i="31"/>
  <c r="E37" i="31"/>
  <c r="E3" i="31"/>
  <c r="K53" i="31"/>
  <c r="C16" i="17"/>
  <c r="E24" i="31"/>
  <c r="L47" i="1"/>
  <c r="E84" i="1"/>
  <c r="D7" i="18"/>
  <c r="L14" i="1"/>
  <c r="L78" i="1"/>
  <c r="L74" i="1"/>
  <c r="H84" i="1"/>
  <c r="D10" i="18"/>
  <c r="G82" i="30"/>
  <c r="C5" i="31"/>
  <c r="G11" i="30"/>
  <c r="D86" i="30"/>
  <c r="C6" i="17"/>
  <c r="J84" i="1"/>
  <c r="D12" i="18"/>
  <c r="L10" i="31"/>
  <c r="I10" i="31"/>
  <c r="AQ16" i="30"/>
  <c r="G21" i="30"/>
  <c r="C15" i="31"/>
  <c r="H15" i="31"/>
  <c r="B15" i="31"/>
  <c r="C63" i="31"/>
  <c r="G70" i="30"/>
  <c r="L8" i="30"/>
  <c r="E2" i="31"/>
  <c r="H86" i="30"/>
  <c r="C10" i="17"/>
  <c r="K14" i="31"/>
  <c r="J35" i="31"/>
  <c r="C20" i="31"/>
  <c r="G26" i="30"/>
  <c r="P37" i="30"/>
  <c r="P33" i="30"/>
  <c r="F27" i="31"/>
  <c r="U43" i="30"/>
  <c r="G38" i="31"/>
  <c r="U36" i="30"/>
  <c r="G30" i="31"/>
  <c r="U32" i="30"/>
  <c r="G26" i="31"/>
  <c r="U28" i="30"/>
  <c r="G22" i="31"/>
  <c r="G18" i="31"/>
  <c r="L60" i="1"/>
  <c r="L52" i="1"/>
  <c r="L76" i="1"/>
  <c r="L72" i="1"/>
  <c r="L24" i="1"/>
  <c r="L20" i="1"/>
  <c r="P67" i="30"/>
  <c r="Y67" i="30"/>
  <c r="U73" i="30"/>
  <c r="G66" i="31"/>
  <c r="U69" i="30"/>
  <c r="U16" i="30"/>
  <c r="G10" i="31"/>
  <c r="AE42" i="30"/>
  <c r="J37" i="31"/>
  <c r="AE39" i="30"/>
  <c r="J33" i="31"/>
  <c r="AO39" i="30"/>
  <c r="L33" i="31"/>
  <c r="I33" i="31"/>
  <c r="P77" i="30"/>
  <c r="F71" i="31"/>
  <c r="P74" i="30"/>
  <c r="F67" i="31"/>
  <c r="P70" i="30"/>
  <c r="F63" i="31"/>
  <c r="P66" i="30"/>
  <c r="F59" i="31"/>
  <c r="L66" i="30"/>
  <c r="E59" i="31"/>
  <c r="U66" i="30"/>
  <c r="G59" i="31"/>
  <c r="B59" i="31"/>
  <c r="P48" i="30"/>
  <c r="F55" i="31"/>
  <c r="P59" i="30"/>
  <c r="F51" i="31"/>
  <c r="P13" i="30"/>
  <c r="F7" i="31"/>
  <c r="X27" i="30"/>
  <c r="H21" i="31"/>
  <c r="AE19" i="30"/>
  <c r="J13" i="31"/>
  <c r="AE11" i="30"/>
  <c r="J5" i="31"/>
  <c r="AJ76" i="30"/>
  <c r="K70" i="31"/>
  <c r="AO67" i="30"/>
  <c r="AO42" i="30"/>
  <c r="L37" i="31"/>
  <c r="AO38" i="30"/>
  <c r="L32" i="31"/>
  <c r="AO22" i="30"/>
  <c r="L16" i="31"/>
  <c r="AO18" i="30"/>
  <c r="AQ18" i="30"/>
  <c r="AO14" i="30"/>
  <c r="L8" i="31"/>
  <c r="G63" i="30"/>
  <c r="L47" i="30"/>
  <c r="E42" i="31"/>
  <c r="L14" i="30"/>
  <c r="E8" i="31"/>
  <c r="L83" i="30"/>
  <c r="E77" i="31"/>
  <c r="P41" i="30"/>
  <c r="U58" i="30"/>
  <c r="X79" i="30"/>
  <c r="H73" i="31"/>
  <c r="X40" i="30"/>
  <c r="H35" i="31"/>
  <c r="H18" i="31"/>
  <c r="X13" i="30"/>
  <c r="H7" i="31"/>
  <c r="AE83" i="30"/>
  <c r="J77" i="31"/>
  <c r="AE30" i="30"/>
  <c r="J24" i="31"/>
  <c r="AE26" i="30"/>
  <c r="J20" i="31"/>
  <c r="AE22" i="30"/>
  <c r="J16" i="31"/>
  <c r="AE14" i="30"/>
  <c r="J8" i="31"/>
  <c r="AJ14" i="30"/>
  <c r="K8" i="31"/>
  <c r="I8" i="31"/>
  <c r="P14" i="30"/>
  <c r="F8" i="31"/>
  <c r="B8" i="31"/>
  <c r="N8" i="31"/>
  <c r="AJ81" i="30"/>
  <c r="K75" i="31"/>
  <c r="AJ75" i="30"/>
  <c r="K68" i="31"/>
  <c r="AJ71" i="30"/>
  <c r="K64" i="31"/>
  <c r="AO71" i="30"/>
  <c r="L64" i="31"/>
  <c r="I64" i="31"/>
  <c r="AJ67" i="30"/>
  <c r="K60" i="31"/>
  <c r="AJ63" i="30"/>
  <c r="K56" i="31"/>
  <c r="AJ38" i="30"/>
  <c r="K32" i="31"/>
  <c r="AJ21" i="30"/>
  <c r="AQ21" i="30"/>
  <c r="Y21" i="30"/>
  <c r="AS21" i="30"/>
  <c r="AO60" i="30"/>
  <c r="AO56" i="30"/>
  <c r="AO50" i="30"/>
  <c r="L44" i="31"/>
  <c r="I44" i="31"/>
  <c r="AO45" i="30"/>
  <c r="AO41" i="30"/>
  <c r="AQ41" i="30"/>
  <c r="L36" i="31"/>
  <c r="AO27" i="30"/>
  <c r="L21" i="31"/>
  <c r="L36" i="30"/>
  <c r="E30" i="31"/>
  <c r="L32" i="30"/>
  <c r="E26" i="31"/>
  <c r="L25" i="30"/>
  <c r="E19" i="31"/>
  <c r="L13" i="30"/>
  <c r="E7" i="31"/>
  <c r="P40" i="30"/>
  <c r="P25" i="30"/>
  <c r="P46" i="30"/>
  <c r="F41" i="31"/>
  <c r="P39" i="30"/>
  <c r="P31" i="30"/>
  <c r="F25" i="31"/>
  <c r="U31" i="30"/>
  <c r="G25" i="31"/>
  <c r="B25" i="31"/>
  <c r="N25" i="31"/>
  <c r="P23" i="30"/>
  <c r="F17" i="31"/>
  <c r="U47" i="30"/>
  <c r="G42" i="31"/>
  <c r="X72" i="30"/>
  <c r="H65" i="31"/>
  <c r="H53" i="31"/>
  <c r="F53" i="31"/>
  <c r="G53" i="31"/>
  <c r="B53" i="31"/>
  <c r="X42" i="30"/>
  <c r="X55" i="30"/>
  <c r="H34" i="31"/>
  <c r="AJ74" i="30"/>
  <c r="K67" i="31"/>
  <c r="AJ66" i="30"/>
  <c r="K59" i="31"/>
  <c r="AJ17" i="30"/>
  <c r="AQ17" i="30"/>
  <c r="AO82" i="30"/>
  <c r="L76" i="31"/>
  <c r="AO78" i="30"/>
  <c r="L72" i="31"/>
  <c r="AO75" i="30"/>
  <c r="L68" i="31"/>
  <c r="AO30" i="30"/>
  <c r="L24" i="31"/>
  <c r="AO26" i="30"/>
  <c r="L20" i="31"/>
  <c r="AO19" i="30"/>
  <c r="AO11" i="30"/>
  <c r="F32" i="31"/>
  <c r="C46" i="17"/>
  <c r="C19" i="3"/>
  <c r="F77" i="31"/>
  <c r="H2" i="31"/>
  <c r="J36" i="31"/>
  <c r="L77" i="31"/>
  <c r="F73" i="31"/>
  <c r="E71" i="31"/>
  <c r="L28" i="31"/>
  <c r="L70" i="1"/>
  <c r="L63" i="1"/>
  <c r="G84" i="1"/>
  <c r="D9" i="18"/>
  <c r="L7" i="1"/>
  <c r="L46" i="1"/>
  <c r="L42" i="1"/>
  <c r="L31" i="1"/>
  <c r="L27" i="1"/>
  <c r="I84" i="1"/>
  <c r="D11" i="18"/>
  <c r="K84" i="1"/>
  <c r="D13" i="18"/>
  <c r="H13" i="18"/>
  <c r="D34" i="31"/>
  <c r="G55" i="30"/>
  <c r="L58" i="1"/>
  <c r="L54" i="1"/>
  <c r="L15" i="30"/>
  <c r="E9" i="31"/>
  <c r="P15" i="30"/>
  <c r="F9" i="31"/>
  <c r="G9" i="31"/>
  <c r="B9" i="31"/>
  <c r="X16" i="30"/>
  <c r="H10" i="31"/>
  <c r="AE10" i="30"/>
  <c r="J4" i="31"/>
  <c r="L71" i="1"/>
  <c r="L39" i="1"/>
  <c r="L19" i="1"/>
  <c r="L11" i="30"/>
  <c r="E5" i="31"/>
  <c r="U54" i="30"/>
  <c r="G47" i="31"/>
  <c r="X32" i="30"/>
  <c r="H26" i="31"/>
  <c r="X29" i="30"/>
  <c r="H23" i="31"/>
  <c r="AJ13" i="30"/>
  <c r="K7" i="31"/>
  <c r="U11" i="30"/>
  <c r="U23" i="30"/>
  <c r="G17" i="31"/>
  <c r="K15" i="31"/>
  <c r="I15" i="31"/>
  <c r="G5" i="31"/>
  <c r="F60" i="31"/>
  <c r="B60" i="31"/>
  <c r="F36" i="31"/>
  <c r="C84" i="1"/>
  <c r="D5" i="18"/>
  <c r="C84" i="29"/>
  <c r="F5" i="18"/>
  <c r="H5" i="18"/>
  <c r="L69" i="31"/>
  <c r="E52" i="31"/>
  <c r="C74" i="31"/>
  <c r="C118" i="31"/>
  <c r="G53" i="30"/>
  <c r="Y53" i="30"/>
  <c r="AS53" i="30"/>
  <c r="D30" i="31"/>
  <c r="G36" i="30"/>
  <c r="D26" i="31"/>
  <c r="B26" i="31"/>
  <c r="G32" i="30"/>
  <c r="L33" i="1"/>
  <c r="L9" i="1"/>
  <c r="L41" i="1"/>
  <c r="F84" i="1"/>
  <c r="D8" i="18"/>
  <c r="G80" i="30"/>
  <c r="L80" i="30"/>
  <c r="E74" i="31"/>
  <c r="B74" i="31"/>
  <c r="AE80" i="30"/>
  <c r="J74" i="31"/>
  <c r="I74" i="31"/>
  <c r="N74" i="31"/>
  <c r="P30" i="30"/>
  <c r="F24" i="31"/>
  <c r="X20" i="30"/>
  <c r="H14" i="31"/>
  <c r="AQ80" i="30"/>
  <c r="P11" i="30"/>
  <c r="F5" i="31"/>
  <c r="U68" i="30"/>
  <c r="G61" i="31"/>
  <c r="E61" i="31"/>
  <c r="B61" i="31"/>
  <c r="U20" i="30"/>
  <c r="X43" i="30"/>
  <c r="H38" i="31"/>
  <c r="AE76" i="30"/>
  <c r="AQ76" i="30"/>
  <c r="L76" i="30"/>
  <c r="Y76" i="30"/>
  <c r="AS76" i="30"/>
  <c r="AQ71" i="30"/>
  <c r="Y71" i="30"/>
  <c r="AS71" i="30"/>
  <c r="AO63" i="30"/>
  <c r="L56" i="31"/>
  <c r="L79" i="1"/>
  <c r="L66" i="1"/>
  <c r="L62" i="1"/>
  <c r="L35" i="1"/>
  <c r="L11" i="1"/>
  <c r="P63" i="30"/>
  <c r="Y63" i="30"/>
  <c r="U57" i="30"/>
  <c r="U12" i="30"/>
  <c r="X52" i="30"/>
  <c r="H69" i="31"/>
  <c r="X36" i="30"/>
  <c r="H30" i="31"/>
  <c r="AJ58" i="30"/>
  <c r="K50" i="31"/>
  <c r="AJ15" i="30"/>
  <c r="K9" i="31"/>
  <c r="I9" i="31"/>
  <c r="AO81" i="30"/>
  <c r="L82" i="29"/>
  <c r="L42" i="29"/>
  <c r="L38" i="29"/>
  <c r="P71" i="16"/>
  <c r="F66" i="21"/>
  <c r="U54" i="16"/>
  <c r="U74" i="16"/>
  <c r="G69" i="21"/>
  <c r="X74" i="16"/>
  <c r="H69" i="21"/>
  <c r="B69" i="21"/>
  <c r="L74" i="29"/>
  <c r="L57" i="29"/>
  <c r="P81" i="16"/>
  <c r="F76" i="21"/>
  <c r="P62" i="16"/>
  <c r="F57" i="21"/>
  <c r="P58" i="16"/>
  <c r="F53" i="21"/>
  <c r="P46" i="16"/>
  <c r="P41" i="16"/>
  <c r="Y41" i="16"/>
  <c r="AQ41" i="16"/>
  <c r="AS41" i="16"/>
  <c r="U65" i="16"/>
  <c r="G60" i="21"/>
  <c r="U61" i="16"/>
  <c r="G56" i="21"/>
  <c r="X61" i="16"/>
  <c r="H56" i="21"/>
  <c r="B56" i="21"/>
  <c r="U20" i="16"/>
  <c r="L77" i="29"/>
  <c r="L29" i="29"/>
  <c r="G84" i="29"/>
  <c r="F9" i="18"/>
  <c r="I84" i="29"/>
  <c r="F11" i="18"/>
  <c r="J84" i="29"/>
  <c r="F12" i="18"/>
  <c r="P73" i="16"/>
  <c r="F68" i="21"/>
  <c r="U72" i="16"/>
  <c r="G67" i="21"/>
  <c r="U55" i="16"/>
  <c r="U49" i="16"/>
  <c r="G49" i="16"/>
  <c r="X49" i="16"/>
  <c r="Y49" i="16"/>
  <c r="AJ50" i="16"/>
  <c r="AO75" i="16"/>
  <c r="L70" i="21"/>
  <c r="I70" i="21"/>
  <c r="AO68" i="16"/>
  <c r="AO58" i="16"/>
  <c r="AO34" i="16"/>
  <c r="AO30" i="16"/>
  <c r="L25" i="21"/>
  <c r="AO21" i="16"/>
  <c r="X31" i="16"/>
  <c r="H26" i="21"/>
  <c r="AJ32" i="16"/>
  <c r="AQ32" i="16"/>
  <c r="Y46" i="30"/>
  <c r="AQ82" i="30"/>
  <c r="E14" i="31"/>
  <c r="H42" i="21"/>
  <c r="D111" i="31"/>
  <c r="Y68" i="30"/>
  <c r="AQ27" i="30"/>
  <c r="Y77" i="30"/>
  <c r="H31" i="17"/>
  <c r="C17" i="17"/>
  <c r="P90" i="30"/>
  <c r="N90" i="30"/>
  <c r="L70" i="30"/>
  <c r="L59" i="30"/>
  <c r="E51" i="31"/>
  <c r="B51" i="31"/>
  <c r="L56" i="30"/>
  <c r="E48" i="31"/>
  <c r="B48" i="31"/>
  <c r="L10" i="30"/>
  <c r="E70" i="31"/>
  <c r="B70" i="31"/>
  <c r="K43" i="21"/>
  <c r="I43" i="21"/>
  <c r="L80" i="29"/>
  <c r="L72" i="29"/>
  <c r="L40" i="29"/>
  <c r="D84" i="29"/>
  <c r="F6" i="18"/>
  <c r="AQ35" i="16"/>
  <c r="AQ59" i="16"/>
  <c r="AQ56" i="16"/>
  <c r="AQ12" i="16"/>
  <c r="L54" i="21"/>
  <c r="E55" i="21"/>
  <c r="AQ44" i="16"/>
  <c r="G33" i="21"/>
  <c r="L50" i="29"/>
  <c r="L46" i="29"/>
  <c r="L30" i="29"/>
  <c r="G16" i="16"/>
  <c r="Y16" i="16"/>
  <c r="AQ16" i="16"/>
  <c r="AS16" i="16"/>
  <c r="AQ74" i="16"/>
  <c r="H62" i="21"/>
  <c r="Y67" i="16"/>
  <c r="E59" i="21"/>
  <c r="J48" i="21"/>
  <c r="E71" i="21"/>
  <c r="K61" i="21"/>
  <c r="K67" i="21"/>
  <c r="H64" i="21"/>
  <c r="G48" i="16"/>
  <c r="Y48" i="16"/>
  <c r="AQ48" i="16"/>
  <c r="AS48" i="16"/>
  <c r="G78" i="16"/>
  <c r="X78" i="16"/>
  <c r="Y78" i="16"/>
  <c r="AQ78" i="16"/>
  <c r="AS78" i="16"/>
  <c r="G72" i="16"/>
  <c r="Y72" i="16"/>
  <c r="G63" i="16"/>
  <c r="Y63" i="16"/>
  <c r="AQ63" i="16"/>
  <c r="AS63" i="16"/>
  <c r="Y26" i="16"/>
  <c r="AQ26" i="16"/>
  <c r="AS26" i="16"/>
  <c r="L51" i="29"/>
  <c r="L43" i="29"/>
  <c r="X76" i="16"/>
  <c r="Y76" i="16"/>
  <c r="AQ76" i="16"/>
  <c r="AS76" i="16"/>
  <c r="P32" i="16"/>
  <c r="F27" i="21"/>
  <c r="AQ18" i="16"/>
  <c r="Y18" i="16"/>
  <c r="AS18" i="16"/>
  <c r="K69" i="21"/>
  <c r="I19" i="21"/>
  <c r="L17" i="29"/>
  <c r="L13" i="29"/>
  <c r="E84" i="29"/>
  <c r="F7" i="18"/>
  <c r="K24" i="21"/>
  <c r="I24" i="21"/>
  <c r="G16" i="21"/>
  <c r="L46" i="21"/>
  <c r="J68" i="21"/>
  <c r="K39" i="21"/>
  <c r="I39" i="21"/>
  <c r="AQ25" i="16"/>
  <c r="L49" i="29"/>
  <c r="C47" i="21"/>
  <c r="G52" i="16"/>
  <c r="C27" i="21"/>
  <c r="G32" i="16"/>
  <c r="G40" i="16"/>
  <c r="C35" i="21"/>
  <c r="D10" i="21"/>
  <c r="B10" i="21"/>
  <c r="G15" i="16"/>
  <c r="Y15" i="16"/>
  <c r="AQ15" i="16"/>
  <c r="AS15" i="16"/>
  <c r="L20" i="21"/>
  <c r="I20" i="21"/>
  <c r="Y22" i="16"/>
  <c r="C64" i="21"/>
  <c r="D43" i="21"/>
  <c r="G53" i="16"/>
  <c r="Y53" i="16"/>
  <c r="C11" i="21"/>
  <c r="B11" i="21"/>
  <c r="N11" i="21"/>
  <c r="L63" i="29"/>
  <c r="L59" i="29"/>
  <c r="C22" i="21"/>
  <c r="G27" i="16"/>
  <c r="G14" i="16"/>
  <c r="Y14" i="16"/>
  <c r="AS14" i="16"/>
  <c r="G70" i="16"/>
  <c r="D65" i="21"/>
  <c r="D26" i="21"/>
  <c r="D32" i="21"/>
  <c r="D37" i="21"/>
  <c r="D46" i="21"/>
  <c r="D59" i="21"/>
  <c r="D68" i="21"/>
  <c r="D104" i="21"/>
  <c r="L45" i="29"/>
  <c r="L21" i="29"/>
  <c r="G13" i="16"/>
  <c r="C8" i="21"/>
  <c r="B8" i="21"/>
  <c r="G25" i="16"/>
  <c r="Y25" i="16"/>
  <c r="AS25" i="16"/>
  <c r="P77" i="16"/>
  <c r="F72" i="21"/>
  <c r="P75" i="16"/>
  <c r="P66" i="16"/>
  <c r="AO77" i="16"/>
  <c r="AQ77" i="16"/>
  <c r="AO71" i="16"/>
  <c r="L66" i="21"/>
  <c r="AO50" i="16"/>
  <c r="L45" i="21"/>
  <c r="AO40" i="16"/>
  <c r="L35" i="21"/>
  <c r="AO17" i="16"/>
  <c r="E30" i="17"/>
  <c r="D16" i="3"/>
  <c r="L39" i="29"/>
  <c r="L19" i="29"/>
  <c r="L78" i="29"/>
  <c r="AJ36" i="16"/>
  <c r="I23" i="21"/>
  <c r="AQ33" i="16"/>
  <c r="L9" i="29"/>
  <c r="L81" i="29"/>
  <c r="L69" i="29"/>
  <c r="AQ24" i="16"/>
  <c r="AQ67" i="16"/>
  <c r="L33" i="29"/>
  <c r="L25" i="29"/>
  <c r="L36" i="29"/>
  <c r="H73" i="21"/>
  <c r="B73" i="21"/>
  <c r="I73" i="21"/>
  <c r="N73" i="21"/>
  <c r="E40" i="21"/>
  <c r="E16" i="21"/>
  <c r="B16" i="21"/>
  <c r="K16" i="21"/>
  <c r="L16" i="21"/>
  <c r="I16" i="21"/>
  <c r="N16" i="21"/>
  <c r="H5" i="21"/>
  <c r="G74" i="16"/>
  <c r="G57" i="16"/>
  <c r="G61" i="16"/>
  <c r="K58" i="21"/>
  <c r="I58" i="21"/>
  <c r="C5" i="21"/>
  <c r="D85" i="16"/>
  <c r="E6" i="17"/>
  <c r="G37" i="21"/>
  <c r="B37" i="21"/>
  <c r="J37" i="21"/>
  <c r="I37" i="21"/>
  <c r="N37" i="21"/>
  <c r="C50" i="21"/>
  <c r="G55" i="16"/>
  <c r="C44" i="21"/>
  <c r="I85" i="16"/>
  <c r="E11" i="17"/>
  <c r="J85" i="16"/>
  <c r="E12" i="17"/>
  <c r="F84" i="29"/>
  <c r="F8" i="18"/>
  <c r="F16" i="18"/>
  <c r="H84" i="29"/>
  <c r="F10" i="18"/>
  <c r="H10" i="18"/>
  <c r="D118" i="21"/>
  <c r="G31" i="16"/>
  <c r="AQ29" i="16"/>
  <c r="Y82" i="16"/>
  <c r="C60" i="21"/>
  <c r="G39" i="16"/>
  <c r="Y39" i="16"/>
  <c r="K4" i="21"/>
  <c r="AQ9" i="16"/>
  <c r="G64" i="16"/>
  <c r="G51" i="16"/>
  <c r="Y51" i="16"/>
  <c r="G42" i="16"/>
  <c r="Y42" i="16"/>
  <c r="AQ42" i="16"/>
  <c r="AS42" i="16"/>
  <c r="B32" i="21"/>
  <c r="G37" i="16"/>
  <c r="Y37" i="16"/>
  <c r="AQ37" i="16"/>
  <c r="AS37" i="16"/>
  <c r="U57" i="16"/>
  <c r="U27" i="16"/>
  <c r="X65" i="16"/>
  <c r="H44" i="21"/>
  <c r="AO66" i="16"/>
  <c r="AQ66" i="16"/>
  <c r="AO62" i="16"/>
  <c r="L57" i="21"/>
  <c r="I57" i="21"/>
  <c r="L75" i="29"/>
  <c r="L71" i="29"/>
  <c r="L67" i="29"/>
  <c r="U47" i="16"/>
  <c r="Y47" i="16"/>
  <c r="AJ58" i="16"/>
  <c r="AO45" i="16"/>
  <c r="L40" i="21"/>
  <c r="AQ28" i="16"/>
  <c r="G21" i="16"/>
  <c r="Y21" i="16"/>
  <c r="AQ21" i="16"/>
  <c r="AS21" i="16"/>
  <c r="P52" i="16"/>
  <c r="F47" i="21"/>
  <c r="B47" i="21"/>
  <c r="P43" i="16"/>
  <c r="P30" i="16"/>
  <c r="F25" i="21"/>
  <c r="B25" i="21"/>
  <c r="P19" i="16"/>
  <c r="Y19" i="16"/>
  <c r="F14" i="21"/>
  <c r="U31" i="16"/>
  <c r="G26" i="21"/>
  <c r="L12" i="29"/>
  <c r="L76" i="29"/>
  <c r="AJ38" i="16"/>
  <c r="AQ38" i="16"/>
  <c r="L68" i="29"/>
  <c r="L53" i="29"/>
  <c r="U69" i="16"/>
  <c r="G64" i="21"/>
  <c r="B64" i="21"/>
  <c r="X27" i="16"/>
  <c r="H22" i="21"/>
  <c r="L63" i="21"/>
  <c r="I28" i="21"/>
  <c r="L52" i="29"/>
  <c r="K74" i="21"/>
  <c r="I74" i="21"/>
  <c r="Y80" i="16"/>
  <c r="D129" i="21"/>
  <c r="G73" i="16"/>
  <c r="Y73" i="16"/>
  <c r="J9" i="21"/>
  <c r="I9" i="21"/>
  <c r="AQ23" i="16"/>
  <c r="H28" i="21"/>
  <c r="Y33" i="16"/>
  <c r="AS33" i="16"/>
  <c r="E66" i="21"/>
  <c r="G19" i="21"/>
  <c r="Y24" i="16"/>
  <c r="AS24" i="16"/>
  <c r="I18" i="21"/>
  <c r="G3" i="21"/>
  <c r="Y8" i="16"/>
  <c r="M124" i="21"/>
  <c r="M107" i="21"/>
  <c r="M98" i="21"/>
  <c r="M121" i="21"/>
  <c r="M79" i="21"/>
  <c r="M80" i="21"/>
  <c r="M89" i="21"/>
  <c r="M112" i="21"/>
  <c r="AQ52" i="16"/>
  <c r="I15" i="21"/>
  <c r="Y30" i="16"/>
  <c r="AQ64" i="16"/>
  <c r="M111" i="21"/>
  <c r="M87" i="21"/>
  <c r="K27" i="21"/>
  <c r="I27" i="21"/>
  <c r="K45" i="21"/>
  <c r="G15" i="21"/>
  <c r="Y20" i="16"/>
  <c r="F41" i="21"/>
  <c r="Y79" i="16"/>
  <c r="I30" i="21"/>
  <c r="Y34" i="16"/>
  <c r="L10" i="29"/>
  <c r="C76" i="21"/>
  <c r="C66" i="21"/>
  <c r="C31" i="21"/>
  <c r="L36" i="16"/>
  <c r="E31" i="21"/>
  <c r="G31" i="21"/>
  <c r="B31" i="21"/>
  <c r="I21" i="21"/>
  <c r="N85" i="16"/>
  <c r="AO70" i="16"/>
  <c r="AO11" i="16"/>
  <c r="L6" i="21"/>
  <c r="G17" i="16"/>
  <c r="Y17" i="16"/>
  <c r="K71" i="21"/>
  <c r="AQ57" i="16"/>
  <c r="Y62" i="16"/>
  <c r="L73" i="29"/>
  <c r="L65" i="29"/>
  <c r="G45" i="16"/>
  <c r="C70" i="21"/>
  <c r="G77" i="16"/>
  <c r="D100" i="31"/>
  <c r="D130" i="31"/>
  <c r="AQ78" i="30"/>
  <c r="Y54" i="30"/>
  <c r="Y40" i="30"/>
  <c r="L43" i="1"/>
  <c r="L15" i="1"/>
  <c r="D122" i="31"/>
  <c r="Y73" i="30"/>
  <c r="Y9" i="30"/>
  <c r="AS9" i="30"/>
  <c r="C126" i="31"/>
  <c r="C97" i="31"/>
  <c r="C119" i="31"/>
  <c r="C99" i="31"/>
  <c r="M86" i="31"/>
  <c r="M82" i="31"/>
  <c r="M94" i="31"/>
  <c r="M98" i="31"/>
  <c r="M100" i="31"/>
  <c r="M110" i="31"/>
  <c r="M115" i="31"/>
  <c r="M91" i="31"/>
  <c r="M92" i="31"/>
  <c r="M102" i="31"/>
  <c r="C14" i="17"/>
  <c r="C10" i="3"/>
  <c r="H23" i="17"/>
  <c r="C127" i="31"/>
  <c r="C103" i="31"/>
  <c r="C121" i="31"/>
  <c r="C129" i="31"/>
  <c r="C128" i="31"/>
  <c r="F56" i="31"/>
  <c r="B56" i="31"/>
  <c r="Y49" i="30"/>
  <c r="K11" i="31"/>
  <c r="AQ51" i="30"/>
  <c r="L2" i="31"/>
  <c r="I2" i="31"/>
  <c r="L82" i="1"/>
  <c r="L50" i="1"/>
  <c r="L38" i="1"/>
  <c r="L34" i="1"/>
  <c r="L30" i="1"/>
  <c r="L26" i="1"/>
  <c r="L22" i="1"/>
  <c r="L18" i="1"/>
  <c r="G56" i="30"/>
  <c r="G50" i="30"/>
  <c r="C112" i="31"/>
  <c r="C90" i="31"/>
  <c r="C102" i="31"/>
  <c r="C83" i="31"/>
  <c r="C109" i="31"/>
  <c r="L12" i="31"/>
  <c r="I12" i="31"/>
  <c r="Y35" i="30"/>
  <c r="AQ22" i="30"/>
  <c r="Y82" i="30"/>
  <c r="L77" i="1"/>
  <c r="C86" i="31"/>
  <c r="C106" i="31"/>
  <c r="C94" i="31"/>
  <c r="C105" i="31"/>
  <c r="C124" i="31"/>
  <c r="Y32" i="30"/>
  <c r="L32" i="1"/>
  <c r="L16" i="1"/>
  <c r="L67" i="1"/>
  <c r="D129" i="31"/>
  <c r="D123" i="31"/>
  <c r="D115" i="31"/>
  <c r="F35" i="31"/>
  <c r="AQ83" i="30"/>
  <c r="Y83" i="30"/>
  <c r="AS83" i="30"/>
  <c r="H37" i="31"/>
  <c r="E73" i="31"/>
  <c r="Y79" i="30"/>
  <c r="F65" i="31"/>
  <c r="B65" i="31"/>
  <c r="N65" i="31"/>
  <c r="J63" i="31"/>
  <c r="I63" i="31"/>
  <c r="AQ70" i="30"/>
  <c r="D96" i="31"/>
  <c r="D120" i="31"/>
  <c r="D112" i="31"/>
  <c r="D114" i="31"/>
  <c r="AQ58" i="30"/>
  <c r="AQ46" i="30"/>
  <c r="AS46" i="30"/>
  <c r="AQ72" i="30"/>
  <c r="G55" i="31"/>
  <c r="B55" i="31"/>
  <c r="Y48" i="30"/>
  <c r="F19" i="31"/>
  <c r="L52" i="31"/>
  <c r="D103" i="31"/>
  <c r="D83" i="31"/>
  <c r="D85" i="31"/>
  <c r="D121" i="31"/>
  <c r="D86" i="31"/>
  <c r="M93" i="31"/>
  <c r="M108" i="31"/>
  <c r="M121" i="31"/>
  <c r="AQ39" i="30"/>
  <c r="Y39" i="30"/>
  <c r="AS39" i="30"/>
  <c r="G16" i="31"/>
  <c r="D84" i="1"/>
  <c r="D6" i="18"/>
  <c r="L80" i="1"/>
  <c r="L12" i="1"/>
  <c r="L50" i="30"/>
  <c r="E44" i="31"/>
  <c r="B44" i="31"/>
  <c r="N44" i="31"/>
  <c r="P42" i="30"/>
  <c r="F37" i="31"/>
  <c r="B37" i="31"/>
  <c r="Y65" i="30"/>
  <c r="AS65" i="30"/>
  <c r="X41" i="30"/>
  <c r="X38" i="30"/>
  <c r="H32" i="31"/>
  <c r="B32" i="31"/>
  <c r="X34" i="30"/>
  <c r="H28" i="31"/>
  <c r="B28" i="31"/>
  <c r="X30" i="30"/>
  <c r="Y30" i="30"/>
  <c r="AQ30" i="30"/>
  <c r="AS30" i="30"/>
  <c r="X26" i="30"/>
  <c r="H20" i="31"/>
  <c r="X22" i="30"/>
  <c r="H16" i="31"/>
  <c r="B16" i="31"/>
  <c r="AE66" i="30"/>
  <c r="J59" i="31"/>
  <c r="I59" i="31"/>
  <c r="AE48" i="30"/>
  <c r="AE59" i="30"/>
  <c r="J51" i="31"/>
  <c r="AE44" i="30"/>
  <c r="J39" i="31"/>
  <c r="M90" i="31"/>
  <c r="Y29" i="30"/>
  <c r="Y33" i="30"/>
  <c r="AS73" i="30"/>
  <c r="Y45" i="30"/>
  <c r="L55" i="1"/>
  <c r="L51" i="1"/>
  <c r="L37" i="1"/>
  <c r="L29" i="1"/>
  <c r="L25" i="1"/>
  <c r="P44" i="30"/>
  <c r="F39" i="31"/>
  <c r="B39" i="31"/>
  <c r="Y44" i="30"/>
  <c r="X28" i="30"/>
  <c r="H22" i="31"/>
  <c r="AE64" i="30"/>
  <c r="J57" i="31"/>
  <c r="I57" i="31"/>
  <c r="Y14" i="30"/>
  <c r="AQ68" i="30"/>
  <c r="AS68" i="30"/>
  <c r="L81" i="1"/>
  <c r="L40" i="1"/>
  <c r="L36" i="1"/>
  <c r="L28" i="1"/>
  <c r="L17" i="1"/>
  <c r="G64" i="30"/>
  <c r="P8" i="30"/>
  <c r="P43" i="30"/>
  <c r="Y43" i="30"/>
  <c r="AS43" i="30"/>
  <c r="P55" i="30"/>
  <c r="X23" i="30"/>
  <c r="H17" i="31"/>
  <c r="AE77" i="30"/>
  <c r="AE74" i="30"/>
  <c r="J67" i="31"/>
  <c r="I67" i="31"/>
  <c r="AE60" i="30"/>
  <c r="AE38" i="30"/>
  <c r="J32" i="31"/>
  <c r="I32" i="31"/>
  <c r="AJ79" i="30"/>
  <c r="K73" i="31"/>
  <c r="I73" i="31"/>
  <c r="M89" i="31"/>
  <c r="M112" i="31"/>
  <c r="M125" i="31"/>
  <c r="M127" i="31"/>
  <c r="M80" i="31"/>
  <c r="C18" i="5"/>
  <c r="M128" i="31"/>
  <c r="M96" i="31"/>
  <c r="M130" i="31"/>
  <c r="M123" i="31"/>
  <c r="M95" i="31"/>
  <c r="M119" i="31"/>
  <c r="M109" i="31"/>
  <c r="M113" i="31"/>
  <c r="M107" i="31"/>
  <c r="M87" i="31"/>
  <c r="M79" i="31"/>
  <c r="M81" i="31"/>
  <c r="M132" i="31"/>
  <c r="M106" i="31"/>
  <c r="C98" i="31"/>
  <c r="C130" i="31"/>
  <c r="C91" i="31"/>
  <c r="D107" i="31"/>
  <c r="D117" i="31"/>
  <c r="D98" i="31"/>
  <c r="D109" i="31"/>
  <c r="D94" i="31"/>
  <c r="D110" i="31"/>
  <c r="F21" i="31"/>
  <c r="B21" i="31"/>
  <c r="I21" i="31"/>
  <c r="N21" i="31"/>
  <c r="Y27" i="30"/>
  <c r="K4" i="31"/>
  <c r="I4" i="31"/>
  <c r="AQ10" i="30"/>
  <c r="D81" i="31"/>
  <c r="D105" i="31"/>
  <c r="AQ19" i="30"/>
  <c r="Y19" i="30"/>
  <c r="AS19" i="30"/>
  <c r="L13" i="31"/>
  <c r="Y51" i="30"/>
  <c r="AS51" i="30"/>
  <c r="F33" i="31"/>
  <c r="B33" i="31"/>
  <c r="N33" i="31"/>
  <c r="B47" i="31"/>
  <c r="I72" i="31"/>
  <c r="I34" i="31"/>
  <c r="C108" i="31"/>
  <c r="D91" i="31"/>
  <c r="I36" i="31"/>
  <c r="L61" i="31"/>
  <c r="I61" i="31"/>
  <c r="I18" i="31"/>
  <c r="Y47" i="30"/>
  <c r="AQ31" i="30"/>
  <c r="B3" i="31"/>
  <c r="G16" i="30"/>
  <c r="C82" i="31"/>
  <c r="AQ35" i="30"/>
  <c r="AS35" i="30"/>
  <c r="C79" i="31"/>
  <c r="C84" i="31"/>
  <c r="E75" i="31"/>
  <c r="B75" i="31"/>
  <c r="Y81" i="30"/>
  <c r="J71" i="31"/>
  <c r="I71" i="31"/>
  <c r="AQ77" i="30"/>
  <c r="J27" i="31"/>
  <c r="I27" i="31"/>
  <c r="AQ33" i="30"/>
  <c r="AS77" i="30"/>
  <c r="AQ15" i="30"/>
  <c r="Y36" i="30"/>
  <c r="AS36" i="30"/>
  <c r="K51" i="31"/>
  <c r="AQ59" i="30"/>
  <c r="M129" i="31"/>
  <c r="M83" i="31"/>
  <c r="M126" i="31"/>
  <c r="M104" i="31"/>
  <c r="M103" i="31"/>
  <c r="M97" i="31"/>
  <c r="M118" i="31"/>
  <c r="M88" i="31"/>
  <c r="M84" i="31"/>
  <c r="M105" i="31"/>
  <c r="M111" i="31"/>
  <c r="Y52" i="30"/>
  <c r="AS33" i="30"/>
  <c r="G77" i="31"/>
  <c r="Y17" i="30"/>
  <c r="AS17" i="30"/>
  <c r="J55" i="31"/>
  <c r="I55" i="31"/>
  <c r="AQ48" i="30"/>
  <c r="AS48" i="30"/>
  <c r="AQ79" i="30"/>
  <c r="AS79" i="30"/>
  <c r="K23" i="31"/>
  <c r="I23" i="31"/>
  <c r="AQ29" i="30"/>
  <c r="AS29" i="30"/>
  <c r="K19" i="31"/>
  <c r="AQ25" i="30"/>
  <c r="AQ50" i="30"/>
  <c r="I24" i="31"/>
  <c r="I38" i="31"/>
  <c r="AQ23" i="30"/>
  <c r="I62" i="31"/>
  <c r="AJ49" i="30"/>
  <c r="K43" i="31"/>
  <c r="I43" i="31"/>
  <c r="AJ44" i="30"/>
  <c r="K39" i="31"/>
  <c r="L75" i="1"/>
  <c r="L59" i="1"/>
  <c r="L23" i="1"/>
  <c r="AE54" i="30"/>
  <c r="Y59" i="30"/>
  <c r="L86" i="30"/>
  <c r="I89" i="30"/>
  <c r="E63" i="31"/>
  <c r="B63" i="31"/>
  <c r="Y70" i="30"/>
  <c r="AS70" i="30"/>
  <c r="C117" i="31"/>
  <c r="C122" i="31"/>
  <c r="C111" i="31"/>
  <c r="C107" i="31"/>
  <c r="I30" i="31"/>
  <c r="J17" i="31"/>
  <c r="I17" i="31"/>
  <c r="AQ20" i="30"/>
  <c r="AQ11" i="16"/>
  <c r="L65" i="21"/>
  <c r="AQ70" i="16"/>
  <c r="Y50" i="30"/>
  <c r="AS50" i="30"/>
  <c r="F38" i="31"/>
  <c r="B38" i="31"/>
  <c r="N38" i="31"/>
  <c r="Y34" i="30"/>
  <c r="F2" i="31"/>
  <c r="Y28" i="30"/>
  <c r="Y38" i="30"/>
  <c r="AQ64" i="30"/>
  <c r="AQ74" i="30"/>
  <c r="Y8" i="30"/>
  <c r="AS8" i="30"/>
  <c r="Y22" i="30"/>
  <c r="AS22" i="30"/>
  <c r="U86" i="30"/>
  <c r="Y42" i="30"/>
  <c r="Y16" i="30"/>
  <c r="AE86" i="30"/>
  <c r="I19" i="31"/>
  <c r="AS59" i="30"/>
  <c r="K10" i="21"/>
  <c r="H51" i="21"/>
  <c r="Y56" i="16"/>
  <c r="AS56" i="16"/>
  <c r="G7" i="21"/>
  <c r="B7" i="21"/>
  <c r="AS12" i="16"/>
  <c r="M83" i="21"/>
  <c r="M97" i="21"/>
  <c r="M126" i="21"/>
  <c r="M96" i="21"/>
  <c r="C85" i="21"/>
  <c r="K33" i="21"/>
  <c r="I33" i="21"/>
  <c r="F6" i="21"/>
  <c r="AQ75" i="16"/>
  <c r="AQ40" i="16"/>
  <c r="L29" i="21"/>
  <c r="I29" i="21"/>
  <c r="AQ34" i="16"/>
  <c r="AS34" i="16"/>
  <c r="B30" i="21"/>
  <c r="N30" i="21"/>
  <c r="L67" i="21"/>
  <c r="I67" i="21"/>
  <c r="AQ72" i="16"/>
  <c r="L8" i="21"/>
  <c r="I8" i="21"/>
  <c r="AQ54" i="16"/>
  <c r="AQ79" i="16"/>
  <c r="AS79" i="16"/>
  <c r="L44" i="21"/>
  <c r="I44" i="21"/>
  <c r="AQ49" i="16"/>
  <c r="F55" i="21"/>
  <c r="Y60" i="16"/>
  <c r="AQ60" i="16"/>
  <c r="AS60" i="16"/>
  <c r="AS67" i="16"/>
  <c r="K31" i="21"/>
  <c r="AQ27" i="16"/>
  <c r="AQ55" i="16"/>
  <c r="K5" i="21"/>
  <c r="I5" i="21"/>
  <c r="AQ10" i="16"/>
  <c r="K34" i="21"/>
  <c r="AQ39" i="16"/>
  <c r="G4" i="21"/>
  <c r="AQ50" i="16"/>
  <c r="M127" i="21"/>
  <c r="AQ20" i="16"/>
  <c r="AS20" i="16"/>
  <c r="M114" i="21"/>
  <c r="M104" i="21"/>
  <c r="M106" i="21"/>
  <c r="M86" i="21"/>
  <c r="Y52" i="16"/>
  <c r="AS52" i="16"/>
  <c r="AQ61" i="16"/>
  <c r="AQ82" i="16"/>
  <c r="J32" i="21"/>
  <c r="L2" i="21"/>
  <c r="AQ7" i="16"/>
  <c r="M102" i="21"/>
  <c r="AQ81" i="16"/>
  <c r="Y64" i="16"/>
  <c r="AS64" i="16"/>
  <c r="AQ17" i="16"/>
  <c r="AS17" i="16"/>
  <c r="AQ71" i="16"/>
  <c r="Y13" i="16"/>
  <c r="I54" i="21"/>
  <c r="I49" i="21"/>
  <c r="L44" i="29"/>
  <c r="L81" i="16"/>
  <c r="Y81" i="16"/>
  <c r="L77" i="16"/>
  <c r="E72" i="21"/>
  <c r="G50" i="16"/>
  <c r="I50" i="21"/>
  <c r="D12" i="3"/>
  <c r="L66" i="16"/>
  <c r="E61" i="21"/>
  <c r="F61" i="21"/>
  <c r="B61" i="21"/>
  <c r="L28" i="16"/>
  <c r="E23" i="21"/>
  <c r="AJ45" i="16"/>
  <c r="K40" i="21"/>
  <c r="I40" i="21"/>
  <c r="AJ46" i="16"/>
  <c r="AQ46" i="16"/>
  <c r="F70" i="21"/>
  <c r="B70" i="21"/>
  <c r="N70" i="21"/>
  <c r="Y75" i="16"/>
  <c r="AS75" i="16"/>
  <c r="B28" i="21"/>
  <c r="N28" i="21"/>
  <c r="AQ62" i="16"/>
  <c r="AS62" i="16"/>
  <c r="G42" i="21"/>
  <c r="B42" i="21"/>
  <c r="L12" i="21"/>
  <c r="I12" i="21"/>
  <c r="L72" i="21"/>
  <c r="I72" i="21"/>
  <c r="C98" i="21"/>
  <c r="Y57" i="16"/>
  <c r="AS57" i="16"/>
  <c r="G52" i="21"/>
  <c r="B52" i="21"/>
  <c r="F65" i="21"/>
  <c r="Y70" i="16"/>
  <c r="AS70" i="16"/>
  <c r="I76" i="21"/>
  <c r="D115" i="21"/>
  <c r="B2" i="21"/>
  <c r="I2" i="21"/>
  <c r="N2" i="21"/>
  <c r="D128" i="21"/>
  <c r="D113" i="21"/>
  <c r="Y28" i="16"/>
  <c r="AS28" i="16"/>
  <c r="H8" i="18"/>
  <c r="L53" i="21"/>
  <c r="AJ85" i="16"/>
  <c r="I55" i="21"/>
  <c r="J17" i="21"/>
  <c r="I17" i="21"/>
  <c r="AQ22" i="16"/>
  <c r="X85" i="16"/>
  <c r="M129" i="21"/>
  <c r="M113" i="21"/>
  <c r="M123" i="21"/>
  <c r="B46" i="21"/>
  <c r="B43" i="21"/>
  <c r="N43" i="21"/>
  <c r="G24" i="21"/>
  <c r="B24" i="21"/>
  <c r="N24" i="21"/>
  <c r="Y29" i="16"/>
  <c r="AS29" i="16"/>
  <c r="G22" i="21"/>
  <c r="AS59" i="16"/>
  <c r="I26" i="21"/>
  <c r="G69" i="16"/>
  <c r="Y69" i="16"/>
  <c r="B75" i="21"/>
  <c r="U77" i="16"/>
  <c r="Y77" i="16"/>
  <c r="AS77" i="16"/>
  <c r="U71" i="16"/>
  <c r="U58" i="16"/>
  <c r="U85" i="16"/>
  <c r="I7" i="21"/>
  <c r="N7" i="21"/>
  <c r="G54" i="21"/>
  <c r="B54" i="21"/>
  <c r="N54" i="21"/>
  <c r="L23" i="29"/>
  <c r="L15" i="29"/>
  <c r="L58" i="16"/>
  <c r="Y58" i="16"/>
  <c r="Y36" i="16"/>
  <c r="AQ36" i="16"/>
  <c r="AS36" i="16"/>
  <c r="L32" i="16"/>
  <c r="Y32" i="16"/>
  <c r="K85" i="16"/>
  <c r="E13" i="17"/>
  <c r="H13" i="17"/>
  <c r="Y31" i="16"/>
  <c r="AS31" i="16"/>
  <c r="B77" i="21"/>
  <c r="D88" i="21"/>
  <c r="B9" i="21"/>
  <c r="N9" i="21"/>
  <c r="E18" i="17"/>
  <c r="B62" i="21"/>
  <c r="B74" i="21"/>
  <c r="N74" i="21"/>
  <c r="E41" i="17"/>
  <c r="D18" i="3"/>
  <c r="L31" i="29"/>
  <c r="E76" i="21"/>
  <c r="B76" i="21"/>
  <c r="N76" i="21"/>
  <c r="AS81" i="16"/>
  <c r="G53" i="21"/>
  <c r="G66" i="21"/>
  <c r="B66" i="21"/>
  <c r="G72" i="21"/>
  <c r="D11" i="3"/>
  <c r="Y12" i="30"/>
  <c r="AS12" i="30"/>
  <c r="G6" i="31"/>
  <c r="AQ11" i="30"/>
  <c r="AO86" i="30"/>
  <c r="L5" i="31"/>
  <c r="AQ56" i="30"/>
  <c r="L48" i="31"/>
  <c r="I48" i="31"/>
  <c r="Y60" i="30"/>
  <c r="G52" i="31"/>
  <c r="B52" i="31"/>
  <c r="D125" i="31"/>
  <c r="D124" i="31"/>
  <c r="D99" i="31"/>
  <c r="D92" i="31"/>
  <c r="D87" i="31"/>
  <c r="D90" i="31"/>
  <c r="D102" i="31"/>
  <c r="D79" i="31"/>
  <c r="D108" i="31"/>
  <c r="D89" i="31"/>
  <c r="D127" i="31"/>
  <c r="D84" i="31"/>
  <c r="D80" i="31"/>
  <c r="C8" i="5"/>
  <c r="D93" i="31"/>
  <c r="Y15" i="30"/>
  <c r="AS15" i="30"/>
  <c r="K35" i="31"/>
  <c r="I35" i="31"/>
  <c r="AQ40" i="30"/>
  <c r="AS40" i="30"/>
  <c r="AQ34" i="30"/>
  <c r="AS34" i="30"/>
  <c r="K28" i="31"/>
  <c r="L26" i="31"/>
  <c r="I26" i="31"/>
  <c r="AQ32" i="30"/>
  <c r="AS32" i="30"/>
  <c r="AQ38" i="30"/>
  <c r="AS38" i="30"/>
  <c r="C104" i="31"/>
  <c r="C95" i="31"/>
  <c r="C101" i="31"/>
  <c r="C92" i="31"/>
  <c r="D106" i="31"/>
  <c r="AQ14" i="30"/>
  <c r="AS14" i="30"/>
  <c r="D101" i="31"/>
  <c r="E4" i="31"/>
  <c r="B4" i="31"/>
  <c r="G49" i="31"/>
  <c r="Y57" i="30"/>
  <c r="Y58" i="30"/>
  <c r="AS58" i="30"/>
  <c r="G50" i="31"/>
  <c r="B50" i="31"/>
  <c r="Y74" i="30"/>
  <c r="AS74" i="30"/>
  <c r="E67" i="31"/>
  <c r="B67" i="31"/>
  <c r="N67" i="31"/>
  <c r="AQ37" i="30"/>
  <c r="J31" i="31"/>
  <c r="I31" i="31"/>
  <c r="K89" i="30"/>
  <c r="J89" i="30"/>
  <c r="AS27" i="30"/>
  <c r="B73" i="31"/>
  <c r="N73" i="31"/>
  <c r="B64" i="31"/>
  <c r="N64" i="31"/>
  <c r="G14" i="31"/>
  <c r="B14" i="31"/>
  <c r="Y20" i="30"/>
  <c r="AS20" i="30"/>
  <c r="Y66" i="30"/>
  <c r="AQ45" i="30"/>
  <c r="AS45" i="30"/>
  <c r="L40" i="31"/>
  <c r="AQ67" i="30"/>
  <c r="AS67" i="30"/>
  <c r="L60" i="31"/>
  <c r="I60" i="31"/>
  <c r="C125" i="31"/>
  <c r="C89" i="31"/>
  <c r="C85" i="31"/>
  <c r="C115" i="31"/>
  <c r="C93" i="31"/>
  <c r="C81" i="31"/>
  <c r="C135" i="31"/>
  <c r="C114" i="31"/>
  <c r="C123" i="31"/>
  <c r="C88" i="31"/>
  <c r="C113" i="31"/>
  <c r="C96" i="31"/>
  <c r="H5" i="31"/>
  <c r="X86" i="30"/>
  <c r="J22" i="31"/>
  <c r="AQ28" i="30"/>
  <c r="AS28" i="30"/>
  <c r="M85" i="31"/>
  <c r="M99" i="31"/>
  <c r="M116" i="31"/>
  <c r="M122" i="31"/>
  <c r="M101" i="31"/>
  <c r="M114" i="31"/>
  <c r="M120" i="31"/>
  <c r="M117" i="31"/>
  <c r="M124" i="31"/>
  <c r="M133" i="31"/>
  <c r="Y11" i="30"/>
  <c r="N45" i="31"/>
  <c r="I40" i="31"/>
  <c r="Y37" i="30"/>
  <c r="F31" i="31"/>
  <c r="AS82" i="30"/>
  <c r="D95" i="31"/>
  <c r="B31" i="31"/>
  <c r="N31" i="31"/>
  <c r="AQ52" i="30"/>
  <c r="AS52" i="30"/>
  <c r="I11" i="31"/>
  <c r="H19" i="17"/>
  <c r="H44" i="17"/>
  <c r="H40" i="17"/>
  <c r="H10" i="17"/>
  <c r="H15" i="17"/>
  <c r="H38" i="17"/>
  <c r="Y13" i="30"/>
  <c r="AQ57" i="30"/>
  <c r="H24" i="17"/>
  <c r="H35" i="17"/>
  <c r="H17" i="17"/>
  <c r="H43" i="17"/>
  <c r="AS32" i="16"/>
  <c r="E53" i="21"/>
  <c r="B53" i="21"/>
  <c r="K53" i="21"/>
  <c r="I53" i="21"/>
  <c r="N53" i="21"/>
  <c r="AS7" i="16"/>
  <c r="Y50" i="16"/>
  <c r="AS50" i="16"/>
  <c r="K63" i="21"/>
  <c r="I63" i="21"/>
  <c r="AQ68" i="16"/>
  <c r="E35" i="21"/>
  <c r="Y40" i="16"/>
  <c r="AS40" i="16"/>
  <c r="Y23" i="16"/>
  <c r="AS23" i="16"/>
  <c r="F18" i="21"/>
  <c r="B18" i="21"/>
  <c r="N18" i="21"/>
  <c r="L31" i="21"/>
  <c r="C97" i="21"/>
  <c r="C102" i="21"/>
  <c r="C121" i="21"/>
  <c r="C119" i="21"/>
  <c r="C111" i="21"/>
  <c r="C127" i="21"/>
  <c r="C101" i="21"/>
  <c r="C83" i="21"/>
  <c r="Y66" i="16"/>
  <c r="AS66" i="16"/>
  <c r="AS22" i="16"/>
  <c r="I65" i="21"/>
  <c r="B3" i="21"/>
  <c r="B48" i="21"/>
  <c r="B57" i="21"/>
  <c r="N57" i="21"/>
  <c r="Y45" i="16"/>
  <c r="AQ13" i="16"/>
  <c r="AQ58" i="16"/>
  <c r="AS58" i="16"/>
  <c r="G50" i="21"/>
  <c r="Y55" i="16"/>
  <c r="AS55" i="16"/>
  <c r="F63" i="21"/>
  <c r="C110" i="21"/>
  <c r="C87" i="21"/>
  <c r="C92" i="21"/>
  <c r="C103" i="21"/>
  <c r="C91" i="21"/>
  <c r="C84" i="21"/>
  <c r="C114" i="21"/>
  <c r="C81" i="21"/>
  <c r="C115" i="21"/>
  <c r="C123" i="21"/>
  <c r="C100" i="21"/>
  <c r="C120" i="21"/>
  <c r="C107" i="21"/>
  <c r="C104" i="21"/>
  <c r="C105" i="21"/>
  <c r="C118" i="21"/>
  <c r="C90" i="21"/>
  <c r="C80" i="21"/>
  <c r="C94" i="21"/>
  <c r="C99" i="21"/>
  <c r="C117" i="21"/>
  <c r="C79" i="21"/>
  <c r="C126" i="21"/>
  <c r="K42" i="21"/>
  <c r="AQ47" i="16"/>
  <c r="K64" i="21"/>
  <c r="I64" i="21"/>
  <c r="N64" i="21"/>
  <c r="AQ69" i="16"/>
  <c r="AQ80" i="16"/>
  <c r="AS80" i="16"/>
  <c r="K75" i="21"/>
  <c r="I75" i="21"/>
  <c r="N75" i="21"/>
  <c r="Y10" i="16"/>
  <c r="AS10" i="16"/>
  <c r="G5" i="21"/>
  <c r="C88" i="21"/>
  <c r="C95" i="21"/>
  <c r="C86" i="21"/>
  <c r="C125" i="21"/>
  <c r="C82" i="21"/>
  <c r="C108" i="21"/>
  <c r="F17" i="18"/>
  <c r="U14" i="3"/>
  <c r="B50" i="21"/>
  <c r="N50" i="21"/>
  <c r="B59" i="21"/>
  <c r="I59" i="21"/>
  <c r="N59" i="21"/>
  <c r="B55" i="21"/>
  <c r="N55" i="21"/>
  <c r="C116" i="21"/>
  <c r="I66" i="21"/>
  <c r="I51" i="21"/>
  <c r="B17" i="21"/>
  <c r="N17" i="21"/>
  <c r="B14" i="21"/>
  <c r="E41" i="21"/>
  <c r="B41" i="21"/>
  <c r="Y46" i="16"/>
  <c r="AS46" i="16"/>
  <c r="Y38" i="16"/>
  <c r="AS38" i="16"/>
  <c r="F33" i="21"/>
  <c r="B33" i="21"/>
  <c r="N33" i="21"/>
  <c r="Y9" i="16"/>
  <c r="F4" i="21"/>
  <c r="L68" i="21"/>
  <c r="I68" i="21"/>
  <c r="AQ73" i="16"/>
  <c r="AQ43" i="16"/>
  <c r="L38" i="21"/>
  <c r="I38" i="21"/>
  <c r="F38" i="21"/>
  <c r="B38" i="21"/>
  <c r="N38" i="21"/>
  <c r="L14" i="21"/>
  <c r="AQ19" i="16"/>
  <c r="AS19" i="16"/>
  <c r="B5" i="21"/>
  <c r="N5" i="21"/>
  <c r="B35" i="21"/>
  <c r="AS49" i="16"/>
  <c r="B51" i="21"/>
  <c r="N51" i="21"/>
  <c r="B63" i="21"/>
  <c r="N63" i="21"/>
  <c r="N58" i="21"/>
  <c r="B20" i="21"/>
  <c r="N20" i="21"/>
  <c r="I6" i="21"/>
  <c r="I10" i="21"/>
  <c r="N10" i="21"/>
  <c r="I52" i="21"/>
  <c r="N52" i="21"/>
  <c r="I77" i="21"/>
  <c r="N77" i="21"/>
  <c r="B21" i="21"/>
  <c r="N21" i="21"/>
  <c r="P89" i="16"/>
  <c r="E16" i="17"/>
  <c r="H16" i="17"/>
  <c r="G49" i="21"/>
  <c r="B49" i="21"/>
  <c r="N49" i="21"/>
  <c r="Y54" i="16"/>
  <c r="AS54" i="16"/>
  <c r="K3" i="21"/>
  <c r="AQ8" i="16"/>
  <c r="AS8" i="16"/>
  <c r="K60" i="21"/>
  <c r="I60" i="21"/>
  <c r="H60" i="21"/>
  <c r="B60" i="21"/>
  <c r="N60" i="21"/>
  <c r="AQ65" i="16"/>
  <c r="J4" i="21"/>
  <c r="AE85" i="16"/>
  <c r="J46" i="21"/>
  <c r="I46" i="21"/>
  <c r="N46" i="21"/>
  <c r="AQ51" i="16"/>
  <c r="AS51" i="16"/>
  <c r="D99" i="21"/>
  <c r="D100" i="21"/>
  <c r="D82" i="21"/>
  <c r="D96" i="21"/>
  <c r="D112" i="21"/>
  <c r="D124" i="21"/>
  <c r="D102" i="21"/>
  <c r="D89" i="21"/>
  <c r="D103" i="21"/>
  <c r="D121" i="21"/>
  <c r="D93" i="21"/>
  <c r="K48" i="21"/>
  <c r="I48" i="21"/>
  <c r="N48" i="21"/>
  <c r="AQ53" i="16"/>
  <c r="AS53" i="16"/>
  <c r="M110" i="21"/>
  <c r="M82" i="21"/>
  <c r="M115" i="21"/>
  <c r="M84" i="21"/>
  <c r="M120" i="21"/>
  <c r="M93" i="21"/>
  <c r="M125" i="21"/>
  <c r="M95" i="21"/>
  <c r="M128" i="21"/>
  <c r="M118" i="21"/>
  <c r="M117" i="21"/>
  <c r="M109" i="21"/>
  <c r="M81" i="21"/>
  <c r="M88" i="21"/>
  <c r="M92" i="21"/>
  <c r="M85" i="21"/>
  <c r="M94" i="21"/>
  <c r="M130" i="21"/>
  <c r="M119" i="21"/>
  <c r="M105" i="21"/>
  <c r="M90" i="21"/>
  <c r="M101" i="21"/>
  <c r="M103" i="21"/>
  <c r="M91" i="21"/>
  <c r="M116" i="21"/>
  <c r="M108" i="21"/>
  <c r="M100" i="21"/>
  <c r="M99" i="21"/>
  <c r="M122" i="21"/>
  <c r="AQ45" i="16"/>
  <c r="AO85" i="16"/>
  <c r="C109" i="21"/>
  <c r="C124" i="21"/>
  <c r="C112" i="21"/>
  <c r="C106" i="21"/>
  <c r="C128" i="21"/>
  <c r="C96" i="21"/>
  <c r="I45" i="21"/>
  <c r="AS73" i="16"/>
  <c r="AS82" i="16"/>
  <c r="B65" i="21"/>
  <c r="N65" i="21"/>
  <c r="B29" i="21"/>
  <c r="N29" i="21"/>
  <c r="I35" i="21"/>
  <c r="I34" i="21"/>
  <c r="I42" i="21"/>
  <c r="I56" i="21"/>
  <c r="N56" i="21"/>
  <c r="I62" i="21"/>
  <c r="N62" i="21"/>
  <c r="I69" i="21"/>
  <c r="N69" i="21"/>
  <c r="B13" i="21"/>
  <c r="N13" i="21"/>
  <c r="B40" i="21"/>
  <c r="N40" i="21"/>
  <c r="B19" i="21"/>
  <c r="N19" i="21"/>
  <c r="B67" i="21"/>
  <c r="N67" i="21"/>
  <c r="B12" i="21"/>
  <c r="N12" i="21"/>
  <c r="G44" i="21"/>
  <c r="B44" i="21"/>
  <c r="N44" i="21"/>
  <c r="Y74" i="16"/>
  <c r="AS74" i="16"/>
  <c r="F36" i="21"/>
  <c r="B36" i="21"/>
  <c r="Y35" i="16"/>
  <c r="AS35" i="16"/>
  <c r="C132" i="31"/>
  <c r="C133" i="31"/>
  <c r="C136" i="31"/>
  <c r="C134" i="31"/>
  <c r="C137" i="31"/>
  <c r="E129" i="31"/>
  <c r="E112" i="31"/>
  <c r="E120" i="31"/>
  <c r="E79" i="31"/>
  <c r="E111" i="31"/>
  <c r="E86" i="31"/>
  <c r="E119" i="31"/>
  <c r="E109" i="31"/>
  <c r="E103" i="31"/>
  <c r="B6" i="31"/>
  <c r="M180" i="31"/>
  <c r="M140" i="31"/>
  <c r="M144" i="31"/>
  <c r="M178" i="31"/>
  <c r="M148" i="31"/>
  <c r="M138" i="31"/>
  <c r="M136" i="31"/>
  <c r="M155" i="31"/>
  <c r="M171" i="31"/>
  <c r="M164" i="31"/>
  <c r="M141" i="31"/>
  <c r="M168" i="31"/>
  <c r="M137" i="31"/>
  <c r="B5" i="31"/>
  <c r="AS11" i="30"/>
  <c r="M149" i="31"/>
  <c r="M163" i="31"/>
  <c r="M152" i="31"/>
  <c r="M146" i="31"/>
  <c r="M166" i="31"/>
  <c r="M162" i="31"/>
  <c r="M142" i="31"/>
  <c r="AS37" i="30"/>
  <c r="M145" i="31"/>
  <c r="I22" i="31"/>
  <c r="I28" i="31"/>
  <c r="N28" i="31"/>
  <c r="K110" i="31"/>
  <c r="K97" i="31"/>
  <c r="K98" i="31"/>
  <c r="K121" i="31"/>
  <c r="K117" i="31"/>
  <c r="K123" i="31"/>
  <c r="K95" i="31"/>
  <c r="K93" i="31"/>
  <c r="K119" i="31"/>
  <c r="K105" i="31"/>
  <c r="K100" i="31"/>
  <c r="K111" i="31"/>
  <c r="K120" i="31"/>
  <c r="K124" i="31"/>
  <c r="K122" i="31"/>
  <c r="K92" i="31"/>
  <c r="K82" i="31"/>
  <c r="K86" i="31"/>
  <c r="K126" i="31"/>
  <c r="K89" i="31"/>
  <c r="K128" i="31"/>
  <c r="K88" i="31"/>
  <c r="K116" i="31"/>
  <c r="K106" i="31"/>
  <c r="K107" i="31"/>
  <c r="K79" i="31"/>
  <c r="K108" i="31"/>
  <c r="K115" i="31"/>
  <c r="K103" i="31"/>
  <c r="K127" i="31"/>
  <c r="K90" i="31"/>
  <c r="K130" i="31"/>
  <c r="K113" i="31"/>
  <c r="K125" i="31"/>
  <c r="K83" i="31"/>
  <c r="K87" i="31"/>
  <c r="K109" i="31"/>
  <c r="K91" i="31"/>
  <c r="K102" i="31"/>
  <c r="D132" i="31"/>
  <c r="I5" i="31"/>
  <c r="M150" i="31"/>
  <c r="M154" i="31"/>
  <c r="M151" i="31"/>
  <c r="M179" i="31"/>
  <c r="M153" i="31"/>
  <c r="M176" i="31"/>
  <c r="B4" i="21"/>
  <c r="C133" i="21"/>
  <c r="C134" i="21"/>
  <c r="C135" i="21"/>
  <c r="C139" i="21"/>
  <c r="C138" i="21"/>
  <c r="N35" i="21"/>
  <c r="M154" i="21"/>
  <c r="I4" i="21"/>
  <c r="N4" i="21"/>
  <c r="J86" i="21"/>
  <c r="J118" i="21"/>
  <c r="J101" i="21"/>
  <c r="J129" i="21"/>
  <c r="J96" i="21"/>
  <c r="J100" i="21"/>
  <c r="J99" i="21"/>
  <c r="J122" i="21"/>
  <c r="J87" i="21"/>
  <c r="J98" i="21"/>
  <c r="J102" i="21"/>
  <c r="J127" i="21"/>
  <c r="J89" i="21"/>
  <c r="J95" i="21"/>
  <c r="J117" i="21"/>
  <c r="J88" i="21"/>
  <c r="J90" i="21"/>
  <c r="J81" i="21"/>
  <c r="J108" i="21"/>
  <c r="J84" i="21"/>
  <c r="J125" i="21"/>
  <c r="J119" i="21"/>
  <c r="J104" i="21"/>
  <c r="J91" i="21"/>
  <c r="J97" i="21"/>
  <c r="J113" i="21"/>
  <c r="J85" i="21"/>
  <c r="J111" i="21"/>
  <c r="J112" i="21"/>
  <c r="O89" i="16"/>
  <c r="N89" i="16"/>
  <c r="I14" i="21"/>
  <c r="N14" i="21"/>
  <c r="I3" i="21"/>
  <c r="N3" i="21"/>
  <c r="M158" i="21"/>
  <c r="M159" i="21"/>
  <c r="M133" i="21"/>
  <c r="M149" i="21"/>
  <c r="M179" i="21"/>
  <c r="M176" i="21"/>
  <c r="M167" i="21"/>
  <c r="M166" i="21"/>
  <c r="M156" i="21"/>
  <c r="M137" i="21"/>
  <c r="M162" i="21"/>
  <c r="M146" i="21"/>
  <c r="M164" i="21"/>
  <c r="M165" i="21"/>
  <c r="M181" i="21"/>
  <c r="M135" i="21"/>
  <c r="M145" i="21"/>
  <c r="M138" i="21"/>
  <c r="M153" i="21"/>
  <c r="M151" i="21"/>
  <c r="M178" i="21"/>
  <c r="M169" i="21"/>
  <c r="M140" i="21"/>
  <c r="M171" i="21"/>
  <c r="M180" i="21"/>
  <c r="M157" i="21"/>
  <c r="M177" i="21"/>
  <c r="E14" i="17"/>
  <c r="AS9" i="16"/>
  <c r="AS45" i="16"/>
  <c r="N5" i="31"/>
  <c r="H14" i="17"/>
  <c r="D10" i="3"/>
  <c r="G23" i="32"/>
  <c r="G24" i="32"/>
  <c r="G18" i="32"/>
  <c r="G41" i="32"/>
  <c r="G47" i="32"/>
  <c r="I47" i="32"/>
  <c r="J47" i="32"/>
  <c r="I41" i="32"/>
  <c r="G36" i="32"/>
  <c r="J36" i="32"/>
  <c r="G30" i="32"/>
  <c r="J30" i="32"/>
  <c r="G25" i="32"/>
  <c r="J25" i="32"/>
  <c r="I18" i="32"/>
  <c r="I14" i="32"/>
  <c r="I9" i="32"/>
  <c r="G5" i="32"/>
  <c r="J5" i="32"/>
  <c r="F10" i="3"/>
  <c r="M175" i="31"/>
  <c r="M169" i="31"/>
  <c r="M177" i="31"/>
  <c r="M167" i="31"/>
  <c r="M173" i="31"/>
  <c r="M170" i="31"/>
  <c r="M144" i="21"/>
  <c r="M150" i="21"/>
  <c r="M172" i="21"/>
  <c r="M148" i="21"/>
  <c r="M132" i="21"/>
  <c r="M142" i="21"/>
  <c r="M163" i="21"/>
  <c r="M155" i="21"/>
  <c r="M160" i="21"/>
  <c r="M141" i="21"/>
  <c r="M168" i="21"/>
  <c r="C136" i="21"/>
  <c r="C132" i="21"/>
  <c r="E126" i="31"/>
  <c r="E125" i="31"/>
  <c r="E92" i="31"/>
  <c r="E121" i="31"/>
  <c r="E114" i="31"/>
  <c r="E115" i="31"/>
  <c r="E124" i="31"/>
  <c r="E91" i="31"/>
  <c r="E123" i="31"/>
  <c r="E106" i="31"/>
  <c r="E128" i="31"/>
  <c r="E118" i="31"/>
  <c r="E101" i="31"/>
  <c r="E116" i="31"/>
  <c r="E108" i="31"/>
  <c r="E102" i="31"/>
  <c r="E97" i="31"/>
  <c r="E98" i="31"/>
  <c r="E90" i="31"/>
  <c r="E85" i="31"/>
  <c r="E88" i="31"/>
  <c r="E117" i="31"/>
  <c r="E93" i="31"/>
  <c r="E96" i="31"/>
  <c r="E84" i="31"/>
  <c r="E81" i="31"/>
  <c r="E83" i="31"/>
  <c r="E110" i="31"/>
  <c r="E99" i="31"/>
  <c r="E122" i="31"/>
  <c r="Y64" i="30"/>
  <c r="AS64" i="30"/>
  <c r="G86" i="30"/>
  <c r="D89" i="30"/>
  <c r="N11" i="31"/>
  <c r="N66" i="21"/>
  <c r="I32" i="21"/>
  <c r="J110" i="21"/>
  <c r="J130" i="21"/>
  <c r="J115" i="21"/>
  <c r="J80" i="21"/>
  <c r="J103" i="21"/>
  <c r="J116" i="21"/>
  <c r="J106" i="21"/>
  <c r="J109" i="21"/>
  <c r="J123" i="21"/>
  <c r="J107" i="21"/>
  <c r="I31" i="21"/>
  <c r="N31" i="21"/>
  <c r="AS16" i="30"/>
  <c r="D127" i="21"/>
  <c r="D130" i="21"/>
  <c r="D106" i="21"/>
  <c r="D84" i="21"/>
  <c r="U13" i="3"/>
  <c r="AS57" i="30"/>
  <c r="D91" i="21"/>
  <c r="L85" i="16"/>
  <c r="D94" i="21"/>
  <c r="D108" i="21"/>
  <c r="C30" i="17"/>
  <c r="D80" i="21"/>
  <c r="D117" i="21"/>
  <c r="D97" i="21"/>
  <c r="M134" i="31"/>
  <c r="M135" i="31"/>
  <c r="AS69" i="16"/>
  <c r="B72" i="21"/>
  <c r="N72" i="21"/>
  <c r="D125" i="21"/>
  <c r="D110" i="21"/>
  <c r="D101" i="21"/>
  <c r="D122" i="21"/>
  <c r="D95" i="21"/>
  <c r="D85" i="21"/>
  <c r="D123" i="21"/>
  <c r="D107" i="21"/>
  <c r="D109" i="21"/>
  <c r="B26" i="21"/>
  <c r="N26" i="21"/>
  <c r="D111" i="21"/>
  <c r="D98" i="21"/>
  <c r="D86" i="21"/>
  <c r="D81" i="21"/>
  <c r="D90" i="21"/>
  <c r="D105" i="21"/>
  <c r="D79" i="21"/>
  <c r="D119" i="21"/>
  <c r="D116" i="21"/>
  <c r="D120" i="21"/>
  <c r="D83" i="21"/>
  <c r="D92" i="21"/>
  <c r="D126" i="21"/>
  <c r="D114" i="21"/>
  <c r="H11" i="18"/>
  <c r="D17" i="18"/>
  <c r="H42" i="17"/>
  <c r="AQ49" i="30"/>
  <c r="AS49" i="30"/>
  <c r="AQ54" i="30"/>
  <c r="AS54" i="30"/>
  <c r="J47" i="31"/>
  <c r="F34" i="31"/>
  <c r="Y55" i="30"/>
  <c r="AS55" i="30"/>
  <c r="AS39" i="16"/>
  <c r="C130" i="21"/>
  <c r="C113" i="21"/>
  <c r="C89" i="21"/>
  <c r="C93" i="21"/>
  <c r="C171" i="21"/>
  <c r="C129" i="21"/>
  <c r="B18" i="31"/>
  <c r="N18" i="31"/>
  <c r="H89" i="30"/>
  <c r="L89" i="30"/>
  <c r="AJ86" i="30"/>
  <c r="AQ44" i="30"/>
  <c r="AS44" i="30"/>
  <c r="N3" i="31"/>
  <c r="F118" i="21"/>
  <c r="Y43" i="16"/>
  <c r="AS43" i="16"/>
  <c r="P85" i="16"/>
  <c r="AS72" i="16"/>
  <c r="Y61" i="16"/>
  <c r="AS61" i="16"/>
  <c r="I77" i="31"/>
  <c r="Y18" i="30"/>
  <c r="AS18" i="30"/>
  <c r="I13" i="31"/>
  <c r="H12" i="18"/>
  <c r="E9" i="17"/>
  <c r="N32" i="31"/>
  <c r="J52" i="31"/>
  <c r="I52" i="31"/>
  <c r="AQ60" i="30"/>
  <c r="AS60" i="30"/>
  <c r="I51" i="31"/>
  <c r="H36" i="31"/>
  <c r="Y41" i="30"/>
  <c r="AS41" i="30"/>
  <c r="N55" i="31"/>
  <c r="B35" i="31"/>
  <c r="N35" i="31"/>
  <c r="Y65" i="16"/>
  <c r="AS65" i="16"/>
  <c r="C12" i="3"/>
  <c r="B69" i="31"/>
  <c r="Y56" i="30"/>
  <c r="AS56" i="30"/>
  <c r="AQ30" i="16"/>
  <c r="D116" i="31"/>
  <c r="Y62" i="30"/>
  <c r="AS62" i="30"/>
  <c r="Y75" i="30"/>
  <c r="I47" i="21"/>
  <c r="N47" i="21"/>
  <c r="G6" i="21"/>
  <c r="B6" i="21"/>
  <c r="Y11" i="16"/>
  <c r="AS11" i="16"/>
  <c r="P86" i="30"/>
  <c r="AQ63" i="30"/>
  <c r="AS63" i="30"/>
  <c r="L75" i="31"/>
  <c r="H71" i="21"/>
  <c r="B71" i="21"/>
  <c r="AQ26" i="30"/>
  <c r="I76" i="31"/>
  <c r="Y44" i="16"/>
  <c r="AS44" i="16"/>
  <c r="H39" i="21"/>
  <c r="B39" i="21"/>
  <c r="N39" i="21"/>
  <c r="L70" i="29"/>
  <c r="L66" i="29"/>
  <c r="L62" i="29"/>
  <c r="AQ75" i="30"/>
  <c r="AS75" i="30"/>
  <c r="B45" i="21"/>
  <c r="N45" i="21"/>
  <c r="B15" i="21"/>
  <c r="N15" i="21"/>
  <c r="L54" i="29"/>
  <c r="L26" i="29"/>
  <c r="L84" i="29"/>
  <c r="F14" i="18"/>
  <c r="I71" i="21"/>
  <c r="B34" i="21"/>
  <c r="N34" i="21"/>
  <c r="I14" i="31"/>
  <c r="N14" i="31"/>
  <c r="L10" i="1"/>
  <c r="L84" i="1"/>
  <c r="D14" i="18"/>
  <c r="G68" i="16"/>
  <c r="G114" i="21"/>
  <c r="G122" i="21"/>
  <c r="G124" i="21"/>
  <c r="G96" i="21"/>
  <c r="G115" i="21"/>
  <c r="G93" i="21"/>
  <c r="G79" i="21"/>
  <c r="G85" i="21"/>
  <c r="G127" i="21"/>
  <c r="E10" i="18"/>
  <c r="E13" i="18"/>
  <c r="H124" i="21"/>
  <c r="H113" i="21"/>
  <c r="H94" i="21"/>
  <c r="H100" i="21"/>
  <c r="H120" i="21"/>
  <c r="H111" i="21"/>
  <c r="H95" i="21"/>
  <c r="H93" i="21"/>
  <c r="H87" i="21"/>
  <c r="H98" i="21"/>
  <c r="H102" i="21"/>
  <c r="H81" i="21"/>
  <c r="H110" i="21"/>
  <c r="H79" i="21"/>
  <c r="H88" i="21"/>
  <c r="H109" i="21"/>
  <c r="H126" i="21"/>
  <c r="H99" i="21"/>
  <c r="H82" i="21"/>
  <c r="H103" i="21"/>
  <c r="H105" i="21"/>
  <c r="H96" i="21"/>
  <c r="H123" i="21"/>
  <c r="H117" i="21"/>
  <c r="H86" i="21"/>
  <c r="H130" i="21"/>
  <c r="H97" i="21"/>
  <c r="H85" i="21"/>
  <c r="M89" i="30"/>
  <c r="N89" i="30"/>
  <c r="O89" i="30"/>
  <c r="P89" i="30"/>
  <c r="AS30" i="16"/>
  <c r="AQ85" i="16"/>
  <c r="H89" i="21"/>
  <c r="O88" i="16"/>
  <c r="M88" i="16"/>
  <c r="N88" i="16"/>
  <c r="D132" i="21"/>
  <c r="D133" i="21"/>
  <c r="D135" i="21"/>
  <c r="D134" i="21"/>
  <c r="D136" i="21"/>
  <c r="F108" i="21"/>
  <c r="F123" i="21"/>
  <c r="E89" i="30"/>
  <c r="F89" i="30"/>
  <c r="N71" i="21"/>
  <c r="E12" i="3"/>
  <c r="F12" i="3"/>
  <c r="D9" i="3"/>
  <c r="N13" i="31"/>
  <c r="C142" i="21"/>
  <c r="C153" i="21"/>
  <c r="C156" i="21"/>
  <c r="C165" i="21"/>
  <c r="C154" i="21"/>
  <c r="C172" i="21"/>
  <c r="C141" i="21"/>
  <c r="C158" i="21"/>
  <c r="C166" i="21"/>
  <c r="C157" i="21"/>
  <c r="C155" i="21"/>
  <c r="C144" i="21"/>
  <c r="C150" i="21"/>
  <c r="C164" i="21"/>
  <c r="C170" i="21"/>
  <c r="C161" i="21"/>
  <c r="C159" i="21"/>
  <c r="I47" i="31"/>
  <c r="N47" i="31"/>
  <c r="F91" i="21"/>
  <c r="F128" i="21"/>
  <c r="N4" i="31"/>
  <c r="C167" i="21"/>
  <c r="C146" i="21"/>
  <c r="F109" i="21"/>
  <c r="F98" i="21"/>
  <c r="F126" i="21"/>
  <c r="F95" i="21"/>
  <c r="F127" i="21"/>
  <c r="F81" i="21"/>
  <c r="F115" i="21"/>
  <c r="F129" i="21"/>
  <c r="F130" i="21"/>
  <c r="F103" i="21"/>
  <c r="F88" i="21"/>
  <c r="F96" i="21"/>
  <c r="F90" i="21"/>
  <c r="F85" i="21"/>
  <c r="F106" i="21"/>
  <c r="F105" i="21"/>
  <c r="F112" i="21"/>
  <c r="F97" i="21"/>
  <c r="F87" i="21"/>
  <c r="F94" i="21"/>
  <c r="F83" i="21"/>
  <c r="F120" i="21"/>
  <c r="F92" i="21"/>
  <c r="F86" i="21"/>
  <c r="F125" i="21"/>
  <c r="F122" i="21"/>
  <c r="F114" i="21"/>
  <c r="F84" i="21"/>
  <c r="F121" i="21"/>
  <c r="F116" i="21"/>
  <c r="F80" i="21"/>
  <c r="F99" i="21"/>
  <c r="F82" i="21"/>
  <c r="F79" i="21"/>
  <c r="F102" i="21"/>
  <c r="F113" i="21"/>
  <c r="F117" i="21"/>
  <c r="F101" i="21"/>
  <c r="F119" i="21"/>
  <c r="I75" i="31"/>
  <c r="N75" i="31"/>
  <c r="L90" i="30"/>
  <c r="L91" i="30"/>
  <c r="V14" i="3"/>
  <c r="H17" i="18"/>
  <c r="C16" i="3"/>
  <c r="H30" i="17"/>
  <c r="H88" i="16"/>
  <c r="J88" i="16"/>
  <c r="I88" i="16"/>
  <c r="K88" i="16"/>
  <c r="L89" i="16"/>
  <c r="L91" i="16"/>
  <c r="F124" i="21"/>
  <c r="F100" i="21"/>
  <c r="F111" i="21"/>
  <c r="C147" i="21"/>
  <c r="C169" i="21"/>
  <c r="C145" i="21"/>
  <c r="G85" i="16"/>
  <c r="Y68" i="16"/>
  <c r="AS68" i="16"/>
  <c r="H104" i="21"/>
  <c r="B36" i="31"/>
  <c r="N36" i="31"/>
  <c r="F87" i="31"/>
  <c r="F113" i="31"/>
  <c r="F102" i="31"/>
  <c r="F81" i="31"/>
  <c r="F125" i="31"/>
  <c r="F109" i="31"/>
  <c r="F100" i="31"/>
  <c r="F119" i="31"/>
  <c r="F117" i="31"/>
  <c r="F123" i="31"/>
  <c r="F128" i="31"/>
  <c r="F105" i="31"/>
  <c r="F97" i="31"/>
  <c r="B34" i="31"/>
  <c r="N34" i="31"/>
  <c r="F92" i="31"/>
  <c r="F82" i="31"/>
  <c r="F93" i="31"/>
  <c r="F85" i="31"/>
  <c r="F120" i="31"/>
  <c r="F106" i="31"/>
  <c r="F99" i="31"/>
  <c r="F122" i="31"/>
  <c r="F83" i="31"/>
  <c r="F115" i="31"/>
  <c r="F84" i="31"/>
  <c r="F118" i="31"/>
  <c r="F95" i="31"/>
  <c r="F86" i="31"/>
  <c r="F98" i="31"/>
  <c r="F111" i="31"/>
  <c r="F121" i="31"/>
  <c r="F108" i="31"/>
  <c r="F124" i="31"/>
  <c r="F94" i="31"/>
  <c r="F79" i="31"/>
  <c r="F96" i="31"/>
  <c r="F112" i="31"/>
  <c r="F110" i="31"/>
  <c r="F80" i="31"/>
  <c r="C10" i="5"/>
  <c r="F107" i="31"/>
  <c r="F88" i="31"/>
  <c r="F129" i="31"/>
  <c r="F90" i="31"/>
  <c r="F103" i="31"/>
  <c r="F89" i="31"/>
  <c r="F130" i="31"/>
  <c r="F91" i="31"/>
  <c r="F151" i="31"/>
  <c r="F114" i="31"/>
  <c r="F116" i="31"/>
  <c r="F101" i="31"/>
  <c r="F126" i="31"/>
  <c r="F104" i="31"/>
  <c r="F127" i="31"/>
  <c r="E11" i="18"/>
  <c r="F110" i="21"/>
  <c r="F93" i="21"/>
  <c r="F107" i="21"/>
  <c r="E132" i="31"/>
  <c r="C160" i="21"/>
  <c r="C162" i="21"/>
  <c r="L90" i="16"/>
  <c r="G89" i="30"/>
  <c r="D88" i="16"/>
  <c r="E88" i="16"/>
  <c r="F88" i="16"/>
  <c r="G88" i="16"/>
  <c r="N6" i="21"/>
  <c r="E16" i="3"/>
  <c r="F16" i="3"/>
  <c r="F135" i="21"/>
  <c r="F136" i="21"/>
  <c r="F137" i="21"/>
  <c r="F138" i="21"/>
  <c r="F132" i="21"/>
  <c r="F139" i="21"/>
  <c r="F133" i="21"/>
  <c r="F134" i="21"/>
  <c r="P88" i="16"/>
  <c r="L92" i="30"/>
  <c r="F176" i="31"/>
  <c r="F165" i="31"/>
  <c r="F178" i="31"/>
  <c r="F154" i="31"/>
  <c r="F140" i="31"/>
  <c r="F171" i="31"/>
  <c r="F132" i="31"/>
  <c r="F175" i="31"/>
  <c r="F156" i="31"/>
  <c r="F145" i="31"/>
  <c r="F159" i="31"/>
  <c r="F144" i="31"/>
  <c r="F153" i="31"/>
  <c r="F180" i="31"/>
  <c r="F155" i="31"/>
  <c r="F142" i="31"/>
  <c r="F161" i="31"/>
  <c r="F166" i="31"/>
  <c r="F158" i="31"/>
  <c r="F150" i="31"/>
  <c r="F138" i="31"/>
  <c r="F147" i="31"/>
  <c r="F139" i="31"/>
  <c r="F170" i="31"/>
  <c r="F167" i="31"/>
  <c r="F177" i="31"/>
  <c r="F135" i="31"/>
  <c r="F141" i="31"/>
  <c r="F137" i="31"/>
  <c r="F134" i="31"/>
  <c r="F173" i="31"/>
  <c r="F172" i="31"/>
  <c r="F143" i="31"/>
  <c r="F146" i="31"/>
  <c r="F163" i="31"/>
  <c r="F179" i="31"/>
  <c r="F164" i="31"/>
  <c r="F136" i="31"/>
  <c r="F133" i="31"/>
  <c r="F174" i="31"/>
  <c r="F168" i="31"/>
  <c r="L88" i="16"/>
  <c r="H132" i="21"/>
  <c r="H133" i="21"/>
  <c r="G14" i="18"/>
  <c r="G13" i="18"/>
  <c r="G11" i="18"/>
  <c r="G5" i="18"/>
  <c r="G9" i="18"/>
  <c r="G12" i="18"/>
  <c r="G7" i="18"/>
  <c r="G10" i="18"/>
  <c r="G8" i="18"/>
  <c r="F149" i="31"/>
  <c r="F152" i="31"/>
  <c r="F181" i="31"/>
  <c r="F162" i="31"/>
  <c r="F169" i="31"/>
  <c r="F148" i="31"/>
  <c r="F157" i="31"/>
  <c r="F160" i="31"/>
  <c r="E14" i="18"/>
  <c r="E7" i="18"/>
  <c r="F89" i="21"/>
  <c r="F104" i="21"/>
  <c r="G6" i="18"/>
  <c r="H6" i="18"/>
  <c r="D19" i="3"/>
  <c r="H46" i="17"/>
  <c r="C18" i="17"/>
  <c r="H20" i="17"/>
  <c r="F18" i="18"/>
  <c r="U15" i="3"/>
  <c r="Y11" i="3"/>
  <c r="N48" i="31"/>
  <c r="B10" i="31"/>
  <c r="N10" i="31"/>
  <c r="N15" i="31"/>
  <c r="H7" i="18"/>
  <c r="B29" i="31"/>
  <c r="N29" i="31"/>
  <c r="B41" i="31"/>
  <c r="N41" i="31"/>
  <c r="B57" i="31"/>
  <c r="N57" i="31"/>
  <c r="D137" i="21"/>
  <c r="M134" i="21"/>
  <c r="M170" i="21"/>
  <c r="M147" i="21"/>
  <c r="M152" i="21"/>
  <c r="M174" i="21"/>
  <c r="M143" i="21"/>
  <c r="M173" i="21"/>
  <c r="M136" i="21"/>
  <c r="M161" i="21"/>
  <c r="M139" i="21"/>
  <c r="M175" i="21"/>
  <c r="M143" i="31"/>
  <c r="M181" i="31"/>
  <c r="M174" i="31"/>
  <c r="M172" i="31"/>
  <c r="B22" i="21"/>
  <c r="H122" i="21"/>
  <c r="H80" i="21"/>
  <c r="H118" i="21"/>
  <c r="H129" i="21"/>
  <c r="H83" i="21"/>
  <c r="H107" i="21"/>
  <c r="H115" i="21"/>
  <c r="H90" i="21"/>
  <c r="H119" i="21"/>
  <c r="H92" i="21"/>
  <c r="H121" i="21"/>
  <c r="H125" i="21"/>
  <c r="H91" i="21"/>
  <c r="I7" i="31"/>
  <c r="K118" i="31"/>
  <c r="K99" i="31"/>
  <c r="K85" i="31"/>
  <c r="K129" i="31"/>
  <c r="K80" i="31"/>
  <c r="C16" i="5"/>
  <c r="K114" i="31"/>
  <c r="K112" i="31"/>
  <c r="K96" i="31"/>
  <c r="K84" i="31"/>
  <c r="K101" i="31"/>
  <c r="K81" i="31"/>
  <c r="K94" i="31"/>
  <c r="K104" i="31"/>
  <c r="K178" i="31"/>
  <c r="C9" i="17"/>
  <c r="H11" i="17"/>
  <c r="E8" i="18"/>
  <c r="E9" i="18"/>
  <c r="G123" i="21"/>
  <c r="G106" i="21"/>
  <c r="G128" i="21"/>
  <c r="G101" i="21"/>
  <c r="G80" i="21"/>
  <c r="G99" i="21"/>
  <c r="G105" i="21"/>
  <c r="G100" i="21"/>
  <c r="G90" i="21"/>
  <c r="G91" i="21"/>
  <c r="C137" i="21"/>
  <c r="I56" i="31"/>
  <c r="N56" i="31"/>
  <c r="N61" i="31"/>
  <c r="N26" i="31"/>
  <c r="N9" i="31"/>
  <c r="I68" i="31"/>
  <c r="I20" i="31"/>
  <c r="B68" i="31"/>
  <c r="N12" i="31"/>
  <c r="N43" i="31"/>
  <c r="B49" i="31"/>
  <c r="N49" i="31"/>
  <c r="N40" i="31"/>
  <c r="K166" i="31"/>
  <c r="K143" i="31"/>
  <c r="K180" i="31"/>
  <c r="K144" i="31"/>
  <c r="K134" i="31"/>
  <c r="K173" i="31"/>
  <c r="H45" i="17"/>
  <c r="C41" i="17"/>
  <c r="H127" i="21"/>
  <c r="H128" i="21"/>
  <c r="H84" i="21"/>
  <c r="H106" i="21"/>
  <c r="H101" i="21"/>
  <c r="H114" i="21"/>
  <c r="H108" i="21"/>
  <c r="H116" i="21"/>
  <c r="H112" i="21"/>
  <c r="E5" i="18"/>
  <c r="H14" i="18"/>
  <c r="G126" i="21"/>
  <c r="G125" i="21"/>
  <c r="G130" i="21"/>
  <c r="G119" i="21"/>
  <c r="G108" i="21"/>
  <c r="G116" i="21"/>
  <c r="G87" i="21"/>
  <c r="G111" i="21"/>
  <c r="G88" i="21"/>
  <c r="G95" i="21"/>
  <c r="G118" i="21"/>
  <c r="N52" i="31"/>
  <c r="N42" i="21"/>
  <c r="AS13" i="16"/>
  <c r="N63" i="31"/>
  <c r="M160" i="31"/>
  <c r="I39" i="31"/>
  <c r="N39" i="31"/>
  <c r="E10" i="3"/>
  <c r="AS47" i="16"/>
  <c r="I16" i="31"/>
  <c r="N16" i="31"/>
  <c r="I37" i="31"/>
  <c r="H12" i="17"/>
  <c r="N76" i="31"/>
  <c r="J128" i="21"/>
  <c r="J82" i="21"/>
  <c r="J126" i="21"/>
  <c r="J114" i="21"/>
  <c r="J93" i="21"/>
  <c r="J83" i="21"/>
  <c r="J94" i="21"/>
  <c r="J105" i="21"/>
  <c r="J120" i="21"/>
  <c r="J79" i="21"/>
  <c r="J92" i="21"/>
  <c r="J124" i="21"/>
  <c r="J121" i="21"/>
  <c r="C168" i="21"/>
  <c r="C143" i="21"/>
  <c r="C148" i="21"/>
  <c r="C149" i="21"/>
  <c r="C163" i="21"/>
  <c r="C151" i="21"/>
  <c r="C152" i="21"/>
  <c r="C140" i="21"/>
  <c r="B23" i="21"/>
  <c r="N23" i="21"/>
  <c r="H6" i="17"/>
  <c r="E5" i="17"/>
  <c r="D16" i="18"/>
  <c r="H9" i="18"/>
  <c r="E105" i="31"/>
  <c r="E107" i="31"/>
  <c r="E130" i="31"/>
  <c r="E94" i="31"/>
  <c r="E104" i="31"/>
  <c r="E127" i="31"/>
  <c r="E95" i="31"/>
  <c r="E89" i="31"/>
  <c r="E100" i="31"/>
  <c r="E82" i="31"/>
  <c r="E113" i="31"/>
  <c r="E87" i="31"/>
  <c r="E80" i="31"/>
  <c r="C9" i="5"/>
  <c r="B2" i="31"/>
  <c r="C36" i="17"/>
  <c r="H39" i="17"/>
  <c r="E6" i="18"/>
  <c r="E12" i="18"/>
  <c r="G82" i="21"/>
  <c r="G98" i="21"/>
  <c r="G121" i="21"/>
  <c r="G129" i="21"/>
  <c r="G113" i="21"/>
  <c r="G104" i="21"/>
  <c r="G89" i="21"/>
  <c r="G103" i="21"/>
  <c r="G117" i="21"/>
  <c r="G83" i="21"/>
  <c r="N37" i="31"/>
  <c r="N32" i="21"/>
  <c r="N8" i="21"/>
  <c r="N51" i="31"/>
  <c r="B30" i="31"/>
  <c r="N30" i="31"/>
  <c r="N60" i="31"/>
  <c r="B17" i="31"/>
  <c r="N17" i="31"/>
  <c r="N59" i="31"/>
  <c r="B22" i="31"/>
  <c r="N22" i="31"/>
  <c r="B66" i="31"/>
  <c r="C8" i="17"/>
  <c r="H8" i="17"/>
  <c r="D90" i="30"/>
  <c r="Y71" i="16"/>
  <c r="AS71" i="16"/>
  <c r="AQ66" i="30"/>
  <c r="AS66" i="30"/>
  <c r="Y23" i="30"/>
  <c r="AS23" i="30"/>
  <c r="H24" i="31"/>
  <c r="H119" i="31"/>
  <c r="D89" i="16"/>
  <c r="L61" i="21"/>
  <c r="O90" i="30"/>
  <c r="B68" i="21"/>
  <c r="N68" i="21"/>
  <c r="AQ81" i="30"/>
  <c r="AS81" i="30"/>
  <c r="J70" i="31"/>
  <c r="I70" i="31"/>
  <c r="N70" i="31"/>
  <c r="AQ13" i="30"/>
  <c r="B20" i="31"/>
  <c r="N20" i="31"/>
  <c r="Y78" i="30"/>
  <c r="AS78" i="30"/>
  <c r="B77" i="31"/>
  <c r="N77" i="31"/>
  <c r="B23" i="31"/>
  <c r="N23" i="31"/>
  <c r="B42" i="31"/>
  <c r="B71" i="31"/>
  <c r="N71" i="31"/>
  <c r="L53" i="31"/>
  <c r="I25" i="21"/>
  <c r="I36" i="21"/>
  <c r="N36" i="21"/>
  <c r="E36" i="17"/>
  <c r="I50" i="31"/>
  <c r="N50" i="31"/>
  <c r="B7" i="31"/>
  <c r="N7" i="31"/>
  <c r="Y69" i="30"/>
  <c r="AS69" i="30"/>
  <c r="G62" i="31"/>
  <c r="B62" i="31"/>
  <c r="N62" i="31"/>
  <c r="G102" i="21"/>
  <c r="G107" i="21"/>
  <c r="G81" i="21"/>
  <c r="G110" i="21"/>
  <c r="G120" i="21"/>
  <c r="G92" i="21"/>
  <c r="G112" i="21"/>
  <c r="G97" i="21"/>
  <c r="G94" i="21"/>
  <c r="G86" i="21"/>
  <c r="G109" i="21"/>
  <c r="G84" i="21"/>
  <c r="M159" i="31"/>
  <c r="M156" i="31"/>
  <c r="D82" i="31"/>
  <c r="D134" i="31"/>
  <c r="M139" i="31"/>
  <c r="M157" i="31"/>
  <c r="M161" i="31"/>
  <c r="M147" i="31"/>
  <c r="M158" i="31"/>
  <c r="M165" i="31"/>
  <c r="C87" i="31"/>
  <c r="C148" i="31"/>
  <c r="C138" i="31"/>
  <c r="E27" i="21"/>
  <c r="E94" i="21"/>
  <c r="K41" i="21"/>
  <c r="K112" i="21"/>
  <c r="D87" i="21"/>
  <c r="D140" i="21"/>
  <c r="Y27" i="16"/>
  <c r="Y26" i="30"/>
  <c r="AS26" i="30"/>
  <c r="C122" i="21"/>
  <c r="D88" i="31"/>
  <c r="D140" i="31"/>
  <c r="D119" i="31"/>
  <c r="D118" i="31"/>
  <c r="D113" i="31"/>
  <c r="D126" i="31"/>
  <c r="Y72" i="30"/>
  <c r="AS72" i="30"/>
  <c r="D128" i="31"/>
  <c r="Y80" i="30"/>
  <c r="AS80" i="30"/>
  <c r="C116" i="31"/>
  <c r="C100" i="31"/>
  <c r="C151" i="31"/>
  <c r="C110" i="31"/>
  <c r="C120" i="31"/>
  <c r="C181" i="31"/>
  <c r="AQ42" i="30"/>
  <c r="AS42" i="30"/>
  <c r="C80" i="31"/>
  <c r="C7" i="5"/>
  <c r="D97" i="31"/>
  <c r="Y10" i="30"/>
  <c r="G72" i="31"/>
  <c r="B72" i="31"/>
  <c r="N72" i="31"/>
  <c r="I66" i="31"/>
  <c r="D104" i="31"/>
  <c r="I69" i="31"/>
  <c r="N69" i="31"/>
  <c r="G19" i="31"/>
  <c r="G91" i="31"/>
  <c r="Y25" i="30"/>
  <c r="AS25" i="30"/>
  <c r="J42" i="31"/>
  <c r="AQ47" i="30"/>
  <c r="AS47" i="30"/>
  <c r="Y31" i="30"/>
  <c r="AS31" i="30"/>
  <c r="I6" i="31"/>
  <c r="N6" i="31"/>
  <c r="B27" i="31"/>
  <c r="N27" i="31"/>
  <c r="I42" i="31"/>
  <c r="J100" i="31"/>
  <c r="J81" i="31"/>
  <c r="J130" i="31"/>
  <c r="J86" i="31"/>
  <c r="J97" i="31"/>
  <c r="J112" i="31"/>
  <c r="J106" i="31"/>
  <c r="J111" i="31"/>
  <c r="J80" i="31"/>
  <c r="C15" i="5"/>
  <c r="J117" i="31"/>
  <c r="J85" i="31"/>
  <c r="J84" i="31"/>
  <c r="J128" i="31"/>
  <c r="J118" i="31"/>
  <c r="J115" i="31"/>
  <c r="J114" i="31"/>
  <c r="J120" i="31"/>
  <c r="J105" i="31"/>
  <c r="J89" i="31"/>
  <c r="J119" i="31"/>
  <c r="J99" i="31"/>
  <c r="J122" i="31"/>
  <c r="J113" i="31"/>
  <c r="J79" i="31"/>
  <c r="J127" i="31"/>
  <c r="J129" i="31"/>
  <c r="J91" i="31"/>
  <c r="J107" i="31"/>
  <c r="J121" i="31"/>
  <c r="J83" i="31"/>
  <c r="J88" i="31"/>
  <c r="J123" i="31"/>
  <c r="J110" i="31"/>
  <c r="J104" i="31"/>
  <c r="J126" i="31"/>
  <c r="J108" i="31"/>
  <c r="J94" i="31"/>
  <c r="J82" i="31"/>
  <c r="J116" i="31"/>
  <c r="L113" i="31"/>
  <c r="L94" i="31"/>
  <c r="L79" i="31"/>
  <c r="L103" i="31"/>
  <c r="L90" i="31"/>
  <c r="L108" i="31"/>
  <c r="L96" i="31"/>
  <c r="L125" i="31"/>
  <c r="L118" i="31"/>
  <c r="L80" i="31"/>
  <c r="C17" i="5"/>
  <c r="L101" i="31"/>
  <c r="L102" i="31"/>
  <c r="L105" i="31"/>
  <c r="L124" i="31"/>
  <c r="L128" i="31"/>
  <c r="L119" i="31"/>
  <c r="L107" i="31"/>
  <c r="L100" i="31"/>
  <c r="L89" i="31"/>
  <c r="L92" i="31"/>
  <c r="L99" i="31"/>
  <c r="L126" i="31"/>
  <c r="L129" i="31"/>
  <c r="L123" i="31"/>
  <c r="L95" i="31"/>
  <c r="L130" i="31"/>
  <c r="L127" i="31"/>
  <c r="L85" i="31"/>
  <c r="L115" i="31"/>
  <c r="L97" i="31"/>
  <c r="L110" i="31"/>
  <c r="L111" i="31"/>
  <c r="L88" i="31"/>
  <c r="L87" i="31"/>
  <c r="L106" i="31"/>
  <c r="L104" i="31"/>
  <c r="L93" i="31"/>
  <c r="L109" i="31"/>
  <c r="L86" i="31"/>
  <c r="I61" i="21"/>
  <c r="N61" i="21"/>
  <c r="L84" i="21"/>
  <c r="L85" i="21"/>
  <c r="L96" i="21"/>
  <c r="L82" i="21"/>
  <c r="L88" i="21"/>
  <c r="L80" i="21"/>
  <c r="L109" i="21"/>
  <c r="L116" i="21"/>
  <c r="L99" i="21"/>
  <c r="L102" i="21"/>
  <c r="L122" i="21"/>
  <c r="L127" i="21"/>
  <c r="L81" i="21"/>
  <c r="L86" i="21"/>
  <c r="L97" i="21"/>
  <c r="L115" i="21"/>
  <c r="L112" i="21"/>
  <c r="L94" i="21"/>
  <c r="L104" i="21"/>
  <c r="L129" i="21"/>
  <c r="L101" i="21"/>
  <c r="L83" i="21"/>
  <c r="L108" i="21"/>
  <c r="L98" i="21"/>
  <c r="L87" i="21"/>
  <c r="L119" i="21"/>
  <c r="L105" i="21"/>
  <c r="L106" i="21"/>
  <c r="L91" i="21"/>
  <c r="L93" i="21"/>
  <c r="L113" i="21"/>
  <c r="L126" i="21"/>
  <c r="L118" i="21"/>
  <c r="L123" i="21"/>
  <c r="L128" i="21"/>
  <c r="L124" i="21"/>
  <c r="L111" i="21"/>
  <c r="L90" i="21"/>
  <c r="L110" i="21"/>
  <c r="L95" i="21"/>
  <c r="V13" i="3"/>
  <c r="H16" i="18"/>
  <c r="D18" i="18"/>
  <c r="C11" i="3"/>
  <c r="H18" i="17"/>
  <c r="N66" i="31"/>
  <c r="J98" i="31"/>
  <c r="J87" i="31"/>
  <c r="J109" i="31"/>
  <c r="L120" i="31"/>
  <c r="L112" i="31"/>
  <c r="L98" i="31"/>
  <c r="L117" i="21"/>
  <c r="L89" i="21"/>
  <c r="L121" i="21"/>
  <c r="E118" i="21"/>
  <c r="E105" i="21"/>
  <c r="E121" i="21"/>
  <c r="E85" i="21"/>
  <c r="G84" i="31"/>
  <c r="G112" i="31"/>
  <c r="G101" i="31"/>
  <c r="K165" i="31"/>
  <c r="K163" i="31"/>
  <c r="K108" i="21"/>
  <c r="K119" i="21"/>
  <c r="K111" i="21"/>
  <c r="K113" i="21"/>
  <c r="D159" i="21"/>
  <c r="D171" i="21"/>
  <c r="H103" i="31"/>
  <c r="D147" i="21"/>
  <c r="D181" i="21"/>
  <c r="D176" i="21"/>
  <c r="D170" i="21"/>
  <c r="D175" i="21"/>
  <c r="D149" i="21"/>
  <c r="D162" i="21"/>
  <c r="D180" i="21"/>
  <c r="D145" i="21"/>
  <c r="D142" i="21"/>
  <c r="D173" i="21"/>
  <c r="D158" i="21"/>
  <c r="D156" i="21"/>
  <c r="D154" i="21"/>
  <c r="D155" i="21"/>
  <c r="D172" i="21"/>
  <c r="D179" i="21"/>
  <c r="D139" i="21"/>
  <c r="D153" i="21"/>
  <c r="D160" i="21"/>
  <c r="D177" i="21"/>
  <c r="D141" i="21"/>
  <c r="D164" i="21"/>
  <c r="D152" i="21"/>
  <c r="D166" i="21"/>
  <c r="D174" i="21"/>
  <c r="D178" i="21"/>
  <c r="D169" i="21"/>
  <c r="D168" i="21"/>
  <c r="D151" i="21"/>
  <c r="D144" i="21"/>
  <c r="D165" i="21"/>
  <c r="D146" i="21"/>
  <c r="AS10" i="30"/>
  <c r="Y86" i="30"/>
  <c r="D172" i="31"/>
  <c r="D149" i="31"/>
  <c r="D157" i="31"/>
  <c r="D160" i="31"/>
  <c r="D156" i="31"/>
  <c r="D142" i="31"/>
  <c r="D152" i="31"/>
  <c r="D154" i="31"/>
  <c r="D167" i="31"/>
  <c r="D169" i="31"/>
  <c r="D180" i="31"/>
  <c r="D163" i="31"/>
  <c r="D153" i="31"/>
  <c r="D146" i="31"/>
  <c r="D161" i="31"/>
  <c r="D164" i="31"/>
  <c r="D179" i="31"/>
  <c r="D176" i="31"/>
  <c r="D170" i="31"/>
  <c r="D175" i="31"/>
  <c r="D174" i="31"/>
  <c r="D145" i="31"/>
  <c r="D138" i="31"/>
  <c r="D135" i="31"/>
  <c r="D133" i="31"/>
  <c r="D147" i="31"/>
  <c r="D150" i="31"/>
  <c r="D181" i="31"/>
  <c r="D173" i="31"/>
  <c r="D177" i="31"/>
  <c r="D165" i="31"/>
  <c r="D136" i="31"/>
  <c r="D141" i="31"/>
  <c r="D137" i="31"/>
  <c r="D148" i="31"/>
  <c r="D162" i="31"/>
  <c r="D166" i="31"/>
  <c r="D171" i="31"/>
  <c r="D178" i="31"/>
  <c r="D168" i="31"/>
  <c r="AS27" i="16"/>
  <c r="Y85" i="16"/>
  <c r="N25" i="21"/>
  <c r="AS13" i="30"/>
  <c r="AQ86" i="30"/>
  <c r="N2" i="31"/>
  <c r="E148" i="31"/>
  <c r="E143" i="31"/>
  <c r="E153" i="31"/>
  <c r="E158" i="31"/>
  <c r="E133" i="31"/>
  <c r="E142" i="31"/>
  <c r="E175" i="31"/>
  <c r="E166" i="31"/>
  <c r="E138" i="31"/>
  <c r="E176" i="31"/>
  <c r="E135" i="31"/>
  <c r="E177" i="31"/>
  <c r="E152" i="31"/>
  <c r="E146" i="31"/>
  <c r="E162" i="31"/>
  <c r="E156" i="31"/>
  <c r="E171" i="31"/>
  <c r="E149" i="31"/>
  <c r="E144" i="31"/>
  <c r="E161" i="31"/>
  <c r="E136" i="31"/>
  <c r="E163" i="31"/>
  <c r="E155" i="31"/>
  <c r="E165" i="31"/>
  <c r="E154" i="31"/>
  <c r="E167" i="31"/>
  <c r="E157" i="31"/>
  <c r="E141" i="31"/>
  <c r="E170" i="31"/>
  <c r="E151" i="31"/>
  <c r="E159" i="31"/>
  <c r="E168" i="31"/>
  <c r="E169" i="31"/>
  <c r="E160" i="31"/>
  <c r="E180" i="31"/>
  <c r="E147" i="31"/>
  <c r="E173" i="31"/>
  <c r="E137" i="31"/>
  <c r="E145" i="31"/>
  <c r="E139" i="31"/>
  <c r="E181" i="31"/>
  <c r="E134" i="31"/>
  <c r="E178" i="31"/>
  <c r="E164" i="31"/>
  <c r="E140" i="31"/>
  <c r="E174" i="31"/>
  <c r="E172" i="31"/>
  <c r="E179" i="31"/>
  <c r="E150" i="31"/>
  <c r="AS85" i="16"/>
  <c r="AV6" i="16"/>
  <c r="H9" i="17"/>
  <c r="C9" i="3"/>
  <c r="N22" i="21"/>
  <c r="B27" i="21"/>
  <c r="N27" i="21"/>
  <c r="I41" i="21"/>
  <c r="N41" i="21"/>
  <c r="N90" i="21"/>
  <c r="C175" i="31"/>
  <c r="D158" i="31"/>
  <c r="C157" i="31"/>
  <c r="C147" i="31"/>
  <c r="D144" i="31"/>
  <c r="C164" i="31"/>
  <c r="D143" i="31"/>
  <c r="J93" i="31"/>
  <c r="J101" i="31"/>
  <c r="J96" i="31"/>
  <c r="L83" i="31"/>
  <c r="L122" i="31"/>
  <c r="L81" i="31"/>
  <c r="L114" i="21"/>
  <c r="L130" i="21"/>
  <c r="L107" i="21"/>
  <c r="E83" i="21"/>
  <c r="E130" i="21"/>
  <c r="E108" i="21"/>
  <c r="G103" i="31"/>
  <c r="G97" i="31"/>
  <c r="K176" i="31"/>
  <c r="K161" i="31"/>
  <c r="N68" i="31"/>
  <c r="K126" i="21"/>
  <c r="K92" i="21"/>
  <c r="K100" i="21"/>
  <c r="D167" i="21"/>
  <c r="D150" i="21"/>
  <c r="D143" i="21"/>
  <c r="G100" i="31"/>
  <c r="G127" i="31"/>
  <c r="G119" i="31"/>
  <c r="G82" i="31"/>
  <c r="G96" i="31"/>
  <c r="G104" i="31"/>
  <c r="G90" i="31"/>
  <c r="G118" i="31"/>
  <c r="G129" i="31"/>
  <c r="G102" i="31"/>
  <c r="G123" i="31"/>
  <c r="G86" i="31"/>
  <c r="G111" i="31"/>
  <c r="G106" i="31"/>
  <c r="G79" i="31"/>
  <c r="G92" i="31"/>
  <c r="G110" i="31"/>
  <c r="G122" i="31"/>
  <c r="G107" i="31"/>
  <c r="G125" i="31"/>
  <c r="G85" i="31"/>
  <c r="G128" i="31"/>
  <c r="G93" i="31"/>
  <c r="G88" i="31"/>
  <c r="G121" i="31"/>
  <c r="G98" i="31"/>
  <c r="G114" i="31"/>
  <c r="G130" i="31"/>
  <c r="G80" i="31"/>
  <c r="C11" i="5"/>
  <c r="G124" i="31"/>
  <c r="G87" i="31"/>
  <c r="G94" i="31"/>
  <c r="G120" i="31"/>
  <c r="G99" i="31"/>
  <c r="G81" i="31"/>
  <c r="G109" i="31"/>
  <c r="G113" i="31"/>
  <c r="G115" i="31"/>
  <c r="G117" i="31"/>
  <c r="G105" i="31"/>
  <c r="C150" i="31"/>
  <c r="C161" i="31"/>
  <c r="C165" i="31"/>
  <c r="C180" i="31"/>
  <c r="C169" i="31"/>
  <c r="C179" i="31"/>
  <c r="C166" i="31"/>
  <c r="C142" i="31"/>
  <c r="C163" i="31"/>
  <c r="C140" i="31"/>
  <c r="C145" i="31"/>
  <c r="C144" i="31"/>
  <c r="C173" i="31"/>
  <c r="C174" i="31"/>
  <c r="C160" i="31"/>
  <c r="C162" i="31"/>
  <c r="C146" i="31"/>
  <c r="C143" i="31"/>
  <c r="C172" i="31"/>
  <c r="C170" i="31"/>
  <c r="C168" i="31"/>
  <c r="C156" i="31"/>
  <c r="C167" i="31"/>
  <c r="C158" i="31"/>
  <c r="C149" i="31"/>
  <c r="C139" i="31"/>
  <c r="C154" i="31"/>
  <c r="C141" i="31"/>
  <c r="C152" i="31"/>
  <c r="C177" i="31"/>
  <c r="C171" i="31"/>
  <c r="C176" i="31"/>
  <c r="C155" i="31"/>
  <c r="N129" i="21"/>
  <c r="E102" i="21"/>
  <c r="E104" i="21"/>
  <c r="E97" i="21"/>
  <c r="E103" i="21"/>
  <c r="E124" i="21"/>
  <c r="E110" i="21"/>
  <c r="E95" i="21"/>
  <c r="E99" i="21"/>
  <c r="E112" i="21"/>
  <c r="E80" i="21"/>
  <c r="E82" i="21"/>
  <c r="E88" i="21"/>
  <c r="E111" i="21"/>
  <c r="E123" i="21"/>
  <c r="E126" i="21"/>
  <c r="E114" i="21"/>
  <c r="E81" i="21"/>
  <c r="E128" i="21"/>
  <c r="E122" i="21"/>
  <c r="E117" i="21"/>
  <c r="E129" i="21"/>
  <c r="E101" i="21"/>
  <c r="E113" i="21"/>
  <c r="E127" i="21"/>
  <c r="E115" i="21"/>
  <c r="E93" i="21"/>
  <c r="E119" i="21"/>
  <c r="E91" i="21"/>
  <c r="E84" i="21"/>
  <c r="E116" i="21"/>
  <c r="E86" i="21"/>
  <c r="E87" i="21"/>
  <c r="E107" i="21"/>
  <c r="E100" i="21"/>
  <c r="E89" i="21"/>
  <c r="E109" i="21"/>
  <c r="E106" i="21"/>
  <c r="E120" i="21"/>
  <c r="E90" i="21"/>
  <c r="G146" i="21"/>
  <c r="G172" i="21"/>
  <c r="G150" i="21"/>
  <c r="G145" i="21"/>
  <c r="G144" i="21"/>
  <c r="G155" i="21"/>
  <c r="G152" i="21"/>
  <c r="G159" i="21"/>
  <c r="G168" i="21"/>
  <c r="G169" i="21"/>
  <c r="G165" i="21"/>
  <c r="G153" i="21"/>
  <c r="G154" i="21"/>
  <c r="G134" i="21"/>
  <c r="G140" i="21"/>
  <c r="G133" i="21"/>
  <c r="G136" i="21"/>
  <c r="G181" i="21"/>
  <c r="G164" i="21"/>
  <c r="G167" i="21"/>
  <c r="G143" i="21"/>
  <c r="G151" i="21"/>
  <c r="G137" i="21"/>
  <c r="G160" i="21"/>
  <c r="G162" i="21"/>
  <c r="G177" i="21"/>
  <c r="G175" i="21"/>
  <c r="G149" i="21"/>
  <c r="G161" i="21"/>
  <c r="G174" i="21"/>
  <c r="G180" i="21"/>
  <c r="G142" i="21"/>
  <c r="G176" i="21"/>
  <c r="G163" i="21"/>
  <c r="G157" i="21"/>
  <c r="G158" i="21"/>
  <c r="G173" i="21"/>
  <c r="G135" i="21"/>
  <c r="G156" i="21"/>
  <c r="G166" i="21"/>
  <c r="G171" i="21"/>
  <c r="G132" i="21"/>
  <c r="G170" i="21"/>
  <c r="G179" i="21"/>
  <c r="G141" i="21"/>
  <c r="G148" i="21"/>
  <c r="G138" i="21"/>
  <c r="G147" i="21"/>
  <c r="G178" i="21"/>
  <c r="G139" i="21"/>
  <c r="B24" i="31"/>
  <c r="N24" i="31"/>
  <c r="H100" i="31"/>
  <c r="H122" i="31"/>
  <c r="H94" i="31"/>
  <c r="H129" i="31"/>
  <c r="H95" i="31"/>
  <c r="H110" i="31"/>
  <c r="H106" i="31"/>
  <c r="H126" i="31"/>
  <c r="H118" i="31"/>
  <c r="H107" i="31"/>
  <c r="H87" i="31"/>
  <c r="H101" i="31"/>
  <c r="H111" i="31"/>
  <c r="H79" i="31"/>
  <c r="H81" i="31"/>
  <c r="H121" i="31"/>
  <c r="H112" i="31"/>
  <c r="H96" i="31"/>
  <c r="H102" i="31"/>
  <c r="H90" i="31"/>
  <c r="H98" i="31"/>
  <c r="H115" i="31"/>
  <c r="H86" i="31"/>
  <c r="H109" i="31"/>
  <c r="H97" i="31"/>
  <c r="H124" i="31"/>
  <c r="H82" i="31"/>
  <c r="H104" i="31"/>
  <c r="H84" i="31"/>
  <c r="H88" i="31"/>
  <c r="H108" i="31"/>
  <c r="H99" i="31"/>
  <c r="H85" i="31"/>
  <c r="H117" i="31"/>
  <c r="H130" i="31"/>
  <c r="H123" i="31"/>
  <c r="H93" i="31"/>
  <c r="H113" i="31"/>
  <c r="H105" i="31"/>
  <c r="H120" i="31"/>
  <c r="H125" i="31"/>
  <c r="H83" i="31"/>
  <c r="H114" i="31"/>
  <c r="H89" i="31"/>
  <c r="H91" i="31"/>
  <c r="H92" i="31"/>
  <c r="H116" i="31"/>
  <c r="H127" i="31"/>
  <c r="H80" i="31"/>
  <c r="C12" i="5"/>
  <c r="N104" i="21"/>
  <c r="N96" i="21"/>
  <c r="N88" i="21"/>
  <c r="N121" i="21"/>
  <c r="N82" i="21"/>
  <c r="N101" i="21"/>
  <c r="N97" i="21"/>
  <c r="N120" i="21"/>
  <c r="N108" i="21"/>
  <c r="N79" i="21"/>
  <c r="C17" i="3"/>
  <c r="H36" i="17"/>
  <c r="C47" i="17"/>
  <c r="J134" i="21"/>
  <c r="J133" i="21"/>
  <c r="J141" i="21"/>
  <c r="J180" i="21"/>
  <c r="J161" i="21"/>
  <c r="J157" i="21"/>
  <c r="J162" i="21"/>
  <c r="J143" i="21"/>
  <c r="J167" i="21"/>
  <c r="J159" i="21"/>
  <c r="J175" i="21"/>
  <c r="J173" i="21"/>
  <c r="J158" i="21"/>
  <c r="J132" i="21"/>
  <c r="J138" i="21"/>
  <c r="J163" i="21"/>
  <c r="J172" i="21"/>
  <c r="J169" i="21"/>
  <c r="J166" i="21"/>
  <c r="J149" i="21"/>
  <c r="J145" i="21"/>
  <c r="J179" i="21"/>
  <c r="J136" i="21"/>
  <c r="J142" i="21"/>
  <c r="J178" i="21"/>
  <c r="J177" i="21"/>
  <c r="J152" i="21"/>
  <c r="J151" i="21"/>
  <c r="J165" i="21"/>
  <c r="J174" i="21"/>
  <c r="J144" i="21"/>
  <c r="J135" i="21"/>
  <c r="J137" i="21"/>
  <c r="J155" i="21"/>
  <c r="J160" i="21"/>
  <c r="J150" i="21"/>
  <c r="J171" i="21"/>
  <c r="J146" i="21"/>
  <c r="J164" i="21"/>
  <c r="J176" i="21"/>
  <c r="J139" i="21"/>
  <c r="J140" i="21"/>
  <c r="J181" i="21"/>
  <c r="J153" i="21"/>
  <c r="J147" i="21"/>
  <c r="J170" i="21"/>
  <c r="J168" i="21"/>
  <c r="J156" i="21"/>
  <c r="J148" i="21"/>
  <c r="J154" i="21"/>
  <c r="K138" i="31"/>
  <c r="K169" i="31"/>
  <c r="K155" i="31"/>
  <c r="K168" i="31"/>
  <c r="K153" i="31"/>
  <c r="K139" i="31"/>
  <c r="K148" i="31"/>
  <c r="K151" i="31"/>
  <c r="K177" i="31"/>
  <c r="K147" i="31"/>
  <c r="K149" i="31"/>
  <c r="K181" i="31"/>
  <c r="K141" i="31"/>
  <c r="K174" i="31"/>
  <c r="K172" i="31"/>
  <c r="K135" i="31"/>
  <c r="K133" i="31"/>
  <c r="K158" i="31"/>
  <c r="K140" i="31"/>
  <c r="K157" i="31"/>
  <c r="K145" i="31"/>
  <c r="K179" i="31"/>
  <c r="K146" i="31"/>
  <c r="K137" i="31"/>
  <c r="K156" i="31"/>
  <c r="K170" i="31"/>
  <c r="K171" i="31"/>
  <c r="K162" i="31"/>
  <c r="K142" i="31"/>
  <c r="K167" i="31"/>
  <c r="K175" i="31"/>
  <c r="K164" i="31"/>
  <c r="K154" i="31"/>
  <c r="K160" i="31"/>
  <c r="K159" i="31"/>
  <c r="K132" i="31"/>
  <c r="K136" i="31"/>
  <c r="K150" i="31"/>
  <c r="H161" i="21"/>
  <c r="H172" i="21"/>
  <c r="H142" i="21"/>
  <c r="H171" i="21"/>
  <c r="H178" i="21"/>
  <c r="H139" i="21"/>
  <c r="H144" i="21"/>
  <c r="H173" i="21"/>
  <c r="H166" i="21"/>
  <c r="H158" i="21"/>
  <c r="H162" i="21"/>
  <c r="H164" i="21"/>
  <c r="H177" i="21"/>
  <c r="H137" i="21"/>
  <c r="H143" i="21"/>
  <c r="H165" i="21"/>
  <c r="H163" i="21"/>
  <c r="H167" i="21"/>
  <c r="H179" i="21"/>
  <c r="H138" i="21"/>
  <c r="H174" i="21"/>
  <c r="H149" i="21"/>
  <c r="H153" i="21"/>
  <c r="H148" i="21"/>
  <c r="H136" i="21"/>
  <c r="H176" i="21"/>
  <c r="H175" i="21"/>
  <c r="H169" i="21"/>
  <c r="H151" i="21"/>
  <c r="H156" i="21"/>
  <c r="H140" i="21"/>
  <c r="H145" i="21"/>
  <c r="H135" i="21"/>
  <c r="H146" i="21"/>
  <c r="H150" i="21"/>
  <c r="H155" i="21"/>
  <c r="H141" i="21"/>
  <c r="H147" i="21"/>
  <c r="H160" i="21"/>
  <c r="H168" i="21"/>
  <c r="H134" i="21"/>
  <c r="H180" i="21"/>
  <c r="H159" i="21"/>
  <c r="H154" i="21"/>
  <c r="H157" i="21"/>
  <c r="H181" i="21"/>
  <c r="H170" i="21"/>
  <c r="H152" i="21"/>
  <c r="E19" i="3"/>
  <c r="F19" i="3"/>
  <c r="C153" i="31"/>
  <c r="D151" i="31"/>
  <c r="D139" i="31"/>
  <c r="C159" i="31"/>
  <c r="D155" i="31"/>
  <c r="N42" i="31"/>
  <c r="C5" i="17"/>
  <c r="J102" i="31"/>
  <c r="J95" i="31"/>
  <c r="J92" i="31"/>
  <c r="L121" i="31"/>
  <c r="L82" i="31"/>
  <c r="L116" i="31"/>
  <c r="L84" i="31"/>
  <c r="L79" i="21"/>
  <c r="L92" i="21"/>
  <c r="L125" i="21"/>
  <c r="E92" i="21"/>
  <c r="E98" i="21"/>
  <c r="D159" i="31"/>
  <c r="G126" i="31"/>
  <c r="G89" i="31"/>
  <c r="G83" i="31"/>
  <c r="K152" i="31"/>
  <c r="K127" i="21"/>
  <c r="K122" i="21"/>
  <c r="D148" i="21"/>
  <c r="D163" i="21"/>
  <c r="D138" i="21"/>
  <c r="N89" i="21"/>
  <c r="N92" i="21"/>
  <c r="C174" i="21"/>
  <c r="C175" i="21"/>
  <c r="C173" i="21"/>
  <c r="C180" i="21"/>
  <c r="C179" i="21"/>
  <c r="C177" i="21"/>
  <c r="C181" i="21"/>
  <c r="N102" i="21"/>
  <c r="K84" i="21"/>
  <c r="K98" i="21"/>
  <c r="K109" i="21"/>
  <c r="K90" i="21"/>
  <c r="K103" i="21"/>
  <c r="K94" i="21"/>
  <c r="K116" i="21"/>
  <c r="K128" i="21"/>
  <c r="K107" i="21"/>
  <c r="K96" i="21"/>
  <c r="K124" i="21"/>
  <c r="K104" i="21"/>
  <c r="K91" i="21"/>
  <c r="K83" i="21"/>
  <c r="K106" i="21"/>
  <c r="K97" i="21"/>
  <c r="K125" i="21"/>
  <c r="K101" i="21"/>
  <c r="K95" i="21"/>
  <c r="K79" i="21"/>
  <c r="K81" i="21"/>
  <c r="K99" i="21"/>
  <c r="K102" i="21"/>
  <c r="K87" i="21"/>
  <c r="K80" i="21"/>
  <c r="K88" i="21"/>
  <c r="K121" i="21"/>
  <c r="K110" i="21"/>
  <c r="K118" i="21"/>
  <c r="K89" i="21"/>
  <c r="K129" i="21"/>
  <c r="K120" i="21"/>
  <c r="K82" i="21"/>
  <c r="K117" i="21"/>
  <c r="K86" i="21"/>
  <c r="K114" i="21"/>
  <c r="K130" i="21"/>
  <c r="K93" i="21"/>
  <c r="D17" i="3"/>
  <c r="D20" i="3"/>
  <c r="D8" i="3"/>
  <c r="D13" i="3"/>
  <c r="D22" i="3"/>
  <c r="E47" i="17"/>
  <c r="E25" i="17"/>
  <c r="H41" i="17"/>
  <c r="C18" i="3"/>
  <c r="F173" i="21"/>
  <c r="F170" i="21"/>
  <c r="F174" i="21"/>
  <c r="F154" i="21"/>
  <c r="F152" i="21"/>
  <c r="F167" i="21"/>
  <c r="F176" i="21"/>
  <c r="F141" i="21"/>
  <c r="F142" i="21"/>
  <c r="F175" i="21"/>
  <c r="F162" i="21"/>
  <c r="F161" i="21"/>
  <c r="F150" i="21"/>
  <c r="F146" i="21"/>
  <c r="F155" i="21"/>
  <c r="F171" i="21"/>
  <c r="F163" i="21"/>
  <c r="F145" i="21"/>
  <c r="F144" i="21"/>
  <c r="F180" i="21"/>
  <c r="F177" i="21"/>
  <c r="F147" i="21"/>
  <c r="F143" i="21"/>
  <c r="F156" i="21"/>
  <c r="F153" i="21"/>
  <c r="F149" i="21"/>
  <c r="F164" i="21"/>
  <c r="F158" i="21"/>
  <c r="F166" i="21"/>
  <c r="F159" i="21"/>
  <c r="F172" i="21"/>
  <c r="F151" i="21"/>
  <c r="F168" i="21"/>
  <c r="F160" i="21"/>
  <c r="F181" i="21"/>
  <c r="F140" i="21"/>
  <c r="F178" i="21"/>
  <c r="F179" i="21"/>
  <c r="F157" i="21"/>
  <c r="F169" i="21"/>
  <c r="F165" i="21"/>
  <c r="F148" i="21"/>
  <c r="C178" i="31"/>
  <c r="I53" i="31"/>
  <c r="N53" i="31"/>
  <c r="B19" i="31"/>
  <c r="N19" i="31"/>
  <c r="J90" i="31"/>
  <c r="J124" i="31"/>
  <c r="J103" i="31"/>
  <c r="J125" i="31"/>
  <c r="L114" i="31"/>
  <c r="L117" i="31"/>
  <c r="L91" i="31"/>
  <c r="L120" i="21"/>
  <c r="L100" i="21"/>
  <c r="L103" i="21"/>
  <c r="E79" i="21"/>
  <c r="E125" i="21"/>
  <c r="E96" i="21"/>
  <c r="C176" i="21"/>
  <c r="C178" i="21"/>
  <c r="G95" i="31"/>
  <c r="G108" i="31"/>
  <c r="G116" i="31"/>
  <c r="K85" i="21"/>
  <c r="K123" i="21"/>
  <c r="K115" i="21"/>
  <c r="K105" i="21"/>
  <c r="D161" i="21"/>
  <c r="D157" i="21"/>
  <c r="H128" i="31"/>
  <c r="N106" i="21"/>
  <c r="N123" i="21"/>
  <c r="N118" i="21"/>
  <c r="H147" i="31"/>
  <c r="H163" i="31"/>
  <c r="H181" i="31"/>
  <c r="H141" i="31"/>
  <c r="H148" i="31"/>
  <c r="H139" i="31"/>
  <c r="H156" i="31"/>
  <c r="H179" i="31"/>
  <c r="H142" i="31"/>
  <c r="H154" i="31"/>
  <c r="H174" i="31"/>
  <c r="H172" i="31"/>
  <c r="H143" i="31"/>
  <c r="H178" i="31"/>
  <c r="H145" i="31"/>
  <c r="H180" i="31"/>
  <c r="H134" i="31"/>
  <c r="H136" i="31"/>
  <c r="H151" i="31"/>
  <c r="H171" i="31"/>
  <c r="H153" i="31"/>
  <c r="H155" i="31"/>
  <c r="H170" i="31"/>
  <c r="H137" i="31"/>
  <c r="H161" i="31"/>
  <c r="H144" i="31"/>
  <c r="H167" i="31"/>
  <c r="H160" i="31"/>
  <c r="H157" i="31"/>
  <c r="H164" i="31"/>
  <c r="H138" i="31"/>
  <c r="H175" i="31"/>
  <c r="H150" i="31"/>
  <c r="H152" i="31"/>
  <c r="H168" i="31"/>
  <c r="H176" i="31"/>
  <c r="H146" i="31"/>
  <c r="H162" i="31"/>
  <c r="H159" i="31"/>
  <c r="H158" i="31"/>
  <c r="H140" i="31"/>
  <c r="H135" i="31"/>
  <c r="H149" i="31"/>
  <c r="H177" i="31"/>
  <c r="H169" i="31"/>
  <c r="H133" i="31"/>
  <c r="H165" i="31"/>
  <c r="H132" i="31"/>
  <c r="H166" i="31"/>
  <c r="H173" i="31"/>
  <c r="E11" i="3"/>
  <c r="F11" i="3"/>
  <c r="I101" i="31"/>
  <c r="I87" i="31"/>
  <c r="I81" i="31"/>
  <c r="I96" i="31"/>
  <c r="I124" i="31"/>
  <c r="N109" i="21"/>
  <c r="B114" i="21"/>
  <c r="B126" i="21"/>
  <c r="B129" i="21"/>
  <c r="B107" i="21"/>
  <c r="B104" i="21"/>
  <c r="B112" i="21"/>
  <c r="B121" i="21"/>
  <c r="B98" i="21"/>
  <c r="B92" i="21"/>
  <c r="B90" i="21"/>
  <c r="B113" i="21"/>
  <c r="B93" i="21"/>
  <c r="B87" i="21"/>
  <c r="B113" i="31"/>
  <c r="B114" i="31"/>
  <c r="B98" i="31"/>
  <c r="B118" i="31"/>
  <c r="B84" i="31"/>
  <c r="B121" i="31"/>
  <c r="B124" i="31"/>
  <c r="B79" i="31"/>
  <c r="B112" i="31"/>
  <c r="B129" i="31"/>
  <c r="B123" i="31"/>
  <c r="B106" i="31"/>
  <c r="B107" i="31"/>
  <c r="I98" i="21"/>
  <c r="I88" i="21"/>
  <c r="I79" i="21"/>
  <c r="I89" i="21"/>
  <c r="I129" i="21"/>
  <c r="I95" i="21"/>
  <c r="I119" i="21"/>
  <c r="I85" i="21"/>
  <c r="I105" i="21"/>
  <c r="I91" i="21"/>
  <c r="I80" i="21"/>
  <c r="I97" i="21"/>
  <c r="I103" i="21"/>
  <c r="N83" i="21"/>
  <c r="N116" i="21"/>
  <c r="E50" i="17"/>
  <c r="F25" i="17"/>
  <c r="U6" i="3"/>
  <c r="U9" i="3"/>
  <c r="U11" i="3"/>
  <c r="L132" i="21"/>
  <c r="L135" i="21"/>
  <c r="L134" i="21"/>
  <c r="L133" i="21"/>
  <c r="L141" i="21"/>
  <c r="L169" i="21"/>
  <c r="L167" i="21"/>
  <c r="L166" i="21"/>
  <c r="L171" i="21"/>
  <c r="L173" i="21"/>
  <c r="L175" i="21"/>
  <c r="L151" i="21"/>
  <c r="L174" i="21"/>
  <c r="L147" i="21"/>
  <c r="L178" i="21"/>
  <c r="L138" i="21"/>
  <c r="L139" i="21"/>
  <c r="L158" i="21"/>
  <c r="L177" i="21"/>
  <c r="L179" i="21"/>
  <c r="L180" i="21"/>
  <c r="L172" i="21"/>
  <c r="L163" i="21"/>
  <c r="L162" i="21"/>
  <c r="L157" i="21"/>
  <c r="L146" i="21"/>
  <c r="L155" i="21"/>
  <c r="L137" i="21"/>
  <c r="L140" i="21"/>
  <c r="L165" i="21"/>
  <c r="L152" i="21"/>
  <c r="L164" i="21"/>
  <c r="L142" i="21"/>
  <c r="L154" i="21"/>
  <c r="L148" i="21"/>
  <c r="L176" i="21"/>
  <c r="L156" i="21"/>
  <c r="L181" i="21"/>
  <c r="L168" i="21"/>
  <c r="L136" i="21"/>
  <c r="L153" i="21"/>
  <c r="L144" i="21"/>
  <c r="L143" i="21"/>
  <c r="L161" i="21"/>
  <c r="L150" i="21"/>
  <c r="L159" i="21"/>
  <c r="L170" i="21"/>
  <c r="L145" i="21"/>
  <c r="L149" i="21"/>
  <c r="L160" i="21"/>
  <c r="C25" i="17"/>
  <c r="C8" i="3"/>
  <c r="H5" i="17"/>
  <c r="U8" i="3"/>
  <c r="K134" i="21"/>
  <c r="K178" i="21"/>
  <c r="K160" i="21"/>
  <c r="K138" i="21"/>
  <c r="K164" i="21"/>
  <c r="K157" i="21"/>
  <c r="K137" i="21"/>
  <c r="K174" i="21"/>
  <c r="K140" i="21"/>
  <c r="K156" i="21"/>
  <c r="K169" i="21"/>
  <c r="K168" i="21"/>
  <c r="K133" i="21"/>
  <c r="K165" i="21"/>
  <c r="K136" i="21"/>
  <c r="K141" i="21"/>
  <c r="K170" i="21"/>
  <c r="K153" i="21"/>
  <c r="K154" i="21"/>
  <c r="K162" i="21"/>
  <c r="K144" i="21"/>
  <c r="K146" i="21"/>
  <c r="K172" i="21"/>
  <c r="K155" i="21"/>
  <c r="K132" i="21"/>
  <c r="K150" i="21"/>
  <c r="K163" i="21"/>
  <c r="K159" i="21"/>
  <c r="K152" i="21"/>
  <c r="K145" i="21"/>
  <c r="K179" i="21"/>
  <c r="K173" i="21"/>
  <c r="K176" i="21"/>
  <c r="K167" i="21"/>
  <c r="K139" i="21"/>
  <c r="K147" i="21"/>
  <c r="K149" i="21"/>
  <c r="K135" i="21"/>
  <c r="K158" i="21"/>
  <c r="K166" i="21"/>
  <c r="K177" i="21"/>
  <c r="K142" i="21"/>
  <c r="K175" i="21"/>
  <c r="K181" i="21"/>
  <c r="K171" i="21"/>
  <c r="K180" i="21"/>
  <c r="K161" i="21"/>
  <c r="K148" i="21"/>
  <c r="K151" i="21"/>
  <c r="K143" i="21"/>
  <c r="V8" i="3"/>
  <c r="H47" i="17"/>
  <c r="G132" i="31"/>
  <c r="G135" i="31"/>
  <c r="G167" i="31"/>
  <c r="G139" i="31"/>
  <c r="G144" i="31"/>
  <c r="G175" i="31"/>
  <c r="G163" i="31"/>
  <c r="G174" i="31"/>
  <c r="G154" i="31"/>
  <c r="G145" i="31"/>
  <c r="G149" i="31"/>
  <c r="G156" i="31"/>
  <c r="G138" i="31"/>
  <c r="G137" i="31"/>
  <c r="G147" i="31"/>
  <c r="G153" i="31"/>
  <c r="G146" i="31"/>
  <c r="G178" i="31"/>
  <c r="G158" i="31"/>
  <c r="G150" i="31"/>
  <c r="G160" i="31"/>
  <c r="G157" i="31"/>
  <c r="G136" i="31"/>
  <c r="G177" i="31"/>
  <c r="G181" i="31"/>
  <c r="G141" i="31"/>
  <c r="G155" i="31"/>
  <c r="G143" i="31"/>
  <c r="G170" i="31"/>
  <c r="G142" i="31"/>
  <c r="G133" i="31"/>
  <c r="G165" i="31"/>
  <c r="G164" i="31"/>
  <c r="G169" i="31"/>
  <c r="G171" i="31"/>
  <c r="G159" i="31"/>
  <c r="G179" i="31"/>
  <c r="G173" i="31"/>
  <c r="G168" i="31"/>
  <c r="G176" i="31"/>
  <c r="G134" i="31"/>
  <c r="G162" i="31"/>
  <c r="G152" i="31"/>
  <c r="G148" i="31"/>
  <c r="G166" i="31"/>
  <c r="G161" i="31"/>
  <c r="G172" i="31"/>
  <c r="G140" i="31"/>
  <c r="G151" i="31"/>
  <c r="G180" i="31"/>
  <c r="J161" i="31"/>
  <c r="J162" i="31"/>
  <c r="J179" i="31"/>
  <c r="J166" i="31"/>
  <c r="J157" i="31"/>
  <c r="J156" i="31"/>
  <c r="J160" i="31"/>
  <c r="J177" i="31"/>
  <c r="J148" i="31"/>
  <c r="J141" i="31"/>
  <c r="J132" i="31"/>
  <c r="J174" i="31"/>
  <c r="J167" i="31"/>
  <c r="J143" i="31"/>
  <c r="J175" i="31"/>
  <c r="J142" i="31"/>
  <c r="J136" i="31"/>
  <c r="J171" i="31"/>
  <c r="J168" i="31"/>
  <c r="J140" i="31"/>
  <c r="J133" i="31"/>
  <c r="J172" i="31"/>
  <c r="J149" i="31"/>
  <c r="J146" i="31"/>
  <c r="J163" i="31"/>
  <c r="J173" i="31"/>
  <c r="J152" i="31"/>
  <c r="J145" i="31"/>
  <c r="J164" i="31"/>
  <c r="J159" i="31"/>
  <c r="J147" i="31"/>
  <c r="J165" i="31"/>
  <c r="J155" i="31"/>
  <c r="J135" i="31"/>
  <c r="J153" i="31"/>
  <c r="J170" i="31"/>
  <c r="J181" i="31"/>
  <c r="J144" i="31"/>
  <c r="J158" i="31"/>
  <c r="J134" i="31"/>
  <c r="J169" i="31"/>
  <c r="J137" i="31"/>
  <c r="J176" i="31"/>
  <c r="J151" i="31"/>
  <c r="J138" i="31"/>
  <c r="J139" i="31"/>
  <c r="J178" i="31"/>
  <c r="J154" i="31"/>
  <c r="J180" i="31"/>
  <c r="J150" i="31"/>
  <c r="I83" i="31"/>
  <c r="I93" i="31"/>
  <c r="I118" i="31"/>
  <c r="I119" i="31"/>
  <c r="I80" i="31"/>
  <c r="C14" i="5"/>
  <c r="I115" i="31"/>
  <c r="I108" i="31"/>
  <c r="I120" i="31"/>
  <c r="I85" i="31"/>
  <c r="I91" i="31"/>
  <c r="I97" i="31"/>
  <c r="I125" i="31"/>
  <c r="I123" i="31"/>
  <c r="I109" i="31"/>
  <c r="I86" i="31"/>
  <c r="I116" i="31"/>
  <c r="I126" i="31"/>
  <c r="I82" i="31"/>
  <c r="I106" i="31"/>
  <c r="I129" i="31"/>
  <c r="I112" i="31"/>
  <c r="N130" i="21"/>
  <c r="N112" i="21"/>
  <c r="N87" i="21"/>
  <c r="N115" i="21"/>
  <c r="N114" i="21"/>
  <c r="N110" i="21"/>
  <c r="N111" i="21"/>
  <c r="N125" i="21"/>
  <c r="N117" i="21"/>
  <c r="N86" i="21"/>
  <c r="N81" i="21"/>
  <c r="N84" i="21"/>
  <c r="N85" i="21"/>
  <c r="N91" i="21"/>
  <c r="N93" i="21"/>
  <c r="N94" i="21"/>
  <c r="N95" i="21"/>
  <c r="N98" i="21"/>
  <c r="N99" i="21"/>
  <c r="N100" i="21"/>
  <c r="N103" i="21"/>
  <c r="N105" i="21"/>
  <c r="N157" i="21"/>
  <c r="N107" i="21"/>
  <c r="B85" i="21"/>
  <c r="B119" i="21"/>
  <c r="B128" i="21"/>
  <c r="B110" i="21"/>
  <c r="B125" i="21"/>
  <c r="B80" i="21"/>
  <c r="B102" i="21"/>
  <c r="B97" i="21"/>
  <c r="B95" i="21"/>
  <c r="B89" i="21"/>
  <c r="B99" i="21"/>
  <c r="B117" i="21"/>
  <c r="B86" i="21"/>
  <c r="B115" i="31"/>
  <c r="B125" i="31"/>
  <c r="B81" i="31"/>
  <c r="B90" i="31"/>
  <c r="B82" i="31"/>
  <c r="B80" i="31"/>
  <c r="C6" i="5"/>
  <c r="B91" i="31"/>
  <c r="B116" i="31"/>
  <c r="B104" i="31"/>
  <c r="B109" i="31"/>
  <c r="B94" i="31"/>
  <c r="B110" i="31"/>
  <c r="B102" i="31"/>
  <c r="I96" i="21"/>
  <c r="I108" i="21"/>
  <c r="I94" i="21"/>
  <c r="I124" i="21"/>
  <c r="I125" i="21"/>
  <c r="I110" i="21"/>
  <c r="I109" i="21"/>
  <c r="I118" i="21"/>
  <c r="I102" i="21"/>
  <c r="I87" i="21"/>
  <c r="I101" i="21"/>
  <c r="I107" i="21"/>
  <c r="I120" i="21"/>
  <c r="N126" i="21"/>
  <c r="E168" i="21"/>
  <c r="E176" i="21"/>
  <c r="E149" i="21"/>
  <c r="E170" i="21"/>
  <c r="E171" i="21"/>
  <c r="E134" i="21"/>
  <c r="E181" i="21"/>
  <c r="E145" i="21"/>
  <c r="E142" i="21"/>
  <c r="E148" i="21"/>
  <c r="E177" i="21"/>
  <c r="E158" i="21"/>
  <c r="E165" i="21"/>
  <c r="E132" i="21"/>
  <c r="E179" i="21"/>
  <c r="E137" i="21"/>
  <c r="E150" i="21"/>
  <c r="E172" i="21"/>
  <c r="E156" i="21"/>
  <c r="E169" i="21"/>
  <c r="E144" i="21"/>
  <c r="E164" i="21"/>
  <c r="E162" i="21"/>
  <c r="E139" i="21"/>
  <c r="E136" i="21"/>
  <c r="E160" i="21"/>
  <c r="E180" i="21"/>
  <c r="E167" i="21"/>
  <c r="E166" i="21"/>
  <c r="E173" i="21"/>
  <c r="E175" i="21"/>
  <c r="E138" i="21"/>
  <c r="E152" i="21"/>
  <c r="E151" i="21"/>
  <c r="E143" i="21"/>
  <c r="E174" i="21"/>
  <c r="E153" i="21"/>
  <c r="E161" i="21"/>
  <c r="E141" i="21"/>
  <c r="E159" i="21"/>
  <c r="E163" i="21"/>
  <c r="E157" i="21"/>
  <c r="E154" i="21"/>
  <c r="E140" i="21"/>
  <c r="E133" i="21"/>
  <c r="E178" i="21"/>
  <c r="E147" i="21"/>
  <c r="E135" i="21"/>
  <c r="E146" i="21"/>
  <c r="E155" i="21"/>
  <c r="N107" i="31"/>
  <c r="N108" i="31"/>
  <c r="N86" i="31"/>
  <c r="N125" i="31"/>
  <c r="N82" i="31"/>
  <c r="N129" i="31"/>
  <c r="N109" i="31"/>
  <c r="N105" i="31"/>
  <c r="N124" i="31"/>
  <c r="N94" i="31"/>
  <c r="N120" i="31"/>
  <c r="N127" i="31"/>
  <c r="N111" i="31"/>
  <c r="N116" i="31"/>
  <c r="N119" i="31"/>
  <c r="N123" i="31"/>
  <c r="N96" i="31"/>
  <c r="N121" i="31"/>
  <c r="N130" i="31"/>
  <c r="N80" i="31"/>
  <c r="C20" i="5"/>
  <c r="N101" i="31"/>
  <c r="N99" i="31"/>
  <c r="N117" i="31"/>
  <c r="N128" i="31"/>
  <c r="N103" i="31"/>
  <c r="N93" i="31"/>
  <c r="N112" i="31"/>
  <c r="N89" i="31"/>
  <c r="N122" i="31"/>
  <c r="N81" i="31"/>
  <c r="N106" i="31"/>
  <c r="N85" i="31"/>
  <c r="N115" i="31"/>
  <c r="N118" i="31"/>
  <c r="N104" i="31"/>
  <c r="N90" i="31"/>
  <c r="N100" i="31"/>
  <c r="N126" i="31"/>
  <c r="N110" i="31"/>
  <c r="N91" i="31"/>
  <c r="N83" i="31"/>
  <c r="N97" i="31"/>
  <c r="N114" i="31"/>
  <c r="N88" i="31"/>
  <c r="N113" i="31"/>
  <c r="N102" i="31"/>
  <c r="N92" i="31"/>
  <c r="N95" i="31"/>
  <c r="N87" i="31"/>
  <c r="N98" i="31"/>
  <c r="N79" i="31"/>
  <c r="N84" i="31"/>
  <c r="I95" i="31"/>
  <c r="I110" i="31"/>
  <c r="I92" i="31"/>
  <c r="I79" i="31"/>
  <c r="I102" i="31"/>
  <c r="I128" i="31"/>
  <c r="I111" i="31"/>
  <c r="I99" i="31"/>
  <c r="I113" i="31"/>
  <c r="I121" i="31"/>
  <c r="I103" i="31"/>
  <c r="I117" i="31"/>
  <c r="I90" i="31"/>
  <c r="N124" i="21"/>
  <c r="N128" i="21"/>
  <c r="N113" i="21"/>
  <c r="B82" i="21"/>
  <c r="B103" i="21"/>
  <c r="B109" i="21"/>
  <c r="B127" i="21"/>
  <c r="B88" i="21"/>
  <c r="B118" i="21"/>
  <c r="B101" i="21"/>
  <c r="B81" i="21"/>
  <c r="B120" i="21"/>
  <c r="B115" i="21"/>
  <c r="B94" i="21"/>
  <c r="B96" i="21"/>
  <c r="B124" i="21"/>
  <c r="B85" i="31"/>
  <c r="B108" i="31"/>
  <c r="B100" i="31"/>
  <c r="B86" i="31"/>
  <c r="B97" i="31"/>
  <c r="B128" i="31"/>
  <c r="B127" i="31"/>
  <c r="B89" i="31"/>
  <c r="B117" i="31"/>
  <c r="B103" i="31"/>
  <c r="B83" i="31"/>
  <c r="B119" i="31"/>
  <c r="B126" i="31"/>
  <c r="I122" i="21"/>
  <c r="I130" i="21"/>
  <c r="I93" i="21"/>
  <c r="I84" i="21"/>
  <c r="I99" i="21"/>
  <c r="I113" i="21"/>
  <c r="I116" i="21"/>
  <c r="I86" i="21"/>
  <c r="I92" i="21"/>
  <c r="I117" i="21"/>
  <c r="I126" i="21"/>
  <c r="I104" i="21"/>
  <c r="I82" i="21"/>
  <c r="D17" i="5"/>
  <c r="D15" i="5"/>
  <c r="E18" i="3"/>
  <c r="F18" i="3"/>
  <c r="F17" i="3"/>
  <c r="E17" i="3"/>
  <c r="C20" i="3"/>
  <c r="E9" i="3"/>
  <c r="F9" i="3"/>
  <c r="AV6" i="30"/>
  <c r="AS86" i="30"/>
  <c r="H18" i="18"/>
  <c r="V15" i="3"/>
  <c r="Y12" i="3"/>
  <c r="L163" i="31"/>
  <c r="L141" i="31"/>
  <c r="L174" i="31"/>
  <c r="L148" i="31"/>
  <c r="L136" i="31"/>
  <c r="L142" i="31"/>
  <c r="L157" i="31"/>
  <c r="L145" i="31"/>
  <c r="L137" i="31"/>
  <c r="L169" i="31"/>
  <c r="L175" i="31"/>
  <c r="L150" i="31"/>
  <c r="L170" i="31"/>
  <c r="L173" i="31"/>
  <c r="L144" i="31"/>
  <c r="L180" i="31"/>
  <c r="L151" i="31"/>
  <c r="L153" i="31"/>
  <c r="L159" i="31"/>
  <c r="L155" i="31"/>
  <c r="L167" i="31"/>
  <c r="L158" i="31"/>
  <c r="L168" i="31"/>
  <c r="L172" i="31"/>
  <c r="L146" i="31"/>
  <c r="L147" i="31"/>
  <c r="L165" i="31"/>
  <c r="L135" i="31"/>
  <c r="L154" i="31"/>
  <c r="L156" i="31"/>
  <c r="L171" i="31"/>
  <c r="L178" i="31"/>
  <c r="L140" i="31"/>
  <c r="L160" i="31"/>
  <c r="L139" i="31"/>
  <c r="L138" i="31"/>
  <c r="L179" i="31"/>
  <c r="L143" i="31"/>
  <c r="L133" i="31"/>
  <c r="L149" i="31"/>
  <c r="L164" i="31"/>
  <c r="L134" i="31"/>
  <c r="L181" i="31"/>
  <c r="L161" i="31"/>
  <c r="L166" i="31"/>
  <c r="L132" i="31"/>
  <c r="L162" i="31"/>
  <c r="L176" i="31"/>
  <c r="L152" i="31"/>
  <c r="L177" i="31"/>
  <c r="I94" i="31"/>
  <c r="I107" i="31"/>
  <c r="I104" i="31"/>
  <c r="I130" i="31"/>
  <c r="I105" i="31"/>
  <c r="I114" i="31"/>
  <c r="I88" i="31"/>
  <c r="I84" i="31"/>
  <c r="I122" i="31"/>
  <c r="I127" i="31"/>
  <c r="I89" i="31"/>
  <c r="I98" i="31"/>
  <c r="I100" i="31"/>
  <c r="N122" i="21"/>
  <c r="N119" i="21"/>
  <c r="N127" i="21"/>
  <c r="N80" i="21"/>
  <c r="D12" i="5"/>
  <c r="D11" i="5"/>
  <c r="B84" i="21"/>
  <c r="B123" i="21"/>
  <c r="B91" i="21"/>
  <c r="B79" i="21"/>
  <c r="B108" i="21"/>
  <c r="B105" i="21"/>
  <c r="B100" i="21"/>
  <c r="B116" i="21"/>
  <c r="B111" i="21"/>
  <c r="B130" i="21"/>
  <c r="B83" i="21"/>
  <c r="B106" i="21"/>
  <c r="B122" i="21"/>
  <c r="B130" i="31"/>
  <c r="B96" i="31"/>
  <c r="B88" i="31"/>
  <c r="B93" i="31"/>
  <c r="B92" i="31"/>
  <c r="B87" i="31"/>
  <c r="B122" i="31"/>
  <c r="B99" i="31"/>
  <c r="B105" i="31"/>
  <c r="B111" i="31"/>
  <c r="B120" i="31"/>
  <c r="B101" i="31"/>
  <c r="B95" i="31"/>
  <c r="I112" i="21"/>
  <c r="I121" i="21"/>
  <c r="I106" i="21"/>
  <c r="I115" i="21"/>
  <c r="I90" i="21"/>
  <c r="I83" i="21"/>
  <c r="I114" i="21"/>
  <c r="I123" i="21"/>
  <c r="I127" i="21"/>
  <c r="I81" i="21"/>
  <c r="I111" i="21"/>
  <c r="I100" i="21"/>
  <c r="I128" i="21"/>
  <c r="E20" i="3"/>
  <c r="F20" i="3"/>
  <c r="I173" i="21"/>
  <c r="I132" i="21"/>
  <c r="I140" i="21"/>
  <c r="I169" i="21"/>
  <c r="I158" i="21"/>
  <c r="I167" i="21"/>
  <c r="I176" i="21"/>
  <c r="I157" i="21"/>
  <c r="I170" i="21"/>
  <c r="I134" i="21"/>
  <c r="I148" i="21"/>
  <c r="I137" i="21"/>
  <c r="I142" i="21"/>
  <c r="I153" i="21"/>
  <c r="I163" i="21"/>
  <c r="I143" i="21"/>
  <c r="I139" i="21"/>
  <c r="I174" i="21"/>
  <c r="I159" i="21"/>
  <c r="I147" i="21"/>
  <c r="I155" i="21"/>
  <c r="I150" i="21"/>
  <c r="I181" i="21"/>
  <c r="I175" i="21"/>
  <c r="I135" i="21"/>
  <c r="I180" i="21"/>
  <c r="I152" i="21"/>
  <c r="I154" i="21"/>
  <c r="I166" i="21"/>
  <c r="I172" i="21"/>
  <c r="I151" i="21"/>
  <c r="I179" i="21"/>
  <c r="I136" i="21"/>
  <c r="I168" i="21"/>
  <c r="I171" i="21"/>
  <c r="I177" i="21"/>
  <c r="I141" i="21"/>
  <c r="I165" i="21"/>
  <c r="I138" i="21"/>
  <c r="I164" i="21"/>
  <c r="I160" i="21"/>
  <c r="I133" i="21"/>
  <c r="I149" i="21"/>
  <c r="I162" i="21"/>
  <c r="I146" i="21"/>
  <c r="I156" i="21"/>
  <c r="I161" i="21"/>
  <c r="I145" i="21"/>
  <c r="I178" i="21"/>
  <c r="I144" i="21"/>
  <c r="B141" i="31"/>
  <c r="B162" i="31"/>
  <c r="B147" i="31"/>
  <c r="B157" i="31"/>
  <c r="B159" i="31"/>
  <c r="B142" i="31"/>
  <c r="B173" i="31"/>
  <c r="B153" i="31"/>
  <c r="B164" i="31"/>
  <c r="B166" i="31"/>
  <c r="B154" i="31"/>
  <c r="B176" i="31"/>
  <c r="B171" i="31"/>
  <c r="B145" i="31"/>
  <c r="B148" i="31"/>
  <c r="B165" i="31"/>
  <c r="B133" i="31"/>
  <c r="B132" i="31"/>
  <c r="B170" i="31"/>
  <c r="B155" i="31"/>
  <c r="B167" i="31"/>
  <c r="B168" i="31"/>
  <c r="B143" i="31"/>
  <c r="B151" i="31"/>
  <c r="B172" i="31"/>
  <c r="B178" i="31"/>
  <c r="B180" i="31"/>
  <c r="B135" i="31"/>
  <c r="B156" i="31"/>
  <c r="B169" i="31"/>
  <c r="B134" i="31"/>
  <c r="B152" i="31"/>
  <c r="B179" i="31"/>
  <c r="B175" i="31"/>
  <c r="B177" i="31"/>
  <c r="B139" i="31"/>
  <c r="B149" i="31"/>
  <c r="B160" i="31"/>
  <c r="B140" i="31"/>
  <c r="B136" i="31"/>
  <c r="B144" i="31"/>
  <c r="B158" i="31"/>
  <c r="B150" i="31"/>
  <c r="B174" i="31"/>
  <c r="B137" i="31"/>
  <c r="B161" i="31"/>
  <c r="B163" i="31"/>
  <c r="B146" i="31"/>
  <c r="B138" i="31"/>
  <c r="B181" i="31"/>
  <c r="D6" i="5"/>
  <c r="N138" i="21"/>
  <c r="N158" i="21"/>
  <c r="N178" i="21"/>
  <c r="N159" i="21"/>
  <c r="N155" i="21"/>
  <c r="N160" i="21"/>
  <c r="N144" i="21"/>
  <c r="N133" i="21"/>
  <c r="N141" i="21"/>
  <c r="N176" i="21"/>
  <c r="N148" i="21"/>
  <c r="N139" i="21"/>
  <c r="N166" i="21"/>
  <c r="D14" i="5"/>
  <c r="N173" i="21"/>
  <c r="N152" i="21"/>
  <c r="N146" i="21"/>
  <c r="N147" i="21"/>
  <c r="N153" i="21"/>
  <c r="N163" i="21"/>
  <c r="N168" i="21"/>
  <c r="N132" i="21"/>
  <c r="N175" i="21"/>
  <c r="N162" i="21"/>
  <c r="N154" i="21"/>
  <c r="N151" i="21"/>
  <c r="N177" i="21"/>
  <c r="N154" i="31"/>
  <c r="N151" i="31"/>
  <c r="N178" i="31"/>
  <c r="N150" i="31"/>
  <c r="N164" i="31"/>
  <c r="N141" i="31"/>
  <c r="N167" i="31"/>
  <c r="N137" i="31"/>
  <c r="N175" i="31"/>
  <c r="N152" i="31"/>
  <c r="N146" i="31"/>
  <c r="N174" i="31"/>
  <c r="N135" i="31"/>
  <c r="N161" i="31"/>
  <c r="N180" i="31"/>
  <c r="N155" i="31"/>
  <c r="N163" i="31"/>
  <c r="N160" i="31"/>
  <c r="N169" i="31"/>
  <c r="N136" i="31"/>
  <c r="N133" i="31"/>
  <c r="N179" i="31"/>
  <c r="N171" i="31"/>
  <c r="N157" i="31"/>
  <c r="N168" i="31"/>
  <c r="N158" i="31"/>
  <c r="N139" i="31"/>
  <c r="N132" i="31"/>
  <c r="N172" i="31"/>
  <c r="N148" i="31"/>
  <c r="N173" i="31"/>
  <c r="N145" i="31"/>
  <c r="N138" i="31"/>
  <c r="N166" i="31"/>
  <c r="N162" i="31"/>
  <c r="N134" i="31"/>
  <c r="N156" i="31"/>
  <c r="N159" i="31"/>
  <c r="N147" i="31"/>
  <c r="N143" i="31"/>
  <c r="N153" i="31"/>
  <c r="N181" i="31"/>
  <c r="N176" i="31"/>
  <c r="N177" i="31"/>
  <c r="N140" i="31"/>
  <c r="N142" i="31"/>
  <c r="N165" i="31"/>
  <c r="N170" i="31"/>
  <c r="N144" i="31"/>
  <c r="N149" i="31"/>
  <c r="V10" i="3"/>
  <c r="U10" i="3"/>
  <c r="U7" i="3"/>
  <c r="V9" i="3"/>
  <c r="V11" i="3"/>
  <c r="C50" i="17"/>
  <c r="D25" i="17"/>
  <c r="V6" i="3"/>
  <c r="H25" i="17"/>
  <c r="F50" i="17"/>
  <c r="F18" i="17"/>
  <c r="F24" i="17"/>
  <c r="F30" i="17"/>
  <c r="F23" i="17"/>
  <c r="F14" i="17"/>
  <c r="F9" i="17"/>
  <c r="F41" i="17"/>
  <c r="F46" i="17"/>
  <c r="F36" i="17"/>
  <c r="F5" i="17"/>
  <c r="N156" i="21"/>
  <c r="N137" i="21"/>
  <c r="N142" i="21"/>
  <c r="N140" i="21"/>
  <c r="N150" i="21"/>
  <c r="N180" i="21"/>
  <c r="N174" i="21"/>
  <c r="N169" i="21"/>
  <c r="N179" i="21"/>
  <c r="N172" i="21"/>
  <c r="N171" i="21"/>
  <c r="N136" i="21"/>
  <c r="B135" i="21"/>
  <c r="B165" i="21"/>
  <c r="B181" i="21"/>
  <c r="B155" i="21"/>
  <c r="B158" i="21"/>
  <c r="B166" i="21"/>
  <c r="B168" i="21"/>
  <c r="B145" i="21"/>
  <c r="B148" i="21"/>
  <c r="B136" i="21"/>
  <c r="B143" i="21"/>
  <c r="B174" i="21"/>
  <c r="B138" i="21"/>
  <c r="B171" i="21"/>
  <c r="B139" i="21"/>
  <c r="B133" i="21"/>
  <c r="B169" i="21"/>
  <c r="B157" i="21"/>
  <c r="B167" i="21"/>
  <c r="B146" i="21"/>
  <c r="B152" i="21"/>
  <c r="B151" i="21"/>
  <c r="B179" i="21"/>
  <c r="B172" i="21"/>
  <c r="B153" i="21"/>
  <c r="B177" i="21"/>
  <c r="B147" i="21"/>
  <c r="B150" i="21"/>
  <c r="B140" i="21"/>
  <c r="B134" i="21"/>
  <c r="B132" i="21"/>
  <c r="B178" i="21"/>
  <c r="B175" i="21"/>
  <c r="B154" i="21"/>
  <c r="B156" i="21"/>
  <c r="B176" i="21"/>
  <c r="B162" i="21"/>
  <c r="B180" i="21"/>
  <c r="B170" i="21"/>
  <c r="B149" i="21"/>
  <c r="B164" i="21"/>
  <c r="B144" i="21"/>
  <c r="B173" i="21"/>
  <c r="B137" i="21"/>
  <c r="B163" i="21"/>
  <c r="B141" i="21"/>
  <c r="B159" i="21"/>
  <c r="B161" i="21"/>
  <c r="B142" i="21"/>
  <c r="B160" i="21"/>
  <c r="I165" i="31"/>
  <c r="I147" i="31"/>
  <c r="I149" i="31"/>
  <c r="I155" i="31"/>
  <c r="I176" i="31"/>
  <c r="I142" i="31"/>
  <c r="I159" i="31"/>
  <c r="I174" i="31"/>
  <c r="I166" i="31"/>
  <c r="I144" i="31"/>
  <c r="I132" i="31"/>
  <c r="I138" i="31"/>
  <c r="I167" i="31"/>
  <c r="I162" i="31"/>
  <c r="I171" i="31"/>
  <c r="I140" i="31"/>
  <c r="I161" i="31"/>
  <c r="I137" i="31"/>
  <c r="I172" i="31"/>
  <c r="I136" i="31"/>
  <c r="I153" i="31"/>
  <c r="I139" i="31"/>
  <c r="I164" i="31"/>
  <c r="I158" i="31"/>
  <c r="I150" i="31"/>
  <c r="I175" i="31"/>
  <c r="I168" i="31"/>
  <c r="I173" i="31"/>
  <c r="I152" i="31"/>
  <c r="I160" i="31"/>
  <c r="I157" i="31"/>
  <c r="I133" i="31"/>
  <c r="I134" i="31"/>
  <c r="I177" i="31"/>
  <c r="I135" i="31"/>
  <c r="I169" i="31"/>
  <c r="I178" i="31"/>
  <c r="I170" i="31"/>
  <c r="I145" i="31"/>
  <c r="I163" i="31"/>
  <c r="I154" i="31"/>
  <c r="I141" i="31"/>
  <c r="I181" i="31"/>
  <c r="I146" i="31"/>
  <c r="I151" i="31"/>
  <c r="I180" i="31"/>
  <c r="I143" i="31"/>
  <c r="I179" i="31"/>
  <c r="I148" i="31"/>
  <c r="I156" i="31"/>
  <c r="D8" i="5"/>
  <c r="D18" i="5"/>
  <c r="D20" i="5"/>
  <c r="D10" i="5"/>
  <c r="D16" i="5"/>
  <c r="D7" i="5"/>
  <c r="D9" i="5"/>
  <c r="F8" i="3"/>
  <c r="C13" i="3"/>
  <c r="E8" i="3"/>
  <c r="F47" i="17"/>
  <c r="U5" i="3"/>
  <c r="N134" i="21"/>
  <c r="N181" i="21"/>
  <c r="N164" i="21"/>
  <c r="N161" i="21"/>
  <c r="N143" i="21"/>
  <c r="N149" i="21"/>
  <c r="N167" i="21"/>
  <c r="N135" i="21"/>
  <c r="N145" i="21"/>
  <c r="N170" i="21"/>
  <c r="N165" i="21"/>
  <c r="C22" i="3"/>
  <c r="F13" i="3"/>
  <c r="E13" i="3"/>
  <c r="V7" i="3"/>
  <c r="D14" i="17"/>
  <c r="D50" i="17"/>
  <c r="D24" i="17"/>
  <c r="D46" i="17"/>
  <c r="H50" i="17"/>
  <c r="D30" i="17"/>
  <c r="D23" i="17"/>
  <c r="D18" i="17"/>
  <c r="D36" i="17"/>
  <c r="D41" i="17"/>
  <c r="D9" i="17"/>
  <c r="D5" i="17"/>
  <c r="D47" i="17"/>
  <c r="V5" i="3"/>
  <c r="F22" i="3"/>
  <c r="E22" i="3"/>
</calcChain>
</file>

<file path=xl/sharedStrings.xml><?xml version="1.0" encoding="utf-8"?>
<sst xmlns="http://schemas.openxmlformats.org/spreadsheetml/2006/main" count="1356" uniqueCount="293">
  <si>
    <t>org_namecongde</t>
  </si>
  <si>
    <t>ref-fund-inc-year-rentas-y-otros-ingresos</t>
  </si>
  <si>
    <t>ref-fund-inc-year-ventas-y-prestaciones-de</t>
  </si>
  <si>
    <t>ref-fund-inc-year-ingresos-ordinarios-de-la</t>
  </si>
  <si>
    <t>ref-fund-inc-year-subvenciones-del-sector-publico</t>
  </si>
  <si>
    <t>ref-fund-inc-year-contratos-del-sector-publico</t>
  </si>
  <si>
    <t>ref-fund-inc-year-subvenciones-del-sector-privado</t>
  </si>
  <si>
    <t>ref-fund-inc-year-aportaciones-privadas-donaciones-y</t>
  </si>
  <si>
    <t>ref-fund-inc-year-cuotas-de-asociados-y</t>
  </si>
  <si>
    <t>ref-fund-inc-year-otro-tipos-de-ingresos</t>
  </si>
  <si>
    <t>ref-fund-inc-year-explain</t>
  </si>
  <si>
    <t>ref-fund-inc-year-total</t>
  </si>
  <si>
    <t>ref-fund-con-year-cuot-per</t>
  </si>
  <si>
    <t>ref-fund-con-year-cuot-apa</t>
  </si>
  <si>
    <t>ref-fund-con-year-cuot-ent</t>
  </si>
  <si>
    <t>ref-fund-con-year-cuot-tot</t>
  </si>
  <si>
    <t>ref-fund-con-year-don-pun</t>
  </si>
  <si>
    <t>ref-fund-con-year-don-eme</t>
  </si>
  <si>
    <t>ref-fund-con-year-don-cap</t>
  </si>
  <si>
    <t>ref-fund-con-year-don-per</t>
  </si>
  <si>
    <t>ref-fund-con-year-don-tot</t>
  </si>
  <si>
    <t>ref-fund-con-year-priv-sub</t>
  </si>
  <si>
    <t>ref-fund-con-year-priv-con</t>
  </si>
  <si>
    <t>ref-fund-con-year-priv-pat</t>
  </si>
  <si>
    <t>ref-fund-con-year-priv-tot</t>
  </si>
  <si>
    <t>ref-fund-con-year-ven-com</t>
  </si>
  <si>
    <t>ref-fund-con-year-ven-mer</t>
  </si>
  <si>
    <t>ref-fund-con-year-ven-pub</t>
  </si>
  <si>
    <t>ref-fund-con-year-ven-otr</t>
  </si>
  <si>
    <t>ref-fund-con-year-ven-tot</t>
  </si>
  <si>
    <t>ref-fund-con-year-otr-ser</t>
  </si>
  <si>
    <t>ref-fund-con-year-otr-otr</t>
  </si>
  <si>
    <t>ref-fund-con-year-otr-otr-explain</t>
  </si>
  <si>
    <t>ref-fund-con-year-tot</t>
  </si>
  <si>
    <t>ref-fund-cop-year-nac-aecid</t>
  </si>
  <si>
    <t>ref-fund-cop-year-nac-desar</t>
  </si>
  <si>
    <t>ref-fund-cop-year-nac-convo</t>
  </si>
  <si>
    <t>ref-fund-cop-year-nac-minis</t>
  </si>
  <si>
    <t>ref-fund-cop-year-nac-otr</t>
  </si>
  <si>
    <t>ref-fund-cop-year-nac-otr-explain</t>
  </si>
  <si>
    <t>ref-fund-cop-year-nac-tot</t>
  </si>
  <si>
    <t>ref-fund-cop-year-aut-gob-tot</t>
  </si>
  <si>
    <t>Fondos autonomicos gobiernos autonomicos</t>
  </si>
  <si>
    <t>ref-fund-cop-year-aut-loc</t>
  </si>
  <si>
    <t>ref-fund-cop-year-aut-fun</t>
  </si>
  <si>
    <t>ref-fund-cop-year-aut-otr</t>
  </si>
  <si>
    <t>ref-fund-cop-year-aut-otr-explain</t>
  </si>
  <si>
    <t>ref-fund-cop-year-aut-tot</t>
  </si>
  <si>
    <t>ref-fund-cop-year-int-europeaid</t>
  </si>
  <si>
    <t>ref-fund-cop-year-int-echo</t>
  </si>
  <si>
    <t>ref-fund-cop-year-int-multi</t>
  </si>
  <si>
    <t>ref-fund-cop-year-int-otr</t>
  </si>
  <si>
    <t>ref-fund-cop-year-int-otr-explain</t>
  </si>
  <si>
    <t>ref-fund-cop-year-int-tot</t>
  </si>
  <si>
    <t>ref-fund-cop-year-otr</t>
  </si>
  <si>
    <t>ref-fund-cop-year-otr-explain</t>
  </si>
  <si>
    <t>ref-fund-cop-year-tto</t>
  </si>
  <si>
    <t>ref-fund-year-tot</t>
  </si>
  <si>
    <t>Accion Contra el Hambre</t>
  </si>
  <si>
    <t>Accion Verapaz</t>
  </si>
  <si>
    <t>ADRA</t>
  </si>
  <si>
    <t>AIDA</t>
  </si>
  <si>
    <t>AIETI</t>
  </si>
  <si>
    <t>ALBOAN</t>
  </si>
  <si>
    <t>Alianza por la Solidaridad</t>
  </si>
  <si>
    <t xml:space="preserve"> </t>
  </si>
  <si>
    <t>Amigos de la Tierra España - AdTE</t>
  </si>
  <si>
    <t>AMREF</t>
  </si>
  <si>
    <t>Anesvad</t>
  </si>
  <si>
    <t>Arquitectura Sin Fronteras</t>
  </si>
  <si>
    <t>Asamblea de Cooperacion Por la Paz (ACPP)</t>
  </si>
  <si>
    <t>Asociacion Entrepueblos</t>
  </si>
  <si>
    <t>Asociacion Nuevos Caminos (ANC)</t>
  </si>
  <si>
    <t>Ayuda en Accion</t>
  </si>
  <si>
    <t>Caritas Española</t>
  </si>
  <si>
    <t>CERAI</t>
  </si>
  <si>
    <t>CESAL</t>
  </si>
  <si>
    <t>CODESPA</t>
  </si>
  <si>
    <t>Comision General Justicia y Paz</t>
  </si>
  <si>
    <t>COOPERACCIO</t>
  </si>
  <si>
    <t>Cooperacion Internacional</t>
  </si>
  <si>
    <t>Cruz Roja Española</t>
  </si>
  <si>
    <t>Economistas sin Fronteras</t>
  </si>
  <si>
    <t>Edificando Comunidad de Nazaret</t>
  </si>
  <si>
    <t>Educo</t>
  </si>
  <si>
    <t>FAD</t>
  </si>
  <si>
    <t>Farmaceuticos Sin Fronteras de España</t>
  </si>
  <si>
    <t>Farmamundi</t>
  </si>
  <si>
    <t>FERE-CECA</t>
  </si>
  <si>
    <t>FISC-COMPAÑIA DE MARIA</t>
  </si>
  <si>
    <t>FONTILLES</t>
  </si>
  <si>
    <t>Instituto Paz y Solidaridad de la Fundacion 1º de Mayo</t>
  </si>
  <si>
    <t>Fundacion Adsis</t>
  </si>
  <si>
    <t>Fundacion CIDEAL</t>
  </si>
  <si>
    <t>Fundacion de Religiosos para la Salud (FRS)</t>
  </si>
  <si>
    <t>Fundacion del Valle</t>
  </si>
  <si>
    <t>Fundacion Entreculturas</t>
  </si>
  <si>
    <t>Fundacion Iberoamerica-Europa</t>
  </si>
  <si>
    <t>Fundacion Madreselva</t>
  </si>
  <si>
    <t>Fundacion Mainel</t>
  </si>
  <si>
    <t>Fundacion para el Desarrollo de la Enfermeria - FUDEN</t>
  </si>
  <si>
    <t>Fundacion PROCLADE</t>
  </si>
  <si>
    <t>Fundacion Promocion Social de la Cultura</t>
  </si>
  <si>
    <t>Humanismo y Democracia, H+D</t>
  </si>
  <si>
    <t>InspirAction</t>
  </si>
  <si>
    <t>InteRed</t>
  </si>
  <si>
    <t>ISCOD</t>
  </si>
  <si>
    <t>JOVENES Y DESARROLLO</t>
  </si>
  <si>
    <t>Juan Ciudad ONGD</t>
  </si>
  <si>
    <t>Manos Unidas</t>
  </si>
  <si>
    <t>Medicos del Mundo</t>
  </si>
  <si>
    <t>Medicus Mundi</t>
  </si>
  <si>
    <t>FUNDACION MENSAJEROS DE LA PAZ</t>
  </si>
  <si>
    <t>Mision America</t>
  </si>
  <si>
    <t>Movimiento por la Paz -MPDL-</t>
  </si>
  <si>
    <t>Mujeres en Zona de Conflicto (MZC)</t>
  </si>
  <si>
    <t>MUNDUBAT</t>
  </si>
  <si>
    <t>OCASHA-Cristianos con el Sur</t>
  </si>
  <si>
    <t>ONGAWA</t>
  </si>
  <si>
    <t>Oxfam Intermon</t>
  </si>
  <si>
    <t>Paz con Dignidad</t>
  </si>
  <si>
    <t>Plan International en España</t>
  </si>
  <si>
    <t>Prosalus</t>
  </si>
  <si>
    <t>PROYDE</t>
  </si>
  <si>
    <t>Proyecto Cultura y Solidaridad</t>
  </si>
  <si>
    <t>PROYECTO SOLIDARIO POR LA INFANCIA</t>
  </si>
  <si>
    <t>FUNDACION PUEBLOS HERMANOS</t>
  </si>
  <si>
    <t>Rescate</t>
  </si>
  <si>
    <t>Save the Children</t>
  </si>
  <si>
    <t>SED</t>
  </si>
  <si>
    <t>SETEM</t>
  </si>
  <si>
    <t>SOLIDARIOS</t>
  </si>
  <si>
    <t>SOTERMUN-USO</t>
  </si>
  <si>
    <t>Tierra de Hombres</t>
  </si>
  <si>
    <t>VSF - JUSTICIA ALIMENTARIA GLOBAL</t>
  </si>
  <si>
    <t>Fondos autonÃ³micos gobiernos autonÃ³micos</t>
  </si>
  <si>
    <t>INGRESOS EJECUTADOS EN 2014 EN COOPERACIÓN</t>
  </si>
  <si>
    <t>Rentas y otros ingresos</t>
  </si>
  <si>
    <t>Ventas y prest.serv.</t>
  </si>
  <si>
    <t>Ingresos ord.activ. mercantil</t>
  </si>
  <si>
    <t>Subvenc.  sector publico</t>
  </si>
  <si>
    <t>Contratos sector publico</t>
  </si>
  <si>
    <t>Subvenc. Sector privado</t>
  </si>
  <si>
    <t>Aport. Privadas</t>
  </si>
  <si>
    <t>Cuotas asociados</t>
  </si>
  <si>
    <t>Otro tipo ingresos</t>
  </si>
  <si>
    <t>Total</t>
  </si>
  <si>
    <t>Nombre</t>
  </si>
  <si>
    <t>INGRESOS EJECUTADOS EN 2015 EN COOPERACIÓN</t>
  </si>
  <si>
    <t>Desglose ingresos ejecutados</t>
  </si>
  <si>
    <t>Diferencia 2014-15</t>
  </si>
  <si>
    <t>millones €</t>
  </si>
  <si>
    <t>%</t>
  </si>
  <si>
    <t>Total Ingresos</t>
  </si>
  <si>
    <t>Publicos</t>
  </si>
  <si>
    <t>Privados</t>
  </si>
  <si>
    <t>Fondos públicos</t>
  </si>
  <si>
    <t>Fondos privados</t>
  </si>
  <si>
    <t>Total Fondos</t>
  </si>
  <si>
    <t>FONDOS OBTENIDOS/CONCEDIDOS EN 2014 EN COOPERACIÓN</t>
  </si>
  <si>
    <t>FONDOS PRIVADOS</t>
  </si>
  <si>
    <t>TOTAL FONDOS PRIVADOS</t>
  </si>
  <si>
    <t>FONDOS CONCEDIDOS PÚBLICOS</t>
  </si>
  <si>
    <t>TOTAL FONDOS PÚBLICOS</t>
  </si>
  <si>
    <t>Por cuotas periódicas</t>
  </si>
  <si>
    <t>Por donaciones puntuales y campañas de captación</t>
  </si>
  <si>
    <t>Por fondos de entidades privadas</t>
  </si>
  <si>
    <t>Por venta de productos</t>
  </si>
  <si>
    <t>Servicios prestados</t>
  </si>
  <si>
    <t>Ámbito Nacional</t>
  </si>
  <si>
    <t>Cooperación descentralizada</t>
  </si>
  <si>
    <t>Ámbito internacional</t>
  </si>
  <si>
    <t>Otros fondos públicos</t>
  </si>
  <si>
    <t>resto donac puntuales</t>
  </si>
  <si>
    <t>Cuotas de particulares</t>
  </si>
  <si>
    <t>Cuotas por apadrinamiento</t>
  </si>
  <si>
    <t>Cuotas de entidades privadas</t>
  </si>
  <si>
    <t>TOTAL</t>
  </si>
  <si>
    <t>Donativos puntuales entidades privadas</t>
  </si>
  <si>
    <t>Campañas ante emergencias</t>
  </si>
  <si>
    <t>Campañas de captación de recursos</t>
  </si>
  <si>
    <t>Resto de donaciones puntuales</t>
  </si>
  <si>
    <t>Subvenciones entidades privadas</t>
  </si>
  <si>
    <t>Convenios</t>
  </si>
  <si>
    <t>Patrocinios</t>
  </si>
  <si>
    <t>Comercio Justo</t>
  </si>
  <si>
    <t>Merchandising</t>
  </si>
  <si>
    <t>Publicaciones</t>
  </si>
  <si>
    <t xml:space="preserve">Otros </t>
  </si>
  <si>
    <t>Otros privados</t>
  </si>
  <si>
    <t>MAEC Convenios AECID</t>
  </si>
  <si>
    <t>MAEC proyectos o acciones</t>
  </si>
  <si>
    <t>MAEC otras</t>
  </si>
  <si>
    <t>Otros Ministerios</t>
  </si>
  <si>
    <t>Otros organismos ámbito estatal</t>
  </si>
  <si>
    <t>Fondos autonómicos</t>
  </si>
  <si>
    <t>Entidades locales</t>
  </si>
  <si>
    <t>Fondos de cooperación</t>
  </si>
  <si>
    <t>Otros organismos</t>
  </si>
  <si>
    <t>EuropeAid</t>
  </si>
  <si>
    <t>ECHO</t>
  </si>
  <si>
    <t>Organismos multilaterales</t>
  </si>
  <si>
    <t>Otros organismos internacional</t>
  </si>
  <si>
    <t>TOTAL FONDOS</t>
  </si>
  <si>
    <t>r</t>
  </si>
  <si>
    <t>FONDOS OBTENIDOS/CONCEDIDOS EN 2015 EN COOPERACIÓN</t>
  </si>
  <si>
    <t>Desglose fondos privados</t>
  </si>
  <si>
    <t>Difer.2014-2013</t>
  </si>
  <si>
    <t>Difer.2015-2013</t>
  </si>
  <si>
    <t>Apoyos periódicos (cuotas)</t>
  </si>
  <si>
    <t>Cuotas de particulares (NO incluye apadrinamientos)</t>
  </si>
  <si>
    <t>Apoyos puntuales (donaciones)</t>
  </si>
  <si>
    <t>Campañas de captación de fondos</t>
  </si>
  <si>
    <t>Donativos de entidades privadas</t>
  </si>
  <si>
    <t>Fondos de entidades privadas</t>
  </si>
  <si>
    <t>Convocatorias de ayudas</t>
  </si>
  <si>
    <t>Venta de productos</t>
  </si>
  <si>
    <t>Comercio justo</t>
  </si>
  <si>
    <t>Otros fondos privados</t>
  </si>
  <si>
    <t>Desglose fondos públicos</t>
  </si>
  <si>
    <t>Ámbito estatal</t>
  </si>
  <si>
    <t>MAEC Convenios</t>
  </si>
  <si>
    <t>MAEC Proyectos / Acciones</t>
  </si>
  <si>
    <t>MAEC otros</t>
  </si>
  <si>
    <t>Otros organismos públicos ámbito estatal</t>
  </si>
  <si>
    <t>Gobiernos autonómicos</t>
  </si>
  <si>
    <t xml:space="preserve">Entidades locales (diputaciones, ayunt.) </t>
  </si>
  <si>
    <t>Otros organismos (descentralizada)</t>
  </si>
  <si>
    <t>Organismos multilaterales (ONU, Banco Mundial, FMI)</t>
  </si>
  <si>
    <t>Otros organismos internacionales</t>
  </si>
  <si>
    <t>Otros Públicos</t>
  </si>
  <si>
    <t>total</t>
  </si>
  <si>
    <t>Total Fondos Obtenidos/Concedidos</t>
  </si>
  <si>
    <t>Difer.2014-2015</t>
  </si>
  <si>
    <t>Ingresos públicos</t>
  </si>
  <si>
    <t>Ingresos privados</t>
  </si>
  <si>
    <t>Ingresos totales</t>
  </si>
  <si>
    <r>
      <t xml:space="preserve">
</t>
    </r>
    <r>
      <rPr>
        <b/>
        <sz val="10"/>
        <color indexed="63"/>
        <rFont val="Tahoma"/>
        <family val="2"/>
      </rPr>
      <t>Importes en Euros</t>
    </r>
  </si>
  <si>
    <t>Fondos obtenidos/ concedidos en 2015 respecto a 2014</t>
  </si>
  <si>
    <t>Variación 14-15</t>
  </si>
  <si>
    <t>mill de €</t>
  </si>
  <si>
    <t>años</t>
  </si>
  <si>
    <t>ingresos</t>
  </si>
  <si>
    <t>% Fondos públicos</t>
  </si>
  <si>
    <t>% Fondos privados</t>
  </si>
  <si>
    <t>total privados</t>
  </si>
  <si>
    <t>Ingresos ejecutados</t>
  </si>
  <si>
    <t>total públicos</t>
  </si>
  <si>
    <t>Fondos obtenidos/ concedidos</t>
  </si>
  <si>
    <t>ONGD</t>
  </si>
  <si>
    <t>Total privados
(€)</t>
  </si>
  <si>
    <t>Por colaboraciones periódicas (NO apadrinam)</t>
  </si>
  <si>
    <t>Por apadrinamientos</t>
  </si>
  <si>
    <t>Por colaboraciones puntuales (donaciones)</t>
  </si>
  <si>
    <t>Fondos de entidadees privadas</t>
  </si>
  <si>
    <t>Total públicos
(€)</t>
  </si>
  <si>
    <r>
      <t xml:space="preserve">Ámbito nacional </t>
    </r>
    <r>
      <rPr>
        <vertAlign val="superscript"/>
        <sz val="10"/>
        <color indexed="16"/>
        <rFont val="Tahoma"/>
        <family val="2"/>
      </rPr>
      <t>(2)</t>
    </r>
  </si>
  <si>
    <r>
      <t xml:space="preserve">Cooperación descentralizada </t>
    </r>
    <r>
      <rPr>
        <vertAlign val="superscript"/>
        <sz val="10"/>
        <color indexed="16"/>
        <rFont val="Tahoma"/>
        <family val="2"/>
      </rPr>
      <t>(3)</t>
    </r>
  </si>
  <si>
    <r>
      <t>Ámbito internacional</t>
    </r>
    <r>
      <rPr>
        <vertAlign val="superscript"/>
        <sz val="10"/>
        <color indexed="16"/>
        <rFont val="Tahoma"/>
        <family val="2"/>
      </rPr>
      <t xml:space="preserve"> (4)</t>
    </r>
  </si>
  <si>
    <t>Otros fondos</t>
  </si>
  <si>
    <t>Totales Fondos Obtenidos o Concedidos</t>
  </si>
  <si>
    <t>privados</t>
  </si>
  <si>
    <t>públicos</t>
  </si>
  <si>
    <t>Análisis de concentración de los fondos en 2015</t>
  </si>
  <si>
    <t>Nº ONGD  Receptoras</t>
  </si>
  <si>
    <t>Nº ONGD que concentran</t>
  </si>
  <si>
    <t xml:space="preserve">¿Qué ONGD son las principales receptoras? </t>
  </si>
  <si>
    <t>en el 2015</t>
  </si>
  <si>
    <t xml:space="preserve"> &gt; 50%</t>
  </si>
  <si>
    <t xml:space="preserve"> &gt; 90%</t>
  </si>
  <si>
    <t>Oxfam Intermon, Manos Unidas</t>
  </si>
  <si>
    <t>Apoyos periódicos (NO apadrin.)</t>
  </si>
  <si>
    <t>Oxfam Intermon, Save the Children, Manos Unidas, Cruz Roja Española</t>
  </si>
  <si>
    <t>Ayuda en Accion, Educo</t>
  </si>
  <si>
    <t>Por apoyos puntuales (donación)</t>
  </si>
  <si>
    <t>Caritas Española, Manos Unidas</t>
  </si>
  <si>
    <t>Accion contra el Hambre, Oxfam Intermon</t>
  </si>
  <si>
    <t>Ámbito nacional</t>
  </si>
  <si>
    <t>Accion contra el Hambre, Cruz Roja Española</t>
  </si>
  <si>
    <t>Medicus Mundi, Asamblea de Cooperacion por la Paz (ACPP)</t>
  </si>
  <si>
    <t>Accion contra el Hambre</t>
  </si>
  <si>
    <t>Total fondos en 2015</t>
  </si>
  <si>
    <t>Fondos obtenidos/concedidos en 2015</t>
  </si>
  <si>
    <t>TOTAL  cuotas periódicas</t>
  </si>
  <si>
    <t>TOTAL donaciones</t>
  </si>
  <si>
    <t>TOTAL EMPRESAS</t>
  </si>
  <si>
    <t>TOTAL ESTATAL</t>
  </si>
  <si>
    <t>TOTAL AUTONÓMICO</t>
  </si>
  <si>
    <t>TOTAL INTERNACIONAL</t>
  </si>
  <si>
    <t>TOTAL ventas</t>
  </si>
  <si>
    <t>TOTAL otros servicios</t>
  </si>
  <si>
    <t>TOTAL venta productos</t>
  </si>
  <si>
    <t>TOTAL servicios prestados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</si>
</sst>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Tahoma"/>
      <family val="2"/>
    </font>
    <font>
      <sz val="10"/>
      <name val="Tahoma"/>
      <family val="2"/>
    </font>
    <font>
      <b/>
      <sz val="11"/>
      <color indexed="22"/>
      <name val="Tahoma"/>
      <family val="2"/>
    </font>
    <font>
      <sz val="11"/>
      <color indexed="22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1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63"/>
      <name val="Tahoma"/>
      <family val="2"/>
    </font>
    <font>
      <sz val="9"/>
      <name val="Tahoma"/>
      <family val="2"/>
    </font>
    <font>
      <b/>
      <i/>
      <sz val="10"/>
      <color indexed="8"/>
      <name val="Tahoma"/>
      <family val="2"/>
    </font>
    <font>
      <i/>
      <sz val="10"/>
      <color indexed="8"/>
      <name val="Tahoma"/>
      <family val="2"/>
    </font>
    <font>
      <b/>
      <sz val="9"/>
      <name val="Tahoma"/>
      <family val="2"/>
    </font>
    <font>
      <vertAlign val="superscript"/>
      <sz val="10"/>
      <color indexed="16"/>
      <name val="Tahoma"/>
      <family val="2"/>
    </font>
    <font>
      <b/>
      <sz val="11"/>
      <name val="Tahoma"/>
      <family val="2"/>
    </font>
    <font>
      <sz val="10"/>
      <color indexed="23"/>
      <name val="Tahoma"/>
      <family val="2"/>
    </font>
    <font>
      <b/>
      <sz val="10"/>
      <color indexed="23"/>
      <name val="Tahoma"/>
      <family val="2"/>
    </font>
    <font>
      <b/>
      <sz val="10"/>
      <color indexed="22"/>
      <name val="Tahoma"/>
      <family val="2"/>
    </font>
    <font>
      <i/>
      <sz val="10"/>
      <name val="Tahoma"/>
      <family val="2"/>
    </font>
    <font>
      <sz val="10"/>
      <color indexed="22"/>
      <name val="Tahoma"/>
      <family val="2"/>
    </font>
    <font>
      <b/>
      <i/>
      <sz val="10"/>
      <name val="Tahoma"/>
      <family val="2"/>
    </font>
    <font>
      <b/>
      <sz val="10"/>
      <color indexed="63"/>
      <name val="Tahoma"/>
      <family val="2"/>
    </font>
    <font>
      <b/>
      <sz val="12"/>
      <color indexed="8"/>
      <name val="Tahoma"/>
      <family val="2"/>
    </font>
    <font>
      <b/>
      <sz val="9"/>
      <color indexed="8"/>
      <name val="Tahoma"/>
      <family val="2"/>
    </font>
    <font>
      <b/>
      <sz val="9"/>
      <color indexed="23"/>
      <name val="Tahoma"/>
      <family val="2"/>
    </font>
    <font>
      <sz val="9"/>
      <color indexed="8"/>
      <name val="Tahoma"/>
      <family val="2"/>
    </font>
    <font>
      <sz val="9"/>
      <color indexed="23"/>
      <name val="Tahoma"/>
      <family val="2"/>
    </font>
    <font>
      <b/>
      <sz val="8"/>
      <color indexed="8"/>
      <name val="Tahoma"/>
      <family val="2"/>
    </font>
    <font>
      <b/>
      <sz val="10"/>
      <color indexed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b/>
      <i/>
      <sz val="8"/>
      <color indexed="8"/>
      <name val="Tahoma"/>
      <family val="2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1">
    <xf numFmtId="0" fontId="0" fillId="0" borderId="0" xfId="0"/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vertical="center"/>
    </xf>
    <xf numFmtId="0" fontId="7" fillId="2" borderId="2" xfId="0" applyNumberFormat="1" applyFont="1" applyFill="1" applyBorder="1" applyAlignment="1">
      <alignment vertical="center"/>
    </xf>
    <xf numFmtId="0" fontId="8" fillId="2" borderId="2" xfId="0" applyNumberFormat="1" applyFont="1" applyFill="1" applyBorder="1" applyAlignment="1">
      <alignment vertical="center"/>
    </xf>
    <xf numFmtId="3" fontId="7" fillId="2" borderId="2" xfId="0" applyNumberFormat="1" applyFont="1" applyFill="1" applyBorder="1" applyAlignment="1">
      <alignment vertical="center"/>
    </xf>
    <xf numFmtId="3" fontId="8" fillId="2" borderId="2" xfId="0" applyNumberFormat="1" applyFont="1" applyFill="1" applyBorder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3" fontId="10" fillId="0" borderId="0" xfId="0" applyNumberFormat="1" applyFont="1" applyFill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12" fillId="0" borderId="3" xfId="0" applyNumberFormat="1" applyFont="1" applyFill="1" applyBorder="1" applyAlignment="1">
      <alignment horizontal="left" vertical="center"/>
    </xf>
    <xf numFmtId="0" fontId="12" fillId="0" borderId="4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/>
    <xf numFmtId="0" fontId="14" fillId="0" borderId="0" xfId="0" applyNumberFormat="1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right" vertical="center"/>
    </xf>
    <xf numFmtId="0" fontId="6" fillId="0" borderId="0" xfId="0" applyFont="1"/>
    <xf numFmtId="4" fontId="5" fillId="0" borderId="0" xfId="0" applyNumberFormat="1" applyFont="1" applyFill="1" applyAlignment="1">
      <alignment horizontal="center" vertical="center"/>
    </xf>
    <xf numFmtId="4" fontId="7" fillId="2" borderId="2" xfId="0" applyNumberFormat="1" applyFont="1" applyFill="1" applyBorder="1" applyAlignment="1">
      <alignment vertical="center"/>
    </xf>
    <xf numFmtId="4" fontId="10" fillId="0" borderId="0" xfId="0" applyNumberFormat="1" applyFont="1" applyFill="1" applyAlignment="1">
      <alignment vertical="center"/>
    </xf>
    <xf numFmtId="4" fontId="13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4" fontId="0" fillId="0" borderId="0" xfId="0" applyNumberFormat="1"/>
    <xf numFmtId="4" fontId="10" fillId="0" borderId="0" xfId="0" applyNumberFormat="1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vertical="center"/>
    </xf>
    <xf numFmtId="4" fontId="14" fillId="0" borderId="1" xfId="0" applyNumberFormat="1" applyFont="1" applyFill="1" applyBorder="1" applyAlignment="1">
      <alignment horizontal="right" vertical="center"/>
    </xf>
    <xf numFmtId="4" fontId="14" fillId="0" borderId="0" xfId="0" applyNumberFormat="1" applyFont="1" applyFill="1" applyBorder="1" applyAlignment="1">
      <alignment horizontal="right" vertical="center" wrapText="1"/>
    </xf>
    <xf numFmtId="4" fontId="12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4" fontId="10" fillId="0" borderId="0" xfId="0" applyNumberFormat="1" applyFont="1" applyBorder="1" applyAlignment="1">
      <alignment horizontal="right" vertical="center" wrapText="1"/>
    </xf>
    <xf numFmtId="164" fontId="10" fillId="0" borderId="0" xfId="1" applyNumberFormat="1" applyFont="1" applyBorder="1" applyAlignment="1">
      <alignment vertical="center" wrapText="1"/>
    </xf>
    <xf numFmtId="0" fontId="14" fillId="0" borderId="0" xfId="0" applyFont="1" applyFill="1" applyBorder="1" applyAlignment="1">
      <alignment horizontal="left" vertical="center" wrapText="1"/>
    </xf>
    <xf numFmtId="4" fontId="6" fillId="0" borderId="0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left" vertical="center" wrapText="1"/>
    </xf>
    <xf numFmtId="4" fontId="10" fillId="0" borderId="0" xfId="0" applyNumberFormat="1" applyFont="1" applyFill="1" applyBorder="1" applyAlignment="1">
      <alignment horizontal="right" vertical="center" wrapText="1"/>
    </xf>
    <xf numFmtId="49" fontId="14" fillId="0" borderId="0" xfId="0" applyNumberFormat="1" applyFont="1" applyFill="1" applyBorder="1" applyAlignment="1">
      <alignment horizontal="left" vertical="center" wrapText="1"/>
    </xf>
    <xf numFmtId="3" fontId="12" fillId="0" borderId="0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left" vertical="center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horizontal="center" vertical="center" wrapText="1"/>
    </xf>
    <xf numFmtId="164" fontId="12" fillId="0" borderId="0" xfId="1" applyNumberFormat="1" applyFont="1" applyFill="1" applyBorder="1" applyAlignment="1">
      <alignment horizontal="right" vertical="center" wrapText="1"/>
    </xf>
    <xf numFmtId="4" fontId="6" fillId="0" borderId="0" xfId="0" applyNumberFormat="1" applyFont="1" applyFill="1" applyBorder="1" applyAlignment="1">
      <alignment vertical="center" wrapText="1"/>
    </xf>
    <xf numFmtId="164" fontId="14" fillId="0" borderId="0" xfId="1" applyNumberFormat="1" applyFont="1" applyFill="1" applyBorder="1" applyAlignment="1">
      <alignment horizontal="right" vertical="center" wrapText="1"/>
    </xf>
    <xf numFmtId="164" fontId="6" fillId="0" borderId="0" xfId="1" applyNumberFormat="1" applyFont="1" applyFill="1" applyBorder="1" applyAlignment="1">
      <alignment vertical="center" wrapText="1"/>
    </xf>
    <xf numFmtId="9" fontId="12" fillId="0" borderId="0" xfId="1" applyFont="1" applyFill="1" applyBorder="1" applyAlignment="1">
      <alignment horizontal="right" vertical="center" wrapText="1"/>
    </xf>
    <xf numFmtId="4" fontId="6" fillId="0" borderId="0" xfId="0" applyNumberFormat="1" applyFont="1" applyFill="1" applyAlignment="1">
      <alignment horizontal="left" vertical="center" wrapText="1"/>
    </xf>
    <xf numFmtId="9" fontId="6" fillId="0" borderId="0" xfId="1" applyFont="1" applyFill="1" applyAlignment="1">
      <alignment horizontal="left" vertical="center" wrapText="1"/>
    </xf>
    <xf numFmtId="4" fontId="12" fillId="0" borderId="5" xfId="0" applyNumberFormat="1" applyFont="1" applyFill="1" applyBorder="1" applyAlignment="1">
      <alignment horizontal="right" vertical="center" wrapText="1"/>
    </xf>
    <xf numFmtId="164" fontId="12" fillId="0" borderId="6" xfId="1" applyNumberFormat="1" applyFont="1" applyFill="1" applyBorder="1" applyAlignment="1">
      <alignment horizontal="right" vertical="center" wrapText="1"/>
    </xf>
    <xf numFmtId="164" fontId="6" fillId="0" borderId="0" xfId="0" applyNumberFormat="1" applyFont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right" vertical="center" wrapText="1"/>
    </xf>
    <xf numFmtId="4" fontId="14" fillId="0" borderId="1" xfId="0" applyNumberFormat="1" applyFont="1" applyFill="1" applyBorder="1" applyAlignment="1">
      <alignment horizontal="left" vertical="center"/>
    </xf>
    <xf numFmtId="3" fontId="11" fillId="0" borderId="7" xfId="0" applyNumberFormat="1" applyFont="1" applyFill="1" applyBorder="1" applyAlignment="1">
      <alignment horizontal="left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3" fontId="14" fillId="0" borderId="7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right" vertical="center" wrapText="1"/>
    </xf>
    <xf numFmtId="3" fontId="14" fillId="0" borderId="1" xfId="0" applyNumberFormat="1" applyFont="1" applyFill="1" applyBorder="1" applyAlignment="1">
      <alignment horizontal="right" vertical="center" wrapText="1"/>
    </xf>
    <xf numFmtId="0" fontId="16" fillId="0" borderId="0" xfId="0" applyNumberFormat="1" applyFont="1" applyFill="1" applyAlignment="1">
      <alignment horizontal="left" vertical="center"/>
    </xf>
    <xf numFmtId="3" fontId="19" fillId="0" borderId="0" xfId="0" applyNumberFormat="1" applyFont="1" applyFill="1" applyAlignment="1">
      <alignment vertical="center"/>
    </xf>
    <xf numFmtId="3" fontId="16" fillId="0" borderId="0" xfId="0" applyNumberFormat="1" applyFont="1" applyFill="1" applyAlignment="1">
      <alignment vertical="center"/>
    </xf>
    <xf numFmtId="3" fontId="14" fillId="0" borderId="7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Fill="1" applyAlignment="1">
      <alignment vertical="center"/>
    </xf>
    <xf numFmtId="3" fontId="14" fillId="0" borderId="0" xfId="0" applyNumberFormat="1" applyFont="1" applyFill="1" applyBorder="1" applyAlignment="1">
      <alignment vertical="center" wrapText="1"/>
    </xf>
    <xf numFmtId="9" fontId="6" fillId="0" borderId="0" xfId="1" applyFont="1" applyFill="1" applyAlignment="1">
      <alignment vertical="center"/>
    </xf>
    <xf numFmtId="9" fontId="6" fillId="0" borderId="0" xfId="1" applyNumberFormat="1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3" fontId="12" fillId="0" borderId="1" xfId="0" applyNumberFormat="1" applyFont="1" applyFill="1" applyBorder="1" applyAlignment="1">
      <alignment horizontal="left" vertical="center" wrapText="1"/>
    </xf>
    <xf numFmtId="3" fontId="12" fillId="0" borderId="5" xfId="0" applyNumberFormat="1" applyFont="1" applyFill="1" applyBorder="1" applyAlignment="1">
      <alignment horizontal="right" vertical="center" wrapText="1"/>
    </xf>
    <xf numFmtId="3" fontId="12" fillId="0" borderId="0" xfId="0" applyNumberFormat="1" applyFont="1" applyFill="1" applyBorder="1" applyAlignment="1">
      <alignment horizontal="right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/>
    </xf>
    <xf numFmtId="3" fontId="21" fillId="2" borderId="2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right" vertical="center"/>
    </xf>
    <xf numFmtId="4" fontId="6" fillId="0" borderId="0" xfId="0" applyNumberFormat="1" applyFont="1" applyFill="1" applyAlignment="1">
      <alignment vertical="center"/>
    </xf>
    <xf numFmtId="0" fontId="41" fillId="0" borderId="0" xfId="0" applyNumberFormat="1" applyFont="1" applyFill="1" applyAlignment="1">
      <alignment vertical="center"/>
    </xf>
    <xf numFmtId="0" fontId="41" fillId="0" borderId="0" xfId="0" applyNumberFormat="1" applyFont="1" applyFill="1" applyBorder="1" applyAlignment="1">
      <alignment vertical="center"/>
    </xf>
    <xf numFmtId="0" fontId="42" fillId="0" borderId="0" xfId="0" applyFont="1"/>
    <xf numFmtId="4" fontId="6" fillId="0" borderId="0" xfId="0" applyNumberFormat="1" applyFont="1"/>
    <xf numFmtId="3" fontId="6" fillId="0" borderId="0" xfId="0" applyNumberFormat="1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164" fontId="22" fillId="0" borderId="0" xfId="1" applyNumberFormat="1" applyFont="1" applyFill="1" applyBorder="1" applyAlignment="1">
      <alignment horizontal="right" vertical="center" wrapText="1"/>
    </xf>
    <xf numFmtId="4" fontId="6" fillId="0" borderId="0" xfId="0" applyNumberFormat="1" applyFont="1" applyFill="1" applyAlignment="1">
      <alignment vertical="center" wrapText="1"/>
    </xf>
    <xf numFmtId="164" fontId="23" fillId="0" borderId="0" xfId="1" applyNumberFormat="1" applyFont="1" applyFill="1" applyBorder="1" applyAlignment="1">
      <alignment horizontal="right" vertical="center" wrapText="1"/>
    </xf>
    <xf numFmtId="164" fontId="22" fillId="0" borderId="0" xfId="1" applyNumberFormat="1" applyFont="1" applyFill="1" applyBorder="1" applyAlignment="1">
      <alignment vertical="center" wrapText="1"/>
    </xf>
    <xf numFmtId="3" fontId="6" fillId="0" borderId="0" xfId="0" applyNumberFormat="1" applyFont="1" applyAlignment="1">
      <alignment horizontal="left" vertical="center" wrapText="1"/>
    </xf>
    <xf numFmtId="4" fontId="6" fillId="0" borderId="0" xfId="0" applyNumberFormat="1" applyFont="1" applyAlignment="1">
      <alignment vertical="center" wrapText="1"/>
    </xf>
    <xf numFmtId="3" fontId="24" fillId="2" borderId="2" xfId="0" applyNumberFormat="1" applyFont="1" applyFill="1" applyBorder="1" applyAlignment="1">
      <alignment vertical="center"/>
    </xf>
    <xf numFmtId="0" fontId="41" fillId="0" borderId="0" xfId="0" applyNumberFormat="1" applyFont="1" applyFill="1" applyAlignment="1">
      <alignment horizontal="center" vertical="center"/>
    </xf>
    <xf numFmtId="0" fontId="41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left" vertical="center" wrapText="1"/>
    </xf>
    <xf numFmtId="0" fontId="12" fillId="0" borderId="4" xfId="0" applyNumberFormat="1" applyFont="1" applyFill="1" applyBorder="1" applyAlignment="1">
      <alignment horizontal="left" vertical="center" wrapText="1"/>
    </xf>
    <xf numFmtId="3" fontId="12" fillId="0" borderId="3" xfId="0" applyNumberFormat="1" applyFont="1" applyFill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center" vertical="center" wrapText="1"/>
    </xf>
    <xf numFmtId="3" fontId="10" fillId="0" borderId="3" xfId="0" applyNumberFormat="1" applyFont="1" applyFill="1" applyBorder="1" applyAlignment="1">
      <alignment horizontal="center" vertical="center" wrapText="1"/>
    </xf>
    <xf numFmtId="3" fontId="12" fillId="3" borderId="3" xfId="0" applyNumberFormat="1" applyFont="1" applyFill="1" applyBorder="1" applyAlignment="1">
      <alignment horizontal="center" vertical="center" wrapText="1"/>
    </xf>
    <xf numFmtId="3" fontId="12" fillId="3" borderId="11" xfId="0" applyNumberFormat="1" applyFont="1" applyFill="1" applyBorder="1" applyAlignment="1">
      <alignment horizontal="center" vertical="center" wrapText="1"/>
    </xf>
    <xf numFmtId="3" fontId="12" fillId="3" borderId="12" xfId="0" applyNumberFormat="1" applyFont="1" applyFill="1" applyBorder="1" applyAlignment="1">
      <alignment horizontal="center" vertical="center" wrapText="1"/>
    </xf>
    <xf numFmtId="3" fontId="12" fillId="3" borderId="9" xfId="0" applyNumberFormat="1" applyFont="1" applyFill="1" applyBorder="1" applyAlignment="1">
      <alignment horizontal="center" vertical="center" wrapText="1"/>
    </xf>
    <xf numFmtId="3" fontId="12" fillId="3" borderId="13" xfId="0" applyNumberFormat="1" applyFont="1" applyFill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 wrapText="1"/>
    </xf>
    <xf numFmtId="3" fontId="14" fillId="0" borderId="1" xfId="0" applyNumberFormat="1" applyFont="1" applyFill="1" applyBorder="1" applyAlignment="1">
      <alignment horizontal="right" vertical="center"/>
    </xf>
    <xf numFmtId="3" fontId="12" fillId="0" borderId="15" xfId="0" applyNumberFormat="1" applyFont="1" applyFill="1" applyBorder="1" applyAlignment="1">
      <alignment horizontal="right" vertical="center"/>
    </xf>
    <xf numFmtId="3" fontId="10" fillId="5" borderId="16" xfId="0" applyNumberFormat="1" applyFont="1" applyFill="1" applyBorder="1" applyAlignment="1">
      <alignment vertical="center"/>
    </xf>
    <xf numFmtId="3" fontId="12" fillId="0" borderId="15" xfId="0" applyNumberFormat="1" applyFont="1" applyFill="1" applyBorder="1" applyAlignment="1">
      <alignment horizontal="right" vertical="center" wrapText="1"/>
    </xf>
    <xf numFmtId="3" fontId="10" fillId="4" borderId="17" xfId="0" applyNumberFormat="1" applyFont="1" applyFill="1" applyBorder="1" applyAlignment="1">
      <alignment vertical="center"/>
    </xf>
    <xf numFmtId="3" fontId="14" fillId="0" borderId="1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9" fontId="10" fillId="0" borderId="0" xfId="1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Fill="1" applyBorder="1" applyAlignment="1">
      <alignment vertical="center"/>
    </xf>
    <xf numFmtId="164" fontId="10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9" fontId="10" fillId="0" borderId="0" xfId="1" applyFont="1" applyFill="1" applyAlignment="1">
      <alignment vertical="center"/>
    </xf>
    <xf numFmtId="3" fontId="10" fillId="0" borderId="0" xfId="0" applyNumberFormat="1" applyFont="1" applyFill="1" applyAlignment="1">
      <alignment horizontal="right" vertical="center"/>
    </xf>
    <xf numFmtId="3" fontId="25" fillId="0" borderId="0" xfId="0" applyNumberFormat="1" applyFont="1" applyFill="1" applyAlignment="1">
      <alignment vertical="center"/>
    </xf>
    <xf numFmtId="0" fontId="24" fillId="2" borderId="2" xfId="0" applyNumberFormat="1" applyFont="1" applyFill="1" applyBorder="1" applyAlignment="1">
      <alignment vertical="center" wrapText="1"/>
    </xf>
    <xf numFmtId="0" fontId="26" fillId="2" borderId="2" xfId="0" applyNumberFormat="1" applyFont="1" applyFill="1" applyBorder="1" applyAlignment="1">
      <alignment vertical="center"/>
    </xf>
    <xf numFmtId="3" fontId="26" fillId="2" borderId="2" xfId="0" applyNumberFormat="1" applyFont="1" applyFill="1" applyBorder="1" applyAlignment="1">
      <alignment vertical="center"/>
    </xf>
    <xf numFmtId="9" fontId="24" fillId="2" borderId="2" xfId="1" applyFont="1" applyFill="1" applyBorder="1" applyAlignment="1">
      <alignment vertical="center"/>
    </xf>
    <xf numFmtId="3" fontId="24" fillId="2" borderId="2" xfId="0" applyNumberFormat="1" applyFont="1" applyFill="1" applyBorder="1" applyAlignment="1">
      <alignment horizontal="right" vertical="center"/>
    </xf>
    <xf numFmtId="3" fontId="12" fillId="0" borderId="18" xfId="0" applyNumberFormat="1" applyFont="1" applyBorder="1" applyAlignment="1">
      <alignment horizontal="right" vertical="center" wrapText="1"/>
    </xf>
    <xf numFmtId="3" fontId="27" fillId="6" borderId="0" xfId="0" applyNumberFormat="1" applyFont="1" applyFill="1" applyBorder="1" applyAlignment="1">
      <alignment vertical="center"/>
    </xf>
    <xf numFmtId="3" fontId="13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right" vertical="center"/>
    </xf>
    <xf numFmtId="164" fontId="12" fillId="0" borderId="0" xfId="0" applyNumberFormat="1" applyFont="1" applyFill="1" applyBorder="1" applyAlignment="1">
      <alignment horizontal="center" vertical="center" wrapText="1"/>
    </xf>
    <xf numFmtId="9" fontId="6" fillId="0" borderId="0" xfId="1" applyFont="1" applyAlignment="1">
      <alignment vertical="center" wrapText="1"/>
    </xf>
    <xf numFmtId="4" fontId="10" fillId="0" borderId="0" xfId="0" applyNumberFormat="1" applyFont="1" applyAlignment="1">
      <alignment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vertical="center" wrapText="1"/>
    </xf>
    <xf numFmtId="0" fontId="12" fillId="0" borderId="21" xfId="0" applyFont="1" applyFill="1" applyBorder="1" applyAlignment="1">
      <alignment vertical="center" wrapText="1"/>
    </xf>
    <xf numFmtId="0" fontId="12" fillId="0" borderId="21" xfId="0" applyFont="1" applyFill="1" applyBorder="1" applyAlignment="1">
      <alignment horizontal="right" vertical="center" wrapText="1"/>
    </xf>
    <xf numFmtId="0" fontId="12" fillId="0" borderId="22" xfId="0" applyFont="1" applyFill="1" applyBorder="1" applyAlignment="1">
      <alignment horizontal="right" vertical="center" wrapText="1"/>
    </xf>
    <xf numFmtId="0" fontId="10" fillId="0" borderId="0" xfId="0" applyFont="1" applyFill="1" applyAlignment="1">
      <alignment horizontal="center" vertical="center" wrapText="1"/>
    </xf>
    <xf numFmtId="0" fontId="14" fillId="0" borderId="23" xfId="0" applyFont="1" applyFill="1" applyBorder="1" applyAlignment="1">
      <alignment horizontal="left" vertical="center" wrapText="1"/>
    </xf>
    <xf numFmtId="9" fontId="6" fillId="0" borderId="0" xfId="0" applyNumberFormat="1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164" fontId="6" fillId="0" borderId="0" xfId="0" applyNumberFormat="1" applyFont="1" applyFill="1" applyBorder="1" applyAlignment="1">
      <alignment horizontal="right" vertical="center" wrapText="1"/>
    </xf>
    <xf numFmtId="164" fontId="6" fillId="0" borderId="4" xfId="0" applyNumberFormat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6" fillId="0" borderId="8" xfId="0" applyFont="1" applyFill="1" applyBorder="1" applyAlignment="1">
      <alignment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vertical="center" wrapText="1"/>
    </xf>
    <xf numFmtId="4" fontId="6" fillId="0" borderId="0" xfId="0" applyNumberFormat="1" applyFont="1" applyBorder="1" applyAlignment="1">
      <alignment vertical="center" wrapText="1"/>
    </xf>
    <xf numFmtId="4" fontId="6" fillId="0" borderId="4" xfId="0" applyNumberFormat="1" applyFont="1" applyBorder="1" applyAlignment="1">
      <alignment vertical="center" wrapText="1"/>
    </xf>
    <xf numFmtId="9" fontId="6" fillId="0" borderId="0" xfId="0" applyNumberFormat="1" applyFont="1" applyAlignment="1">
      <alignment vertical="center" wrapText="1"/>
    </xf>
    <xf numFmtId="49" fontId="14" fillId="0" borderId="8" xfId="0" applyNumberFormat="1" applyFont="1" applyFill="1" applyBorder="1" applyAlignment="1">
      <alignment horizontal="left" vertical="center" wrapText="1"/>
    </xf>
    <xf numFmtId="4" fontId="15" fillId="0" borderId="0" xfId="0" applyNumberFormat="1" applyFont="1" applyFill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center" vertical="center" wrapText="1"/>
    </xf>
    <xf numFmtId="9" fontId="12" fillId="0" borderId="24" xfId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left" vertical="center" wrapText="1"/>
    </xf>
    <xf numFmtId="4" fontId="6" fillId="0" borderId="25" xfId="0" applyNumberFormat="1" applyFont="1" applyBorder="1" applyAlignment="1">
      <alignment vertical="center" wrapText="1"/>
    </xf>
    <xf numFmtId="4" fontId="6" fillId="0" borderId="26" xfId="0" applyNumberFormat="1" applyFont="1" applyBorder="1" applyAlignment="1">
      <alignment vertical="center" wrapText="1"/>
    </xf>
    <xf numFmtId="9" fontId="6" fillId="0" borderId="24" xfId="0" applyNumberFormat="1" applyFont="1" applyFill="1" applyBorder="1" applyAlignment="1">
      <alignment horizontal="center" vertical="center"/>
    </xf>
    <xf numFmtId="4" fontId="10" fillId="0" borderId="0" xfId="0" applyNumberFormat="1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4" fontId="6" fillId="0" borderId="21" xfId="0" applyNumberFormat="1" applyFont="1" applyBorder="1" applyAlignment="1">
      <alignment vertical="center" wrapText="1"/>
    </xf>
    <xf numFmtId="0" fontId="25" fillId="0" borderId="8" xfId="0" applyFont="1" applyFill="1" applyBorder="1" applyAlignment="1">
      <alignment horizontal="right" vertical="center"/>
    </xf>
    <xf numFmtId="0" fontId="6" fillId="0" borderId="23" xfId="0" applyFont="1" applyFill="1" applyBorder="1" applyAlignment="1">
      <alignment vertical="center" wrapText="1"/>
    </xf>
    <xf numFmtId="9" fontId="6" fillId="0" borderId="0" xfId="0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2" fontId="10" fillId="0" borderId="25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4" fontId="10" fillId="0" borderId="25" xfId="0" applyNumberFormat="1" applyFont="1" applyBorder="1" applyAlignment="1">
      <alignment vertical="center" wrapText="1"/>
    </xf>
    <xf numFmtId="4" fontId="10" fillId="0" borderId="26" xfId="0" applyNumberFormat="1" applyFont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left" vertical="center"/>
    </xf>
    <xf numFmtId="2" fontId="10" fillId="0" borderId="28" xfId="0" applyNumberFormat="1" applyFont="1" applyFill="1" applyBorder="1" applyAlignment="1">
      <alignment horizontal="center" vertical="center"/>
    </xf>
    <xf numFmtId="4" fontId="10" fillId="0" borderId="28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4" fontId="10" fillId="0" borderId="0" xfId="0" applyNumberFormat="1" applyFont="1" applyBorder="1" applyAlignment="1">
      <alignment vertical="center" wrapText="1"/>
    </xf>
    <xf numFmtId="10" fontId="6" fillId="0" borderId="0" xfId="0" applyNumberFormat="1" applyFont="1"/>
    <xf numFmtId="9" fontId="6" fillId="0" borderId="24" xfId="0" applyNumberFormat="1" applyFont="1" applyFill="1" applyBorder="1" applyAlignment="1">
      <alignment vertical="center"/>
    </xf>
    <xf numFmtId="4" fontId="6" fillId="0" borderId="22" xfId="0" applyNumberFormat="1" applyFont="1" applyBorder="1" applyAlignment="1">
      <alignment vertical="center" wrapText="1"/>
    </xf>
    <xf numFmtId="3" fontId="12" fillId="0" borderId="7" xfId="0" applyNumberFormat="1" applyFont="1" applyFill="1" applyBorder="1" applyAlignment="1">
      <alignment horizontal="left" vertical="center" wrapText="1"/>
    </xf>
    <xf numFmtId="3" fontId="12" fillId="0" borderId="7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30" fillId="0" borderId="8" xfId="0" applyFont="1" applyFill="1" applyBorder="1" applyAlignment="1">
      <alignment horizontal="center" vertical="center" wrapText="1"/>
    </xf>
    <xf numFmtId="3" fontId="30" fillId="0" borderId="8" xfId="0" applyNumberFormat="1" applyFont="1" applyFill="1" applyBorder="1" applyAlignment="1">
      <alignment horizontal="left" vertical="center" wrapText="1"/>
    </xf>
    <xf numFmtId="3" fontId="30" fillId="0" borderId="0" xfId="0" applyNumberFormat="1" applyFont="1" applyFill="1" applyBorder="1" applyAlignment="1">
      <alignment horizontal="center" vertical="center" wrapText="1"/>
    </xf>
    <xf numFmtId="9" fontId="31" fillId="0" borderId="0" xfId="1" applyFont="1" applyFill="1" applyBorder="1" applyAlignment="1">
      <alignment horizontal="center" vertical="center" wrapText="1"/>
    </xf>
    <xf numFmtId="1" fontId="19" fillId="5" borderId="0" xfId="0" applyNumberFormat="1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3" fontId="32" fillId="0" borderId="8" xfId="0" applyNumberFormat="1" applyFont="1" applyFill="1" applyBorder="1" applyAlignment="1">
      <alignment horizontal="left" vertical="center" wrapText="1"/>
    </xf>
    <xf numFmtId="3" fontId="32" fillId="0" borderId="0" xfId="0" applyNumberFormat="1" applyFont="1" applyFill="1" applyBorder="1" applyAlignment="1">
      <alignment horizontal="center" vertical="center" wrapText="1"/>
    </xf>
    <xf numFmtId="9" fontId="33" fillId="0" borderId="0" xfId="1" applyFont="1" applyFill="1" applyBorder="1" applyAlignment="1">
      <alignment horizontal="center" vertical="center" wrapText="1"/>
    </xf>
    <xf numFmtId="1" fontId="16" fillId="5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 wrapText="1"/>
    </xf>
    <xf numFmtId="0" fontId="32" fillId="0" borderId="24" xfId="0" applyFont="1" applyFill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3" fontId="19" fillId="5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3" fontId="12" fillId="0" borderId="27" xfId="0" applyNumberFormat="1" applyFont="1" applyFill="1" applyBorder="1" applyAlignment="1">
      <alignment horizontal="left" vertical="center" wrapText="1"/>
    </xf>
    <xf numFmtId="3" fontId="10" fillId="0" borderId="28" xfId="0" applyNumberFormat="1" applyFont="1" applyBorder="1" applyAlignment="1">
      <alignment horizontal="center" vertical="center" wrapText="1"/>
    </xf>
    <xf numFmtId="9" fontId="23" fillId="0" borderId="28" xfId="1" applyFont="1" applyFill="1" applyBorder="1" applyAlignment="1">
      <alignment horizontal="center" vertical="center" wrapText="1"/>
    </xf>
    <xf numFmtId="1" fontId="6" fillId="5" borderId="28" xfId="0" applyNumberFormat="1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 wrapText="1"/>
    </xf>
    <xf numFmtId="0" fontId="34" fillId="5" borderId="0" xfId="0" applyFont="1" applyFill="1" applyBorder="1" applyAlignment="1">
      <alignment vertical="center" wrapText="1"/>
    </xf>
    <xf numFmtId="3" fontId="6" fillId="0" borderId="0" xfId="0" applyNumberFormat="1" applyFont="1"/>
    <xf numFmtId="3" fontId="10" fillId="0" borderId="3" xfId="0" applyNumberFormat="1" applyFont="1" applyFill="1" applyBorder="1" applyAlignment="1">
      <alignment horizontal="left" vertical="center" wrapText="1"/>
    </xf>
    <xf numFmtId="3" fontId="10" fillId="3" borderId="9" xfId="0" applyNumberFormat="1" applyFont="1" applyFill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3" fontId="10" fillId="3" borderId="30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vertical="center"/>
    </xf>
    <xf numFmtId="3" fontId="14" fillId="0" borderId="31" xfId="0" applyNumberFormat="1" applyFont="1" applyFill="1" applyBorder="1" applyAlignment="1">
      <alignment horizontal="right" vertical="center"/>
    </xf>
    <xf numFmtId="3" fontId="12" fillId="0" borderId="32" xfId="0" applyNumberFormat="1" applyFont="1" applyFill="1" applyBorder="1" applyAlignment="1">
      <alignment horizontal="right" vertical="center" wrapText="1"/>
    </xf>
    <xf numFmtId="3" fontId="35" fillId="2" borderId="2" xfId="0" applyNumberFormat="1" applyFont="1" applyFill="1" applyBorder="1" applyAlignment="1">
      <alignment vertical="center"/>
    </xf>
    <xf numFmtId="3" fontId="6" fillId="2" borderId="2" xfId="0" applyNumberFormat="1" applyFont="1" applyFill="1" applyBorder="1" applyAlignment="1">
      <alignment vertical="center"/>
    </xf>
    <xf numFmtId="0" fontId="14" fillId="0" borderId="25" xfId="0" applyFont="1" applyBorder="1"/>
    <xf numFmtId="3" fontId="6" fillId="0" borderId="31" xfId="0" applyNumberFormat="1" applyFont="1" applyFill="1" applyBorder="1" applyAlignment="1">
      <alignment vertical="center"/>
    </xf>
    <xf numFmtId="0" fontId="14" fillId="0" borderId="0" xfId="0" applyFont="1" applyFill="1"/>
    <xf numFmtId="4" fontId="12" fillId="0" borderId="0" xfId="0" applyNumberFormat="1" applyFont="1" applyFill="1" applyBorder="1" applyAlignment="1">
      <alignment horizontal="center" vertical="center" wrapText="1"/>
    </xf>
    <xf numFmtId="4" fontId="10" fillId="0" borderId="4" xfId="0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6" fillId="0" borderId="25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4" fontId="10" fillId="0" borderId="0" xfId="0" applyNumberFormat="1" applyFont="1" applyFill="1" applyBorder="1" applyAlignment="1">
      <alignment vertical="center" wrapText="1"/>
    </xf>
    <xf numFmtId="0" fontId="4" fillId="0" borderId="0" xfId="0" applyFont="1"/>
    <xf numFmtId="164" fontId="6" fillId="0" borderId="0" xfId="1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2" fontId="10" fillId="0" borderId="0" xfId="0" applyNumberFormat="1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4" fillId="0" borderId="0" xfId="0" applyFont="1" applyFill="1" applyBorder="1" applyAlignment="1">
      <alignment horizontal="left" vertical="center" wrapText="1"/>
    </xf>
    <xf numFmtId="4" fontId="37" fillId="0" borderId="0" xfId="0" applyNumberFormat="1" applyFont="1" applyBorder="1" applyAlignment="1">
      <alignment horizontal="center" vertical="center" wrapText="1"/>
    </xf>
    <xf numFmtId="164" fontId="37" fillId="0" borderId="0" xfId="1" applyNumberFormat="1" applyFont="1" applyBorder="1" applyAlignment="1">
      <alignment horizontal="center" vertical="center" wrapText="1"/>
    </xf>
    <xf numFmtId="164" fontId="37" fillId="0" borderId="0" xfId="1" applyNumberFormat="1" applyFont="1" applyBorder="1" applyAlignment="1">
      <alignment vertical="center" wrapText="1"/>
    </xf>
    <xf numFmtId="4" fontId="37" fillId="0" borderId="0" xfId="0" applyNumberFormat="1" applyFont="1" applyBorder="1" applyAlignment="1">
      <alignment horizontal="right" vertical="center" wrapText="1"/>
    </xf>
    <xf numFmtId="4" fontId="37" fillId="0" borderId="0" xfId="0" applyNumberFormat="1" applyFont="1" applyFill="1" applyBorder="1" applyAlignment="1">
      <alignment horizontal="right" vertical="center" wrapText="1"/>
    </xf>
    <xf numFmtId="164" fontId="36" fillId="0" borderId="0" xfId="1" applyNumberFormat="1" applyFont="1" applyBorder="1" applyAlignment="1">
      <alignment vertical="center" wrapText="1"/>
    </xf>
    <xf numFmtId="164" fontId="37" fillId="7" borderId="0" xfId="1" applyNumberFormat="1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" fontId="36" fillId="0" borderId="0" xfId="0" applyNumberFormat="1" applyFont="1" applyBorder="1" applyAlignment="1">
      <alignment horizontal="right" vertical="center" wrapText="1"/>
    </xf>
    <xf numFmtId="3" fontId="38" fillId="0" borderId="0" xfId="0" applyNumberFormat="1" applyFont="1" applyFill="1" applyBorder="1" applyAlignment="1">
      <alignment horizontal="left" vertical="center" wrapText="1"/>
    </xf>
    <xf numFmtId="0" fontId="36" fillId="0" borderId="0" xfId="0" applyFont="1" applyBorder="1" applyAlignment="1">
      <alignment horizontal="left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3" fontId="34" fillId="0" borderId="0" xfId="0" applyNumberFormat="1" applyFont="1" applyFill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  <xf numFmtId="0" fontId="38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horizontal="right" vertical="center" wrapText="1"/>
    </xf>
    <xf numFmtId="0" fontId="39" fillId="0" borderId="0" xfId="0" applyFont="1" applyFill="1" applyBorder="1" applyAlignment="1">
      <alignment horizontal="center" vertical="center" wrapText="1"/>
    </xf>
    <xf numFmtId="4" fontId="34" fillId="0" borderId="0" xfId="0" applyNumberFormat="1" applyFont="1" applyFill="1" applyBorder="1" applyAlignment="1">
      <alignment horizontal="right" vertical="center" wrapText="1"/>
    </xf>
    <xf numFmtId="164" fontId="34" fillId="0" borderId="0" xfId="1" applyNumberFormat="1" applyFont="1" applyFill="1" applyBorder="1" applyAlignment="1">
      <alignment horizontal="right" vertical="center" wrapText="1"/>
    </xf>
    <xf numFmtId="4" fontId="36" fillId="0" borderId="0" xfId="0" applyNumberFormat="1" applyFont="1" applyFill="1" applyBorder="1" applyAlignment="1">
      <alignment vertical="center" wrapText="1"/>
    </xf>
    <xf numFmtId="164" fontId="38" fillId="0" borderId="0" xfId="1" applyNumberFormat="1" applyFont="1" applyFill="1" applyBorder="1" applyAlignment="1">
      <alignment horizontal="right" vertical="center" wrapText="1"/>
    </xf>
    <xf numFmtId="164" fontId="36" fillId="0" borderId="0" xfId="1" applyNumberFormat="1" applyFont="1" applyFill="1" applyBorder="1" applyAlignment="1">
      <alignment vertical="center" wrapText="1"/>
    </xf>
    <xf numFmtId="4" fontId="38" fillId="0" borderId="0" xfId="0" applyNumberFormat="1" applyFont="1" applyFill="1" applyBorder="1" applyAlignment="1">
      <alignment horizontal="right" vertical="center" wrapText="1"/>
    </xf>
    <xf numFmtId="0" fontId="40" fillId="0" borderId="0" xfId="0" applyFont="1" applyFill="1" applyBorder="1" applyAlignment="1">
      <alignment horizontal="right" vertical="center" wrapText="1"/>
    </xf>
    <xf numFmtId="164" fontId="12" fillId="7" borderId="0" xfId="1" applyNumberFormat="1" applyFont="1" applyFill="1" applyBorder="1" applyAlignment="1">
      <alignment horizontal="right" vertical="center" wrapText="1"/>
    </xf>
    <xf numFmtId="164" fontId="36" fillId="7" borderId="0" xfId="1" applyNumberFormat="1" applyFont="1" applyFill="1" applyBorder="1" applyAlignment="1">
      <alignment vertical="center" wrapText="1"/>
    </xf>
    <xf numFmtId="0" fontId="34" fillId="7" borderId="15" xfId="0" applyFont="1" applyFill="1" applyBorder="1" applyAlignment="1">
      <alignment horizontal="left" vertical="center" wrapText="1"/>
    </xf>
    <xf numFmtId="4" fontId="34" fillId="7" borderId="5" xfId="0" applyNumberFormat="1" applyFont="1" applyFill="1" applyBorder="1" applyAlignment="1">
      <alignment horizontal="right" vertical="center" wrapText="1"/>
    </xf>
    <xf numFmtId="3" fontId="12" fillId="0" borderId="9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left" vertical="center" wrapText="1"/>
    </xf>
    <xf numFmtId="3" fontId="12" fillId="0" borderId="10" xfId="0" applyNumberFormat="1" applyFont="1" applyBorder="1" applyAlignment="1">
      <alignment horizontal="center" vertical="center" wrapText="1"/>
    </xf>
    <xf numFmtId="3" fontId="10" fillId="0" borderId="19" xfId="0" applyNumberFormat="1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3" fontId="12" fillId="0" borderId="9" xfId="0" applyNumberFormat="1" applyFont="1" applyFill="1" applyBorder="1" applyAlignment="1">
      <alignment horizontal="center" vertical="center" wrapText="1"/>
    </xf>
    <xf numFmtId="3" fontId="12" fillId="8" borderId="9" xfId="0" applyNumberFormat="1" applyFont="1" applyFill="1" applyBorder="1" applyAlignment="1">
      <alignment horizontal="center" vertical="center" wrapText="1"/>
    </xf>
    <xf numFmtId="3" fontId="12" fillId="8" borderId="3" xfId="0" applyNumberFormat="1" applyFont="1" applyFill="1" applyBorder="1" applyAlignment="1">
      <alignment horizontal="center" vertical="center" wrapText="1"/>
    </xf>
    <xf numFmtId="3" fontId="12" fillId="8" borderId="10" xfId="0" applyNumberFormat="1" applyFont="1" applyFill="1" applyBorder="1" applyAlignment="1">
      <alignment horizontal="center" vertical="center" wrapText="1"/>
    </xf>
    <xf numFmtId="3" fontId="12" fillId="8" borderId="13" xfId="0" applyNumberFormat="1" applyFont="1" applyFill="1" applyBorder="1" applyAlignment="1">
      <alignment horizontal="center" vertical="center" wrapText="1"/>
    </xf>
    <xf numFmtId="4" fontId="12" fillId="0" borderId="33" xfId="0" applyNumberFormat="1" applyFont="1" applyFill="1" applyBorder="1" applyAlignment="1">
      <alignment horizontal="center" vertical="center" wrapText="1"/>
    </xf>
    <xf numFmtId="4" fontId="12" fillId="0" borderId="9" xfId="0" applyNumberFormat="1" applyFont="1" applyFill="1" applyBorder="1" applyAlignment="1">
      <alignment horizontal="center" vertical="center" wrapText="1"/>
    </xf>
    <xf numFmtId="3" fontId="12" fillId="0" borderId="33" xfId="0" applyNumberFormat="1" applyFont="1" applyFill="1" applyBorder="1" applyAlignment="1">
      <alignment horizontal="center" vertical="center"/>
    </xf>
    <xf numFmtId="3" fontId="12" fillId="0" borderId="9" xfId="0" applyNumberFormat="1" applyFont="1" applyFill="1" applyBorder="1" applyAlignment="1">
      <alignment horizontal="center" vertical="center"/>
    </xf>
    <xf numFmtId="3" fontId="12" fillId="0" borderId="33" xfId="0" applyNumberFormat="1" applyFont="1" applyFill="1" applyBorder="1" applyAlignment="1">
      <alignment horizontal="center" vertical="center" wrapText="1"/>
    </xf>
    <xf numFmtId="3" fontId="12" fillId="0" borderId="9" xfId="0" applyNumberFormat="1" applyFont="1" applyFill="1" applyBorder="1" applyAlignment="1">
      <alignment horizontal="center" vertical="center" wrapText="1"/>
    </xf>
    <xf numFmtId="3" fontId="10" fillId="0" borderId="33" xfId="0" applyNumberFormat="1" applyFont="1" applyFill="1" applyBorder="1" applyAlignment="1">
      <alignment horizontal="center" vertical="center" wrapText="1"/>
    </xf>
    <xf numFmtId="3" fontId="10" fillId="0" borderId="9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left" vertical="center" wrapText="1"/>
    </xf>
    <xf numFmtId="3" fontId="14" fillId="0" borderId="0" xfId="0" applyNumberFormat="1" applyFont="1" applyFill="1" applyBorder="1" applyAlignment="1">
      <alignment horizontal="left" vertical="center" wrapText="1"/>
    </xf>
    <xf numFmtId="3" fontId="12" fillId="5" borderId="34" xfId="0" applyNumberFormat="1" applyFont="1" applyFill="1" applyBorder="1" applyAlignment="1">
      <alignment horizontal="center" vertical="center" wrapText="1"/>
    </xf>
    <xf numFmtId="3" fontId="12" fillId="5" borderId="35" xfId="0" applyNumberFormat="1" applyFont="1" applyFill="1" applyBorder="1" applyAlignment="1">
      <alignment horizontal="center" vertical="center" wrapText="1"/>
    </xf>
    <xf numFmtId="3" fontId="12" fillId="5" borderId="36" xfId="0" applyNumberFormat="1" applyFont="1" applyFill="1" applyBorder="1" applyAlignment="1">
      <alignment horizontal="center" vertical="center" wrapText="1"/>
    </xf>
    <xf numFmtId="3" fontId="12" fillId="0" borderId="10" xfId="0" applyNumberFormat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6" fillId="0" borderId="11" xfId="0" applyFont="1" applyBorder="1" applyAlignment="1"/>
    <xf numFmtId="3" fontId="10" fillId="0" borderId="37" xfId="0" applyNumberFormat="1" applyFont="1" applyBorder="1" applyAlignment="1">
      <alignment horizontal="center" vertical="center" wrapText="1"/>
    </xf>
    <xf numFmtId="3" fontId="10" fillId="0" borderId="19" xfId="0" applyNumberFormat="1" applyFont="1" applyBorder="1" applyAlignment="1">
      <alignment horizontal="center" vertical="center" wrapText="1"/>
    </xf>
    <xf numFmtId="3" fontId="12" fillId="5" borderId="38" xfId="0" applyNumberFormat="1" applyFont="1" applyFill="1" applyBorder="1" applyAlignment="1">
      <alignment horizontal="center" vertical="center" wrapText="1"/>
    </xf>
    <xf numFmtId="3" fontId="12" fillId="5" borderId="16" xfId="0" applyNumberFormat="1" applyFont="1" applyFill="1" applyBorder="1" applyAlignment="1">
      <alignment horizontal="center" vertical="center" wrapText="1"/>
    </xf>
    <xf numFmtId="3" fontId="12" fillId="5" borderId="39" xfId="0" applyNumberFormat="1" applyFont="1" applyFill="1" applyBorder="1" applyAlignment="1">
      <alignment horizontal="center" vertical="center" wrapText="1"/>
    </xf>
    <xf numFmtId="3" fontId="12" fillId="0" borderId="37" xfId="0" applyNumberFormat="1" applyFont="1" applyBorder="1" applyAlignment="1">
      <alignment horizontal="center" vertical="center" wrapText="1"/>
    </xf>
    <xf numFmtId="3" fontId="12" fillId="0" borderId="19" xfId="0" applyNumberFormat="1" applyFont="1" applyBorder="1" applyAlignment="1">
      <alignment horizontal="center" vertical="center" wrapText="1"/>
    </xf>
    <xf numFmtId="3" fontId="12" fillId="0" borderId="11" xfId="0" applyNumberFormat="1" applyFont="1" applyBorder="1" applyAlignment="1">
      <alignment horizontal="center" vertical="center" wrapText="1"/>
    </xf>
    <xf numFmtId="3" fontId="12" fillId="0" borderId="10" xfId="0" applyNumberFormat="1" applyFont="1" applyBorder="1" applyAlignment="1">
      <alignment horizontal="left" vertical="center" wrapText="1"/>
    </xf>
    <xf numFmtId="3" fontId="12" fillId="0" borderId="19" xfId="0" applyNumberFormat="1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40" xfId="0" applyFont="1" applyFill="1" applyBorder="1" applyAlignment="1">
      <alignment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0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40" xfId="0" applyFont="1" applyBorder="1" applyAlignment="1">
      <alignment horizontal="left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3" fontId="10" fillId="0" borderId="3" xfId="0" applyNumberFormat="1" applyFont="1" applyBorder="1" applyAlignment="1">
      <alignment horizontal="center" vertical="center" wrapText="1"/>
    </xf>
    <xf numFmtId="3" fontId="10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25" b="1" i="0" u="sng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r>
              <a:rPr lang="en-US"/>
              <a:t>Distribución de Ingresos de Cooperación Internacional. 2003.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C0C0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26A-4A23-B970-32A92C37682D}"/>
              </c:ext>
            </c:extLst>
          </c:dPt>
          <c:dPt>
            <c:idx val="1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26A-4A23-B970-32A92C37682D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26A-4A23-B970-32A92C37682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26A-4A23-B970-32A92C37682D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Ingresos Públicos</c:v>
              </c:pt>
              <c:pt idx="1">
                <c:v>Ingresos Privados</c:v>
              </c:pt>
            </c:strLit>
          </c:cat>
          <c:val>
            <c:numRef>
              <c:f>(Ingresos2015!$I$87,Ingresos2015!$C$87)</c:f>
              <c:numCache>
                <c:formatCode>#,##0.00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6A-4A23-B970-32A92C37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04582223124997E-2"/>
          <c:y val="1.9841469816273001E-2"/>
          <c:w val="0.813560818254212"/>
          <c:h val="0.857146178796886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'Totales fondos'!$B$58</c:f>
              <c:strCache>
                <c:ptCount val="1"/>
                <c:pt idx="0">
                  <c:v>Ingresos públicos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'Totales fondos'!$C$57:$I$57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'Totales fondos'!$C$58:$I$58</c:f>
              <c:numCache>
                <c:formatCode>#,##0.00</c:formatCode>
                <c:ptCount val="7"/>
                <c:pt idx="0">
                  <c:v>404.21496599999995</c:v>
                </c:pt>
                <c:pt idx="1">
                  <c:v>411.8</c:v>
                </c:pt>
                <c:pt idx="2">
                  <c:v>373.59837199999998</c:v>
                </c:pt>
                <c:pt idx="3">
                  <c:v>312.52822587000003</c:v>
                </c:pt>
                <c:pt idx="4">
                  <c:v>278.23514241999993</c:v>
                </c:pt>
                <c:pt idx="5">
                  <c:v>296.84194337638002</c:v>
                </c:pt>
                <c:pt idx="6">
                  <c:v>257.57064429000002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E4-4AEB-AF05-396155EE980E}"/>
            </c:ext>
          </c:extLst>
        </c:ser>
        <c:ser>
          <c:idx val="0"/>
          <c:order val="1"/>
          <c:tx>
            <c:strRef>
              <c:f>'Totales fondos'!$B$59</c:f>
              <c:strCache>
                <c:ptCount val="1"/>
                <c:pt idx="0">
                  <c:v>Ingresos privados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'Totales fondos'!$C$57:$I$57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'Totales fondos'!$C$59:$I$59</c:f>
              <c:numCache>
                <c:formatCode>#,##0.00</c:formatCode>
                <c:ptCount val="7"/>
                <c:pt idx="0">
                  <c:v>270.25202899999999</c:v>
                </c:pt>
                <c:pt idx="1">
                  <c:v>311.562029</c:v>
                </c:pt>
                <c:pt idx="2">
                  <c:v>344.48292099999998</c:v>
                </c:pt>
                <c:pt idx="3">
                  <c:v>233.22353991999998</c:v>
                </c:pt>
                <c:pt idx="4">
                  <c:v>225.71225575999995</c:v>
                </c:pt>
                <c:pt idx="5">
                  <c:v>277.95557624361999</c:v>
                </c:pt>
                <c:pt idx="6">
                  <c:v>296.18382015000003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E4-4AEB-AF05-396155EE980E}"/>
            </c:ext>
          </c:extLst>
        </c:ser>
        <c:ser>
          <c:idx val="2"/>
          <c:order val="2"/>
          <c:tx>
            <c:strRef>
              <c:f>'Totales fondos'!$B$60</c:f>
              <c:strCache>
                <c:ptCount val="1"/>
                <c:pt idx="0">
                  <c:v>Ingresos totales</c:v>
                </c:pt>
              </c:strCache>
            </c:strRef>
          </c:tx>
          <c:invertIfNegative val="0"/>
          <c:cat>
            <c:numRef>
              <c:f>'Totales fondos'!$C$57:$I$57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'Totales fondos'!$C$60:$I$60</c:f>
              <c:numCache>
                <c:formatCode>#,##0.00</c:formatCode>
                <c:ptCount val="7"/>
                <c:pt idx="0">
                  <c:v>688.36316299999999</c:v>
                </c:pt>
                <c:pt idx="1">
                  <c:v>723.36202900000001</c:v>
                </c:pt>
                <c:pt idx="2">
                  <c:v>732.10098799999992</c:v>
                </c:pt>
                <c:pt idx="3">
                  <c:v>545.75176579000004</c:v>
                </c:pt>
                <c:pt idx="4">
                  <c:v>503.94739817999988</c:v>
                </c:pt>
                <c:pt idx="5">
                  <c:v>574.79751962</c:v>
                </c:pt>
                <c:pt idx="6">
                  <c:v>553.75446443999999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E4-4AEB-AF05-396155EE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30313544"/>
        <c:axId val="333124200"/>
      </c:barChart>
      <c:catAx>
        <c:axId val="33031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33312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3124200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330313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324082440514595"/>
          <c:y val="0.20634987293255"/>
          <c:w val="0.99819380500934596"/>
          <c:h val="0.3918836812065160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01" r="0.750000000000001" t="1" header="0" footer="0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458047068850802E-2"/>
          <c:y val="5.5397025371828501E-2"/>
          <c:w val="0.813560818254212"/>
          <c:h val="0.8571461787968860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Comparación!$I$8</c:f>
              <c:strCache>
                <c:ptCount val="1"/>
                <c:pt idx="0">
                  <c:v>Fondos públicos</c:v>
                </c:pt>
              </c:strCache>
            </c:strRef>
          </c:tx>
          <c:spPr>
            <a:solidFill>
              <a:srgbClr val="424242"/>
            </a:solidFill>
            <a:ln w="25400">
              <a:noFill/>
            </a:ln>
          </c:spPr>
          <c:invertIfNegative val="0"/>
          <c:cat>
            <c:numRef>
              <c:f>Comparación!$O$4:$V$4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Comparación!$O$8:$V$8</c:f>
              <c:numCache>
                <c:formatCode>#,##0.00</c:formatCode>
                <c:ptCount val="8"/>
                <c:pt idx="0">
                  <c:v>357.97642230999998</c:v>
                </c:pt>
                <c:pt idx="1">
                  <c:v>384.78602000000001</c:v>
                </c:pt>
                <c:pt idx="2">
                  <c:v>476.51523699999996</c:v>
                </c:pt>
                <c:pt idx="3">
                  <c:v>217.94701999999998</c:v>
                </c:pt>
                <c:pt idx="4">
                  <c:v>230.46236994999995</c:v>
                </c:pt>
                <c:pt idx="5">
                  <c:v>235.69270122999998</c:v>
                </c:pt>
                <c:pt idx="6">
                  <c:v>344.63390038</c:v>
                </c:pt>
                <c:pt idx="7">
                  <c:v>198.83856585000001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CE-4670-BF35-2D458CDE2C12}"/>
            </c:ext>
          </c:extLst>
        </c:ser>
        <c:ser>
          <c:idx val="0"/>
          <c:order val="1"/>
          <c:tx>
            <c:strRef>
              <c:f>Comparación!$I$9</c:f>
              <c:strCache>
                <c:ptCount val="1"/>
                <c:pt idx="0">
                  <c:v>Fondos privados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Comparación!$O$4:$V$4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Comparación!$O$9:$V$9</c:f>
              <c:numCache>
                <c:formatCode>#,##0.00</c:formatCode>
                <c:ptCount val="8"/>
                <c:pt idx="0">
                  <c:v>267.41186299999998</c:v>
                </c:pt>
                <c:pt idx="1">
                  <c:v>263.86473400000006</c:v>
                </c:pt>
                <c:pt idx="2">
                  <c:v>340.78492</c:v>
                </c:pt>
                <c:pt idx="3">
                  <c:v>312.57247899999999</c:v>
                </c:pt>
                <c:pt idx="4">
                  <c:v>227.60384567</c:v>
                </c:pt>
                <c:pt idx="5">
                  <c:v>229.56583696999996</c:v>
                </c:pt>
                <c:pt idx="6">
                  <c:v>276.25885242999999</c:v>
                </c:pt>
                <c:pt idx="7">
                  <c:v>299.73322114000001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CE-4670-BF35-2D458CDE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33124984"/>
        <c:axId val="333125376"/>
      </c:barChart>
      <c:catAx>
        <c:axId val="33312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33312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3125376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333124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728726815066095"/>
          <c:y val="0.20634995625546801"/>
          <c:w val="0.10734485958602701"/>
          <c:h val="0.6190502187226589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Ingresos ejecutados (millones euros)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4.4444444444444502E-2"/>
                  <c:y val="7.4074074074074098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789-4913-BB17-F61D4736162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2777777777777798E-2"/>
                  <c:y val="9.7222222222222196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789-4913-BB17-F61D4736162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8333333333333397E-2"/>
                  <c:y val="7.4074074074074098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789-4913-BB17-F61D4736162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5"/>
                  <c:y val="8.3333333333333301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789-4913-BB17-F61D4736162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444444444444502E-2"/>
                  <c:y val="7.87037037037037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789-4913-BB17-F61D4736162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Comparación!$X$7:$X$12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Comparación!$Y$7:$Y$12</c:f>
              <c:numCache>
                <c:formatCode>#,##0.00</c:formatCode>
                <c:ptCount val="6"/>
                <c:pt idx="0">
                  <c:v>723.36202900000001</c:v>
                </c:pt>
                <c:pt idx="1">
                  <c:v>732.10098799999992</c:v>
                </c:pt>
                <c:pt idx="2">
                  <c:v>545.75176579000004</c:v>
                </c:pt>
                <c:pt idx="3">
                  <c:v>503.94739817999988</c:v>
                </c:pt>
                <c:pt idx="4">
                  <c:v>574.79751962</c:v>
                </c:pt>
                <c:pt idx="5">
                  <c:v>553.75446443999999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789-4913-BB17-F61D4736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99832"/>
        <c:axId val="296300224"/>
      </c:lineChart>
      <c:catAx>
        <c:axId val="29629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96300224"/>
        <c:crosses val="autoZero"/>
        <c:auto val="1"/>
        <c:lblAlgn val="ctr"/>
        <c:lblOffset val="100"/>
        <c:noMultiLvlLbl val="0"/>
      </c:catAx>
      <c:valAx>
        <c:axId val="296300224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2962998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200" b="1"/>
              <a:t>Fondos obtenidos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504582223124997E-2"/>
          <c:y val="1.09525809273841E-2"/>
          <c:w val="0.813560818254212"/>
          <c:h val="0.8571461787968860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Fondos</c:v>
          </c:tx>
          <c:spPr>
            <a:solidFill>
              <a:srgbClr val="0070C0"/>
            </a:solidFill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Comparación!$J$59:$Q$59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Comparación!$J$62:$Q$62</c:f>
              <c:numCache>
                <c:formatCode>0.00</c:formatCode>
                <c:ptCount val="8"/>
                <c:pt idx="0">
                  <c:v>625.3882853099999</c:v>
                </c:pt>
                <c:pt idx="1">
                  <c:v>648.65075400000001</c:v>
                </c:pt>
                <c:pt idx="2">
                  <c:v>817.3001569999999</c:v>
                </c:pt>
                <c:pt idx="3">
                  <c:v>530.519499</c:v>
                </c:pt>
                <c:pt idx="4">
                  <c:v>458.06621561999998</c:v>
                </c:pt>
                <c:pt idx="5">
                  <c:v>465.25853819999998</c:v>
                </c:pt>
                <c:pt idx="6">
                  <c:v>620.89275281000005</c:v>
                </c:pt>
                <c:pt idx="7">
                  <c:v>498.57178699000002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79-434E-A704-7CEAB3C01664}"/>
            </c:ext>
          </c:extLst>
        </c:ser>
        <c:ser>
          <c:idx val="0"/>
          <c:order val="1"/>
          <c:tx>
            <c:v>Fondos publicos</c:v>
          </c:tx>
          <c:spPr>
            <a:solidFill>
              <a:schemeClr val="accent2"/>
            </a:solidFill>
          </c:spPr>
          <c:invertIfNegative val="0"/>
          <c:cat>
            <c:numRef>
              <c:f>Comparación!$J$59:$Q$59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Comparación!$J$63:$Q$63</c:f>
              <c:numCache>
                <c:formatCode>0.00</c:formatCode>
                <c:ptCount val="8"/>
                <c:pt idx="0">
                  <c:v>357.97642230999998</c:v>
                </c:pt>
                <c:pt idx="1">
                  <c:v>384.78602000000001</c:v>
                </c:pt>
                <c:pt idx="2">
                  <c:v>476.51523699999996</c:v>
                </c:pt>
                <c:pt idx="3">
                  <c:v>217.94701999999998</c:v>
                </c:pt>
                <c:pt idx="4">
                  <c:v>230.46236994999995</c:v>
                </c:pt>
                <c:pt idx="5">
                  <c:v>235.69270122999998</c:v>
                </c:pt>
                <c:pt idx="6">
                  <c:v>344.63390038</c:v>
                </c:pt>
                <c:pt idx="7">
                  <c:v>198.83856585000001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79-434E-A704-7CEAB3C01664}"/>
            </c:ext>
          </c:extLst>
        </c:ser>
        <c:ser>
          <c:idx val="2"/>
          <c:order val="2"/>
          <c:tx>
            <c:v>Fondos privados</c:v>
          </c:tx>
          <c:invertIfNegative val="0"/>
          <c:cat>
            <c:numRef>
              <c:f>Comparación!$J$59:$Q$59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Comparación!$J$64:$Q$64</c:f>
              <c:numCache>
                <c:formatCode>0.00</c:formatCode>
                <c:ptCount val="8"/>
                <c:pt idx="0">
                  <c:v>267.41186299999998</c:v>
                </c:pt>
                <c:pt idx="1">
                  <c:v>263.86473400000006</c:v>
                </c:pt>
                <c:pt idx="2">
                  <c:v>340.78492</c:v>
                </c:pt>
                <c:pt idx="3">
                  <c:v>312.57247899999999</c:v>
                </c:pt>
                <c:pt idx="4">
                  <c:v>227.60384567</c:v>
                </c:pt>
                <c:pt idx="5">
                  <c:v>229.56583696999996</c:v>
                </c:pt>
                <c:pt idx="6">
                  <c:v>276.25885242999999</c:v>
                </c:pt>
                <c:pt idx="7">
                  <c:v>299.73322114000001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79-434E-A704-7CEAB3C01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96301008"/>
        <c:axId val="296301400"/>
      </c:barChart>
      <c:catAx>
        <c:axId val="29630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9630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6301400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one"/>
        <c:crossAx val="296301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324073299638794"/>
          <c:y val="0.20634995625546801"/>
          <c:w val="0.114953460862916"/>
          <c:h val="0.1855338582677170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200" b="1"/>
              <a:t>Ingresos ejecutados</a:t>
            </a:r>
          </a:p>
        </c:rich>
      </c:tx>
      <c:layout>
        <c:manualLayout>
          <c:xMode val="edge"/>
          <c:yMode val="edge"/>
          <c:x val="0.44332429874837098"/>
          <c:y val="2.666666666666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04582223124997E-2"/>
          <c:y val="1.09525809273841E-2"/>
          <c:w val="0.813560818254212"/>
          <c:h val="0.857146178796886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Comparación!$I$69</c:f>
              <c:strCache>
                <c:ptCount val="1"/>
                <c:pt idx="0">
                  <c:v>Ingresos ejecutados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Comparación!$J$68:$Q$68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Comparación!$J$69:$Q$69</c:f>
              <c:numCache>
                <c:formatCode>0.00</c:formatCode>
                <c:ptCount val="8"/>
                <c:pt idx="0">
                  <c:v>659.69287899999995</c:v>
                </c:pt>
                <c:pt idx="1">
                  <c:v>688.36316299999999</c:v>
                </c:pt>
                <c:pt idx="2">
                  <c:v>723.36202900000001</c:v>
                </c:pt>
                <c:pt idx="3">
                  <c:v>732.10098799999992</c:v>
                </c:pt>
                <c:pt idx="4">
                  <c:v>545.75176579000004</c:v>
                </c:pt>
                <c:pt idx="5">
                  <c:v>503.94739817999988</c:v>
                </c:pt>
                <c:pt idx="6">
                  <c:v>574.79751962</c:v>
                </c:pt>
                <c:pt idx="7">
                  <c:v>553.75446443999999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C7-4674-BAB6-DE3862A304FD}"/>
            </c:ext>
          </c:extLst>
        </c:ser>
        <c:ser>
          <c:idx val="0"/>
          <c:order val="1"/>
          <c:tx>
            <c:strRef>
              <c:f>Comparación!$I$70</c:f>
              <c:strCache>
                <c:ptCount val="1"/>
                <c:pt idx="0">
                  <c:v>Ingresos públicos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Comparación!$J$68:$Q$68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Comparación!$J$70:$Q$70</c:f>
              <c:numCache>
                <c:formatCode>0.00</c:formatCode>
                <c:ptCount val="8"/>
                <c:pt idx="0">
                  <c:v>376.64164999999997</c:v>
                </c:pt>
                <c:pt idx="1">
                  <c:v>404.21496599999995</c:v>
                </c:pt>
                <c:pt idx="2">
                  <c:v>411.8</c:v>
                </c:pt>
                <c:pt idx="3">
                  <c:v>373.59837199999998</c:v>
                </c:pt>
                <c:pt idx="4">
                  <c:v>312.52822587000003</c:v>
                </c:pt>
                <c:pt idx="5">
                  <c:v>278.23514241999993</c:v>
                </c:pt>
                <c:pt idx="6">
                  <c:v>296.84194337638002</c:v>
                </c:pt>
                <c:pt idx="7">
                  <c:v>257.57064429000002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C7-4674-BAB6-DE3862A304FD}"/>
            </c:ext>
          </c:extLst>
        </c:ser>
        <c:ser>
          <c:idx val="2"/>
          <c:order val="2"/>
          <c:tx>
            <c:strRef>
              <c:f>Comparación!$I$71</c:f>
              <c:strCache>
                <c:ptCount val="1"/>
                <c:pt idx="0">
                  <c:v>Ingresos privados</c:v>
                </c:pt>
              </c:strCache>
            </c:strRef>
          </c:tx>
          <c:invertIfNegative val="0"/>
          <c:cat>
            <c:numRef>
              <c:f>Comparación!$J$68:$Q$68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Comparación!$J$71:$Q$71</c:f>
              <c:numCache>
                <c:formatCode>0.00</c:formatCode>
                <c:ptCount val="8"/>
                <c:pt idx="0">
                  <c:v>268.83795600000002</c:v>
                </c:pt>
                <c:pt idx="1">
                  <c:v>270.25202899999999</c:v>
                </c:pt>
                <c:pt idx="2">
                  <c:v>311.562029</c:v>
                </c:pt>
                <c:pt idx="3">
                  <c:v>344.48292099999998</c:v>
                </c:pt>
                <c:pt idx="4">
                  <c:v>233.22353991999998</c:v>
                </c:pt>
                <c:pt idx="5">
                  <c:v>225.71225575999995</c:v>
                </c:pt>
                <c:pt idx="6">
                  <c:v>277.95557624361999</c:v>
                </c:pt>
                <c:pt idx="7">
                  <c:v>296.18382015000003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C7-4674-BAB6-DE3862A3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01147224"/>
        <c:axId val="301147616"/>
      </c:barChart>
      <c:catAx>
        <c:axId val="30114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30114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147616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one"/>
        <c:crossAx val="301147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324073776492196"/>
          <c:y val="0.20634995625546801"/>
          <c:w val="0.114953487956863"/>
          <c:h val="0.1855338582677170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="1"/>
              <a:t>Fondos obtenidos</a:t>
            </a:r>
          </a:p>
        </c:rich>
      </c:tx>
      <c:layout>
        <c:manualLayout>
          <c:xMode val="edge"/>
          <c:yMode val="edge"/>
          <c:x val="0.42638311943290602"/>
          <c:y val="4.44444444444445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650918635170598E-2"/>
          <c:y val="3.6508311461067401E-2"/>
          <c:w val="0.813560818254212"/>
          <c:h val="0.85714617879688604"/>
        </c:manualLayout>
      </c:layout>
      <c:barChart>
        <c:barDir val="col"/>
        <c:grouping val="clustered"/>
        <c:varyColors val="0"/>
        <c:ser>
          <c:idx val="1"/>
          <c:order val="0"/>
          <c:tx>
            <c:v>Fondos publicos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4"/>
              <c:layout>
                <c:manualLayout>
                  <c:x val="-8.3989501312335905E-3"/>
                  <c:y val="2.22222222222221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FF7E-490C-B193-3C64A11BC7FC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7.6989486813853605E-17"/>
                  <c:y val="3.33333333333332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F7E-490C-B193-3C64A11BC7F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cat>
            <c:numRef>
              <c:f>Comparación!$O$4:$V$4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Comparación!$O$8:$V$8</c:f>
              <c:numCache>
                <c:formatCode>#,##0.00</c:formatCode>
                <c:ptCount val="8"/>
                <c:pt idx="0">
                  <c:v>357.97642230999998</c:v>
                </c:pt>
                <c:pt idx="1">
                  <c:v>384.78602000000001</c:v>
                </c:pt>
                <c:pt idx="2">
                  <c:v>476.51523699999996</c:v>
                </c:pt>
                <c:pt idx="3">
                  <c:v>217.94701999999998</c:v>
                </c:pt>
                <c:pt idx="4">
                  <c:v>230.46236994999995</c:v>
                </c:pt>
                <c:pt idx="5">
                  <c:v>235.69270122999998</c:v>
                </c:pt>
                <c:pt idx="6">
                  <c:v>344.63390038</c:v>
                </c:pt>
                <c:pt idx="7">
                  <c:v>198.83856585000001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7E-490C-B193-3C64A11BC7FC}"/>
            </c:ext>
          </c:extLst>
        </c:ser>
        <c:ser>
          <c:idx val="0"/>
          <c:order val="1"/>
          <c:tx>
            <c:v>Fondos privados</c:v>
          </c:tx>
          <c:spPr>
            <a:solidFill>
              <a:srgbClr val="FF0000"/>
            </a:solidFill>
          </c:spPr>
          <c:invertIfNegative val="0"/>
          <c:dLbls>
            <c:dLbl>
              <c:idx val="4"/>
              <c:layout>
                <c:manualLayout>
                  <c:x val="1.25984251968504E-2"/>
                  <c:y val="6.1111111111110998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F7E-490C-B193-3C64A11BC7FC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4.1994750656167996E-3"/>
                  <c:y val="9.444444444444430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F7E-490C-B193-3C64A11BC7F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Comparación!$O$4:$V$4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Comparación!$O$9:$V$9</c:f>
              <c:numCache>
                <c:formatCode>#,##0.00</c:formatCode>
                <c:ptCount val="8"/>
                <c:pt idx="0">
                  <c:v>267.41186299999998</c:v>
                </c:pt>
                <c:pt idx="1">
                  <c:v>263.86473400000006</c:v>
                </c:pt>
                <c:pt idx="2">
                  <c:v>340.78492</c:v>
                </c:pt>
                <c:pt idx="3">
                  <c:v>312.57247899999999</c:v>
                </c:pt>
                <c:pt idx="4">
                  <c:v>227.60384567</c:v>
                </c:pt>
                <c:pt idx="5">
                  <c:v>229.56583696999996</c:v>
                </c:pt>
                <c:pt idx="6">
                  <c:v>276.25885242999999</c:v>
                </c:pt>
                <c:pt idx="7">
                  <c:v>299.73322114000001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F7E-490C-B193-3C64A11B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01148400"/>
        <c:axId val="299956320"/>
      </c:barChart>
      <c:catAx>
        <c:axId val="30114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99956320"/>
        <c:crosses val="autoZero"/>
        <c:auto val="1"/>
        <c:lblAlgn val="ctr"/>
        <c:lblOffset val="100"/>
        <c:noMultiLvlLbl val="0"/>
      </c:catAx>
      <c:valAx>
        <c:axId val="299956320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301148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324070514807695"/>
          <c:y val="0.20634995625546801"/>
          <c:w val="0.116759294851923"/>
          <c:h val="0.2473783902012250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C0C0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0293-4191-973D-BA047E1535DA}"/>
              </c:ext>
            </c:extLst>
          </c:dPt>
          <c:dPt>
            <c:idx val="1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93-4191-973D-BA047E1535DA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293-4191-973D-BA047E1535D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293-4191-973D-BA047E1535DA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Ingresos Públicos</c:v>
              </c:pt>
              <c:pt idx="1">
                <c:v>Ingresos Privados</c:v>
              </c:pt>
            </c:strLit>
          </c:cat>
          <c:val>
            <c:numRef>
              <c:f>(Ingresos2015!$I$87,Ingresos2015!$C$87)</c:f>
              <c:numCache>
                <c:formatCode>#,##0.00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93-4191-973D-BA047E15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04582223124997E-2"/>
          <c:y val="1.9841469816273001E-2"/>
          <c:w val="0.813560818254212"/>
          <c:h val="0.857146178796886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'Totales ingresos'!$B$42</c:f>
              <c:strCache>
                <c:ptCount val="1"/>
                <c:pt idx="0">
                  <c:v>Total Fondos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'Totales ingresos'!$C$39:$J$39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'Totales ingresos'!$C$42:$J$42</c:f>
              <c:numCache>
                <c:formatCode>#,##0.00</c:formatCode>
                <c:ptCount val="8"/>
                <c:pt idx="0">
                  <c:v>625.3882853099999</c:v>
                </c:pt>
                <c:pt idx="1">
                  <c:v>648.65075400000001</c:v>
                </c:pt>
                <c:pt idx="2">
                  <c:v>817.3001569999999</c:v>
                </c:pt>
                <c:pt idx="3">
                  <c:v>530.519499</c:v>
                </c:pt>
                <c:pt idx="4">
                  <c:v>458.06621561999998</c:v>
                </c:pt>
                <c:pt idx="5">
                  <c:v>465.25853819999998</c:v>
                </c:pt>
                <c:pt idx="6">
                  <c:v>606.03010081999992</c:v>
                </c:pt>
                <c:pt idx="7">
                  <c:v>498.57178699000002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3C-4BEE-96B0-280D20080C22}"/>
            </c:ext>
          </c:extLst>
        </c:ser>
        <c:ser>
          <c:idx val="0"/>
          <c:order val="1"/>
          <c:tx>
            <c:strRef>
              <c:f>'Totales ingresos'!$B$43</c:f>
              <c:strCache>
                <c:ptCount val="1"/>
                <c:pt idx="0">
                  <c:v>Fondos públicos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'Totales ingresos'!$C$39:$J$39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'Totales ingresos'!$C$43:$J$43</c:f>
              <c:numCache>
                <c:formatCode>#,##0.00</c:formatCode>
                <c:ptCount val="8"/>
                <c:pt idx="0">
                  <c:v>357.97642230999998</c:v>
                </c:pt>
                <c:pt idx="1">
                  <c:v>384.78602000000001</c:v>
                </c:pt>
                <c:pt idx="2">
                  <c:v>476.51523699999996</c:v>
                </c:pt>
                <c:pt idx="3">
                  <c:v>217.94701999999998</c:v>
                </c:pt>
                <c:pt idx="4">
                  <c:v>230.46236994999995</c:v>
                </c:pt>
                <c:pt idx="5">
                  <c:v>235.69270122999998</c:v>
                </c:pt>
                <c:pt idx="6">
                  <c:v>329.77124838999998</c:v>
                </c:pt>
                <c:pt idx="7">
                  <c:v>198.83856585000001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3C-4BEE-96B0-280D20080C22}"/>
            </c:ext>
          </c:extLst>
        </c:ser>
        <c:ser>
          <c:idx val="2"/>
          <c:order val="2"/>
          <c:tx>
            <c:strRef>
              <c:f>'Totales ingresos'!$B$44</c:f>
              <c:strCache>
                <c:ptCount val="1"/>
                <c:pt idx="0">
                  <c:v>Fondos privados</c:v>
                </c:pt>
              </c:strCache>
            </c:strRef>
          </c:tx>
          <c:invertIfNegative val="0"/>
          <c:cat>
            <c:numRef>
              <c:f>'Totales ingresos'!$C$39:$J$39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'Totales ingresos'!$C$44:$J$44</c:f>
              <c:numCache>
                <c:formatCode>#,##0.00</c:formatCode>
                <c:ptCount val="8"/>
                <c:pt idx="0">
                  <c:v>267.41186299999998</c:v>
                </c:pt>
                <c:pt idx="1">
                  <c:v>263.86473400000006</c:v>
                </c:pt>
                <c:pt idx="2">
                  <c:v>340.78492</c:v>
                </c:pt>
                <c:pt idx="3">
                  <c:v>312.57247899999999</c:v>
                </c:pt>
                <c:pt idx="4">
                  <c:v>227.60384567</c:v>
                </c:pt>
                <c:pt idx="5">
                  <c:v>229.56583696999996</c:v>
                </c:pt>
                <c:pt idx="6">
                  <c:v>276.25885242999999</c:v>
                </c:pt>
                <c:pt idx="7">
                  <c:v>299.73322114000001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63C-4BEE-96B0-280D20080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30312368"/>
        <c:axId val="330312760"/>
      </c:barChart>
      <c:catAx>
        <c:axId val="33031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33031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0312760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330312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324073299638794"/>
          <c:y val="0.20634995625546801"/>
          <c:w val="0.114952982925693"/>
          <c:h val="0.1855338582677170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01" r="0.750000000000001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25" b="1" i="0" u="sng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r>
              <a:rPr lang="en-US"/>
              <a:t>Distribución de Ingresos de Cooperación Internacional. 2003.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C0C0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296-467B-9870-94F1EC7B8203}"/>
              </c:ext>
            </c:extLst>
          </c:dPt>
          <c:dPt>
            <c:idx val="1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96-467B-9870-94F1EC7B8203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296-467B-9870-94F1EC7B820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296-467B-9870-94F1EC7B8203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Ingresos Públicos</c:v>
              </c:pt>
              <c:pt idx="1">
                <c:v>Ingresos Privados</c:v>
              </c:pt>
            </c:strLit>
          </c:cat>
          <c:val>
            <c:numRef>
              <c:f>(Ingresos2015!$I$87,Ingresos2015!$C$87)</c:f>
              <c:numCache>
                <c:formatCode>#,##0.00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96-467B-9870-94F1EC7B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C0C0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D658-4916-A5F4-1819F0DCB1DD}"/>
              </c:ext>
            </c:extLst>
          </c:dPt>
          <c:dPt>
            <c:idx val="1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8-4916-A5F4-1819F0DCB1DD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658-4916-A5F4-1819F0DCB1D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658-4916-A5F4-1819F0DCB1DD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Ingresos Públicos</c:v>
              </c:pt>
              <c:pt idx="1">
                <c:v>Ingresos Privados</c:v>
              </c:pt>
            </c:strLit>
          </c:cat>
          <c:val>
            <c:numRef>
              <c:f>(Ingresos2015!$I$87,Ingresos2015!$C$87)</c:f>
              <c:numCache>
                <c:formatCode>#,##0.00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58-4916-A5F4-1819F0DCB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25" b="1" i="0" u="sng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r>
              <a:rPr lang="en-US"/>
              <a:t>Distribución de Ingresos de Cooperación Internacional. 2003.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C0C0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8B8-44D2-BF6A-B56F3C7494C6}"/>
              </c:ext>
            </c:extLst>
          </c:dPt>
          <c:dPt>
            <c:idx val="1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8B8-44D2-BF6A-B56F3C7494C6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B8-44D2-BF6A-B56F3C7494C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B8-44D2-BF6A-B56F3C7494C6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Ingresos Públicos</c:v>
              </c:pt>
              <c:pt idx="1">
                <c:v>Ingresos Privados</c:v>
              </c:pt>
            </c:strLit>
          </c:cat>
          <c:val>
            <c:numRef>
              <c:f>(Ingresos2015!$I$87,Ingresos2015!$C$87)</c:f>
              <c:numCache>
                <c:formatCode>#,##0.00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B8-44D2-BF6A-B56F3C749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C0C0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DBA5-427B-9CF3-42BDF9753556}"/>
              </c:ext>
            </c:extLst>
          </c:dPt>
          <c:dPt>
            <c:idx val="1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BA5-427B-9CF3-42BDF9753556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BA5-427B-9CF3-42BDF975355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BA5-427B-9CF3-42BDF9753556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Ingresos Públicos</c:v>
              </c:pt>
              <c:pt idx="1">
                <c:v>Ingresos Privados</c:v>
              </c:pt>
            </c:strLit>
          </c:cat>
          <c:val>
            <c:numRef>
              <c:f>(Ingresos2015!$I$87,Ingresos2015!$C$87)</c:f>
              <c:numCache>
                <c:formatCode>#,##0.00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A5-427B-9CF3-42BDF975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Futura Md BT"/>
                <a:ea typeface="Futura Md BT"/>
                <a:cs typeface="Futura Md BT"/>
              </a:defRPr>
            </a:pPr>
            <a:r>
              <a:rPr lang="en-US"/>
              <a:t>Fig 4.a  Fondos concedidos/obtenidos en 2004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rgbClr val="969696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8080FF"/>
              </a:solidFill>
              <a:ln w="3175">
                <a:solidFill>
                  <a:srgbClr val="969696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E66-49AC-8208-3EE0BD2498A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/>
                      <a:t>Fondos Públicos
231 mill €
48%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E66-49AC-8208-3EE0BD2498A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/>
                      <a:t>Fondos Privados
251 mill €
52%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E66-49AC-8208-3EE0BD2498A1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Futura Lt BT"/>
                    <a:ea typeface="Futura Lt BT"/>
                    <a:cs typeface="Futura Lt BT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3175">
                  <a:solidFill>
                    <a:srgbClr val="FFFFFF"/>
                  </a:solidFill>
                  <a:prstDash val="solid"/>
                </a:ln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('Totales fondos'!#REF!,'Totales fondos'!#REF!)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66-49AC-8208-3EE0BD2498A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('Totales fondos'!#REF!,'Totales fondos'!#REF!)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Futura Lt BT"/>
          <a:ea typeface="Futura Lt BT"/>
          <a:cs typeface="Futura Lt BT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rgbClr val="969696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A6CAF0"/>
              </a:solidFill>
              <a:ln w="3175">
                <a:solidFill>
                  <a:srgbClr val="969696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DEF-4744-8244-BD89AEE22D3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00" b="1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Fondos Públicos</a:t>
                    </a:r>
                    <a:endParaRPr lang="en-US" sz="200" b="0" i="0" u="none" strike="noStrike" baseline="0">
                      <a:solidFill>
                        <a:srgbClr val="000000"/>
                      </a:solidFill>
                      <a:latin typeface="Futura Lt BT"/>
                    </a:endParaRPr>
                  </a:p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231 mill €</a:t>
                    </a:r>
                  </a:p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25" b="1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48%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DEF-4744-8244-BD89AEE22D34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00" b="1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Fondos Privados</a:t>
                    </a:r>
                    <a:endParaRPr lang="en-US" sz="200" b="0" i="0" u="none" strike="noStrike" baseline="0">
                      <a:solidFill>
                        <a:srgbClr val="000000"/>
                      </a:solidFill>
                      <a:latin typeface="Futura Lt BT"/>
                    </a:endParaRPr>
                  </a:p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251 mill €</a:t>
                    </a:r>
                  </a:p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25" b="1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52%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DEF-4744-8244-BD89AEE22D34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Futura Lt BT"/>
                    <a:ea typeface="Futura Lt BT"/>
                    <a:cs typeface="Futura Lt BT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3175">
                  <a:solidFill>
                    <a:srgbClr val="FFFFFF"/>
                  </a:solidFill>
                  <a:prstDash val="solid"/>
                </a:ln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('Totales fondos'!#REF!,'Totales fondos'!#REF!)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EF-4744-8244-BD89AEE22D3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('Totales fondos'!#REF!,'Totales fondos'!#REF!)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Futura Lt BT"/>
          <a:ea typeface="Futura Lt BT"/>
          <a:cs typeface="Futura Lt BT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87</xdr:row>
      <xdr:rowOff>0</xdr:rowOff>
    </xdr:from>
    <xdr:to>
      <xdr:col>2</xdr:col>
      <xdr:colOff>0</xdr:colOff>
      <xdr:row>87</xdr:row>
      <xdr:rowOff>0</xdr:rowOff>
    </xdr:to>
    <xdr:graphicFrame macro="">
      <xdr:nvGraphicFramePr>
        <xdr:cNvPr id="4398" name="Chart 7">
          <a:extLst>
            <a:ext uri="{FF2B5EF4-FFF2-40B4-BE49-F238E27FC236}">
              <a16:creationId xmlns="" xmlns:a16="http://schemas.microsoft.com/office/drawing/2014/main" id="{7B226D8A-45BA-4F46-9A00-0C3FBE124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87</xdr:row>
      <xdr:rowOff>0</xdr:rowOff>
    </xdr:from>
    <xdr:to>
      <xdr:col>15</xdr:col>
      <xdr:colOff>180975</xdr:colOff>
      <xdr:row>87</xdr:row>
      <xdr:rowOff>0</xdr:rowOff>
    </xdr:to>
    <xdr:graphicFrame macro="">
      <xdr:nvGraphicFramePr>
        <xdr:cNvPr id="4399" name="Chart 10">
          <a:extLst>
            <a:ext uri="{FF2B5EF4-FFF2-40B4-BE49-F238E27FC236}">
              <a16:creationId xmlns="" xmlns:a16="http://schemas.microsoft.com/office/drawing/2014/main" id="{72A5396C-0A51-41A9-8155-4973EB4F0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8</xdr:col>
      <xdr:colOff>371475</xdr:colOff>
      <xdr:row>62</xdr:row>
      <xdr:rowOff>104775</xdr:rowOff>
    </xdr:to>
    <xdr:graphicFrame macro="">
      <xdr:nvGraphicFramePr>
        <xdr:cNvPr id="64558" name="Chart 29">
          <a:extLst>
            <a:ext uri="{FF2B5EF4-FFF2-40B4-BE49-F238E27FC236}">
              <a16:creationId xmlns="" xmlns:a16="http://schemas.microsoft.com/office/drawing/2014/main" id="{41DBA00C-B6C8-49EC-9DC2-337DECB21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0</xdr:rowOff>
    </xdr:from>
    <xdr:to>
      <xdr:col>3</xdr:col>
      <xdr:colOff>781050</xdr:colOff>
      <xdr:row>82</xdr:row>
      <xdr:rowOff>0</xdr:rowOff>
    </xdr:to>
    <xdr:graphicFrame macro="">
      <xdr:nvGraphicFramePr>
        <xdr:cNvPr id="25910" name="Chart 1025">
          <a:extLst>
            <a:ext uri="{FF2B5EF4-FFF2-40B4-BE49-F238E27FC236}">
              <a16:creationId xmlns="" xmlns:a16="http://schemas.microsoft.com/office/drawing/2014/main" id="{39B29C09-0E21-4A1C-9D8D-F77D2A5AA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85</xdr:row>
      <xdr:rowOff>0</xdr:rowOff>
    </xdr:from>
    <xdr:to>
      <xdr:col>45</xdr:col>
      <xdr:colOff>180975</xdr:colOff>
      <xdr:row>85</xdr:row>
      <xdr:rowOff>0</xdr:rowOff>
    </xdr:to>
    <xdr:graphicFrame macro="">
      <xdr:nvGraphicFramePr>
        <xdr:cNvPr id="25911" name="Chart 1026">
          <a:extLst>
            <a:ext uri="{FF2B5EF4-FFF2-40B4-BE49-F238E27FC236}">
              <a16:creationId xmlns="" xmlns:a16="http://schemas.microsoft.com/office/drawing/2014/main" id="{81194347-E384-4472-B64B-6885BF099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3</xdr:col>
      <xdr:colOff>781050</xdr:colOff>
      <xdr:row>83</xdr:row>
      <xdr:rowOff>0</xdr:rowOff>
    </xdr:to>
    <xdr:graphicFrame macro="">
      <xdr:nvGraphicFramePr>
        <xdr:cNvPr id="619757" name="Chart 1025">
          <a:extLst>
            <a:ext uri="{FF2B5EF4-FFF2-40B4-BE49-F238E27FC236}">
              <a16:creationId xmlns="" xmlns:a16="http://schemas.microsoft.com/office/drawing/2014/main" id="{29826A27-369E-496E-A61B-AA1EE1FD2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86</xdr:row>
      <xdr:rowOff>0</xdr:rowOff>
    </xdr:from>
    <xdr:to>
      <xdr:col>45</xdr:col>
      <xdr:colOff>180975</xdr:colOff>
      <xdr:row>86</xdr:row>
      <xdr:rowOff>0</xdr:rowOff>
    </xdr:to>
    <xdr:graphicFrame macro="">
      <xdr:nvGraphicFramePr>
        <xdr:cNvPr id="619758" name="Chart 1026">
          <a:extLst>
            <a:ext uri="{FF2B5EF4-FFF2-40B4-BE49-F238E27FC236}">
              <a16:creationId xmlns="" xmlns:a16="http://schemas.microsoft.com/office/drawing/2014/main" id="{F8A3AB21-FCF3-4055-AF05-F0BDA3BE3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76200</xdr:rowOff>
    </xdr:from>
    <xdr:to>
      <xdr:col>12</xdr:col>
      <xdr:colOff>0</xdr:colOff>
      <xdr:row>29</xdr:row>
      <xdr:rowOff>152400</xdr:rowOff>
    </xdr:to>
    <xdr:graphicFrame macro="">
      <xdr:nvGraphicFramePr>
        <xdr:cNvPr id="63895" name="Chart 1">
          <a:extLst>
            <a:ext uri="{FF2B5EF4-FFF2-40B4-BE49-F238E27FC236}">
              <a16:creationId xmlns="" xmlns:a16="http://schemas.microsoft.com/office/drawing/2014/main" id="{D50E38C4-D0B9-4E5F-8B43-70F7F2CEE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12</xdr:col>
      <xdr:colOff>0</xdr:colOff>
      <xdr:row>16</xdr:row>
      <xdr:rowOff>76200</xdr:rowOff>
    </xdr:to>
    <xdr:graphicFrame macro="">
      <xdr:nvGraphicFramePr>
        <xdr:cNvPr id="63896" name="Chart 4">
          <a:extLst>
            <a:ext uri="{FF2B5EF4-FFF2-40B4-BE49-F238E27FC236}">
              <a16:creationId xmlns="" xmlns:a16="http://schemas.microsoft.com/office/drawing/2014/main" id="{2213E583-3703-4D34-8D48-238EC2AD6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161925</xdr:rowOff>
    </xdr:from>
    <xdr:to>
      <xdr:col>7</xdr:col>
      <xdr:colOff>333375</xdr:colOff>
      <xdr:row>82</xdr:row>
      <xdr:rowOff>85725</xdr:rowOff>
    </xdr:to>
    <xdr:graphicFrame macro="">
      <xdr:nvGraphicFramePr>
        <xdr:cNvPr id="63897" name="Chart 29">
          <a:extLst>
            <a:ext uri="{FF2B5EF4-FFF2-40B4-BE49-F238E27FC236}">
              <a16:creationId xmlns="" xmlns:a16="http://schemas.microsoft.com/office/drawing/2014/main" id="{E1810120-38B0-4492-A1F6-FFA9761B8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15</xdr:row>
      <xdr:rowOff>28575</xdr:rowOff>
    </xdr:from>
    <xdr:to>
      <xdr:col>15</xdr:col>
      <xdr:colOff>28575</xdr:colOff>
      <xdr:row>31</xdr:row>
      <xdr:rowOff>104775</xdr:rowOff>
    </xdr:to>
    <xdr:graphicFrame macro="">
      <xdr:nvGraphicFramePr>
        <xdr:cNvPr id="5522" name="Chart 29">
          <a:extLst>
            <a:ext uri="{FF2B5EF4-FFF2-40B4-BE49-F238E27FC236}">
              <a16:creationId xmlns="" xmlns:a16="http://schemas.microsoft.com/office/drawing/2014/main" id="{FB862CF9-50B0-4379-8FD9-DA78EB115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17</xdr:row>
      <xdr:rowOff>123825</xdr:rowOff>
    </xdr:from>
    <xdr:to>
      <xdr:col>21</xdr:col>
      <xdr:colOff>590550</xdr:colOff>
      <xdr:row>33</xdr:row>
      <xdr:rowOff>85725</xdr:rowOff>
    </xdr:to>
    <xdr:graphicFrame macro="">
      <xdr:nvGraphicFramePr>
        <xdr:cNvPr id="5523" name="4 Gráfico">
          <a:extLst>
            <a:ext uri="{FF2B5EF4-FFF2-40B4-BE49-F238E27FC236}">
              <a16:creationId xmlns="" xmlns:a16="http://schemas.microsoft.com/office/drawing/2014/main" id="{EE31DB6C-C919-4345-B825-0A18BF89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209550</xdr:colOff>
      <xdr:row>56</xdr:row>
      <xdr:rowOff>104775</xdr:rowOff>
    </xdr:to>
    <xdr:graphicFrame macro="">
      <xdr:nvGraphicFramePr>
        <xdr:cNvPr id="5524" name="Chart 29">
          <a:extLst>
            <a:ext uri="{FF2B5EF4-FFF2-40B4-BE49-F238E27FC236}">
              <a16:creationId xmlns="" xmlns:a16="http://schemas.microsoft.com/office/drawing/2014/main" id="{6BFD2176-1759-448D-8AD0-B82789CCB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16</xdr:col>
      <xdr:colOff>171450</xdr:colOff>
      <xdr:row>90</xdr:row>
      <xdr:rowOff>104775</xdr:rowOff>
    </xdr:to>
    <xdr:graphicFrame macro="">
      <xdr:nvGraphicFramePr>
        <xdr:cNvPr id="5525" name="Chart 29">
          <a:extLst>
            <a:ext uri="{FF2B5EF4-FFF2-40B4-BE49-F238E27FC236}">
              <a16:creationId xmlns="" xmlns:a16="http://schemas.microsoft.com/office/drawing/2014/main" id="{6B83EC72-575A-4B65-A041-5D7E1E071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40</xdr:row>
      <xdr:rowOff>152400</xdr:rowOff>
    </xdr:from>
    <xdr:to>
      <xdr:col>24</xdr:col>
      <xdr:colOff>123825</xdr:colOff>
      <xdr:row>55</xdr:row>
      <xdr:rowOff>9525</xdr:rowOff>
    </xdr:to>
    <xdr:graphicFrame macro="">
      <xdr:nvGraphicFramePr>
        <xdr:cNvPr id="5526" name="Gráfico 5">
          <a:extLst>
            <a:ext uri="{FF2B5EF4-FFF2-40B4-BE49-F238E27FC236}">
              <a16:creationId xmlns="" xmlns:a16="http://schemas.microsoft.com/office/drawing/2014/main" id="{364AA44D-B1E1-44DB-AC7C-E9CAA4C38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0.43428</cdr:x>
      <cdr:y>0.68667</cdr:y>
    </cdr:from>
    <cdr:to>
      <cdr:x>0.49165</cdr:x>
      <cdr:y>0.71556</cdr:y>
    </cdr:to>
    <cdr:sp macro="" textlink="">
      <cdr:nvSpPr>
        <cdr:cNvPr id="160770" name="Line 409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725994" y="1962160"/>
          <a:ext cx="360110" cy="8255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0.44041</cdr:x>
      <cdr:y>0.42021</cdr:y>
    </cdr:from>
    <cdr:to>
      <cdr:x>0.49014</cdr:x>
      <cdr:y>0.51</cdr:y>
    </cdr:to>
    <cdr:sp macro="" textlink="">
      <cdr:nvSpPr>
        <cdr:cNvPr id="160771" name="Line 409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64441" y="1200741"/>
          <a:ext cx="312154" cy="25657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0.4374</cdr:x>
      <cdr:y>0.63291</cdr:y>
    </cdr:from>
    <cdr:to>
      <cdr:x>0.5105</cdr:x>
      <cdr:y>0.70038</cdr:y>
    </cdr:to>
    <cdr:sp macro="" textlink="">
      <cdr:nvSpPr>
        <cdr:cNvPr id="160774" name="Text Box 410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5549" y="1808540"/>
          <a:ext cx="458847" cy="1927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+6%</a:t>
          </a:r>
        </a:p>
      </cdr:txBody>
    </cdr:sp>
  </cdr:relSizeAnchor>
  <cdr:relSizeAnchor xmlns:cdr="http://schemas.openxmlformats.org/drawingml/2006/chartDrawing">
    <cdr:from>
      <cdr:x>0.43993</cdr:x>
      <cdr:y>0.49847</cdr:y>
    </cdr:from>
    <cdr:to>
      <cdr:x>0.51303</cdr:x>
      <cdr:y>0.55394</cdr:y>
    </cdr:to>
    <cdr:sp macro="" textlink="">
      <cdr:nvSpPr>
        <cdr:cNvPr id="160775" name="Text Box 410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1459" y="1424388"/>
          <a:ext cx="458847" cy="1585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-27%</a:t>
          </a:r>
        </a:p>
      </cdr:txBody>
    </cdr:sp>
  </cdr:relSizeAnchor>
  <cdr:relSizeAnchor xmlns:cdr="http://schemas.openxmlformats.org/drawingml/2006/chartDrawing">
    <cdr:from>
      <cdr:x>0.522</cdr:x>
      <cdr:y>0.68333</cdr:y>
    </cdr:from>
    <cdr:to>
      <cdr:x>0.57814</cdr:x>
      <cdr:y>0.69666</cdr:y>
    </cdr:to>
    <cdr:sp macro="" textlink="">
      <cdr:nvSpPr>
        <cdr:cNvPr id="160776" name="Line 410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276602" y="1952625"/>
          <a:ext cx="352389" cy="380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0.2298</cdr:x>
      <cdr:y>0.45667</cdr:y>
    </cdr:from>
    <cdr:to>
      <cdr:x>0.28376</cdr:x>
      <cdr:y>0.70563</cdr:y>
    </cdr:to>
    <cdr:sp macro="" textlink="">
      <cdr:nvSpPr>
        <cdr:cNvPr id="160777" name="Line 410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442457" y="1304935"/>
          <a:ext cx="338706" cy="7114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0.32878</cdr:x>
      <cdr:y>0.44896</cdr:y>
    </cdr:from>
    <cdr:to>
      <cdr:x>0.38544</cdr:x>
      <cdr:y>0.68333</cdr:y>
    </cdr:to>
    <cdr:sp macro="" textlink="">
      <cdr:nvSpPr>
        <cdr:cNvPr id="160778" name="Line 410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063725" y="1282913"/>
          <a:ext cx="355654" cy="6697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0.22685</cdr:x>
      <cdr:y>0.18486</cdr:y>
    </cdr:from>
    <cdr:to>
      <cdr:x>0.29848</cdr:x>
      <cdr:y>0.28403</cdr:y>
    </cdr:to>
    <cdr:sp macro="" textlink="">
      <cdr:nvSpPr>
        <cdr:cNvPr id="160779" name="Text Box 410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3957" y="528228"/>
          <a:ext cx="449620" cy="283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+29%</a:t>
          </a:r>
        </a:p>
      </cdr:txBody>
    </cdr:sp>
  </cdr:relSizeAnchor>
  <cdr:relSizeAnchor xmlns:cdr="http://schemas.openxmlformats.org/drawingml/2006/chartDrawing">
    <cdr:from>
      <cdr:x>0.23528</cdr:x>
      <cdr:y>0.45692</cdr:y>
    </cdr:from>
    <cdr:to>
      <cdr:x>0.30274</cdr:x>
      <cdr:y>0.51575</cdr:y>
    </cdr:to>
    <cdr:sp macro="" textlink="">
      <cdr:nvSpPr>
        <cdr:cNvPr id="160781" name="Text Box 410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6870" y="1305639"/>
          <a:ext cx="423445" cy="1681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+24%</a:t>
          </a:r>
        </a:p>
      </cdr:txBody>
    </cdr:sp>
  </cdr:relSizeAnchor>
  <cdr:relSizeAnchor xmlns:cdr="http://schemas.openxmlformats.org/drawingml/2006/chartDrawing">
    <cdr:from>
      <cdr:x>0.33133</cdr:x>
      <cdr:y>0.21439</cdr:y>
    </cdr:from>
    <cdr:to>
      <cdr:x>0.39933</cdr:x>
      <cdr:y>0.37556</cdr:y>
    </cdr:to>
    <cdr:sp macro="" textlink="">
      <cdr:nvSpPr>
        <cdr:cNvPr id="160782" name="Line 41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079780" y="612610"/>
          <a:ext cx="426834" cy="4605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0.2271</cdr:x>
      <cdr:y>0.19666</cdr:y>
    </cdr:from>
    <cdr:to>
      <cdr:x>0.28073</cdr:x>
      <cdr:y>0.34829</cdr:y>
    </cdr:to>
    <cdr:sp macro="" textlink="">
      <cdr:nvSpPr>
        <cdr:cNvPr id="160783" name="Line 41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425509" y="561965"/>
          <a:ext cx="336635" cy="4332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0.33652</cdr:x>
      <cdr:y>0.32024</cdr:y>
    </cdr:from>
    <cdr:to>
      <cdr:x>0.40815</cdr:x>
      <cdr:y>0.42013</cdr:y>
    </cdr:to>
    <cdr:sp macro="" textlink="">
      <cdr:nvSpPr>
        <cdr:cNvPr id="160784" name="Text Box 41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2309" y="915076"/>
          <a:ext cx="449620" cy="285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-8%</a:t>
          </a:r>
        </a:p>
      </cdr:txBody>
    </cdr:sp>
  </cdr:relSizeAnchor>
  <cdr:relSizeAnchor xmlns:cdr="http://schemas.openxmlformats.org/drawingml/2006/chartDrawing">
    <cdr:from>
      <cdr:x>0.33138</cdr:x>
      <cdr:y>0.6329</cdr:y>
    </cdr:from>
    <cdr:to>
      <cdr:x>0.40522</cdr:x>
      <cdr:y>0.70037</cdr:y>
    </cdr:to>
    <cdr:sp macro="" textlink="">
      <cdr:nvSpPr>
        <cdr:cNvPr id="160785" name="Text Box 41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80061" y="1808521"/>
          <a:ext cx="463492" cy="1927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-54%</a:t>
          </a:r>
        </a:p>
      </cdr:txBody>
    </cdr:sp>
  </cdr:relSizeAnchor>
  <cdr:relSizeAnchor xmlns:cdr="http://schemas.openxmlformats.org/drawingml/2006/chartDrawing">
    <cdr:from>
      <cdr:x>0.52959</cdr:x>
      <cdr:y>0.44667</cdr:y>
    </cdr:from>
    <cdr:to>
      <cdr:x>0.58422</cdr:x>
      <cdr:y>0.45667</cdr:y>
    </cdr:to>
    <cdr:sp macro="" textlink="">
      <cdr:nvSpPr>
        <cdr:cNvPr id="16" name="Line 409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324212" y="1276350"/>
          <a:ext cx="342911" cy="2857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0.53415</cdr:x>
      <cdr:y>0.39667</cdr:y>
    </cdr:from>
    <cdr:to>
      <cdr:x>0.60578</cdr:x>
      <cdr:y>0.49656</cdr:y>
    </cdr:to>
    <cdr:sp macro="" textlink="">
      <cdr:nvSpPr>
        <cdr:cNvPr id="18" name="Text Box 41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2817" y="1133485"/>
          <a:ext cx="449619" cy="285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-+1%</a:t>
          </a:r>
        </a:p>
      </cdr:txBody>
    </cdr:sp>
  </cdr:relSizeAnchor>
  <cdr:relSizeAnchor xmlns:cdr="http://schemas.openxmlformats.org/drawingml/2006/chartDrawing">
    <cdr:from>
      <cdr:x>0.53718</cdr:x>
      <cdr:y>0.60999</cdr:y>
    </cdr:from>
    <cdr:to>
      <cdr:x>0.60512</cdr:x>
      <cdr:y>0.68491</cdr:y>
    </cdr:to>
    <cdr:sp macro="" textlink="">
      <cdr:nvSpPr>
        <cdr:cNvPr id="19" name="Text Box 41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869" y="1743056"/>
          <a:ext cx="426458" cy="214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+2%</a:t>
          </a:r>
        </a:p>
      </cdr:txBody>
    </cdr:sp>
  </cdr:relSizeAnchor>
  <cdr:relSizeAnchor xmlns:cdr="http://schemas.openxmlformats.org/drawingml/2006/chartDrawing">
    <cdr:from>
      <cdr:x>0.72686</cdr:x>
      <cdr:y>0.45333</cdr:y>
    </cdr:from>
    <cdr:to>
      <cdr:x>0.77997</cdr:x>
      <cdr:y>0.49667</cdr:y>
    </cdr:to>
    <cdr:sp macro="" textlink="">
      <cdr:nvSpPr>
        <cdr:cNvPr id="22" name="Line 4104">
          <a:extLst xmlns:a="http://schemas.openxmlformats.org/drawingml/2006/main"/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62482" y="1295399"/>
          <a:ext cx="333368" cy="12383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0.63631</cdr:x>
      <cdr:y>0.65777</cdr:y>
    </cdr:from>
    <cdr:to>
      <cdr:x>0.6874</cdr:x>
      <cdr:y>0.72333</cdr:y>
    </cdr:to>
    <cdr:sp macro="" textlink="">
      <cdr:nvSpPr>
        <cdr:cNvPr id="23" name="Line 4104">
          <a:extLst xmlns:a="http://schemas.openxmlformats.org/drawingml/2006/main"/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994123" y="1879578"/>
          <a:ext cx="320690" cy="18733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0.74052</cdr:x>
      <cdr:y>0.69334</cdr:y>
    </cdr:from>
    <cdr:to>
      <cdr:x>0.78149</cdr:x>
      <cdr:y>0.77</cdr:y>
    </cdr:to>
    <cdr:sp macro="" textlink="">
      <cdr:nvSpPr>
        <cdr:cNvPr id="24" name="Line 4104">
          <a:extLst xmlns:a="http://schemas.openxmlformats.org/drawingml/2006/main"/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648223" y="1981210"/>
          <a:ext cx="257151" cy="2190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0.63632</cdr:x>
      <cdr:y>0.47334</cdr:y>
    </cdr:from>
    <cdr:to>
      <cdr:x>0.68741</cdr:x>
      <cdr:y>0.51111</cdr:y>
    </cdr:to>
    <cdr:sp macro="" textlink="">
      <cdr:nvSpPr>
        <cdr:cNvPr id="25" name="Line 4104">
          <a:extLst xmlns:a="http://schemas.openxmlformats.org/drawingml/2006/main"/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994138" y="1352560"/>
          <a:ext cx="320690" cy="1079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0.74254</cdr:x>
      <cdr:y>0.39445</cdr:y>
    </cdr:from>
    <cdr:to>
      <cdr:x>0.81417</cdr:x>
      <cdr:y>0.49434</cdr:y>
    </cdr:to>
    <cdr:sp macro="" textlink="">
      <cdr:nvSpPr>
        <cdr:cNvPr id="26" name="Text Box 4112">
          <a:extLst xmlns:a="http://schemas.openxmlformats.org/drawingml/2006/main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60901" y="1127131"/>
          <a:ext cx="449620" cy="285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+8%</a:t>
          </a:r>
        </a:p>
      </cdr:txBody>
    </cdr:sp>
  </cdr:relSizeAnchor>
  <cdr:relSizeAnchor xmlns:cdr="http://schemas.openxmlformats.org/drawingml/2006/chartDrawing">
    <cdr:from>
      <cdr:x>0.73495</cdr:x>
      <cdr:y>0.82111</cdr:y>
    </cdr:from>
    <cdr:to>
      <cdr:x>0.80658</cdr:x>
      <cdr:y>0.921</cdr:y>
    </cdr:to>
    <cdr:sp macro="" textlink="">
      <cdr:nvSpPr>
        <cdr:cNvPr id="27" name="Text Box 4112">
          <a:extLst xmlns:a="http://schemas.openxmlformats.org/drawingml/2006/main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3291" y="2346312"/>
          <a:ext cx="449620" cy="285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-42%</a:t>
          </a:r>
        </a:p>
      </cdr:txBody>
    </cdr:sp>
  </cdr:relSizeAnchor>
  <cdr:relSizeAnchor xmlns:cdr="http://schemas.openxmlformats.org/drawingml/2006/chartDrawing">
    <cdr:from>
      <cdr:x>0.64087</cdr:x>
      <cdr:y>0.72777</cdr:y>
    </cdr:from>
    <cdr:to>
      <cdr:x>0.7125</cdr:x>
      <cdr:y>0.82766</cdr:y>
    </cdr:to>
    <cdr:sp macro="" textlink="">
      <cdr:nvSpPr>
        <cdr:cNvPr id="28" name="Text Box 4112">
          <a:extLst xmlns:a="http://schemas.openxmlformats.org/drawingml/2006/main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2699" y="2079612"/>
          <a:ext cx="449620" cy="285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-16%</a:t>
          </a:r>
        </a:p>
      </cdr:txBody>
    </cdr:sp>
  </cdr:relSizeAnchor>
  <cdr:relSizeAnchor xmlns:cdr="http://schemas.openxmlformats.org/drawingml/2006/chartDrawing">
    <cdr:from>
      <cdr:x>0.6348</cdr:x>
      <cdr:y>0.38777</cdr:y>
    </cdr:from>
    <cdr:to>
      <cdr:x>0.70643</cdr:x>
      <cdr:y>0.48766</cdr:y>
    </cdr:to>
    <cdr:sp macro="" textlink="">
      <cdr:nvSpPr>
        <cdr:cNvPr id="29" name="Text Box 4112">
          <a:extLst xmlns:a="http://schemas.openxmlformats.org/drawingml/2006/main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4598" y="1108062"/>
          <a:ext cx="449620" cy="285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+31%</a:t>
          </a:r>
        </a:p>
      </cdr:txBody>
    </cdr:sp>
  </cdr:relSizeAnchor>
  <cdr:relSizeAnchor xmlns:cdr="http://schemas.openxmlformats.org/drawingml/2006/chartDrawing">
    <cdr:from>
      <cdr:x>0.13505</cdr:x>
      <cdr:y>0.50111</cdr:y>
    </cdr:from>
    <cdr:to>
      <cdr:x>0.1725</cdr:x>
      <cdr:y>0.57333</cdr:y>
    </cdr:to>
    <cdr:sp macro="" textlink="">
      <cdr:nvSpPr>
        <cdr:cNvPr id="30" name="Line 4111">
          <a:extLst xmlns:a="http://schemas.openxmlformats.org/drawingml/2006/main">
            <a:ext uri="{FF2B5EF4-FFF2-40B4-BE49-F238E27FC236}">
              <a16:creationId xmlns="" xmlns:a16="http://schemas.microsoft.com/office/drawing/2014/main" id="{B1A6DF1E-129B-4E08-A1DC-A32FD62EF87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47725" y="1431924"/>
          <a:ext cx="235035" cy="20637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0.14264</cdr:x>
      <cdr:y>0.26778</cdr:y>
    </cdr:from>
    <cdr:to>
      <cdr:x>0.17705</cdr:x>
      <cdr:y>0.29667</cdr:y>
    </cdr:to>
    <cdr:sp macro="" textlink="">
      <cdr:nvSpPr>
        <cdr:cNvPr id="31" name="Line 4111">
          <a:extLst xmlns:a="http://schemas.openxmlformats.org/drawingml/2006/main">
            <a:ext uri="{FF2B5EF4-FFF2-40B4-BE49-F238E27FC236}">
              <a16:creationId xmlns="" xmlns:a16="http://schemas.microsoft.com/office/drawing/2014/main" id="{B1A6DF1E-129B-4E08-A1DC-A32FD62EF87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95350" y="765175"/>
          <a:ext cx="215985" cy="825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entraci&#243;n%20201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9-2014"/>
      <sheetName val="datos9-2015"/>
      <sheetName val="Ingresos2014"/>
      <sheetName val="Ingresos2015"/>
      <sheetName val="Totales ingresos"/>
      <sheetName val="Fondos2014"/>
      <sheetName val="Fondos2015"/>
      <sheetName val="comparativa2013"/>
      <sheetName val="Totales fondos"/>
      <sheetName val="Comparación"/>
      <sheetName val="Concentración 2014"/>
      <sheetName val="Concentracion 2015"/>
      <sheetName val="totales concent 2015"/>
      <sheetName val="Internacio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2">
          <cell r="B132">
            <v>0.20543697068639682</v>
          </cell>
          <cell r="C132">
            <v>0.31484998431134736</v>
          </cell>
          <cell r="D132">
            <v>0.44550174104154827</v>
          </cell>
          <cell r="E132">
            <v>0.25800710883498595</v>
          </cell>
          <cell r="F132">
            <v>0.25751538351656256</v>
          </cell>
          <cell r="G132">
            <v>0.62500456581363273</v>
          </cell>
          <cell r="H132">
            <v>0.45283021779964538</v>
          </cell>
          <cell r="I132">
            <v>0.39029761992220691</v>
          </cell>
          <cell r="J132">
            <v>0.31719766729748361</v>
          </cell>
          <cell r="K132">
            <v>9.1866471668196989E-2</v>
          </cell>
          <cell r="L132">
            <v>0.60175376413420401</v>
          </cell>
          <cell r="M132">
            <v>0.89858050535242018</v>
          </cell>
          <cell r="N132">
            <v>0.18513464124242796</v>
          </cell>
        </row>
        <row r="133">
          <cell r="B133">
            <v>0.33495731364194226</v>
          </cell>
          <cell r="C133">
            <v>0.41438220840456841</v>
          </cell>
          <cell r="D133">
            <v>0.8351080878826258</v>
          </cell>
          <cell r="E133">
            <v>0.51209491252001904</v>
          </cell>
          <cell r="F133">
            <v>0.36718476792138299</v>
          </cell>
          <cell r="G133">
            <v>0.82916793645462361</v>
          </cell>
          <cell r="H133">
            <v>0.75154736340416106</v>
          </cell>
          <cell r="I133">
            <v>0.48275137717706496</v>
          </cell>
          <cell r="J133">
            <v>0.45351295131528052</v>
          </cell>
          <cell r="K133">
            <v>0.1765199083527845</v>
          </cell>
          <cell r="L133">
            <v>0.7437214095682797</v>
          </cell>
          <cell r="M133">
            <v>0.98152018642435934</v>
          </cell>
          <cell r="N133">
            <v>0.34487531326181176</v>
          </cell>
        </row>
        <row r="134">
          <cell r="B134">
            <v>0.43012326442329812</v>
          </cell>
          <cell r="C134">
            <v>0.512464918356201</v>
          </cell>
          <cell r="D134">
            <v>0.98761276301155809</v>
          </cell>
          <cell r="E134">
            <v>0.62524965493410878</v>
          </cell>
          <cell r="F134">
            <v>0.45812680417010038</v>
          </cell>
          <cell r="G134">
            <v>0.92147804334472572</v>
          </cell>
          <cell r="H134">
            <v>0.90574556654686522</v>
          </cell>
          <cell r="I134">
            <v>0.56565627507517058</v>
          </cell>
          <cell r="J134">
            <v>0.53690367432431052</v>
          </cell>
          <cell r="K134">
            <v>0.23452355411808276</v>
          </cell>
          <cell r="L134">
            <v>0.86814697795761275</v>
          </cell>
          <cell r="M134">
            <v>1</v>
          </cell>
          <cell r="N134">
            <v>0.4331183132139631</v>
          </cell>
        </row>
        <row r="135">
          <cell r="B135">
            <v>0.51621482756391701</v>
          </cell>
          <cell r="C135">
            <v>0.61035364270019044</v>
          </cell>
          <cell r="D135">
            <v>0.99437746934882298</v>
          </cell>
          <cell r="E135">
            <v>0.69268176613593857</v>
          </cell>
          <cell r="F135">
            <v>0.53686292607603292</v>
          </cell>
          <cell r="G135">
            <v>0.94626665493600504</v>
          </cell>
          <cell r="H135">
            <v>0.94036284982393559</v>
          </cell>
          <cell r="I135">
            <v>0.61361529127122305</v>
          </cell>
          <cell r="J135">
            <v>0.61286478599329053</v>
          </cell>
          <cell r="K135">
            <v>0.29152033212601913</v>
          </cell>
          <cell r="L135">
            <v>0.89349333858656133</v>
          </cell>
          <cell r="M135">
            <v>1</v>
          </cell>
          <cell r="N135">
            <v>0.50016861840588511</v>
          </cell>
        </row>
        <row r="136">
          <cell r="B136">
            <v>0.59434381223435528</v>
          </cell>
          <cell r="C136">
            <v>0.69596648318737475</v>
          </cell>
          <cell r="D136">
            <v>0.99834041833249654</v>
          </cell>
          <cell r="E136">
            <v>0.73280261220071552</v>
          </cell>
          <cell r="F136">
            <v>0.60273274816451361</v>
          </cell>
          <cell r="G136">
            <v>0.96096318387581625</v>
          </cell>
          <cell r="H136">
            <v>0.95818232001961778</v>
          </cell>
          <cell r="I136">
            <v>0.65564586408426873</v>
          </cell>
          <cell r="J136">
            <v>0.66623679965946481</v>
          </cell>
          <cell r="K136">
            <v>0.34838299726929894</v>
          </cell>
          <cell r="L136">
            <v>0.91537657174641085</v>
          </cell>
          <cell r="M136">
            <v>1</v>
          </cell>
          <cell r="N136">
            <v>0.55597900586464732</v>
          </cell>
        </row>
        <row r="137">
          <cell r="B137">
            <v>0.65548627068228305</v>
          </cell>
          <cell r="C137">
            <v>0.77209471402790653</v>
          </cell>
          <cell r="D137">
            <v>0.99944056678459492</v>
          </cell>
          <cell r="E137">
            <v>0.76678312521631353</v>
          </cell>
          <cell r="F137">
            <v>0.6566664969936612</v>
          </cell>
          <cell r="G137">
            <v>0.97147289731608832</v>
          </cell>
          <cell r="H137">
            <v>0.96484450094419805</v>
          </cell>
          <cell r="I137">
            <v>0.68435773295937818</v>
          </cell>
          <cell r="J137">
            <v>0.70689461224412509</v>
          </cell>
          <cell r="K137">
            <v>0.39857880708836407</v>
          </cell>
          <cell r="L137">
            <v>0.93647528043179029</v>
          </cell>
          <cell r="M137">
            <v>1</v>
          </cell>
          <cell r="N137">
            <v>0.61029828985839263</v>
          </cell>
        </row>
        <row r="138">
          <cell r="B138">
            <v>0.70778386443255081</v>
          </cell>
          <cell r="C138">
            <v>0.84480173619296106</v>
          </cell>
          <cell r="D138">
            <v>0.9998252630355956</v>
          </cell>
          <cell r="E138">
            <v>0.79570469022131241</v>
          </cell>
          <cell r="F138">
            <v>0.69194001718771292</v>
          </cell>
          <cell r="G138">
            <v>0.98093395154929008</v>
          </cell>
          <cell r="H138">
            <v>0.97071480593214265</v>
          </cell>
          <cell r="I138">
            <v>0.71182064477759877</v>
          </cell>
          <cell r="J138">
            <v>0.73967457772381295</v>
          </cell>
          <cell r="K138">
            <v>0.44574988486970002</v>
          </cell>
          <cell r="L138">
            <v>0.95588302175936957</v>
          </cell>
          <cell r="M138">
            <v>1</v>
          </cell>
          <cell r="N138">
            <v>0.66272742396291107</v>
          </cell>
        </row>
        <row r="139">
          <cell r="B139">
            <v>0.75358697617962001</v>
          </cell>
          <cell r="C139">
            <v>0.88229192088092023</v>
          </cell>
          <cell r="D139">
            <v>0.99994455628003176</v>
          </cell>
          <cell r="E139">
            <v>0.82385966991589266</v>
          </cell>
          <cell r="F139">
            <v>0.72664300090452782</v>
          </cell>
          <cell r="G139">
            <v>0.98964395328382371</v>
          </cell>
          <cell r="H139">
            <v>0.97646312033228189</v>
          </cell>
          <cell r="I139">
            <v>0.73747120636859098</v>
          </cell>
          <cell r="J139">
            <v>0.76356602033170307</v>
          </cell>
          <cell r="K139">
            <v>0.49147775656976866</v>
          </cell>
          <cell r="L139">
            <v>0.96777734480879885</v>
          </cell>
          <cell r="M139">
            <v>1</v>
          </cell>
          <cell r="N139">
            <v>0.70971447781441688</v>
          </cell>
        </row>
        <row r="140">
          <cell r="B140">
            <v>0.79724810837679627</v>
          </cell>
          <cell r="C140">
            <v>0.91622023497878713</v>
          </cell>
          <cell r="D140">
            <v>1.0000000000000002</v>
          </cell>
          <cell r="E140">
            <v>0.84778017365852487</v>
          </cell>
          <cell r="F140">
            <v>0.75152763768900266</v>
          </cell>
          <cell r="G140">
            <v>0.99312998214213688</v>
          </cell>
          <cell r="H140">
            <v>0.98012185804187091</v>
          </cell>
          <cell r="I140">
            <v>0.76125874562075069</v>
          </cell>
          <cell r="J140">
            <v>0.7849632908880716</v>
          </cell>
          <cell r="K140">
            <v>0.5366907751899731</v>
          </cell>
          <cell r="L140">
            <v>0.97442154567950412</v>
          </cell>
          <cell r="M140">
            <v>1</v>
          </cell>
          <cell r="N140">
            <v>0.75247277545653934</v>
          </cell>
        </row>
        <row r="141">
          <cell r="B141">
            <v>0.83215415645201429</v>
          </cell>
          <cell r="C141">
            <v>0.93132705824661444</v>
          </cell>
          <cell r="D141">
            <v>1.0000000000000002</v>
          </cell>
          <cell r="E141">
            <v>0.86012944552381032</v>
          </cell>
          <cell r="F141">
            <v>0.77637373194149806</v>
          </cell>
          <cell r="G141">
            <v>0.99518626538015009</v>
          </cell>
          <cell r="H141">
            <v>0.98350079109450228</v>
          </cell>
          <cell r="I141">
            <v>0.78234525860215576</v>
          </cell>
          <cell r="J141">
            <v>0.80479482237081457</v>
          </cell>
          <cell r="K141">
            <v>0.58136379642673897</v>
          </cell>
          <cell r="L141">
            <v>0.97966045199298268</v>
          </cell>
          <cell r="M141">
            <v>1</v>
          </cell>
          <cell r="N141">
            <v>0.77901794240564737</v>
          </cell>
        </row>
        <row r="142">
          <cell r="B142">
            <v>0.85820626955104284</v>
          </cell>
          <cell r="C142">
            <v>0.93907094575922045</v>
          </cell>
          <cell r="D142">
            <v>1.0000000000000002</v>
          </cell>
          <cell r="E142">
            <v>0.87243968083969037</v>
          </cell>
          <cell r="F142">
            <v>0.80113828414076993</v>
          </cell>
          <cell r="G142">
            <v>0.9966744408032927</v>
          </cell>
          <cell r="H142">
            <v>0.98666896798241588</v>
          </cell>
          <cell r="I142">
            <v>0.80149599665803473</v>
          </cell>
          <cell r="J142">
            <v>0.82310516433225478</v>
          </cell>
          <cell r="K142">
            <v>0.61900030557846686</v>
          </cell>
          <cell r="L142">
            <v>0.98330677379684495</v>
          </cell>
          <cell r="M142">
            <v>1</v>
          </cell>
          <cell r="N142">
            <v>0.80060735498361368</v>
          </cell>
        </row>
        <row r="143">
          <cell r="B143">
            <v>0.87747266961708847</v>
          </cell>
          <cell r="C143">
            <v>0.94595195903566509</v>
          </cell>
          <cell r="D143">
            <v>1.0000000000000002</v>
          </cell>
          <cell r="E143">
            <v>0.88384817198528487</v>
          </cell>
          <cell r="F143">
            <v>0.82177566654374357</v>
          </cell>
          <cell r="G143">
            <v>0.99786886553189424</v>
          </cell>
          <cell r="H143">
            <v>0.98913484016450504</v>
          </cell>
          <cell r="I143">
            <v>0.81841530451774791</v>
          </cell>
          <cell r="J143">
            <v>0.84108405000910513</v>
          </cell>
          <cell r="K143">
            <v>0.65302300717455997</v>
          </cell>
          <cell r="L143">
            <v>0.98687139231907273</v>
          </cell>
          <cell r="M143">
            <v>1</v>
          </cell>
          <cell r="N143">
            <v>0.8206099035522717</v>
          </cell>
        </row>
        <row r="144">
          <cell r="B144">
            <v>0.8909715704443002</v>
          </cell>
          <cell r="C144">
            <v>0.95227074325016547</v>
          </cell>
          <cell r="D144">
            <v>1.0000000000000002</v>
          </cell>
          <cell r="E144">
            <v>0.89489821966481908</v>
          </cell>
          <cell r="F144">
            <v>0.84133480253636528</v>
          </cell>
          <cell r="G144">
            <v>0.99854831850580794</v>
          </cell>
          <cell r="H144">
            <v>0.99117146418075819</v>
          </cell>
          <cell r="I144">
            <v>0.83275588773313425</v>
          </cell>
          <cell r="J144">
            <v>0.85768008680331786</v>
          </cell>
          <cell r="K144">
            <v>0.67956221463991651</v>
          </cell>
          <cell r="L144">
            <v>0.99022904935691247</v>
          </cell>
          <cell r="M144">
            <v>1</v>
          </cell>
          <cell r="N144">
            <v>0.8366845546341678</v>
          </cell>
        </row>
        <row r="145">
          <cell r="B145">
            <v>0.90336236753848553</v>
          </cell>
          <cell r="C145">
            <v>0.95673317220321263</v>
          </cell>
          <cell r="D145">
            <v>1.0000000000000002</v>
          </cell>
          <cell r="E145">
            <v>0.90511962251974687</v>
          </cell>
          <cell r="F145">
            <v>0.85946454387784932</v>
          </cell>
          <cell r="G145">
            <v>0.99910957503848674</v>
          </cell>
          <cell r="H145">
            <v>0.99290691060555714</v>
          </cell>
          <cell r="I145">
            <v>0.8463388010299312</v>
          </cell>
          <cell r="J145">
            <v>0.86914239469583954</v>
          </cell>
          <cell r="K145">
            <v>0.70587502189635065</v>
          </cell>
          <cell r="L145">
            <v>0.99240529408986589</v>
          </cell>
          <cell r="M145">
            <v>1</v>
          </cell>
          <cell r="N145">
            <v>0.85090691744659797</v>
          </cell>
        </row>
        <row r="146">
          <cell r="B146">
            <v>0.91192601312847721</v>
          </cell>
          <cell r="C146">
            <v>0.96020964268772091</v>
          </cell>
          <cell r="D146">
            <v>1.0000000000000002</v>
          </cell>
          <cell r="E146">
            <v>0.91478990011564332</v>
          </cell>
          <cell r="F146">
            <v>0.87636347449421548</v>
          </cell>
          <cell r="G146">
            <v>0.99937872879969214</v>
          </cell>
          <cell r="H146">
            <v>0.99449372028892702</v>
          </cell>
          <cell r="I146">
            <v>0.859421146795603</v>
          </cell>
          <cell r="J146">
            <v>0.88024360562086046</v>
          </cell>
          <cell r="K146">
            <v>0.73202499706638346</v>
          </cell>
          <cell r="L146">
            <v>0.99423303999905954</v>
          </cell>
          <cell r="M146">
            <v>1</v>
          </cell>
          <cell r="N146">
            <v>0.86474623848867715</v>
          </cell>
        </row>
        <row r="147">
          <cell r="B147">
            <v>0.91963330068300708</v>
          </cell>
          <cell r="C147">
            <v>0.9635870444603073</v>
          </cell>
          <cell r="D147">
            <v>1.0000000000000002</v>
          </cell>
          <cell r="E147">
            <v>0.9224505501575857</v>
          </cell>
          <cell r="F147">
            <v>0.89222626162046925</v>
          </cell>
          <cell r="G147">
            <v>0.99955395620091037</v>
          </cell>
          <cell r="H147">
            <v>0.99566851622994823</v>
          </cell>
          <cell r="I147">
            <v>0.87038969271463407</v>
          </cell>
          <cell r="J147">
            <v>0.89070259667260721</v>
          </cell>
          <cell r="K147">
            <v>0.75622094909935478</v>
          </cell>
          <cell r="L147">
            <v>0.99562080677963671</v>
          </cell>
          <cell r="M147">
            <v>1</v>
          </cell>
          <cell r="N147">
            <v>0.87490208586593987</v>
          </cell>
        </row>
        <row r="148">
          <cell r="B148">
            <v>0.9260368677664057</v>
          </cell>
          <cell r="C148">
            <v>0.96663533290675374</v>
          </cell>
          <cell r="D148">
            <v>1.0000000000000002</v>
          </cell>
          <cell r="E148">
            <v>0.92926116759856914</v>
          </cell>
          <cell r="F148">
            <v>0.90718327134424526</v>
          </cell>
          <cell r="G148">
            <v>0.99972217572520661</v>
          </cell>
          <cell r="H148">
            <v>0.99668020094135157</v>
          </cell>
          <cell r="I148">
            <v>0.88065315358439067</v>
          </cell>
          <cell r="J148">
            <v>0.90085634079177157</v>
          </cell>
          <cell r="K148">
            <v>0.77414093053896693</v>
          </cell>
          <cell r="L148">
            <v>0.99678970660597854</v>
          </cell>
          <cell r="M148">
            <v>1</v>
          </cell>
          <cell r="N148">
            <v>0.88462542270177003</v>
          </cell>
        </row>
        <row r="149">
          <cell r="B149">
            <v>0.93096666164159703</v>
          </cell>
          <cell r="C149">
            <v>0.9688820803699888</v>
          </cell>
          <cell r="D149">
            <v>1.0000000000000002</v>
          </cell>
          <cell r="E149">
            <v>0.93536387250720976</v>
          </cell>
          <cell r="F149">
            <v>0.91926977638037988</v>
          </cell>
          <cell r="G149">
            <v>0.99988470844356037</v>
          </cell>
          <cell r="H149">
            <v>0.99753806867367889</v>
          </cell>
          <cell r="I149">
            <v>0.89068406766523667</v>
          </cell>
          <cell r="J149">
            <v>0.91080069566892863</v>
          </cell>
          <cell r="K149">
            <v>0.7913058500456428</v>
          </cell>
          <cell r="L149">
            <v>0.9977430929786264</v>
          </cell>
          <cell r="M149">
            <v>1</v>
          </cell>
          <cell r="N149">
            <v>0.89138896882142749</v>
          </cell>
        </row>
        <row r="150">
          <cell r="B150">
            <v>0.93519655103383137</v>
          </cell>
          <cell r="C150">
            <v>0.9709613591021925</v>
          </cell>
          <cell r="D150">
            <v>1.0000000000000002</v>
          </cell>
          <cell r="E150">
            <v>0.94070862996521787</v>
          </cell>
          <cell r="F150">
            <v>0.93127833142290706</v>
          </cell>
          <cell r="G150">
            <v>1.0000000000000002</v>
          </cell>
          <cell r="H150">
            <v>0.99835009709329325</v>
          </cell>
          <cell r="I150">
            <v>0.89904132066038034</v>
          </cell>
          <cell r="J150">
            <v>0.92034220074815776</v>
          </cell>
          <cell r="K150">
            <v>0.80652001169923626</v>
          </cell>
          <cell r="L150">
            <v>0.99838878290450295</v>
          </cell>
          <cell r="M150">
            <v>1</v>
          </cell>
          <cell r="N150">
            <v>0.89752185723775624</v>
          </cell>
        </row>
        <row r="151">
          <cell r="B151">
            <v>0.93939530184035758</v>
          </cell>
          <cell r="C151">
            <v>0.97297257680342297</v>
          </cell>
          <cell r="D151">
            <v>1.0000000000000002</v>
          </cell>
          <cell r="E151">
            <v>0.94603555410307949</v>
          </cell>
          <cell r="F151">
            <v>0.94077300501571126</v>
          </cell>
          <cell r="G151">
            <v>1.0000000000000002</v>
          </cell>
          <cell r="H151">
            <v>0.99889016916096651</v>
          </cell>
          <cell r="I151">
            <v>0.9067816608374516</v>
          </cell>
          <cell r="J151">
            <v>0.92981252776380707</v>
          </cell>
          <cell r="K151">
            <v>0.81996876873427416</v>
          </cell>
          <cell r="L151">
            <v>0.99899567616321372</v>
          </cell>
          <cell r="M151">
            <v>1</v>
          </cell>
          <cell r="N151">
            <v>0.90342948757742125</v>
          </cell>
        </row>
        <row r="152">
          <cell r="B152">
            <v>0.94288093936695772</v>
          </cell>
          <cell r="C152">
            <v>0.97489319418837572</v>
          </cell>
          <cell r="D152">
            <v>1.0000000000000002</v>
          </cell>
          <cell r="E152">
            <v>0.95112471801589082</v>
          </cell>
          <cell r="F152">
            <v>0.94893193577975632</v>
          </cell>
          <cell r="G152">
            <v>1.0000000000000002</v>
          </cell>
          <cell r="H152">
            <v>0.99941295335472091</v>
          </cell>
          <cell r="I152">
            <v>0.91430605844917379</v>
          </cell>
          <cell r="J152">
            <v>0.93908286536606733</v>
          </cell>
          <cell r="K152">
            <v>0.83290965785838544</v>
          </cell>
          <cell r="L152">
            <v>0.99945849804375264</v>
          </cell>
          <cell r="M152">
            <v>1</v>
          </cell>
          <cell r="N152">
            <v>0.9092885344354833</v>
          </cell>
        </row>
        <row r="153">
          <cell r="B153">
            <v>0.94622698333797439</v>
          </cell>
          <cell r="C153">
            <v>0.97674379524312349</v>
          </cell>
          <cell r="D153">
            <v>1.0000000000000002</v>
          </cell>
          <cell r="E153">
            <v>0.95593070706152206</v>
          </cell>
          <cell r="F153">
            <v>0.9562223753761856</v>
          </cell>
          <cell r="G153">
            <v>1.0000000000000002</v>
          </cell>
          <cell r="H153">
            <v>0.99962010551274394</v>
          </cell>
          <cell r="I153">
            <v>0.92071490224943198</v>
          </cell>
          <cell r="J153">
            <v>0.94648513521164035</v>
          </cell>
          <cell r="K153">
            <v>0.84358112146269504</v>
          </cell>
          <cell r="L153">
            <v>0.99981577677659461</v>
          </cell>
          <cell r="M153">
            <v>1</v>
          </cell>
          <cell r="N153">
            <v>0.91484608401446865</v>
          </cell>
        </row>
        <row r="154">
          <cell r="B154">
            <v>0.94954792613756878</v>
          </cell>
          <cell r="C154">
            <v>0.97858033291227897</v>
          </cell>
          <cell r="D154">
            <v>1.0000000000000002</v>
          </cell>
          <cell r="E154">
            <v>0.96063281962933478</v>
          </cell>
          <cell r="F154">
            <v>0.96177549028510723</v>
          </cell>
          <cell r="G154">
            <v>1.0000000000000002</v>
          </cell>
          <cell r="H154">
            <v>0.99979298536548278</v>
          </cell>
          <cell r="I154">
            <v>0.92589227533899954</v>
          </cell>
          <cell r="J154">
            <v>0.95373335372065549</v>
          </cell>
          <cell r="K154">
            <v>0.85386007652226548</v>
          </cell>
          <cell r="L154">
            <v>0.99992093987632436</v>
          </cell>
          <cell r="M154">
            <v>1</v>
          </cell>
          <cell r="N154">
            <v>0.91978251019927948</v>
          </cell>
        </row>
        <row r="155">
          <cell r="B155">
            <v>0.95274386757832463</v>
          </cell>
          <cell r="C155">
            <v>0.98029936883222446</v>
          </cell>
          <cell r="D155">
            <v>1.0000000000000002</v>
          </cell>
          <cell r="E155">
            <v>0.96466353458384102</v>
          </cell>
          <cell r="F155">
            <v>0.96675234638145136</v>
          </cell>
          <cell r="G155">
            <v>1.0000000000000002</v>
          </cell>
          <cell r="H155">
            <v>0.99995355936993324</v>
          </cell>
          <cell r="I155">
            <v>0.93077690622460296</v>
          </cell>
          <cell r="J155">
            <v>0.96076799456821405</v>
          </cell>
          <cell r="K155">
            <v>0.8639096760948356</v>
          </cell>
          <cell r="L155">
            <v>1.0000100683339943</v>
          </cell>
          <cell r="M155">
            <v>1</v>
          </cell>
          <cell r="N155">
            <v>0.9242996062068578</v>
          </cell>
        </row>
        <row r="156">
          <cell r="B156">
            <v>0.95593916448675842</v>
          </cell>
          <cell r="C156">
            <v>0.98189676227972966</v>
          </cell>
          <cell r="D156">
            <v>1.0000000000000002</v>
          </cell>
          <cell r="E156">
            <v>0.96856906699960565</v>
          </cell>
          <cell r="F156">
            <v>0.97036653824243535</v>
          </cell>
          <cell r="G156">
            <v>1.0000000000000002</v>
          </cell>
          <cell r="H156">
            <v>0.9999981013961331</v>
          </cell>
          <cell r="I156">
            <v>0.93545361592638943</v>
          </cell>
          <cell r="J156">
            <v>0.96711408464269188</v>
          </cell>
          <cell r="K156">
            <v>0.87260110413047332</v>
          </cell>
          <cell r="L156">
            <v>1.0000344410682487</v>
          </cell>
          <cell r="M156">
            <v>1</v>
          </cell>
          <cell r="N156">
            <v>0.92866522668883378</v>
          </cell>
        </row>
        <row r="157">
          <cell r="B157">
            <v>0.95862181932149748</v>
          </cell>
          <cell r="C157">
            <v>0.98329292597465434</v>
          </cell>
          <cell r="D157">
            <v>1.0000000000000002</v>
          </cell>
          <cell r="E157">
            <v>0.97226360995683325</v>
          </cell>
          <cell r="F157">
            <v>0.97362803486771365</v>
          </cell>
          <cell r="G157">
            <v>1.0000000000000002</v>
          </cell>
          <cell r="H157">
            <v>1</v>
          </cell>
          <cell r="I157">
            <v>0.94008078166793918</v>
          </cell>
          <cell r="J157">
            <v>0.97346017471716961</v>
          </cell>
          <cell r="K157">
            <v>0.88053693924584897</v>
          </cell>
          <cell r="L157">
            <v>1.0000344410682487</v>
          </cell>
          <cell r="M157">
            <v>1</v>
          </cell>
          <cell r="N157">
            <v>0.93257635033713038</v>
          </cell>
        </row>
        <row r="158">
          <cell r="B158">
            <v>0.96123507280385723</v>
          </cell>
          <cell r="C158">
            <v>0.98448948057827812</v>
          </cell>
          <cell r="D158">
            <v>1.0000000000000002</v>
          </cell>
          <cell r="E158">
            <v>0.97474868064467413</v>
          </cell>
          <cell r="F158">
            <v>0.97652196730976748</v>
          </cell>
          <cell r="G158">
            <v>1.0000000000000002</v>
          </cell>
          <cell r="H158">
            <v>1</v>
          </cell>
          <cell r="I158">
            <v>0.94435145781353469</v>
          </cell>
          <cell r="J158">
            <v>0.97972535214319778</v>
          </cell>
          <cell r="K158">
            <v>0.88841227656093757</v>
          </cell>
          <cell r="L158">
            <v>1.0000344410682487</v>
          </cell>
          <cell r="M158">
            <v>1</v>
          </cell>
          <cell r="N158">
            <v>0.9363711916202393</v>
          </cell>
        </row>
        <row r="159">
          <cell r="B159">
            <v>0.96347859927326163</v>
          </cell>
          <cell r="C159">
            <v>0.98568553523693447</v>
          </cell>
          <cell r="D159">
            <v>1.0000000000000002</v>
          </cell>
          <cell r="E159">
            <v>0.97717335494177604</v>
          </cell>
          <cell r="F159">
            <v>0.97922886154319</v>
          </cell>
          <cell r="G159">
            <v>1.0000000000000002</v>
          </cell>
          <cell r="H159">
            <v>1</v>
          </cell>
          <cell r="I159">
            <v>0.94799067195142928</v>
          </cell>
          <cell r="J159">
            <v>0.9856736001194254</v>
          </cell>
          <cell r="K159">
            <v>0.8959263880490711</v>
          </cell>
          <cell r="L159">
            <v>1.0000344410682487</v>
          </cell>
          <cell r="M159">
            <v>1</v>
          </cell>
          <cell r="N159">
            <v>0.93971331773432243</v>
          </cell>
        </row>
        <row r="160">
          <cell r="B160">
            <v>0.96567201862297358</v>
          </cell>
          <cell r="C160">
            <v>0.98687494857748703</v>
          </cell>
          <cell r="D160">
            <v>1.0000000000000002</v>
          </cell>
          <cell r="E160">
            <v>0.97940143225402343</v>
          </cell>
          <cell r="F160">
            <v>0.98160421323625358</v>
          </cell>
          <cell r="G160">
            <v>1.0000000000000002</v>
          </cell>
          <cell r="H160">
            <v>1</v>
          </cell>
          <cell r="I160">
            <v>0.9511439385087479</v>
          </cell>
          <cell r="J160">
            <v>0.98986416296050339</v>
          </cell>
          <cell r="K160">
            <v>0.90306788359535184</v>
          </cell>
          <cell r="L160">
            <v>1.0000344410682487</v>
          </cell>
          <cell r="M160">
            <v>1</v>
          </cell>
          <cell r="N160">
            <v>0.94302504444823942</v>
          </cell>
        </row>
        <row r="161">
          <cell r="B161">
            <v>0.96780435464276071</v>
          </cell>
          <cell r="C161">
            <v>0.98802299492494683</v>
          </cell>
          <cell r="D161">
            <v>1.0000000000000002</v>
          </cell>
          <cell r="E161">
            <v>0.98142906755702131</v>
          </cell>
          <cell r="F161">
            <v>0.98374653425630865</v>
          </cell>
          <cell r="G161">
            <v>1.0000000000000002</v>
          </cell>
          <cell r="H161">
            <v>1</v>
          </cell>
          <cell r="I161">
            <v>0.95403162107447881</v>
          </cell>
          <cell r="J161">
            <v>0.99351316475332818</v>
          </cell>
          <cell r="K161">
            <v>0.90997787424321352</v>
          </cell>
          <cell r="L161">
            <v>1.0000344410682487</v>
          </cell>
          <cell r="M161">
            <v>1</v>
          </cell>
          <cell r="N161">
            <v>0.94626764334247204</v>
          </cell>
        </row>
        <row r="162">
          <cell r="B162">
            <v>0.96993004307551356</v>
          </cell>
          <cell r="C162">
            <v>0.98915631622373368</v>
          </cell>
          <cell r="D162">
            <v>1.0000000000000002</v>
          </cell>
          <cell r="E162">
            <v>0.98335782785039061</v>
          </cell>
          <cell r="F162">
            <v>0.98572033086046007</v>
          </cell>
          <cell r="G162">
            <v>1.0000000000000002</v>
          </cell>
          <cell r="H162">
            <v>1</v>
          </cell>
          <cell r="I162">
            <v>0.95689348038012922</v>
          </cell>
          <cell r="J162">
            <v>0.99532180042455431</v>
          </cell>
          <cell r="K162">
            <v>0.91685024210656119</v>
          </cell>
          <cell r="L162">
            <v>1.0000344410682487</v>
          </cell>
          <cell r="M162">
            <v>1</v>
          </cell>
          <cell r="N162">
            <v>0.9493645537090698</v>
          </cell>
        </row>
        <row r="163">
          <cell r="B163">
            <v>0.97196904431884101</v>
          </cell>
          <cell r="C163">
            <v>0.99023511350480109</v>
          </cell>
          <cell r="D163">
            <v>1.0000000000000002</v>
          </cell>
          <cell r="E163">
            <v>0.98528325012896023</v>
          </cell>
          <cell r="F163">
            <v>0.98753476021800435</v>
          </cell>
          <cell r="G163">
            <v>1.0000000000000002</v>
          </cell>
          <cell r="H163">
            <v>1</v>
          </cell>
          <cell r="I163">
            <v>0.9596749507032315</v>
          </cell>
          <cell r="J163">
            <v>0.99708855190128887</v>
          </cell>
          <cell r="K163">
            <v>0.92356863498256248</v>
          </cell>
          <cell r="L163">
            <v>1.0000344410682487</v>
          </cell>
          <cell r="M163">
            <v>1</v>
          </cell>
          <cell r="N163">
            <v>0.95213887807962194</v>
          </cell>
        </row>
        <row r="164">
          <cell r="B164">
            <v>0.97398812869028739</v>
          </cell>
          <cell r="C164">
            <v>0.99120855279453279</v>
          </cell>
          <cell r="D164">
            <v>1.0000000000000002</v>
          </cell>
          <cell r="E164">
            <v>0.98698585290840346</v>
          </cell>
          <cell r="F164">
            <v>0.98907119801947008</v>
          </cell>
          <cell r="G164">
            <v>1.0000000000000002</v>
          </cell>
          <cell r="H164">
            <v>1</v>
          </cell>
          <cell r="I164">
            <v>0.96239435776437432</v>
          </cell>
          <cell r="J164">
            <v>0.99847628314832526</v>
          </cell>
          <cell r="K164">
            <v>0.93017928668295602</v>
          </cell>
          <cell r="L164">
            <v>1.0000344410682487</v>
          </cell>
          <cell r="M164">
            <v>1</v>
          </cell>
          <cell r="N164">
            <v>0.95478563254751558</v>
          </cell>
        </row>
        <row r="165">
          <cell r="B165">
            <v>0.97593929979312022</v>
          </cell>
          <cell r="C165">
            <v>0.99212056823872019</v>
          </cell>
          <cell r="D165">
            <v>1.0000000000000002</v>
          </cell>
          <cell r="E165">
            <v>0.98856540995809139</v>
          </cell>
          <cell r="F165">
            <v>0.99051462006495505</v>
          </cell>
          <cell r="G165">
            <v>1.0000000000000002</v>
          </cell>
          <cell r="H165">
            <v>1</v>
          </cell>
          <cell r="I165">
            <v>0.96505039160641282</v>
          </cell>
          <cell r="J165">
            <v>0.99944630364100195</v>
          </cell>
          <cell r="K165">
            <v>0.9365541082707034</v>
          </cell>
          <cell r="L165">
            <v>1.0000344410682487</v>
          </cell>
          <cell r="M165">
            <v>1</v>
          </cell>
          <cell r="N165">
            <v>0.95735905594713322</v>
          </cell>
        </row>
        <row r="166">
          <cell r="B166">
            <v>0.97786434832984592</v>
          </cell>
          <cell r="C166">
            <v>0.99302311191718085</v>
          </cell>
          <cell r="D166">
            <v>1.0000000000000002</v>
          </cell>
          <cell r="E166">
            <v>0.98963744127453035</v>
          </cell>
          <cell r="F166">
            <v>0.99186863198751318</v>
          </cell>
          <cell r="G166">
            <v>1.0000000000000002</v>
          </cell>
          <cell r="H166">
            <v>1</v>
          </cell>
          <cell r="I166">
            <v>0.96768082634005792</v>
          </cell>
          <cell r="J166">
            <v>0.99981596338784029</v>
          </cell>
          <cell r="K166">
            <v>0.94169977857724418</v>
          </cell>
          <cell r="L166">
            <v>1.0000344410682487</v>
          </cell>
          <cell r="M166">
            <v>1</v>
          </cell>
          <cell r="N166">
            <v>0.95990375433424213</v>
          </cell>
        </row>
        <row r="167">
          <cell r="B167">
            <v>0.97978587285852059</v>
          </cell>
          <cell r="C167">
            <v>0.99376150779554862</v>
          </cell>
          <cell r="D167">
            <v>1.0000000000000002</v>
          </cell>
          <cell r="E167">
            <v>0.99063183567438318</v>
          </cell>
          <cell r="F167">
            <v>0.99311286382673702</v>
          </cell>
          <cell r="G167">
            <v>1.0000000000000002</v>
          </cell>
          <cell r="H167">
            <v>1</v>
          </cell>
          <cell r="I167">
            <v>0.97011131097936365</v>
          </cell>
          <cell r="J167">
            <v>0.99994288518932983</v>
          </cell>
          <cell r="K167">
            <v>0.94658569832179618</v>
          </cell>
          <cell r="L167">
            <v>1.0000344410682487</v>
          </cell>
          <cell r="M167">
            <v>1</v>
          </cell>
          <cell r="N167">
            <v>0.96242020591934341</v>
          </cell>
        </row>
        <row r="168">
          <cell r="B168">
            <v>0.98168459253507834</v>
          </cell>
          <cell r="C168">
            <v>0.99448366019330192</v>
          </cell>
          <cell r="D168">
            <v>1.0000000000000002</v>
          </cell>
          <cell r="E168">
            <v>0.99150037280580516</v>
          </cell>
          <cell r="F168">
            <v>0.9941195604966544</v>
          </cell>
          <cell r="G168">
            <v>1.0000000000000002</v>
          </cell>
          <cell r="H168">
            <v>1</v>
          </cell>
          <cell r="I168">
            <v>0.97246319879348508</v>
          </cell>
          <cell r="J168">
            <v>0.99997461563970225</v>
          </cell>
          <cell r="K168">
            <v>0.95119548848754054</v>
          </cell>
          <cell r="L168">
            <v>1.0000344410682487</v>
          </cell>
          <cell r="M168">
            <v>1</v>
          </cell>
          <cell r="N168">
            <v>0.96492076311766917</v>
          </cell>
        </row>
        <row r="169">
          <cell r="B169">
            <v>0.98352183811840765</v>
          </cell>
          <cell r="C169">
            <v>0.99515666790288149</v>
          </cell>
          <cell r="D169">
            <v>1.0000000000000002</v>
          </cell>
          <cell r="E169">
            <v>0.99227168496338125</v>
          </cell>
          <cell r="F169">
            <v>0.99511419188813077</v>
          </cell>
          <cell r="G169">
            <v>1.0000000000000002</v>
          </cell>
          <cell r="H169">
            <v>1</v>
          </cell>
          <cell r="I169">
            <v>0.97480475898332897</v>
          </cell>
          <cell r="J169">
            <v>1.0000000000000002</v>
          </cell>
          <cell r="K169">
            <v>0.95577912144074095</v>
          </cell>
          <cell r="L169">
            <v>1.0000344410682487</v>
          </cell>
          <cell r="M169">
            <v>1</v>
          </cell>
          <cell r="N169">
            <v>0.96739497868753788</v>
          </cell>
        </row>
        <row r="170">
          <cell r="B170">
            <v>0.98527579237213148</v>
          </cell>
          <cell r="C170">
            <v>0.99582924211656376</v>
          </cell>
          <cell r="D170">
            <v>1.0000000000000002</v>
          </cell>
          <cell r="E170">
            <v>0.99302288379735759</v>
          </cell>
          <cell r="F170">
            <v>0.99609517330225106</v>
          </cell>
          <cell r="G170">
            <v>1.0000000000000002</v>
          </cell>
          <cell r="H170">
            <v>1</v>
          </cell>
          <cell r="I170">
            <v>0.97699494552052479</v>
          </cell>
          <cell r="J170">
            <v>1.0000000000000002</v>
          </cell>
          <cell r="K170">
            <v>0.96010519060019761</v>
          </cell>
          <cell r="L170">
            <v>1.0000344410682487</v>
          </cell>
          <cell r="M170">
            <v>1</v>
          </cell>
          <cell r="N170">
            <v>0.96981678258988457</v>
          </cell>
        </row>
        <row r="171">
          <cell r="B171">
            <v>0.98687401803986352</v>
          </cell>
          <cell r="C171">
            <v>0.9964031443551612</v>
          </cell>
          <cell r="D171">
            <v>1.0000000000000002</v>
          </cell>
          <cell r="E171">
            <v>0.99375116799723484</v>
          </cell>
          <cell r="F171">
            <v>0.99705215876275188</v>
          </cell>
          <cell r="G171">
            <v>1.0000000000000002</v>
          </cell>
          <cell r="H171">
            <v>1</v>
          </cell>
          <cell r="I171">
            <v>0.97913050276609614</v>
          </cell>
          <cell r="J171">
            <v>1.0000000000000002</v>
          </cell>
          <cell r="K171">
            <v>0.96437353640066914</v>
          </cell>
          <cell r="L171">
            <v>1.0000344410682487</v>
          </cell>
          <cell r="M171">
            <v>1</v>
          </cell>
          <cell r="N171">
            <v>0.97216739176987277</v>
          </cell>
        </row>
        <row r="172">
          <cell r="B172">
            <v>0.98833127310500002</v>
          </cell>
          <cell r="C172">
            <v>0.99688221931184062</v>
          </cell>
          <cell r="D172">
            <v>1.0000000000000002</v>
          </cell>
          <cell r="E172">
            <v>0.99444541920552409</v>
          </cell>
          <cell r="F172">
            <v>0.99769820163767209</v>
          </cell>
          <cell r="G172">
            <v>1.0000000000000002</v>
          </cell>
          <cell r="H172">
            <v>1</v>
          </cell>
          <cell r="I172">
            <v>0.98106298109773871</v>
          </cell>
          <cell r="J172">
            <v>1.0000000000000002</v>
          </cell>
          <cell r="K172">
            <v>0.96855376525400605</v>
          </cell>
          <cell r="L172">
            <v>1.0000344410682487</v>
          </cell>
          <cell r="M172">
            <v>1</v>
          </cell>
          <cell r="N172">
            <v>0.97442314180490441</v>
          </cell>
        </row>
        <row r="173">
          <cell r="B173">
            <v>0.98943623389335911</v>
          </cell>
          <cell r="C173">
            <v>0.99730776111410235</v>
          </cell>
          <cell r="D173">
            <v>1.0000000000000002</v>
          </cell>
          <cell r="E173">
            <v>0.99508239537650689</v>
          </cell>
          <cell r="F173">
            <v>0.99826367145204353</v>
          </cell>
          <cell r="G173">
            <v>1.0000000000000002</v>
          </cell>
          <cell r="H173">
            <v>1</v>
          </cell>
          <cell r="I173">
            <v>0.98293955870432581</v>
          </cell>
          <cell r="J173">
            <v>1.0000000000000002</v>
          </cell>
          <cell r="K173">
            <v>0.97220024014610829</v>
          </cell>
          <cell r="L173">
            <v>1.0000344410682487</v>
          </cell>
          <cell r="M173">
            <v>1</v>
          </cell>
          <cell r="N173">
            <v>0.97659154802421344</v>
          </cell>
        </row>
        <row r="174">
          <cell r="B174">
            <v>0.99040860747356907</v>
          </cell>
          <cell r="C174">
            <v>0.9977277293510749</v>
          </cell>
          <cell r="D174">
            <v>1.0000000000000002</v>
          </cell>
          <cell r="E174">
            <v>0.99565028736586791</v>
          </cell>
          <cell r="F174">
            <v>0.99873112935403996</v>
          </cell>
          <cell r="G174">
            <v>1.0000000000000002</v>
          </cell>
          <cell r="H174">
            <v>1</v>
          </cell>
          <cell r="I174">
            <v>0.98480939214639795</v>
          </cell>
          <cell r="J174">
            <v>1.0000000000000002</v>
          </cell>
          <cell r="K174">
            <v>0.97524255405328952</v>
          </cell>
          <cell r="L174">
            <v>1.0000344410682487</v>
          </cell>
          <cell r="M174">
            <v>1</v>
          </cell>
          <cell r="N174">
            <v>0.97867983502701705</v>
          </cell>
        </row>
        <row r="175">
          <cell r="B175">
            <v>0.99130681738250803</v>
          </cell>
          <cell r="C175">
            <v>0.99813885703410909</v>
          </cell>
          <cell r="D175">
            <v>1.0000000000000002</v>
          </cell>
          <cell r="E175">
            <v>0.99612588304255512</v>
          </cell>
          <cell r="F175">
            <v>0.99910816930531987</v>
          </cell>
          <cell r="G175">
            <v>1.0000000000000002</v>
          </cell>
          <cell r="H175">
            <v>1</v>
          </cell>
          <cell r="I175">
            <v>0.9866237987151526</v>
          </cell>
          <cell r="J175">
            <v>1.0000000000000002</v>
          </cell>
          <cell r="K175">
            <v>0.97827708212881015</v>
          </cell>
          <cell r="L175">
            <v>1.0000344410682487</v>
          </cell>
          <cell r="M175">
            <v>1</v>
          </cell>
          <cell r="N175">
            <v>0.98050098927060603</v>
          </cell>
        </row>
        <row r="176">
          <cell r="B176">
            <v>0.99219695340640146</v>
          </cell>
          <cell r="C176">
            <v>0.9984794923679865</v>
          </cell>
          <cell r="D176">
            <v>1.0000000000000002</v>
          </cell>
          <cell r="E176">
            <v>0.99656300164007794</v>
          </cell>
          <cell r="F176">
            <v>0.99948520925659989</v>
          </cell>
          <cell r="G176">
            <v>1.0000000000000002</v>
          </cell>
          <cell r="H176">
            <v>1</v>
          </cell>
          <cell r="I176">
            <v>0.9884126314724172</v>
          </cell>
          <cell r="J176">
            <v>1.0000000000000002</v>
          </cell>
          <cell r="K176">
            <v>0.98044489317835781</v>
          </cell>
          <cell r="L176">
            <v>1.0000344410682487</v>
          </cell>
          <cell r="M176">
            <v>1</v>
          </cell>
          <cell r="N176">
            <v>0.98216465693751276</v>
          </cell>
        </row>
        <row r="177">
          <cell r="B177">
            <v>0.99300149365257806</v>
          </cell>
          <cell r="C177">
            <v>0.99870272209173405</v>
          </cell>
          <cell r="D177">
            <v>1.0000000000000002</v>
          </cell>
          <cell r="E177">
            <v>0.99699742417833415</v>
          </cell>
          <cell r="F177">
            <v>0.99986204108182664</v>
          </cell>
          <cell r="G177">
            <v>1.0000000000000002</v>
          </cell>
          <cell r="H177">
            <v>1</v>
          </cell>
          <cell r="I177">
            <v>0.99007035817443267</v>
          </cell>
          <cell r="J177">
            <v>1.0000000000000002</v>
          </cell>
          <cell r="K177">
            <v>0.98245212563164275</v>
          </cell>
          <cell r="L177">
            <v>1.0000344410682487</v>
          </cell>
          <cell r="M177">
            <v>1</v>
          </cell>
          <cell r="N177">
            <v>0.98372676660702663</v>
          </cell>
        </row>
        <row r="178">
          <cell r="B178">
            <v>0.99371008332043209</v>
          </cell>
          <cell r="C178">
            <v>0.99891409756239358</v>
          </cell>
          <cell r="D178">
            <v>1.0000000000000002</v>
          </cell>
          <cell r="E178">
            <v>0.99742697172584827</v>
          </cell>
          <cell r="F178">
            <v>0.99992519527366608</v>
          </cell>
          <cell r="G178">
            <v>1.0000000000000002</v>
          </cell>
          <cell r="H178">
            <v>1</v>
          </cell>
          <cell r="I178">
            <v>0.99145338967450625</v>
          </cell>
          <cell r="J178">
            <v>1.0000000000000002</v>
          </cell>
          <cell r="K178">
            <v>0.98444909964025251</v>
          </cell>
          <cell r="L178">
            <v>1.0000344410682487</v>
          </cell>
          <cell r="M178">
            <v>1</v>
          </cell>
          <cell r="N178">
            <v>0.98521127300460742</v>
          </cell>
        </row>
        <row r="179">
          <cell r="B179">
            <v>0.99438810861048421</v>
          </cell>
          <cell r="C179">
            <v>0.99908006798108751</v>
          </cell>
          <cell r="D179">
            <v>1.0000000000000002</v>
          </cell>
          <cell r="E179">
            <v>0.99782664914949482</v>
          </cell>
          <cell r="F179">
            <v>0.999962899268794</v>
          </cell>
          <cell r="G179">
            <v>1.0000000000000002</v>
          </cell>
          <cell r="H179">
            <v>1</v>
          </cell>
          <cell r="I179">
            <v>0.99279562928913578</v>
          </cell>
          <cell r="J179">
            <v>1.0000000000000002</v>
          </cell>
          <cell r="K179">
            <v>0.98614016045754505</v>
          </cell>
          <cell r="L179">
            <v>1.0000344410682487</v>
          </cell>
          <cell r="M179">
            <v>1</v>
          </cell>
          <cell r="N179">
            <v>0.98655408581375548</v>
          </cell>
        </row>
        <row r="180">
          <cell r="B180">
            <v>0.99496750689585456</v>
          </cell>
          <cell r="C180">
            <v>0.99923442090549119</v>
          </cell>
          <cell r="D180">
            <v>1.0000000000000002</v>
          </cell>
          <cell r="E180">
            <v>0.9982130575491367</v>
          </cell>
          <cell r="F180">
            <v>0.99998544625788055</v>
          </cell>
          <cell r="G180">
            <v>1.0000000000000002</v>
          </cell>
          <cell r="H180">
            <v>1</v>
          </cell>
          <cell r="I180">
            <v>0.99403595371486142</v>
          </cell>
          <cell r="J180">
            <v>1.0000000000000002</v>
          </cell>
          <cell r="K180">
            <v>0.98778724336935075</v>
          </cell>
          <cell r="L180">
            <v>1.0000344410682487</v>
          </cell>
          <cell r="M180">
            <v>1</v>
          </cell>
          <cell r="N180">
            <v>0.98786926617188553</v>
          </cell>
        </row>
        <row r="181">
          <cell r="B181">
            <v>0.99547387684453703</v>
          </cell>
          <cell r="C181">
            <v>0.9993758019056237</v>
          </cell>
          <cell r="D181">
            <v>1.0000000000000002</v>
          </cell>
          <cell r="E181">
            <v>0.99850682066832896</v>
          </cell>
          <cell r="F181">
            <v>1</v>
          </cell>
          <cell r="G181">
            <v>1.0000000000000002</v>
          </cell>
          <cell r="H181">
            <v>1</v>
          </cell>
          <cell r="I181">
            <v>0.99516711757655252</v>
          </cell>
          <cell r="J181">
            <v>1.0000000000000002</v>
          </cell>
          <cell r="K181">
            <v>0.98940315842167348</v>
          </cell>
          <cell r="L181">
            <v>1.0000344410682487</v>
          </cell>
          <cell r="M181">
            <v>1</v>
          </cell>
          <cell r="N181">
            <v>0.98901555498884319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7"/>
  <sheetViews>
    <sheetView showGridLines="0" workbookViewId="0">
      <pane ySplit="1" topLeftCell="A2" activePane="bottomLeft" state="frozen"/>
      <selection activeCell="AT1" sqref="AT1"/>
      <selection pane="bottomLeft"/>
    </sheetView>
  </sheetViews>
  <sheetFormatPr baseColWidth="10" defaultColWidth="11.42578125" defaultRowHeight="12.75" x14ac:dyDescent="0.2"/>
  <cols>
    <col min="1" max="1" width="35.42578125" style="18" customWidth="1"/>
    <col min="2" max="2" width="11.7109375" style="21" bestFit="1" customWidth="1"/>
    <col min="3" max="4" width="11.42578125" style="21"/>
    <col min="5" max="5" width="14.7109375" style="21" customWidth="1"/>
    <col min="6" max="6" width="11.42578125" style="21"/>
    <col min="7" max="7" width="11.7109375" style="21" bestFit="1" customWidth="1"/>
    <col min="8" max="8" width="15.140625" style="21" customWidth="1"/>
    <col min="9" max="9" width="13.85546875" style="21" customWidth="1"/>
    <col min="10" max="11" width="11.42578125" style="21"/>
    <col min="12" max="12" width="15.42578125" style="21" customWidth="1"/>
    <col min="13" max="13" width="13.42578125" style="21" customWidth="1"/>
    <col min="14" max="14" width="14.140625" style="21" customWidth="1"/>
    <col min="15" max="15" width="11.42578125" style="21"/>
    <col min="16" max="16" width="14.42578125" style="21" customWidth="1"/>
    <col min="17" max="19" width="11.42578125" style="21"/>
    <col min="20" max="20" width="15.28515625" style="21" customWidth="1"/>
    <col min="21" max="21" width="13" style="21" customWidth="1"/>
    <col min="22" max="33" width="11.42578125" style="21"/>
    <col min="34" max="34" width="14.42578125" style="21" customWidth="1"/>
    <col min="35" max="35" width="12.42578125" style="21" customWidth="1"/>
    <col min="36" max="40" width="11.42578125" style="21"/>
    <col min="41" max="41" width="13.42578125" style="21" customWidth="1"/>
    <col min="42" max="49" width="11.42578125" style="21"/>
    <col min="50" max="50" width="16" style="21" customWidth="1"/>
    <col min="51" max="51" width="13.42578125" style="21" customWidth="1"/>
    <col min="52" max="52" width="12.42578125" style="21" customWidth="1"/>
    <col min="53" max="53" width="11.42578125" style="21"/>
    <col min="54" max="54" width="13.28515625" style="21" customWidth="1"/>
    <col min="55" max="56" width="11.42578125" style="21"/>
    <col min="57" max="57" width="13.85546875" style="21" customWidth="1"/>
    <col min="58" max="58" width="13.28515625" style="21" customWidth="1"/>
    <col min="59" max="16384" width="11.42578125" style="21"/>
  </cols>
  <sheetData>
    <row r="1" spans="1:58" s="90" customFormat="1" x14ac:dyDescent="0.2">
      <c r="A1" s="90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90" t="s">
        <v>10</v>
      </c>
      <c r="L1" s="90" t="s">
        <v>11</v>
      </c>
      <c r="M1" s="90" t="s">
        <v>12</v>
      </c>
      <c r="N1" s="90" t="s">
        <v>13</v>
      </c>
      <c r="O1" s="90" t="s">
        <v>14</v>
      </c>
      <c r="P1" s="90" t="s">
        <v>15</v>
      </c>
      <c r="Q1" s="90" t="s">
        <v>16</v>
      </c>
      <c r="R1" s="90" t="s">
        <v>17</v>
      </c>
      <c r="S1" s="90" t="s">
        <v>18</v>
      </c>
      <c r="T1" s="90" t="s">
        <v>19</v>
      </c>
      <c r="U1" s="90" t="s">
        <v>20</v>
      </c>
      <c r="V1" s="90" t="s">
        <v>21</v>
      </c>
      <c r="W1" s="90" t="s">
        <v>22</v>
      </c>
      <c r="X1" s="90" t="s">
        <v>23</v>
      </c>
      <c r="Y1" s="90" t="s">
        <v>24</v>
      </c>
      <c r="Z1" s="90" t="s">
        <v>25</v>
      </c>
      <c r="AA1" s="90" t="s">
        <v>26</v>
      </c>
      <c r="AB1" s="90" t="s">
        <v>27</v>
      </c>
      <c r="AC1" s="90" t="s">
        <v>28</v>
      </c>
      <c r="AD1" s="90" t="s">
        <v>29</v>
      </c>
      <c r="AE1" s="90" t="s">
        <v>30</v>
      </c>
      <c r="AF1" s="90" t="s">
        <v>31</v>
      </c>
      <c r="AG1" s="90" t="s">
        <v>32</v>
      </c>
      <c r="AH1" s="90" t="s">
        <v>33</v>
      </c>
      <c r="AI1" s="90" t="s">
        <v>34</v>
      </c>
      <c r="AJ1" s="90" t="s">
        <v>35</v>
      </c>
      <c r="AK1" s="90" t="s">
        <v>36</v>
      </c>
      <c r="AL1" s="90" t="s">
        <v>37</v>
      </c>
      <c r="AM1" s="90" t="s">
        <v>38</v>
      </c>
      <c r="AN1" s="90" t="s">
        <v>39</v>
      </c>
      <c r="AO1" s="90" t="s">
        <v>40</v>
      </c>
      <c r="AP1" s="90" t="s">
        <v>41</v>
      </c>
      <c r="AQ1" s="90" t="s">
        <v>42</v>
      </c>
      <c r="AR1" s="90" t="s">
        <v>43</v>
      </c>
      <c r="AS1" s="90" t="s">
        <v>44</v>
      </c>
      <c r="AT1" s="90" t="s">
        <v>45</v>
      </c>
      <c r="AU1" s="90" t="s">
        <v>46</v>
      </c>
      <c r="AV1" s="90" t="s">
        <v>47</v>
      </c>
      <c r="AW1" s="90" t="s">
        <v>48</v>
      </c>
      <c r="AX1" s="90" t="s">
        <v>49</v>
      </c>
      <c r="AY1" s="90" t="s">
        <v>50</v>
      </c>
      <c r="AZ1" s="90" t="s">
        <v>51</v>
      </c>
      <c r="BA1" s="90" t="s">
        <v>52</v>
      </c>
      <c r="BB1" s="90" t="s">
        <v>53</v>
      </c>
      <c r="BC1" s="90" t="s">
        <v>54</v>
      </c>
      <c r="BD1" s="90" t="s">
        <v>55</v>
      </c>
      <c r="BE1" s="90" t="s">
        <v>56</v>
      </c>
      <c r="BF1" s="90" t="s">
        <v>57</v>
      </c>
    </row>
    <row r="2" spans="1:58" x14ac:dyDescent="0.2">
      <c r="A2" s="18" t="s">
        <v>58</v>
      </c>
      <c r="B2" s="91">
        <v>918900</v>
      </c>
      <c r="C2" s="21">
        <v>0</v>
      </c>
      <c r="D2" s="21">
        <v>0</v>
      </c>
      <c r="E2" s="91">
        <v>76967016</v>
      </c>
      <c r="F2" s="21">
        <v>0</v>
      </c>
      <c r="G2" s="91">
        <v>5652821</v>
      </c>
      <c r="H2" s="21">
        <v>0</v>
      </c>
      <c r="I2" s="91">
        <v>6640239</v>
      </c>
      <c r="J2" s="91">
        <v>2722186</v>
      </c>
      <c r="L2" s="91">
        <v>92901162</v>
      </c>
      <c r="M2" s="91">
        <v>6640239</v>
      </c>
      <c r="N2" s="21">
        <v>0</v>
      </c>
      <c r="O2" s="21">
        <v>0</v>
      </c>
      <c r="P2" s="91">
        <v>6640239</v>
      </c>
      <c r="Q2" s="21">
        <v>0</v>
      </c>
      <c r="R2" s="21">
        <v>0</v>
      </c>
      <c r="S2" s="21">
        <v>0</v>
      </c>
      <c r="T2" s="91">
        <v>1897978</v>
      </c>
      <c r="U2" s="91">
        <v>1897978</v>
      </c>
      <c r="V2" s="91">
        <v>4410756</v>
      </c>
      <c r="W2" s="21">
        <v>0</v>
      </c>
      <c r="X2" s="21">
        <v>0</v>
      </c>
      <c r="Y2" s="91">
        <v>4410756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H2" s="91">
        <v>12948973</v>
      </c>
      <c r="AI2" s="91">
        <v>6250000</v>
      </c>
      <c r="AJ2" s="21">
        <v>0</v>
      </c>
      <c r="AK2" s="21">
        <v>0</v>
      </c>
      <c r="AL2" s="21">
        <v>0</v>
      </c>
      <c r="AM2" s="91">
        <v>1417997</v>
      </c>
      <c r="AO2" s="91">
        <v>7667997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V2" s="21">
        <v>0</v>
      </c>
      <c r="AW2" s="91">
        <v>4846575</v>
      </c>
      <c r="AX2" s="91">
        <v>23129200</v>
      </c>
      <c r="AY2" s="91">
        <v>23380000</v>
      </c>
      <c r="AZ2" s="91">
        <v>15137021</v>
      </c>
      <c r="BB2" s="91">
        <v>66492796</v>
      </c>
      <c r="BC2" s="21">
        <v>0</v>
      </c>
      <c r="BE2" s="91">
        <v>74160793</v>
      </c>
      <c r="BF2" s="91">
        <v>87109766</v>
      </c>
    </row>
    <row r="3" spans="1:58" x14ac:dyDescent="0.2">
      <c r="A3" s="18" t="s">
        <v>59</v>
      </c>
      <c r="B3" s="21">
        <v>0</v>
      </c>
      <c r="C3" s="21">
        <v>0</v>
      </c>
      <c r="D3" s="21">
        <v>0</v>
      </c>
      <c r="E3" s="91">
        <v>116895.89</v>
      </c>
      <c r="F3" s="21">
        <v>0</v>
      </c>
      <c r="G3" s="21">
        <v>0</v>
      </c>
      <c r="H3" s="91">
        <v>253100.62</v>
      </c>
      <c r="I3" s="91">
        <v>116946.28</v>
      </c>
      <c r="J3" s="21">
        <v>0</v>
      </c>
      <c r="L3" s="91">
        <v>486942.79</v>
      </c>
      <c r="M3" s="91">
        <v>91720.75</v>
      </c>
      <c r="N3" s="91">
        <v>25225.53</v>
      </c>
      <c r="O3" s="21">
        <v>0</v>
      </c>
      <c r="P3" s="91">
        <v>116946.28</v>
      </c>
      <c r="Q3" s="21">
        <v>0</v>
      </c>
      <c r="R3" s="91">
        <v>11350.69</v>
      </c>
      <c r="S3" s="91">
        <v>193373.31</v>
      </c>
      <c r="T3" s="91">
        <v>23151.09</v>
      </c>
      <c r="U3" s="91">
        <v>227875.09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H3" s="91">
        <v>344821.37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O3" s="21">
        <v>0</v>
      </c>
      <c r="AP3" s="91">
        <v>79000</v>
      </c>
      <c r="AQ3" s="21">
        <v>0</v>
      </c>
      <c r="AR3" s="91">
        <v>37895.589999999997</v>
      </c>
      <c r="AS3" s="21">
        <v>0</v>
      </c>
      <c r="AT3" s="21">
        <v>0</v>
      </c>
      <c r="AV3" s="91">
        <v>79000</v>
      </c>
      <c r="AW3" s="21">
        <v>0</v>
      </c>
      <c r="AX3" s="21">
        <v>0</v>
      </c>
      <c r="AY3" s="21">
        <v>0</v>
      </c>
      <c r="AZ3" s="21">
        <v>0</v>
      </c>
      <c r="BB3" s="21">
        <v>0</v>
      </c>
      <c r="BC3" s="21">
        <v>0</v>
      </c>
      <c r="BE3" s="91">
        <v>79000</v>
      </c>
      <c r="BF3" s="91">
        <v>423821.37</v>
      </c>
    </row>
    <row r="4" spans="1:58" x14ac:dyDescent="0.2">
      <c r="A4" s="18" t="s">
        <v>60</v>
      </c>
      <c r="B4" s="21">
        <v>0</v>
      </c>
      <c r="C4" s="21">
        <v>0</v>
      </c>
      <c r="D4" s="21">
        <v>0</v>
      </c>
      <c r="E4" s="91">
        <v>2991338.1</v>
      </c>
      <c r="F4" s="21">
        <v>0</v>
      </c>
      <c r="G4" s="21">
        <v>0</v>
      </c>
      <c r="H4" s="91">
        <v>55385.61</v>
      </c>
      <c r="I4" s="91">
        <v>148188.72</v>
      </c>
      <c r="J4" s="91">
        <v>215195.81</v>
      </c>
      <c r="L4" s="91">
        <v>3410108.24</v>
      </c>
      <c r="M4" s="91">
        <v>148188.72</v>
      </c>
      <c r="N4" s="21">
        <v>0</v>
      </c>
      <c r="O4" s="21">
        <v>0</v>
      </c>
      <c r="P4" s="91">
        <v>148188.72</v>
      </c>
      <c r="Q4" s="91">
        <v>55385.61</v>
      </c>
      <c r="R4" s="21">
        <v>0</v>
      </c>
      <c r="S4" s="21">
        <v>0</v>
      </c>
      <c r="T4" s="21">
        <v>0</v>
      </c>
      <c r="U4" s="91">
        <v>55385.61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H4" s="91">
        <v>203574.33</v>
      </c>
      <c r="AI4" s="91">
        <v>2500000</v>
      </c>
      <c r="AJ4" s="21">
        <v>0</v>
      </c>
      <c r="AK4" s="21">
        <v>0</v>
      </c>
      <c r="AL4" s="21">
        <v>0</v>
      </c>
      <c r="AM4" s="21">
        <v>0</v>
      </c>
      <c r="AO4" s="91">
        <v>2500000</v>
      </c>
      <c r="AP4" s="91">
        <v>113214</v>
      </c>
      <c r="AQ4" s="21">
        <v>0</v>
      </c>
      <c r="AR4" s="91">
        <v>16054.19</v>
      </c>
      <c r="AS4" s="21">
        <v>0</v>
      </c>
      <c r="AT4" s="21">
        <v>0</v>
      </c>
      <c r="AV4" s="21">
        <v>0</v>
      </c>
      <c r="AW4" s="21">
        <v>0</v>
      </c>
      <c r="AX4" s="21">
        <v>0</v>
      </c>
      <c r="AY4" s="21">
        <v>0</v>
      </c>
      <c r="AZ4" s="21">
        <v>0</v>
      </c>
      <c r="BB4" s="21">
        <v>0</v>
      </c>
      <c r="BC4" s="21">
        <v>0</v>
      </c>
      <c r="BE4" s="91">
        <v>2613214</v>
      </c>
      <c r="BF4" s="91">
        <v>2816788.33</v>
      </c>
    </row>
    <row r="5" spans="1:58" x14ac:dyDescent="0.2">
      <c r="A5" s="18" t="s">
        <v>61</v>
      </c>
      <c r="B5" s="21">
        <v>0</v>
      </c>
      <c r="C5" s="21">
        <v>0</v>
      </c>
      <c r="D5" s="91">
        <v>75042.720000000001</v>
      </c>
      <c r="E5" s="91">
        <v>599945.99</v>
      </c>
      <c r="F5" s="21">
        <v>0</v>
      </c>
      <c r="G5" s="21">
        <v>0</v>
      </c>
      <c r="H5" s="91">
        <v>162009.24</v>
      </c>
      <c r="I5" s="21">
        <v>0</v>
      </c>
      <c r="J5" s="91">
        <v>3885.11</v>
      </c>
      <c r="L5" s="91">
        <v>840883.06</v>
      </c>
      <c r="M5" s="91">
        <v>29057</v>
      </c>
      <c r="N5" s="21">
        <v>0</v>
      </c>
      <c r="O5" s="91">
        <v>30002.95</v>
      </c>
      <c r="P5" s="91">
        <v>59059.95</v>
      </c>
      <c r="Q5" s="91">
        <v>30019</v>
      </c>
      <c r="R5" s="21">
        <v>0</v>
      </c>
      <c r="S5" s="21">
        <v>0</v>
      </c>
      <c r="T5" s="91">
        <v>72930.289999999994</v>
      </c>
      <c r="U5" s="91">
        <v>102949.29</v>
      </c>
      <c r="V5" s="91">
        <v>85000</v>
      </c>
      <c r="W5" s="21">
        <v>0</v>
      </c>
      <c r="X5" s="21">
        <v>0</v>
      </c>
      <c r="Y5" s="91">
        <v>85000</v>
      </c>
      <c r="Z5" s="21">
        <v>0</v>
      </c>
      <c r="AA5" s="21">
        <v>0</v>
      </c>
      <c r="AB5" s="21">
        <v>0</v>
      </c>
      <c r="AC5" s="91">
        <v>75042.720000000001</v>
      </c>
      <c r="AD5" s="91">
        <v>75042.720000000001</v>
      </c>
      <c r="AE5" s="21">
        <v>0</v>
      </c>
      <c r="AF5" s="21">
        <v>0</v>
      </c>
      <c r="AH5" s="91">
        <v>322051.96000000002</v>
      </c>
      <c r="AI5" s="21">
        <v>0</v>
      </c>
      <c r="AJ5" s="91">
        <v>224800</v>
      </c>
      <c r="AK5" s="21">
        <v>0</v>
      </c>
      <c r="AL5" s="21">
        <v>0</v>
      </c>
      <c r="AM5" s="21">
        <v>0</v>
      </c>
      <c r="AO5" s="91">
        <v>224800</v>
      </c>
      <c r="AP5" s="91">
        <v>155788</v>
      </c>
      <c r="AQ5" s="21">
        <v>0</v>
      </c>
      <c r="AR5" s="21">
        <v>0</v>
      </c>
      <c r="AS5" s="21">
        <v>0</v>
      </c>
      <c r="AT5" s="21">
        <v>0</v>
      </c>
      <c r="AV5" s="91">
        <v>155788</v>
      </c>
      <c r="AW5" s="91">
        <v>700000</v>
      </c>
      <c r="AX5" s="21">
        <v>0</v>
      </c>
      <c r="AY5" s="91">
        <v>295696</v>
      </c>
      <c r="AZ5" s="21">
        <v>0</v>
      </c>
      <c r="BB5" s="91">
        <v>995696</v>
      </c>
      <c r="BC5" s="21">
        <v>0</v>
      </c>
      <c r="BE5" s="91">
        <v>1376284</v>
      </c>
      <c r="BF5" s="91">
        <v>1698335.96</v>
      </c>
    </row>
    <row r="6" spans="1:58" x14ac:dyDescent="0.2">
      <c r="A6" s="18" t="s">
        <v>62</v>
      </c>
      <c r="B6" s="21">
        <v>0</v>
      </c>
      <c r="C6" s="91">
        <v>15884</v>
      </c>
      <c r="D6" s="21">
        <v>0</v>
      </c>
      <c r="E6" s="91">
        <v>858032.13</v>
      </c>
      <c r="F6" s="21">
        <v>0</v>
      </c>
      <c r="G6" s="21">
        <v>0</v>
      </c>
      <c r="H6" s="91">
        <v>6600.01</v>
      </c>
      <c r="I6" s="21">
        <v>500</v>
      </c>
      <c r="J6" s="21">
        <v>425.92</v>
      </c>
      <c r="L6" s="91">
        <v>881442.06</v>
      </c>
      <c r="M6" s="21">
        <v>500</v>
      </c>
      <c r="N6" s="21">
        <v>0</v>
      </c>
      <c r="O6" s="21">
        <v>0</v>
      </c>
      <c r="P6" s="21">
        <v>500</v>
      </c>
      <c r="Q6" s="21">
        <v>0</v>
      </c>
      <c r="R6" s="21">
        <v>0</v>
      </c>
      <c r="S6" s="21">
        <v>0</v>
      </c>
      <c r="T6" s="91">
        <v>6600.01</v>
      </c>
      <c r="U6" s="91">
        <v>6600.01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91">
        <v>15884</v>
      </c>
      <c r="AF6" s="91">
        <v>140000</v>
      </c>
      <c r="AH6" s="91">
        <v>162984.01</v>
      </c>
      <c r="AI6" s="91">
        <v>3250000</v>
      </c>
      <c r="AJ6" s="91">
        <v>297700</v>
      </c>
      <c r="AK6" s="21">
        <v>0</v>
      </c>
      <c r="AL6" s="21">
        <v>0</v>
      </c>
      <c r="AM6" s="21">
        <v>0</v>
      </c>
      <c r="AO6" s="91">
        <v>3547700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B6" s="21">
        <v>0</v>
      </c>
      <c r="BC6" s="21">
        <v>0</v>
      </c>
      <c r="BE6" s="91">
        <v>3547700</v>
      </c>
      <c r="BF6" s="91">
        <v>3710684.01</v>
      </c>
    </row>
    <row r="7" spans="1:58" x14ac:dyDescent="0.2">
      <c r="A7" s="18" t="s">
        <v>63</v>
      </c>
      <c r="B7" s="21">
        <v>0</v>
      </c>
      <c r="C7" s="91">
        <v>29696.34</v>
      </c>
      <c r="D7" s="21">
        <v>0</v>
      </c>
      <c r="E7" s="91">
        <v>2965197.15</v>
      </c>
      <c r="F7" s="21">
        <v>0</v>
      </c>
      <c r="G7" s="91">
        <v>656144.56000000006</v>
      </c>
      <c r="H7" s="91">
        <v>1742331.8</v>
      </c>
      <c r="I7" s="91">
        <v>2744175.82</v>
      </c>
      <c r="J7" s="91">
        <v>386061.64</v>
      </c>
      <c r="L7" s="91">
        <v>8523607.3100000005</v>
      </c>
      <c r="M7" s="91">
        <v>699706.25</v>
      </c>
      <c r="N7" s="91">
        <v>60882.79</v>
      </c>
      <c r="O7" s="91">
        <v>8550.9500000000007</v>
      </c>
      <c r="P7" s="91">
        <v>769139.99</v>
      </c>
      <c r="Q7" s="91">
        <v>2408704.63</v>
      </c>
      <c r="R7" s="91">
        <v>29737.87</v>
      </c>
      <c r="S7" s="91">
        <v>35731.5</v>
      </c>
      <c r="T7" s="91">
        <v>2376678.7400000002</v>
      </c>
      <c r="U7" s="91">
        <v>4850852.74</v>
      </c>
      <c r="V7" s="91">
        <v>450765</v>
      </c>
      <c r="W7" s="21">
        <v>0</v>
      </c>
      <c r="X7" s="21">
        <v>0</v>
      </c>
      <c r="Y7" s="91">
        <v>450765</v>
      </c>
      <c r="Z7" s="21">
        <v>0</v>
      </c>
      <c r="AA7" s="21">
        <v>0</v>
      </c>
      <c r="AB7" s="91">
        <v>6179.62</v>
      </c>
      <c r="AC7" s="21">
        <v>0</v>
      </c>
      <c r="AD7" s="91">
        <v>6179.62</v>
      </c>
      <c r="AE7" s="91">
        <v>23516.720000000001</v>
      </c>
      <c r="AF7" s="21">
        <v>0</v>
      </c>
      <c r="AH7" s="91">
        <v>6100454.0700000003</v>
      </c>
      <c r="AI7" s="91">
        <v>480940</v>
      </c>
      <c r="AJ7" s="21">
        <v>0</v>
      </c>
      <c r="AK7" s="21">
        <v>0</v>
      </c>
      <c r="AL7" s="21">
        <v>0</v>
      </c>
      <c r="AM7" s="21">
        <v>0</v>
      </c>
      <c r="AO7" s="91">
        <v>480940</v>
      </c>
      <c r="AP7" s="91">
        <v>3611725</v>
      </c>
      <c r="AQ7" s="21">
        <v>0</v>
      </c>
      <c r="AR7" s="91">
        <v>429633</v>
      </c>
      <c r="AS7" s="21">
        <v>0</v>
      </c>
      <c r="AT7" s="21">
        <v>0</v>
      </c>
      <c r="AV7" s="91">
        <v>4041358</v>
      </c>
      <c r="AW7" s="21">
        <v>0</v>
      </c>
      <c r="AX7" s="21">
        <v>0</v>
      </c>
      <c r="AY7" s="21">
        <v>0</v>
      </c>
      <c r="AZ7" s="21">
        <v>0</v>
      </c>
      <c r="BB7" s="21">
        <v>0</v>
      </c>
      <c r="BC7" s="21">
        <v>0</v>
      </c>
      <c r="BE7" s="91">
        <v>4522298</v>
      </c>
      <c r="BF7" s="91">
        <v>10622752.07</v>
      </c>
    </row>
    <row r="8" spans="1:58" x14ac:dyDescent="0.2">
      <c r="A8" s="18" t="s">
        <v>64</v>
      </c>
      <c r="B8" s="21">
        <v>0</v>
      </c>
      <c r="C8" s="91">
        <v>140515.76999999999</v>
      </c>
      <c r="D8" s="21">
        <v>0</v>
      </c>
      <c r="E8" s="91">
        <v>14100815.710000001</v>
      </c>
      <c r="F8" s="21">
        <v>0</v>
      </c>
      <c r="G8" s="91">
        <v>67063.92</v>
      </c>
      <c r="H8" s="91">
        <v>282581.94</v>
      </c>
      <c r="I8" s="21">
        <v>0</v>
      </c>
      <c r="J8" s="91">
        <v>346695.2</v>
      </c>
      <c r="K8" s="21" t="s">
        <v>65</v>
      </c>
      <c r="L8" s="91">
        <f>SUM(B8:J8)</f>
        <v>14937672.539999999</v>
      </c>
      <c r="M8" s="91">
        <v>196277.28</v>
      </c>
      <c r="N8" s="21">
        <v>0</v>
      </c>
      <c r="O8" s="21">
        <v>0</v>
      </c>
      <c r="P8" s="91">
        <v>196277.28</v>
      </c>
      <c r="Q8" s="91">
        <v>89342.74</v>
      </c>
      <c r="R8" s="91">
        <v>15636.16</v>
      </c>
      <c r="S8" s="91">
        <v>3317.58</v>
      </c>
      <c r="T8" s="91">
        <v>48081.66</v>
      </c>
      <c r="U8" s="91">
        <v>156378.14000000001</v>
      </c>
      <c r="V8" s="91">
        <v>180155.72</v>
      </c>
      <c r="W8" s="91">
        <v>32000</v>
      </c>
      <c r="X8" s="21">
        <v>0</v>
      </c>
      <c r="Y8" s="91">
        <v>212155.72</v>
      </c>
      <c r="Z8" s="91">
        <v>108561.48</v>
      </c>
      <c r="AA8" s="21">
        <v>0</v>
      </c>
      <c r="AB8" s="21">
        <v>0</v>
      </c>
      <c r="AC8" s="21">
        <v>0</v>
      </c>
      <c r="AD8" s="91">
        <v>108561.48</v>
      </c>
      <c r="AE8" s="91">
        <v>18183.7</v>
      </c>
      <c r="AF8" s="91">
        <v>13770.59</v>
      </c>
      <c r="AH8" s="91">
        <v>705326.91</v>
      </c>
      <c r="AI8" s="91">
        <v>7857000</v>
      </c>
      <c r="AJ8" s="91">
        <v>1331519</v>
      </c>
      <c r="AK8" s="21">
        <v>0</v>
      </c>
      <c r="AL8" s="91">
        <v>5504</v>
      </c>
      <c r="AM8" s="21">
        <v>0</v>
      </c>
      <c r="AO8" s="91">
        <v>9194023</v>
      </c>
      <c r="AP8" s="91">
        <v>755086</v>
      </c>
      <c r="AQ8" s="21">
        <v>0</v>
      </c>
      <c r="AR8" s="91">
        <v>32355</v>
      </c>
      <c r="AS8" s="21">
        <v>0</v>
      </c>
      <c r="AT8" s="21">
        <v>0</v>
      </c>
      <c r="AV8" s="91">
        <v>787441</v>
      </c>
      <c r="AW8" s="91">
        <v>37357.64</v>
      </c>
      <c r="AX8" s="91">
        <v>1100000</v>
      </c>
      <c r="AY8" s="91">
        <v>26221.599999999999</v>
      </c>
      <c r="AZ8" s="21">
        <v>0</v>
      </c>
      <c r="BB8" s="91">
        <v>1163579.24</v>
      </c>
      <c r="BC8" s="21">
        <v>0</v>
      </c>
      <c r="BE8" s="91">
        <v>11145043.24</v>
      </c>
      <c r="BF8" s="91">
        <v>11850370.15</v>
      </c>
    </row>
    <row r="9" spans="1:58" x14ac:dyDescent="0.2">
      <c r="A9" s="18" t="s">
        <v>66</v>
      </c>
      <c r="B9" s="21">
        <v>0</v>
      </c>
      <c r="C9" s="21">
        <v>0</v>
      </c>
      <c r="D9" s="21">
        <v>0</v>
      </c>
      <c r="E9" s="91">
        <v>592846.75</v>
      </c>
      <c r="F9" s="21">
        <v>0</v>
      </c>
      <c r="G9" s="21">
        <v>0</v>
      </c>
      <c r="H9" s="21">
        <v>0</v>
      </c>
      <c r="I9" s="21">
        <v>0</v>
      </c>
      <c r="J9" s="21">
        <v>521.05999999999995</v>
      </c>
      <c r="L9" s="91">
        <v>593367.81000000006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H9" s="21">
        <v>0</v>
      </c>
      <c r="AI9" s="21">
        <v>720.99</v>
      </c>
      <c r="AJ9" s="91">
        <v>334202.75</v>
      </c>
      <c r="AK9" s="21">
        <v>0</v>
      </c>
      <c r="AL9" s="21">
        <v>0</v>
      </c>
      <c r="AM9" s="21">
        <v>0</v>
      </c>
      <c r="AO9" s="91">
        <v>334923.74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V9" s="21">
        <v>0</v>
      </c>
      <c r="AW9" s="91">
        <v>257923.01</v>
      </c>
      <c r="AX9" s="21">
        <v>0</v>
      </c>
      <c r="AY9" s="21">
        <v>0</v>
      </c>
      <c r="AZ9" s="21">
        <v>0</v>
      </c>
      <c r="BB9" s="91">
        <v>257923.01</v>
      </c>
      <c r="BC9" s="21">
        <v>0</v>
      </c>
      <c r="BE9" s="91">
        <v>592846.75</v>
      </c>
      <c r="BF9" s="91">
        <v>592846.75</v>
      </c>
    </row>
    <row r="10" spans="1:58" x14ac:dyDescent="0.2">
      <c r="A10" s="18" t="s">
        <v>67</v>
      </c>
      <c r="B10" s="21">
        <v>0</v>
      </c>
      <c r="C10" s="21">
        <v>0</v>
      </c>
      <c r="D10" s="91">
        <v>29495.94</v>
      </c>
      <c r="E10" s="91">
        <v>678609.6</v>
      </c>
      <c r="F10" s="21">
        <v>0</v>
      </c>
      <c r="G10" s="91">
        <v>167235.35999999999</v>
      </c>
      <c r="H10" s="91">
        <v>63965.64</v>
      </c>
      <c r="I10" s="91">
        <v>44878</v>
      </c>
      <c r="J10" s="91">
        <v>8133.11</v>
      </c>
      <c r="L10" s="91">
        <v>992317.65</v>
      </c>
      <c r="M10" s="91">
        <v>44878</v>
      </c>
      <c r="N10" s="21">
        <v>0</v>
      </c>
      <c r="O10" s="21">
        <v>0</v>
      </c>
      <c r="P10" s="91">
        <v>44878</v>
      </c>
      <c r="Q10" s="91">
        <v>2693.6</v>
      </c>
      <c r="R10" s="21">
        <v>0</v>
      </c>
      <c r="S10" s="91">
        <v>29495.94</v>
      </c>
      <c r="T10" s="91">
        <v>30223.17</v>
      </c>
      <c r="U10" s="91">
        <v>62412.71</v>
      </c>
      <c r="V10" s="91">
        <v>167235.35999999999</v>
      </c>
      <c r="W10" s="91">
        <v>31048.87</v>
      </c>
      <c r="X10" s="21">
        <v>0</v>
      </c>
      <c r="Y10" s="91">
        <v>198284.23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H10" s="91">
        <v>305574.94</v>
      </c>
      <c r="AI10" s="21">
        <v>0</v>
      </c>
      <c r="AJ10" s="91">
        <v>371395.84000000003</v>
      </c>
      <c r="AK10" s="21">
        <v>0</v>
      </c>
      <c r="AL10" s="21">
        <v>0</v>
      </c>
      <c r="AM10" s="21">
        <v>0</v>
      </c>
      <c r="AO10" s="91">
        <v>371395.84000000003</v>
      </c>
      <c r="AP10" s="91">
        <v>307213.76</v>
      </c>
      <c r="AQ10" s="21">
        <v>0</v>
      </c>
      <c r="AR10" s="21">
        <v>0</v>
      </c>
      <c r="AS10" s="21">
        <v>0</v>
      </c>
      <c r="AT10" s="21">
        <v>0</v>
      </c>
      <c r="AV10" s="91">
        <v>307213.76</v>
      </c>
      <c r="AW10" s="21">
        <v>0</v>
      </c>
      <c r="AX10" s="21">
        <v>0</v>
      </c>
      <c r="AY10" s="21">
        <v>0</v>
      </c>
      <c r="AZ10" s="21">
        <v>0</v>
      </c>
      <c r="BB10" s="21">
        <v>0</v>
      </c>
      <c r="BC10" s="21">
        <v>0</v>
      </c>
      <c r="BE10" s="91">
        <v>678609.6</v>
      </c>
      <c r="BF10" s="91">
        <v>984184.54</v>
      </c>
    </row>
    <row r="11" spans="1:58" x14ac:dyDescent="0.2">
      <c r="A11" s="18" t="s">
        <v>68</v>
      </c>
      <c r="B11" s="91">
        <v>169704.39</v>
      </c>
      <c r="C11" s="21">
        <v>0</v>
      </c>
      <c r="D11" s="21">
        <v>0</v>
      </c>
      <c r="E11" s="91">
        <v>388164.25</v>
      </c>
      <c r="F11" s="21">
        <v>0</v>
      </c>
      <c r="G11" s="21">
        <v>0</v>
      </c>
      <c r="H11" s="91">
        <v>1222819.98</v>
      </c>
      <c r="I11" s="91">
        <v>6939221.1799999997</v>
      </c>
      <c r="J11" s="91">
        <v>4546741.57</v>
      </c>
      <c r="L11" s="91">
        <v>13266651.369999999</v>
      </c>
      <c r="M11" s="91">
        <v>6768994.0700000003</v>
      </c>
      <c r="N11" s="21">
        <v>0</v>
      </c>
      <c r="O11" s="91">
        <v>170227.11</v>
      </c>
      <c r="P11" s="91">
        <v>6939221.1799999997</v>
      </c>
      <c r="Q11" s="91">
        <v>35597.800000000003</v>
      </c>
      <c r="R11" s="21">
        <v>0</v>
      </c>
      <c r="S11" s="21">
        <v>0</v>
      </c>
      <c r="T11" s="91">
        <v>611607.28</v>
      </c>
      <c r="U11" s="91">
        <v>647205.07999999996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H11" s="91">
        <v>7586426.2599999998</v>
      </c>
      <c r="AI11" s="21">
        <v>0</v>
      </c>
      <c r="AJ11" s="91">
        <v>168000</v>
      </c>
      <c r="AK11" s="21">
        <v>0</v>
      </c>
      <c r="AL11" s="21">
        <v>0</v>
      </c>
      <c r="AM11" s="21">
        <v>0</v>
      </c>
      <c r="AO11" s="91">
        <v>168000</v>
      </c>
      <c r="AP11" s="91">
        <v>15000</v>
      </c>
      <c r="AQ11" s="21">
        <v>0</v>
      </c>
      <c r="AR11" s="91">
        <v>175000</v>
      </c>
      <c r="AS11" s="21">
        <v>0</v>
      </c>
      <c r="AT11" s="21">
        <v>0</v>
      </c>
      <c r="AV11" s="91">
        <v>190000</v>
      </c>
      <c r="AW11" s="21">
        <v>0</v>
      </c>
      <c r="AX11" s="21">
        <v>0</v>
      </c>
      <c r="AY11" s="91">
        <v>18000</v>
      </c>
      <c r="AZ11" s="21">
        <v>0</v>
      </c>
      <c r="BB11" s="91">
        <v>18000</v>
      </c>
      <c r="BC11" s="21">
        <v>0</v>
      </c>
      <c r="BE11" s="91">
        <v>376000</v>
      </c>
      <c r="BF11" s="91">
        <v>7962426.2599999998</v>
      </c>
    </row>
    <row r="12" spans="1:58" x14ac:dyDescent="0.2">
      <c r="A12" s="18" t="s">
        <v>69</v>
      </c>
      <c r="B12" s="21">
        <v>0</v>
      </c>
      <c r="C12" s="91">
        <v>146202.23999999999</v>
      </c>
      <c r="D12" s="91">
        <v>34946.74</v>
      </c>
      <c r="E12" s="91">
        <v>905740.92</v>
      </c>
      <c r="F12" s="21">
        <v>0</v>
      </c>
      <c r="G12" s="91">
        <v>176435.23</v>
      </c>
      <c r="H12" s="91">
        <v>21752.5</v>
      </c>
      <c r="I12" s="91">
        <v>88276</v>
      </c>
      <c r="J12" s="91">
        <v>2136.08</v>
      </c>
      <c r="L12" s="91">
        <v>1375489.71</v>
      </c>
      <c r="M12" s="91">
        <v>88276</v>
      </c>
      <c r="N12" s="21">
        <v>0</v>
      </c>
      <c r="O12" s="21">
        <v>0</v>
      </c>
      <c r="P12" s="91">
        <v>88276</v>
      </c>
      <c r="Q12" s="21">
        <v>0</v>
      </c>
      <c r="R12" s="21">
        <v>0</v>
      </c>
      <c r="S12" s="21">
        <v>0</v>
      </c>
      <c r="T12" s="91">
        <v>21752.5</v>
      </c>
      <c r="U12" s="91">
        <v>21752.5</v>
      </c>
      <c r="V12" s="91">
        <v>176435.23</v>
      </c>
      <c r="W12" s="21">
        <v>0</v>
      </c>
      <c r="X12" s="21">
        <v>0</v>
      </c>
      <c r="Y12" s="91">
        <v>176435.23</v>
      </c>
      <c r="Z12" s="21">
        <v>0</v>
      </c>
      <c r="AA12" s="21">
        <v>0</v>
      </c>
      <c r="AB12" s="21">
        <v>0</v>
      </c>
      <c r="AC12" s="91">
        <v>34946.74</v>
      </c>
      <c r="AD12" s="91">
        <v>34946.74</v>
      </c>
      <c r="AE12" s="91">
        <v>146202.23999999999</v>
      </c>
      <c r="AF12" s="21">
        <v>0</v>
      </c>
      <c r="AH12" s="91">
        <v>467612.71</v>
      </c>
      <c r="AI12" s="21">
        <v>0</v>
      </c>
      <c r="AJ12" s="91">
        <v>433960.05</v>
      </c>
      <c r="AK12" s="21">
        <v>0</v>
      </c>
      <c r="AL12" s="21">
        <v>0</v>
      </c>
      <c r="AM12" s="21">
        <v>0</v>
      </c>
      <c r="AO12" s="91">
        <v>433960.05</v>
      </c>
      <c r="AP12" s="21">
        <v>0</v>
      </c>
      <c r="AQ12" s="21">
        <v>0</v>
      </c>
      <c r="AR12" s="91">
        <v>82100</v>
      </c>
      <c r="AS12" s="21">
        <v>0</v>
      </c>
      <c r="AT12" s="91">
        <v>389680.87</v>
      </c>
      <c r="AV12" s="91">
        <v>471780.87</v>
      </c>
      <c r="AW12" s="21">
        <v>0</v>
      </c>
      <c r="AX12" s="21">
        <v>0</v>
      </c>
      <c r="AY12" s="21">
        <v>0</v>
      </c>
      <c r="AZ12" s="21">
        <v>0</v>
      </c>
      <c r="BB12" s="21">
        <v>0</v>
      </c>
      <c r="BC12" s="21">
        <v>0</v>
      </c>
      <c r="BE12" s="91">
        <v>905740.92</v>
      </c>
      <c r="BF12" s="91">
        <v>1373353.63</v>
      </c>
    </row>
    <row r="13" spans="1:58" x14ac:dyDescent="0.2">
      <c r="A13" s="18" t="s">
        <v>70</v>
      </c>
      <c r="B13" s="21">
        <v>0</v>
      </c>
      <c r="C13" s="21">
        <v>0</v>
      </c>
      <c r="D13" s="21">
        <v>0</v>
      </c>
      <c r="E13" s="91">
        <v>6736281.3099999996</v>
      </c>
      <c r="F13" s="21">
        <v>0</v>
      </c>
      <c r="G13" s="91">
        <v>65871.100000000006</v>
      </c>
      <c r="H13" s="91">
        <v>140548.35</v>
      </c>
      <c r="I13" s="91">
        <v>152293.76000000001</v>
      </c>
      <c r="J13" s="91">
        <v>240057.21</v>
      </c>
      <c r="L13" s="91">
        <v>7335051.7300000004</v>
      </c>
      <c r="M13" s="91">
        <v>152293.76000000001</v>
      </c>
      <c r="N13" s="21">
        <v>0</v>
      </c>
      <c r="O13" s="21">
        <v>0</v>
      </c>
      <c r="P13" s="91">
        <v>152293.76000000001</v>
      </c>
      <c r="Q13" s="21">
        <v>0</v>
      </c>
      <c r="R13" s="21">
        <v>0</v>
      </c>
      <c r="S13" s="21">
        <v>0</v>
      </c>
      <c r="T13" s="91">
        <v>140548.35</v>
      </c>
      <c r="U13" s="91">
        <v>140548.35</v>
      </c>
      <c r="V13" s="91">
        <v>208740.1</v>
      </c>
      <c r="W13" s="21">
        <v>0</v>
      </c>
      <c r="X13" s="21">
        <v>0</v>
      </c>
      <c r="Y13" s="91">
        <v>208740.1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H13" s="91">
        <v>501582.21</v>
      </c>
      <c r="AI13" s="21">
        <v>0</v>
      </c>
      <c r="AJ13" s="21">
        <v>0</v>
      </c>
      <c r="AK13" s="21">
        <v>0</v>
      </c>
      <c r="AL13" s="91">
        <v>33810</v>
      </c>
      <c r="AM13" s="21">
        <v>0</v>
      </c>
      <c r="AO13" s="91">
        <v>33810</v>
      </c>
      <c r="AP13" s="91">
        <v>3327065.11</v>
      </c>
      <c r="AQ13" s="21">
        <v>0</v>
      </c>
      <c r="AR13" s="91">
        <v>1153224.79</v>
      </c>
      <c r="AS13" s="21">
        <v>0</v>
      </c>
      <c r="AT13" s="21">
        <v>0</v>
      </c>
      <c r="AV13" s="91">
        <v>4480289.9000000004</v>
      </c>
      <c r="AW13" s="21">
        <v>0</v>
      </c>
      <c r="AX13" s="21">
        <v>0</v>
      </c>
      <c r="AY13" s="91">
        <v>488638.88</v>
      </c>
      <c r="AZ13" s="21">
        <v>0</v>
      </c>
      <c r="BB13" s="91">
        <v>488638.88</v>
      </c>
      <c r="BC13" s="21">
        <v>0</v>
      </c>
      <c r="BE13" s="91">
        <v>5002738.78</v>
      </c>
      <c r="BF13" s="91">
        <v>5504320.9900000002</v>
      </c>
    </row>
    <row r="14" spans="1:58" x14ac:dyDescent="0.2">
      <c r="A14" s="18" t="s">
        <v>71</v>
      </c>
      <c r="B14" s="21">
        <v>0</v>
      </c>
      <c r="C14" s="21">
        <v>0</v>
      </c>
      <c r="D14" s="21">
        <v>0</v>
      </c>
      <c r="E14" s="91">
        <v>1729460.64</v>
      </c>
      <c r="F14" s="21">
        <v>0</v>
      </c>
      <c r="G14" s="21">
        <v>0</v>
      </c>
      <c r="H14" s="91">
        <v>21450.35</v>
      </c>
      <c r="I14" s="91">
        <v>86491.66</v>
      </c>
      <c r="J14" s="91">
        <v>8132.32</v>
      </c>
      <c r="L14" s="91">
        <v>1845534.97</v>
      </c>
      <c r="M14" s="91">
        <v>86491.66</v>
      </c>
      <c r="N14" s="21">
        <v>0</v>
      </c>
      <c r="O14" s="21">
        <v>0</v>
      </c>
      <c r="P14" s="91">
        <v>86491.66</v>
      </c>
      <c r="Q14" s="21">
        <v>0</v>
      </c>
      <c r="R14" s="21">
        <v>0</v>
      </c>
      <c r="S14" s="21">
        <v>0</v>
      </c>
      <c r="T14" s="91">
        <v>21450.35</v>
      </c>
      <c r="U14" s="91">
        <v>21450.35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H14" s="91">
        <v>107942.01</v>
      </c>
      <c r="AI14" s="91">
        <v>1250000.3</v>
      </c>
      <c r="AJ14" s="21">
        <v>0</v>
      </c>
      <c r="AK14" s="21">
        <v>0</v>
      </c>
      <c r="AL14" s="21">
        <v>0</v>
      </c>
      <c r="AM14" s="21">
        <v>0</v>
      </c>
      <c r="AO14" s="91">
        <v>1250000.3</v>
      </c>
      <c r="AP14" s="91">
        <v>570895.43999999994</v>
      </c>
      <c r="AQ14" s="21">
        <v>0</v>
      </c>
      <c r="AR14" s="91">
        <v>220046.02</v>
      </c>
      <c r="AS14" s="91">
        <v>83356.72</v>
      </c>
      <c r="AT14" s="91">
        <v>6493.6</v>
      </c>
      <c r="AV14" s="91">
        <v>577389.04</v>
      </c>
      <c r="AW14" s="21">
        <v>0</v>
      </c>
      <c r="AX14" s="21">
        <v>0</v>
      </c>
      <c r="AY14" s="21">
        <v>0</v>
      </c>
      <c r="AZ14" s="21">
        <v>0</v>
      </c>
      <c r="BB14" s="21">
        <v>0</v>
      </c>
      <c r="BC14" s="21">
        <v>0</v>
      </c>
      <c r="BE14" s="21">
        <v>0</v>
      </c>
      <c r="BF14" s="91">
        <v>1935331.35</v>
      </c>
    </row>
    <row r="15" spans="1:58" x14ac:dyDescent="0.2">
      <c r="A15" s="18" t="s">
        <v>72</v>
      </c>
      <c r="B15" s="21">
        <v>0</v>
      </c>
      <c r="C15" s="21">
        <v>0</v>
      </c>
      <c r="D15" s="91">
        <v>4050</v>
      </c>
      <c r="E15" s="91">
        <v>166483.13</v>
      </c>
      <c r="F15" s="21">
        <v>0</v>
      </c>
      <c r="G15" s="91">
        <v>60146.32</v>
      </c>
      <c r="H15" s="91">
        <v>331317.62</v>
      </c>
      <c r="I15" s="91">
        <v>401738.85</v>
      </c>
      <c r="J15" s="91">
        <v>5212.03</v>
      </c>
      <c r="L15" s="91">
        <v>968947.95</v>
      </c>
      <c r="M15" s="91">
        <v>366365</v>
      </c>
      <c r="N15" s="21">
        <v>0</v>
      </c>
      <c r="O15" s="91">
        <v>35373.85</v>
      </c>
      <c r="P15" s="91">
        <v>401738.85</v>
      </c>
      <c r="Q15" s="91">
        <v>104111.64</v>
      </c>
      <c r="R15" s="21">
        <v>0</v>
      </c>
      <c r="S15" s="91">
        <v>7935</v>
      </c>
      <c r="T15" s="91">
        <v>156770.98000000001</v>
      </c>
      <c r="U15" s="91">
        <v>268817.62</v>
      </c>
      <c r="V15" s="91">
        <v>95241.33</v>
      </c>
      <c r="W15" s="21">
        <v>0</v>
      </c>
      <c r="X15" s="21">
        <v>0</v>
      </c>
      <c r="Y15" s="91">
        <v>95241.33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H15" s="91">
        <v>765797.8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O15" s="21">
        <v>0</v>
      </c>
      <c r="AP15" s="91">
        <v>17319.95</v>
      </c>
      <c r="AQ15" s="21">
        <v>0</v>
      </c>
      <c r="AR15" s="91">
        <v>65153.9</v>
      </c>
      <c r="AS15" s="21">
        <v>0</v>
      </c>
      <c r="AT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B15" s="21">
        <v>0</v>
      </c>
      <c r="BC15" s="21">
        <v>0</v>
      </c>
      <c r="BE15" s="91">
        <v>17319.95</v>
      </c>
      <c r="BF15" s="91">
        <v>783117.75</v>
      </c>
    </row>
    <row r="16" spans="1:58" x14ac:dyDescent="0.2">
      <c r="A16" s="18" t="s">
        <v>73</v>
      </c>
      <c r="B16" s="21">
        <v>0</v>
      </c>
      <c r="C16" s="91">
        <v>139957.24</v>
      </c>
      <c r="D16" s="21">
        <v>0</v>
      </c>
      <c r="E16" s="91">
        <v>8409399.9800000004</v>
      </c>
      <c r="F16" s="21">
        <v>0</v>
      </c>
      <c r="G16" s="91">
        <v>390482.82</v>
      </c>
      <c r="H16" s="91">
        <v>415835.25</v>
      </c>
      <c r="I16" s="91">
        <v>26505764.440000001</v>
      </c>
      <c r="J16" s="91">
        <v>821172</v>
      </c>
      <c r="L16" s="91">
        <v>36682611.729999997</v>
      </c>
      <c r="M16" s="91">
        <v>1324288.8600000001</v>
      </c>
      <c r="N16" s="91">
        <v>25181475.579999998</v>
      </c>
      <c r="O16" s="21">
        <v>0</v>
      </c>
      <c r="P16" s="91">
        <v>26505764.440000001</v>
      </c>
      <c r="Q16" s="91">
        <v>292730.76</v>
      </c>
      <c r="R16" s="21">
        <v>0</v>
      </c>
      <c r="S16" s="91">
        <v>101060</v>
      </c>
      <c r="T16" s="91">
        <v>87345.51</v>
      </c>
      <c r="U16" s="91">
        <v>481136.27</v>
      </c>
      <c r="V16" s="91">
        <v>231454</v>
      </c>
      <c r="W16" s="91">
        <v>93727.8</v>
      </c>
      <c r="X16" s="21">
        <v>0</v>
      </c>
      <c r="Y16" s="91">
        <v>325181.8</v>
      </c>
      <c r="Z16" s="91">
        <v>14903.39</v>
      </c>
      <c r="AA16" s="21">
        <v>0</v>
      </c>
      <c r="AB16" s="21">
        <v>0</v>
      </c>
      <c r="AC16" s="21">
        <v>0</v>
      </c>
      <c r="AD16" s="91">
        <v>14903.39</v>
      </c>
      <c r="AE16" s="21">
        <v>0</v>
      </c>
      <c r="AF16" s="91">
        <v>101665.67</v>
      </c>
      <c r="AH16" s="91">
        <v>27428651.57</v>
      </c>
      <c r="AI16" s="91">
        <v>4638223.8</v>
      </c>
      <c r="AJ16" s="91">
        <v>337286.05</v>
      </c>
      <c r="AK16" s="21">
        <v>0</v>
      </c>
      <c r="AL16" s="21">
        <v>0</v>
      </c>
      <c r="AM16" s="21">
        <v>0</v>
      </c>
      <c r="AO16" s="91">
        <v>4975509.8499999996</v>
      </c>
      <c r="AP16" s="91">
        <v>2571110.31</v>
      </c>
      <c r="AQ16" s="21">
        <v>0</v>
      </c>
      <c r="AR16" s="91">
        <v>404869.61</v>
      </c>
      <c r="AS16" s="21">
        <v>0</v>
      </c>
      <c r="AT16" s="21">
        <v>0</v>
      </c>
      <c r="AV16" s="91">
        <v>2975979.92</v>
      </c>
      <c r="AW16" s="21">
        <v>0</v>
      </c>
      <c r="AX16" s="21">
        <v>0</v>
      </c>
      <c r="AY16" s="91">
        <v>18161.27</v>
      </c>
      <c r="AZ16" s="21">
        <v>0</v>
      </c>
      <c r="BB16" s="91">
        <v>457910.21</v>
      </c>
      <c r="BC16" s="21">
        <v>0</v>
      </c>
      <c r="BE16" s="91">
        <v>8409399.9800000004</v>
      </c>
      <c r="BF16" s="21">
        <v>0</v>
      </c>
    </row>
    <row r="17" spans="1:58" x14ac:dyDescent="0.2">
      <c r="A17" s="18" t="s">
        <v>74</v>
      </c>
      <c r="B17" s="21">
        <v>0</v>
      </c>
      <c r="C17" s="21">
        <v>0</v>
      </c>
      <c r="D17" s="21">
        <v>0</v>
      </c>
      <c r="E17" s="91">
        <v>1532809</v>
      </c>
      <c r="F17" s="21">
        <v>0</v>
      </c>
      <c r="G17" s="91">
        <v>784935</v>
      </c>
      <c r="H17" s="91">
        <v>19679279</v>
      </c>
      <c r="I17" s="21">
        <v>0</v>
      </c>
      <c r="J17" s="21">
        <v>0</v>
      </c>
      <c r="L17" s="91">
        <v>21997023</v>
      </c>
      <c r="M17" s="21">
        <v>0</v>
      </c>
      <c r="N17" s="21">
        <v>0</v>
      </c>
      <c r="O17" s="21">
        <v>0</v>
      </c>
      <c r="P17" s="21">
        <v>0</v>
      </c>
      <c r="Q17" s="91">
        <v>784935</v>
      </c>
      <c r="R17" s="21">
        <v>0</v>
      </c>
      <c r="S17" s="21">
        <v>0</v>
      </c>
      <c r="T17" s="91">
        <v>19679279</v>
      </c>
      <c r="U17" s="91">
        <v>20464214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H17" s="91">
        <v>20464214</v>
      </c>
      <c r="AI17" s="91">
        <v>7500000</v>
      </c>
      <c r="AJ17" s="91">
        <v>280000</v>
      </c>
      <c r="AK17" s="21">
        <v>0</v>
      </c>
      <c r="AL17" s="21">
        <v>0</v>
      </c>
      <c r="AM17" s="21">
        <v>0</v>
      </c>
      <c r="AO17" s="91">
        <v>7780000</v>
      </c>
      <c r="AP17" s="91">
        <v>99500</v>
      </c>
      <c r="AQ17" s="21">
        <v>0</v>
      </c>
      <c r="AR17" s="91">
        <v>93528</v>
      </c>
      <c r="AS17" s="21">
        <v>0</v>
      </c>
      <c r="AT17" s="21">
        <v>0</v>
      </c>
      <c r="AV17" s="91">
        <v>193028</v>
      </c>
      <c r="AW17" s="21">
        <v>0</v>
      </c>
      <c r="AX17" s="91">
        <v>400000</v>
      </c>
      <c r="AY17" s="21">
        <v>0</v>
      </c>
      <c r="AZ17" s="21">
        <v>0</v>
      </c>
      <c r="BB17" s="91">
        <v>400000</v>
      </c>
      <c r="BC17" s="21">
        <v>0</v>
      </c>
      <c r="BE17" s="91">
        <v>8373028</v>
      </c>
      <c r="BF17" s="91">
        <v>28837242</v>
      </c>
    </row>
    <row r="18" spans="1:58" x14ac:dyDescent="0.2">
      <c r="A18" s="18" t="s">
        <v>75</v>
      </c>
      <c r="B18" s="21">
        <v>0</v>
      </c>
      <c r="C18" s="91">
        <v>68115.19</v>
      </c>
      <c r="D18" s="21">
        <v>0</v>
      </c>
      <c r="E18" s="91">
        <v>812979.23</v>
      </c>
      <c r="F18" s="21">
        <v>0</v>
      </c>
      <c r="G18" s="91">
        <v>171159.88</v>
      </c>
      <c r="H18" s="91">
        <v>3523.68</v>
      </c>
      <c r="I18" s="91">
        <v>23145</v>
      </c>
      <c r="J18" s="91">
        <v>2547.42</v>
      </c>
      <c r="L18" s="91">
        <v>1081470.3999999999</v>
      </c>
      <c r="M18" s="91">
        <v>23145</v>
      </c>
      <c r="N18" s="21">
        <v>0</v>
      </c>
      <c r="O18" s="21">
        <v>0</v>
      </c>
      <c r="P18" s="91">
        <v>23145</v>
      </c>
      <c r="Q18" s="21">
        <v>0</v>
      </c>
      <c r="R18" s="21">
        <v>0</v>
      </c>
      <c r="S18" s="21">
        <v>0</v>
      </c>
      <c r="T18" s="91">
        <v>3523.68</v>
      </c>
      <c r="U18" s="91">
        <v>3523.68</v>
      </c>
      <c r="V18" s="91">
        <v>220710.86</v>
      </c>
      <c r="W18" s="21">
        <v>0</v>
      </c>
      <c r="X18" s="21">
        <v>0</v>
      </c>
      <c r="Y18" s="91">
        <v>220710.86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91">
        <v>68115.19</v>
      </c>
      <c r="AF18" s="21">
        <v>0</v>
      </c>
      <c r="AH18" s="91">
        <v>315494.73</v>
      </c>
      <c r="AI18" s="21">
        <v>0</v>
      </c>
      <c r="AJ18" s="91">
        <v>225793</v>
      </c>
      <c r="AK18" s="21">
        <v>0</v>
      </c>
      <c r="AL18" s="21">
        <v>0</v>
      </c>
      <c r="AM18" s="21">
        <v>0</v>
      </c>
      <c r="AO18" s="91">
        <v>225793</v>
      </c>
      <c r="AP18" s="91">
        <v>139998</v>
      </c>
      <c r="AQ18" s="21">
        <v>0</v>
      </c>
      <c r="AR18" s="91">
        <v>407201.97</v>
      </c>
      <c r="AS18" s="21">
        <v>0</v>
      </c>
      <c r="AT18" s="21">
        <v>0</v>
      </c>
      <c r="AV18" s="91">
        <v>547199.97</v>
      </c>
      <c r="AW18" s="91">
        <v>419857.59</v>
      </c>
      <c r="AX18" s="91">
        <v>142060.42000000001</v>
      </c>
      <c r="AY18" s="21">
        <v>0</v>
      </c>
      <c r="AZ18" s="21">
        <v>0</v>
      </c>
      <c r="BB18" s="91">
        <v>561918.01</v>
      </c>
      <c r="BC18" s="21">
        <v>0</v>
      </c>
      <c r="BE18" s="91">
        <v>1334910.98</v>
      </c>
      <c r="BF18" s="91">
        <v>1650405.71</v>
      </c>
    </row>
    <row r="19" spans="1:58" x14ac:dyDescent="0.2">
      <c r="A19" s="18" t="s">
        <v>76</v>
      </c>
      <c r="B19" s="91">
        <v>88497.77</v>
      </c>
      <c r="C19" s="91">
        <v>16922</v>
      </c>
      <c r="D19" s="91">
        <v>1765.2</v>
      </c>
      <c r="E19" s="91">
        <v>5188589.13</v>
      </c>
      <c r="F19" s="21">
        <v>0</v>
      </c>
      <c r="G19" s="91">
        <v>720710.98</v>
      </c>
      <c r="H19" s="91">
        <v>209619.27</v>
      </c>
      <c r="I19" s="91">
        <v>106891.03</v>
      </c>
      <c r="J19" s="91">
        <v>13705.39</v>
      </c>
      <c r="L19" s="91">
        <v>6346700.7699999996</v>
      </c>
      <c r="M19" s="91">
        <v>103915.78</v>
      </c>
      <c r="N19" s="91">
        <v>2000</v>
      </c>
      <c r="O19" s="91">
        <v>2975.25</v>
      </c>
      <c r="P19" s="91">
        <v>108891.03</v>
      </c>
      <c r="Q19" s="91">
        <v>35869.699999999997</v>
      </c>
      <c r="R19" s="91">
        <v>10853.65</v>
      </c>
      <c r="S19" s="91">
        <v>72737.440000000002</v>
      </c>
      <c r="T19" s="91">
        <v>24291.49</v>
      </c>
      <c r="U19" s="91">
        <v>143752.28</v>
      </c>
      <c r="V19" s="91">
        <v>1626170.47</v>
      </c>
      <c r="W19" s="91">
        <v>64736.69</v>
      </c>
      <c r="X19" s="21">
        <v>0</v>
      </c>
      <c r="Y19" s="91">
        <v>1690907.16</v>
      </c>
      <c r="Z19" s="21">
        <v>0</v>
      </c>
      <c r="AA19" s="21">
        <v>0</v>
      </c>
      <c r="AB19" s="21">
        <v>0</v>
      </c>
      <c r="AC19" s="91">
        <v>1765.2</v>
      </c>
      <c r="AD19" s="91">
        <v>1765.2</v>
      </c>
      <c r="AE19" s="21">
        <v>0</v>
      </c>
      <c r="AF19" s="21">
        <v>0</v>
      </c>
      <c r="AH19" s="91">
        <v>1945315.67</v>
      </c>
      <c r="AI19" s="91">
        <v>11125000</v>
      </c>
      <c r="AJ19" s="21">
        <v>0</v>
      </c>
      <c r="AK19" s="21">
        <v>0</v>
      </c>
      <c r="AL19" s="21">
        <v>0</v>
      </c>
      <c r="AM19" s="21">
        <v>0</v>
      </c>
      <c r="AO19" s="91">
        <v>11125000</v>
      </c>
      <c r="AP19" s="91">
        <v>762045.1</v>
      </c>
      <c r="AQ19" s="21">
        <v>0</v>
      </c>
      <c r="AR19" s="91">
        <v>96461</v>
      </c>
      <c r="AS19" s="21">
        <v>0</v>
      </c>
      <c r="AT19" s="21">
        <v>0</v>
      </c>
      <c r="AV19" s="91">
        <v>858506.1</v>
      </c>
      <c r="AW19" s="91">
        <v>333208.5</v>
      </c>
      <c r="AX19" s="21">
        <v>0</v>
      </c>
      <c r="AY19" s="21">
        <v>0</v>
      </c>
      <c r="AZ19" s="91">
        <v>50697.63</v>
      </c>
      <c r="BB19" s="91">
        <v>383906.13</v>
      </c>
      <c r="BC19" s="91">
        <v>215998.47</v>
      </c>
      <c r="BE19" s="91">
        <v>12367412.23</v>
      </c>
      <c r="BF19" s="91">
        <v>14312727.9</v>
      </c>
    </row>
    <row r="20" spans="1:58" x14ac:dyDescent="0.2">
      <c r="A20" s="18" t="s">
        <v>77</v>
      </c>
      <c r="B20" s="21">
        <v>0</v>
      </c>
      <c r="C20" s="21">
        <v>0</v>
      </c>
      <c r="D20" s="21">
        <v>0</v>
      </c>
      <c r="E20" s="91">
        <v>5976083.7800000003</v>
      </c>
      <c r="F20" s="21">
        <v>0</v>
      </c>
      <c r="G20" s="91">
        <v>428757.01</v>
      </c>
      <c r="H20" s="91">
        <v>94757.68</v>
      </c>
      <c r="I20" s="91">
        <v>167199.63</v>
      </c>
      <c r="J20" s="91">
        <v>439129.97</v>
      </c>
      <c r="L20" s="91">
        <v>7105928.0700000003</v>
      </c>
      <c r="M20" s="91">
        <v>162783.29999999999</v>
      </c>
      <c r="N20" s="21">
        <v>0</v>
      </c>
      <c r="O20" s="91">
        <v>4416.33</v>
      </c>
      <c r="P20" s="91">
        <v>167199.63</v>
      </c>
      <c r="Q20" s="91">
        <v>93277.58</v>
      </c>
      <c r="R20" s="21">
        <v>0</v>
      </c>
      <c r="S20" s="21">
        <v>0</v>
      </c>
      <c r="T20" s="91">
        <v>1480.1</v>
      </c>
      <c r="U20" s="91">
        <v>94757.68</v>
      </c>
      <c r="V20" s="91">
        <v>428757.01</v>
      </c>
      <c r="W20" s="91">
        <v>116896.87</v>
      </c>
      <c r="X20" s="21">
        <v>0</v>
      </c>
      <c r="Y20" s="91">
        <v>545653.88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91">
        <v>7334.19</v>
      </c>
      <c r="AH20" s="91">
        <v>814945.38</v>
      </c>
      <c r="AI20" s="91">
        <v>5153750</v>
      </c>
      <c r="AJ20" s="91">
        <v>171215.8</v>
      </c>
      <c r="AK20" s="21">
        <v>0</v>
      </c>
      <c r="AL20" s="21">
        <v>0</v>
      </c>
      <c r="AM20" s="21">
        <v>0</v>
      </c>
      <c r="AO20" s="91">
        <v>5324965.8</v>
      </c>
      <c r="AP20" s="91">
        <v>267874.93</v>
      </c>
      <c r="AQ20" s="21">
        <v>0</v>
      </c>
      <c r="AR20" s="21">
        <v>0</v>
      </c>
      <c r="AS20" s="21">
        <v>0</v>
      </c>
      <c r="AT20" s="21">
        <v>0</v>
      </c>
      <c r="AV20" s="91">
        <v>267874.93</v>
      </c>
      <c r="AW20" s="91">
        <v>463310.2</v>
      </c>
      <c r="AX20" s="21">
        <v>0</v>
      </c>
      <c r="AY20" s="91">
        <v>167636.24</v>
      </c>
      <c r="AZ20" s="91">
        <v>62928.12</v>
      </c>
      <c r="BB20" s="91">
        <v>693874.56</v>
      </c>
      <c r="BC20" s="21">
        <v>0</v>
      </c>
      <c r="BE20" s="91">
        <v>6286715.29</v>
      </c>
      <c r="BF20" s="91">
        <v>7101660.6699999999</v>
      </c>
    </row>
    <row r="21" spans="1:58" x14ac:dyDescent="0.2">
      <c r="A21" s="18" t="s">
        <v>78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91">
        <v>13929.46</v>
      </c>
      <c r="I21" s="91">
        <v>2409.15</v>
      </c>
      <c r="J21" s="21">
        <v>1.41</v>
      </c>
      <c r="L21" s="91">
        <v>16340.02</v>
      </c>
      <c r="M21" s="91">
        <v>2409.15</v>
      </c>
      <c r="N21" s="21">
        <v>0</v>
      </c>
      <c r="O21" s="91">
        <v>11667.8</v>
      </c>
      <c r="P21" s="91">
        <v>14076.95</v>
      </c>
      <c r="Q21" s="21">
        <v>586.66</v>
      </c>
      <c r="R21" s="21">
        <v>0</v>
      </c>
      <c r="S21" s="21">
        <v>0</v>
      </c>
      <c r="T21" s="21">
        <v>0</v>
      </c>
      <c r="U21" s="21">
        <v>586.66</v>
      </c>
      <c r="V21" s="91">
        <v>1675</v>
      </c>
      <c r="W21" s="21">
        <v>0</v>
      </c>
      <c r="X21" s="21">
        <v>0</v>
      </c>
      <c r="Y21" s="91">
        <v>1675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H21" s="91">
        <v>16338.61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B21" s="21">
        <v>0</v>
      </c>
      <c r="BC21" s="21">
        <v>0</v>
      </c>
      <c r="BE21" s="21">
        <v>0</v>
      </c>
      <c r="BF21" s="91">
        <v>16338.61</v>
      </c>
    </row>
    <row r="22" spans="1:58" x14ac:dyDescent="0.2">
      <c r="A22" s="18" t="s">
        <v>79</v>
      </c>
      <c r="B22" s="21">
        <v>0</v>
      </c>
      <c r="C22" s="91">
        <v>54836.82</v>
      </c>
      <c r="D22" s="21">
        <v>0</v>
      </c>
      <c r="E22" s="91">
        <v>1257819.79</v>
      </c>
      <c r="F22" s="21">
        <v>0</v>
      </c>
      <c r="G22" s="21">
        <v>0</v>
      </c>
      <c r="H22" s="91">
        <v>22291.52</v>
      </c>
      <c r="I22" s="91">
        <v>15205.59</v>
      </c>
      <c r="J22" s="21">
        <v>0</v>
      </c>
      <c r="L22" s="91">
        <v>1350153.72</v>
      </c>
      <c r="M22" s="91">
        <v>15205.59</v>
      </c>
      <c r="N22" s="21">
        <v>0</v>
      </c>
      <c r="O22" s="21">
        <v>0</v>
      </c>
      <c r="P22" s="91">
        <v>15205.59</v>
      </c>
      <c r="Q22" s="21">
        <v>0</v>
      </c>
      <c r="R22" s="21">
        <v>0</v>
      </c>
      <c r="S22" s="21">
        <v>0</v>
      </c>
      <c r="T22" s="91">
        <v>22291.52</v>
      </c>
      <c r="U22" s="91">
        <v>22291.52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91">
        <v>54836.82</v>
      </c>
      <c r="AF22" s="21">
        <v>696.82</v>
      </c>
      <c r="AH22" s="91">
        <v>93030.75</v>
      </c>
      <c r="AI22" s="91">
        <v>500000</v>
      </c>
      <c r="AJ22" s="91">
        <v>270000</v>
      </c>
      <c r="AK22" s="21">
        <v>0</v>
      </c>
      <c r="AL22" s="21">
        <v>0</v>
      </c>
      <c r="AM22" s="21">
        <v>0</v>
      </c>
      <c r="AO22" s="91">
        <v>770000</v>
      </c>
      <c r="AP22" s="91">
        <v>12000</v>
      </c>
      <c r="AQ22" s="21">
        <v>0</v>
      </c>
      <c r="AR22" s="91">
        <v>282980.46000000002</v>
      </c>
      <c r="AS22" s="21">
        <v>0</v>
      </c>
      <c r="AT22" s="21">
        <v>0</v>
      </c>
      <c r="AV22" s="91">
        <v>294980.46000000002</v>
      </c>
      <c r="AW22" s="21">
        <v>0</v>
      </c>
      <c r="AX22" s="21">
        <v>0</v>
      </c>
      <c r="AY22" s="21">
        <v>0</v>
      </c>
      <c r="AZ22" s="21">
        <v>0</v>
      </c>
      <c r="BB22" s="21">
        <v>0</v>
      </c>
      <c r="BC22" s="21">
        <v>0</v>
      </c>
      <c r="BE22" s="91">
        <v>1064980.46</v>
      </c>
      <c r="BF22" s="91">
        <v>1158011.21</v>
      </c>
    </row>
    <row r="23" spans="1:58" x14ac:dyDescent="0.2">
      <c r="A23" s="18" t="s">
        <v>80</v>
      </c>
      <c r="B23" s="21">
        <v>0</v>
      </c>
      <c r="C23" s="91">
        <v>45893</v>
      </c>
      <c r="D23" s="21">
        <v>0</v>
      </c>
      <c r="E23" s="91">
        <v>311597</v>
      </c>
      <c r="F23" s="21">
        <v>0</v>
      </c>
      <c r="G23" s="91">
        <v>153746</v>
      </c>
      <c r="H23" s="91">
        <v>350754</v>
      </c>
      <c r="I23" s="91">
        <v>28479.58</v>
      </c>
      <c r="J23" s="91">
        <v>505892.23</v>
      </c>
      <c r="L23" s="91">
        <v>1396361.81</v>
      </c>
      <c r="M23" s="21">
        <v>0</v>
      </c>
      <c r="N23" s="21">
        <v>0</v>
      </c>
      <c r="O23" s="21">
        <v>0</v>
      </c>
      <c r="P23" s="21">
        <v>0</v>
      </c>
      <c r="Q23" s="91">
        <v>4000</v>
      </c>
      <c r="R23" s="21">
        <v>0</v>
      </c>
      <c r="S23" s="21">
        <v>0</v>
      </c>
      <c r="T23" s="21">
        <v>0</v>
      </c>
      <c r="U23" s="91">
        <v>4000</v>
      </c>
      <c r="V23" s="21">
        <v>0</v>
      </c>
      <c r="W23" s="91">
        <v>40000</v>
      </c>
      <c r="X23" s="21">
        <v>0</v>
      </c>
      <c r="Y23" s="91">
        <v>40000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H23" s="91">
        <v>44000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B23" s="21">
        <v>0</v>
      </c>
      <c r="BC23" s="21">
        <v>0</v>
      </c>
      <c r="BE23" s="21">
        <v>0</v>
      </c>
      <c r="BF23" s="91">
        <v>44000</v>
      </c>
    </row>
    <row r="24" spans="1:58" x14ac:dyDescent="0.2">
      <c r="A24" s="18" t="s">
        <v>81</v>
      </c>
      <c r="B24" s="21">
        <v>0</v>
      </c>
      <c r="C24" s="91">
        <v>11605</v>
      </c>
      <c r="D24" s="21">
        <v>0</v>
      </c>
      <c r="E24" s="91">
        <v>34132141</v>
      </c>
      <c r="F24" s="21">
        <v>0</v>
      </c>
      <c r="G24" s="21">
        <v>0</v>
      </c>
      <c r="H24" s="21">
        <v>0</v>
      </c>
      <c r="I24" s="21">
        <v>0</v>
      </c>
      <c r="J24" s="91">
        <v>65044</v>
      </c>
      <c r="L24" s="91">
        <v>34208790</v>
      </c>
      <c r="M24" s="91">
        <v>7068040</v>
      </c>
      <c r="N24" s="21">
        <v>0</v>
      </c>
      <c r="O24" s="21">
        <v>0</v>
      </c>
      <c r="P24" s="91">
        <v>7068040</v>
      </c>
      <c r="Q24" s="21">
        <v>0</v>
      </c>
      <c r="R24" s="91">
        <v>2100000</v>
      </c>
      <c r="S24" s="21">
        <v>0</v>
      </c>
      <c r="T24" s="21">
        <v>0</v>
      </c>
      <c r="U24" s="91">
        <v>2100000</v>
      </c>
      <c r="V24" s="91">
        <v>7920170</v>
      </c>
      <c r="W24" s="21">
        <v>0</v>
      </c>
      <c r="X24" s="21">
        <v>0</v>
      </c>
      <c r="Y24" s="91">
        <v>7920170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H24" s="91">
        <v>17088210</v>
      </c>
      <c r="AI24" s="91">
        <v>2159563</v>
      </c>
      <c r="AJ24" s="91">
        <v>2995000</v>
      </c>
      <c r="AK24" s="21">
        <v>0</v>
      </c>
      <c r="AL24" s="21">
        <v>0</v>
      </c>
      <c r="AM24" s="21">
        <v>0</v>
      </c>
      <c r="AO24" s="91">
        <v>5154563</v>
      </c>
      <c r="AP24" s="91">
        <v>4106718</v>
      </c>
      <c r="AQ24" s="21">
        <v>0</v>
      </c>
      <c r="AR24" s="21">
        <v>0</v>
      </c>
      <c r="AS24" s="21">
        <v>0</v>
      </c>
      <c r="AT24" s="21">
        <v>0</v>
      </c>
      <c r="AV24" s="91">
        <v>4106718</v>
      </c>
      <c r="AW24" s="91">
        <v>1000000</v>
      </c>
      <c r="AX24" s="91">
        <v>6869952</v>
      </c>
      <c r="AY24" s="91">
        <v>365521</v>
      </c>
      <c r="AZ24" s="21">
        <v>0</v>
      </c>
      <c r="BB24" s="91">
        <v>365521</v>
      </c>
      <c r="BC24" s="21">
        <v>0</v>
      </c>
      <c r="BE24" s="91">
        <v>9626802</v>
      </c>
      <c r="BF24" s="21">
        <v>0</v>
      </c>
    </row>
    <row r="25" spans="1:58" x14ac:dyDescent="0.2">
      <c r="A25" s="252" t="s">
        <v>82</v>
      </c>
      <c r="B25" s="21">
        <v>0</v>
      </c>
      <c r="C25" s="21">
        <v>0</v>
      </c>
      <c r="D25" s="21">
        <v>0</v>
      </c>
      <c r="E25" s="91">
        <v>53740.160000000003</v>
      </c>
      <c r="F25" s="21">
        <v>0</v>
      </c>
      <c r="G25" s="91">
        <v>126954.43</v>
      </c>
      <c r="H25" s="21">
        <v>0</v>
      </c>
      <c r="I25" s="21">
        <v>0</v>
      </c>
      <c r="J25" s="21">
        <v>0</v>
      </c>
      <c r="L25" s="91">
        <v>180694.59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91">
        <v>126954.43</v>
      </c>
      <c r="W25" s="21">
        <v>0</v>
      </c>
      <c r="X25" s="21">
        <v>0</v>
      </c>
      <c r="Y25" s="91">
        <v>126954.43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H25" s="91">
        <v>126954.43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91">
        <v>43832.51</v>
      </c>
      <c r="AV25" s="91">
        <v>43832.51</v>
      </c>
      <c r="AW25" s="21">
        <v>0</v>
      </c>
      <c r="AX25" s="21">
        <v>0</v>
      </c>
      <c r="AY25" s="21">
        <v>0</v>
      </c>
      <c r="AZ25" s="91">
        <v>9907.65</v>
      </c>
      <c r="BB25" s="91">
        <v>9907.65</v>
      </c>
      <c r="BC25" s="21">
        <v>0</v>
      </c>
      <c r="BE25" s="91">
        <v>53740.160000000003</v>
      </c>
      <c r="BF25" s="91">
        <v>180694.59</v>
      </c>
    </row>
    <row r="26" spans="1:58" x14ac:dyDescent="0.2">
      <c r="A26" s="18" t="s">
        <v>83</v>
      </c>
      <c r="B26" s="91">
        <v>10445.459999999999</v>
      </c>
      <c r="C26" s="21">
        <v>0</v>
      </c>
      <c r="D26" s="91">
        <v>23673.53</v>
      </c>
      <c r="E26" s="21">
        <v>0</v>
      </c>
      <c r="F26" s="21">
        <v>0</v>
      </c>
      <c r="G26" s="21">
        <v>0</v>
      </c>
      <c r="H26" s="91">
        <v>25817.77</v>
      </c>
      <c r="I26" s="91">
        <v>32436.46</v>
      </c>
      <c r="J26" s="21">
        <v>0</v>
      </c>
      <c r="L26" s="91">
        <v>92373.22</v>
      </c>
      <c r="M26" s="91">
        <v>32436.46</v>
      </c>
      <c r="N26" s="21">
        <v>0</v>
      </c>
      <c r="O26" s="21">
        <v>0</v>
      </c>
      <c r="P26" s="91">
        <v>32436.46</v>
      </c>
      <c r="Q26" s="91">
        <v>2824.52</v>
      </c>
      <c r="R26" s="91">
        <v>4642.3</v>
      </c>
      <c r="S26" s="91">
        <v>23673.53</v>
      </c>
      <c r="T26" s="91">
        <v>18350.95</v>
      </c>
      <c r="U26" s="91">
        <v>49491.3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H26" s="91">
        <v>81927.759999999995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B26" s="21">
        <v>0</v>
      </c>
      <c r="BC26" s="21">
        <v>0</v>
      </c>
      <c r="BE26" s="21">
        <v>0</v>
      </c>
      <c r="BF26" s="91">
        <v>81927.759999999995</v>
      </c>
    </row>
    <row r="27" spans="1:58" x14ac:dyDescent="0.2">
      <c r="A27" s="252" t="s">
        <v>84</v>
      </c>
      <c r="B27" s="21">
        <v>0</v>
      </c>
      <c r="C27" s="21">
        <v>0</v>
      </c>
      <c r="D27" s="91">
        <v>9518</v>
      </c>
      <c r="E27" s="91">
        <v>2615300</v>
      </c>
      <c r="F27" s="21">
        <v>0</v>
      </c>
      <c r="G27" s="21">
        <v>0</v>
      </c>
      <c r="H27" s="91">
        <v>2635525</v>
      </c>
      <c r="I27" s="91">
        <v>23350646</v>
      </c>
      <c r="J27" s="91">
        <v>4845001</v>
      </c>
      <c r="L27" s="91">
        <f>SUM(B27:K27)</f>
        <v>33455990</v>
      </c>
      <c r="M27" s="91">
        <v>698049</v>
      </c>
      <c r="N27" s="91">
        <v>22652597</v>
      </c>
      <c r="O27" s="21">
        <v>0</v>
      </c>
      <c r="P27" s="91">
        <v>23350646</v>
      </c>
      <c r="Q27" s="91">
        <v>77293</v>
      </c>
      <c r="R27" s="21">
        <v>0</v>
      </c>
      <c r="S27" s="21">
        <v>0</v>
      </c>
      <c r="T27" s="91">
        <v>2535262</v>
      </c>
      <c r="U27" s="91">
        <v>2612555</v>
      </c>
      <c r="V27" s="91">
        <v>26153</v>
      </c>
      <c r="W27" s="91">
        <v>10000</v>
      </c>
      <c r="X27" s="21">
        <v>682</v>
      </c>
      <c r="Y27" s="91">
        <v>36835</v>
      </c>
      <c r="Z27" s="21">
        <v>0</v>
      </c>
      <c r="AA27" s="91">
        <v>9518</v>
      </c>
      <c r="AB27" s="21">
        <v>0</v>
      </c>
      <c r="AC27" s="21">
        <v>0</v>
      </c>
      <c r="AD27" s="91">
        <v>9518</v>
      </c>
      <c r="AE27" s="21">
        <v>0</v>
      </c>
      <c r="AF27" s="91">
        <v>7015</v>
      </c>
      <c r="AH27" s="91">
        <v>26016569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O27" s="21">
        <v>0</v>
      </c>
      <c r="AP27" s="21">
        <v>0</v>
      </c>
      <c r="AQ27" s="21">
        <v>0</v>
      </c>
      <c r="AR27" s="91">
        <v>2277</v>
      </c>
      <c r="AS27" s="21">
        <v>0</v>
      </c>
      <c r="AT27" s="21">
        <v>0</v>
      </c>
      <c r="AV27" s="91">
        <v>2277</v>
      </c>
      <c r="AW27" s="21">
        <v>0</v>
      </c>
      <c r="AX27" s="21">
        <v>0</v>
      </c>
      <c r="AY27" s="21">
        <v>0</v>
      </c>
      <c r="AZ27" s="21">
        <v>0</v>
      </c>
      <c r="BB27" s="21">
        <v>0</v>
      </c>
      <c r="BC27" s="21">
        <v>0</v>
      </c>
      <c r="BE27" s="91">
        <v>2277</v>
      </c>
      <c r="BF27" s="91">
        <v>26018846</v>
      </c>
    </row>
    <row r="28" spans="1:58" x14ac:dyDescent="0.2">
      <c r="A28" s="18" t="s">
        <v>85</v>
      </c>
      <c r="B28" s="91">
        <v>132349.5</v>
      </c>
      <c r="C28" s="21">
        <v>0</v>
      </c>
      <c r="D28" s="21">
        <v>0</v>
      </c>
      <c r="E28" s="91">
        <v>2117481</v>
      </c>
      <c r="F28" s="21">
        <v>0</v>
      </c>
      <c r="G28" s="91">
        <v>139806.5</v>
      </c>
      <c r="H28" s="21">
        <v>0</v>
      </c>
      <c r="I28" s="21">
        <v>0</v>
      </c>
      <c r="J28" s="21">
        <v>0</v>
      </c>
      <c r="L28" s="91">
        <v>2389637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91">
        <v>7457</v>
      </c>
      <c r="W28" s="21">
        <v>0</v>
      </c>
      <c r="X28" s="21">
        <v>0</v>
      </c>
      <c r="Y28" s="91">
        <v>7457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H28" s="91">
        <v>7457</v>
      </c>
      <c r="AI28" s="91">
        <v>2500000</v>
      </c>
      <c r="AJ28" s="21">
        <v>0</v>
      </c>
      <c r="AK28" s="21">
        <v>0</v>
      </c>
      <c r="AL28" s="21">
        <v>0</v>
      </c>
      <c r="AM28" s="21">
        <v>0</v>
      </c>
      <c r="AO28" s="91">
        <v>2500000</v>
      </c>
      <c r="AP28" s="91">
        <v>441315</v>
      </c>
      <c r="AQ28" s="21">
        <v>0</v>
      </c>
      <c r="AR28" s="21">
        <v>0</v>
      </c>
      <c r="AS28" s="21">
        <v>0</v>
      </c>
      <c r="AT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B28" s="21">
        <v>0</v>
      </c>
      <c r="BC28" s="21">
        <v>0</v>
      </c>
      <c r="BE28" s="91">
        <v>2941315</v>
      </c>
      <c r="BF28" s="91">
        <v>2948772</v>
      </c>
    </row>
    <row r="29" spans="1:58" x14ac:dyDescent="0.2">
      <c r="A29" s="18" t="s">
        <v>86</v>
      </c>
      <c r="B29" s="21">
        <v>0</v>
      </c>
      <c r="C29" s="91">
        <v>32900</v>
      </c>
      <c r="D29" s="21">
        <v>0</v>
      </c>
      <c r="E29" s="91">
        <v>18536.169999999998</v>
      </c>
      <c r="F29" s="21">
        <v>0</v>
      </c>
      <c r="G29" s="21">
        <v>0</v>
      </c>
      <c r="H29" s="91">
        <v>632470.16</v>
      </c>
      <c r="I29" s="91">
        <v>42219.12</v>
      </c>
      <c r="J29" s="21">
        <v>0</v>
      </c>
      <c r="L29" s="91">
        <v>726125.45</v>
      </c>
      <c r="M29" s="91">
        <v>42219.12</v>
      </c>
      <c r="N29" s="21">
        <v>0</v>
      </c>
      <c r="O29" s="21">
        <v>0</v>
      </c>
      <c r="P29" s="91">
        <v>42219.12</v>
      </c>
      <c r="Q29" s="91">
        <v>618970.16</v>
      </c>
      <c r="R29" s="21">
        <v>0</v>
      </c>
      <c r="S29" s="91">
        <v>3500</v>
      </c>
      <c r="T29" s="21">
        <v>0</v>
      </c>
      <c r="U29" s="91">
        <v>622470.16</v>
      </c>
      <c r="V29" s="21">
        <v>0</v>
      </c>
      <c r="W29" s="91">
        <v>10000</v>
      </c>
      <c r="X29" s="21">
        <v>0</v>
      </c>
      <c r="Y29" s="91">
        <v>10000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91">
        <v>32900</v>
      </c>
      <c r="AF29" s="21">
        <v>0</v>
      </c>
      <c r="AH29" s="91">
        <v>707589.28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O29" s="21">
        <v>0</v>
      </c>
      <c r="AP29" s="21">
        <v>0</v>
      </c>
      <c r="AQ29" s="21">
        <v>0</v>
      </c>
      <c r="AR29" s="91">
        <v>18536.169999999998</v>
      </c>
      <c r="AS29" s="21">
        <v>0</v>
      </c>
      <c r="AT29" s="21">
        <v>0</v>
      </c>
      <c r="AV29" s="91">
        <v>18536.169999999998</v>
      </c>
      <c r="AW29" s="21">
        <v>0</v>
      </c>
      <c r="AX29" s="21">
        <v>0</v>
      </c>
      <c r="AY29" s="21">
        <v>0</v>
      </c>
      <c r="AZ29" s="21">
        <v>0</v>
      </c>
      <c r="BB29" s="21">
        <v>0</v>
      </c>
      <c r="BC29" s="21">
        <v>0</v>
      </c>
      <c r="BE29" s="91">
        <v>18536.169999999998</v>
      </c>
      <c r="BF29" s="91">
        <v>726125.45</v>
      </c>
    </row>
    <row r="30" spans="1:58" x14ac:dyDescent="0.2">
      <c r="A30" s="18" t="s">
        <v>87</v>
      </c>
      <c r="B30" s="21">
        <v>0</v>
      </c>
      <c r="C30" s="21">
        <v>0</v>
      </c>
      <c r="D30" s="91">
        <v>1940784.76</v>
      </c>
      <c r="E30" s="91">
        <v>3202911.2</v>
      </c>
      <c r="F30" s="21">
        <v>0</v>
      </c>
      <c r="G30" s="91">
        <v>1516436.02</v>
      </c>
      <c r="H30" s="91">
        <v>79330.92</v>
      </c>
      <c r="I30" s="91">
        <v>328706.06</v>
      </c>
      <c r="J30" s="21">
        <v>180</v>
      </c>
      <c r="L30" s="91">
        <v>7068348.96</v>
      </c>
      <c r="M30" s="91">
        <v>328706.06</v>
      </c>
      <c r="N30" s="21">
        <v>0</v>
      </c>
      <c r="O30" s="21">
        <v>0</v>
      </c>
      <c r="P30" s="91">
        <v>328706.06</v>
      </c>
      <c r="Q30" s="21">
        <v>0</v>
      </c>
      <c r="R30" s="21">
        <v>0</v>
      </c>
      <c r="S30" s="91">
        <v>991688</v>
      </c>
      <c r="T30" s="91">
        <v>79330.92</v>
      </c>
      <c r="U30" s="91">
        <v>1071018.92</v>
      </c>
      <c r="V30" s="21">
        <v>0</v>
      </c>
      <c r="W30" s="91">
        <v>212324</v>
      </c>
      <c r="X30" s="21">
        <v>0</v>
      </c>
      <c r="Y30" s="91">
        <v>212324</v>
      </c>
      <c r="Z30" s="91">
        <v>1914517.86</v>
      </c>
      <c r="AA30" s="91">
        <v>26266.9</v>
      </c>
      <c r="AB30" s="21">
        <v>0</v>
      </c>
      <c r="AC30" s="21">
        <v>0</v>
      </c>
      <c r="AD30" s="91">
        <v>1940784.76</v>
      </c>
      <c r="AE30" s="21">
        <v>0</v>
      </c>
      <c r="AF30" s="21">
        <v>0</v>
      </c>
      <c r="AH30" s="91">
        <v>3552833.74</v>
      </c>
      <c r="AI30" s="91">
        <v>2500000</v>
      </c>
      <c r="AJ30" s="91">
        <v>230000</v>
      </c>
      <c r="AK30" s="21">
        <v>0</v>
      </c>
      <c r="AL30" s="21">
        <v>0</v>
      </c>
      <c r="AM30" s="21">
        <v>0</v>
      </c>
      <c r="AO30" s="91">
        <v>2730000</v>
      </c>
      <c r="AP30" s="91">
        <v>2464926.13</v>
      </c>
      <c r="AQ30" s="21">
        <v>0</v>
      </c>
      <c r="AR30" s="91">
        <v>547556.59</v>
      </c>
      <c r="AS30" s="21">
        <v>0</v>
      </c>
      <c r="AT30" s="21">
        <v>0</v>
      </c>
      <c r="AV30" s="91">
        <v>3012482.72</v>
      </c>
      <c r="AW30" s="21">
        <v>0</v>
      </c>
      <c r="AX30" s="21">
        <v>0</v>
      </c>
      <c r="AY30" s="21">
        <v>0</v>
      </c>
      <c r="AZ30" s="91">
        <v>91732.4</v>
      </c>
      <c r="BB30" s="91">
        <v>91732.4</v>
      </c>
      <c r="BC30" s="21">
        <v>0</v>
      </c>
      <c r="BE30" s="91">
        <v>5834215.1200000001</v>
      </c>
      <c r="BF30" s="91">
        <v>9387048.8599999994</v>
      </c>
    </row>
    <row r="31" spans="1:58" x14ac:dyDescent="0.2">
      <c r="A31" s="18" t="s">
        <v>88</v>
      </c>
      <c r="B31" s="21">
        <v>0</v>
      </c>
      <c r="C31" s="21">
        <v>0</v>
      </c>
      <c r="D31" s="21">
        <v>0</v>
      </c>
      <c r="E31" s="91">
        <v>2000</v>
      </c>
      <c r="F31" s="21">
        <v>0</v>
      </c>
      <c r="G31" s="91">
        <v>6000</v>
      </c>
      <c r="H31" s="91">
        <v>57175</v>
      </c>
      <c r="I31" s="21">
        <v>0</v>
      </c>
      <c r="J31" s="21">
        <v>0</v>
      </c>
      <c r="L31" s="91">
        <v>65175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91">
        <v>57175</v>
      </c>
      <c r="S31" s="21">
        <v>0</v>
      </c>
      <c r="T31" s="21">
        <v>0</v>
      </c>
      <c r="U31" s="91">
        <v>57175</v>
      </c>
      <c r="V31" s="91">
        <v>6000</v>
      </c>
      <c r="W31" s="21">
        <v>0</v>
      </c>
      <c r="X31" s="21">
        <v>0</v>
      </c>
      <c r="Y31" s="91">
        <v>6000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H31" s="91">
        <v>63175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O31" s="21">
        <v>0</v>
      </c>
      <c r="AP31" s="21">
        <v>0</v>
      </c>
      <c r="AQ31" s="21">
        <v>0</v>
      </c>
      <c r="AR31" s="91">
        <v>2000</v>
      </c>
      <c r="AS31" s="21">
        <v>0</v>
      </c>
      <c r="AT31" s="21">
        <v>0</v>
      </c>
      <c r="AV31" s="91">
        <v>2000</v>
      </c>
      <c r="AW31" s="21">
        <v>0</v>
      </c>
      <c r="AX31" s="21">
        <v>0</v>
      </c>
      <c r="AY31" s="21">
        <v>0</v>
      </c>
      <c r="AZ31" s="21">
        <v>0</v>
      </c>
      <c r="BB31" s="21">
        <v>0</v>
      </c>
      <c r="BC31" s="21">
        <v>0</v>
      </c>
      <c r="BE31" s="91">
        <v>2000</v>
      </c>
      <c r="BF31" s="91">
        <v>65175</v>
      </c>
    </row>
    <row r="32" spans="1:58" x14ac:dyDescent="0.2">
      <c r="A32" s="18" t="s">
        <v>89</v>
      </c>
      <c r="B32" s="21">
        <v>0</v>
      </c>
      <c r="C32" s="91">
        <v>258825.7</v>
      </c>
      <c r="D32" s="91">
        <v>30386.46</v>
      </c>
      <c r="E32" s="91">
        <v>1055590.53</v>
      </c>
      <c r="F32" s="21">
        <v>0</v>
      </c>
      <c r="G32" s="91">
        <v>107767.36</v>
      </c>
      <c r="H32" s="21">
        <v>0</v>
      </c>
      <c r="I32" s="91">
        <v>116638.99</v>
      </c>
      <c r="J32" s="91">
        <v>19483.63</v>
      </c>
      <c r="L32" s="91">
        <v>1588692.67</v>
      </c>
      <c r="M32" s="91">
        <v>116638.99</v>
      </c>
      <c r="N32" s="21">
        <v>0</v>
      </c>
      <c r="O32" s="21">
        <v>0</v>
      </c>
      <c r="P32" s="91">
        <v>116638.99</v>
      </c>
      <c r="Q32" s="91">
        <v>107767.36</v>
      </c>
      <c r="R32" s="21">
        <v>0</v>
      </c>
      <c r="S32" s="91">
        <v>289212.15999999997</v>
      </c>
      <c r="T32" s="21">
        <v>0</v>
      </c>
      <c r="U32" s="91">
        <v>396979.52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H32" s="91">
        <v>513618.51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O32" s="21">
        <v>0</v>
      </c>
      <c r="AP32" s="91">
        <v>373423.97</v>
      </c>
      <c r="AQ32" s="21">
        <v>0</v>
      </c>
      <c r="AR32" s="91">
        <v>682166.56</v>
      </c>
      <c r="AS32" s="21">
        <v>0</v>
      </c>
      <c r="AT32" s="21">
        <v>0</v>
      </c>
      <c r="AV32" s="91">
        <v>1055590.53</v>
      </c>
      <c r="AW32" s="21">
        <v>0</v>
      </c>
      <c r="AX32" s="21">
        <v>0</v>
      </c>
      <c r="AY32" s="21">
        <v>0</v>
      </c>
      <c r="AZ32" s="21">
        <v>0</v>
      </c>
      <c r="BB32" s="21">
        <v>0</v>
      </c>
      <c r="BC32" s="21">
        <v>0</v>
      </c>
      <c r="BE32" s="91">
        <v>1055590.53</v>
      </c>
      <c r="BF32" s="91">
        <v>1569209.04</v>
      </c>
    </row>
    <row r="33" spans="1:58" x14ac:dyDescent="0.2">
      <c r="A33" s="18" t="s">
        <v>90</v>
      </c>
      <c r="B33" s="21">
        <v>0</v>
      </c>
      <c r="C33" s="21">
        <v>0</v>
      </c>
      <c r="D33" s="21">
        <v>0</v>
      </c>
      <c r="E33" s="91">
        <v>86443.94</v>
      </c>
      <c r="F33" s="21">
        <v>0</v>
      </c>
      <c r="G33" s="91">
        <v>28785.35</v>
      </c>
      <c r="H33" s="91">
        <v>508159.54</v>
      </c>
      <c r="I33" s="91">
        <v>12500</v>
      </c>
      <c r="J33" s="21">
        <v>0</v>
      </c>
      <c r="L33" s="91">
        <v>635888.82999999996</v>
      </c>
      <c r="M33" s="91">
        <v>157964.07999999999</v>
      </c>
      <c r="N33" s="21">
        <v>0</v>
      </c>
      <c r="O33" s="91">
        <v>10712.8</v>
      </c>
      <c r="P33" s="91">
        <v>168676.88</v>
      </c>
      <c r="Q33" s="91">
        <v>7240</v>
      </c>
      <c r="R33" s="21">
        <v>0</v>
      </c>
      <c r="S33" s="91">
        <v>344742.66</v>
      </c>
      <c r="T33" s="21">
        <v>0</v>
      </c>
      <c r="U33" s="91">
        <v>351982.66</v>
      </c>
      <c r="V33" s="91">
        <v>28785.35</v>
      </c>
      <c r="W33" s="21">
        <v>0</v>
      </c>
      <c r="X33" s="21">
        <v>0</v>
      </c>
      <c r="Y33" s="91">
        <v>28785.35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H33" s="91">
        <v>549444.89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O33" s="21">
        <v>0</v>
      </c>
      <c r="AP33" s="91">
        <v>100000</v>
      </c>
      <c r="AQ33" s="21">
        <v>0</v>
      </c>
      <c r="AR33" s="91">
        <v>8884.2199999999993</v>
      </c>
      <c r="AS33" s="21">
        <v>0</v>
      </c>
      <c r="AT33" s="21">
        <v>0</v>
      </c>
      <c r="AV33" s="91">
        <v>108884.22</v>
      </c>
      <c r="AW33" s="21">
        <v>0</v>
      </c>
      <c r="AX33" s="21">
        <v>0</v>
      </c>
      <c r="AY33" s="21">
        <v>0</v>
      </c>
      <c r="AZ33" s="21">
        <v>0</v>
      </c>
      <c r="BB33" s="21">
        <v>0</v>
      </c>
      <c r="BC33" s="21">
        <v>0</v>
      </c>
      <c r="BE33" s="91">
        <v>108884.22</v>
      </c>
      <c r="BF33" s="91">
        <v>658329.11</v>
      </c>
    </row>
    <row r="34" spans="1:58" x14ac:dyDescent="0.2">
      <c r="A34" s="18" t="s">
        <v>91</v>
      </c>
      <c r="B34" s="21">
        <v>0</v>
      </c>
      <c r="C34" s="21">
        <v>0</v>
      </c>
      <c r="D34" s="21">
        <v>0</v>
      </c>
      <c r="E34" s="91">
        <v>9766.9599999999991</v>
      </c>
      <c r="F34" s="21">
        <v>0</v>
      </c>
      <c r="G34" s="21">
        <v>0</v>
      </c>
      <c r="H34" s="91">
        <v>214533.22</v>
      </c>
      <c r="I34" s="21">
        <v>0</v>
      </c>
      <c r="J34" s="21">
        <v>0</v>
      </c>
      <c r="L34" s="91">
        <v>224300.18</v>
      </c>
      <c r="M34" s="21">
        <v>0</v>
      </c>
      <c r="N34" s="21">
        <v>0</v>
      </c>
      <c r="O34" s="21">
        <v>0</v>
      </c>
      <c r="P34" s="21">
        <v>0</v>
      </c>
      <c r="Q34" s="91">
        <v>214533.22</v>
      </c>
      <c r="R34" s="21">
        <v>0</v>
      </c>
      <c r="S34" s="21">
        <v>0</v>
      </c>
      <c r="T34" s="21">
        <v>0</v>
      </c>
      <c r="U34" s="91">
        <v>214533.22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H34" s="91">
        <v>214533.22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V34" s="21">
        <v>0</v>
      </c>
      <c r="AW34" s="91">
        <v>9766.9599999999991</v>
      </c>
      <c r="AX34" s="21">
        <v>0</v>
      </c>
      <c r="AY34" s="21">
        <v>0</v>
      </c>
      <c r="AZ34" s="21">
        <v>0</v>
      </c>
      <c r="BB34" s="91">
        <v>9766.9599999999991</v>
      </c>
      <c r="BC34" s="21">
        <v>0</v>
      </c>
      <c r="BE34" s="91">
        <v>9766.9599999999991</v>
      </c>
      <c r="BF34" s="91">
        <v>224300.18</v>
      </c>
    </row>
    <row r="35" spans="1:58" x14ac:dyDescent="0.2">
      <c r="A35" s="18" t="s">
        <v>92</v>
      </c>
      <c r="B35" s="21">
        <v>0</v>
      </c>
      <c r="C35" s="91">
        <v>710519.59</v>
      </c>
      <c r="D35" s="21">
        <v>0</v>
      </c>
      <c r="E35" s="91">
        <v>600846.32999999996</v>
      </c>
      <c r="F35" s="21">
        <v>0</v>
      </c>
      <c r="G35" s="91">
        <v>5600</v>
      </c>
      <c r="H35" s="91">
        <v>72977.850000000006</v>
      </c>
      <c r="I35" s="21">
        <v>0</v>
      </c>
      <c r="J35" s="91">
        <v>1150.02</v>
      </c>
      <c r="L35" s="91">
        <v>1391093.79</v>
      </c>
      <c r="M35" s="91">
        <v>39065.589999999997</v>
      </c>
      <c r="N35" s="21">
        <v>0</v>
      </c>
      <c r="O35" s="21">
        <v>0</v>
      </c>
      <c r="P35" s="91">
        <v>39065.589999999997</v>
      </c>
      <c r="Q35" s="91">
        <v>33912.26</v>
      </c>
      <c r="R35" s="21">
        <v>0</v>
      </c>
      <c r="S35" s="21">
        <v>0</v>
      </c>
      <c r="T35" s="21">
        <v>0</v>
      </c>
      <c r="U35" s="91">
        <v>33912.26</v>
      </c>
      <c r="V35" s="91">
        <v>5600</v>
      </c>
      <c r="W35" s="21">
        <v>0</v>
      </c>
      <c r="X35" s="21">
        <v>0</v>
      </c>
      <c r="Y35" s="91">
        <v>5600</v>
      </c>
      <c r="Z35" s="91">
        <v>709279.59</v>
      </c>
      <c r="AA35" s="21">
        <v>0</v>
      </c>
      <c r="AB35" s="21">
        <v>0</v>
      </c>
      <c r="AC35" s="21">
        <v>0</v>
      </c>
      <c r="AD35" s="91">
        <v>709279.59</v>
      </c>
      <c r="AE35" s="91">
        <v>1240</v>
      </c>
      <c r="AF35" s="21">
        <v>0</v>
      </c>
      <c r="AH35" s="91">
        <v>789097.44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O35" s="21">
        <v>0</v>
      </c>
      <c r="AP35" s="91">
        <v>400698.86</v>
      </c>
      <c r="AQ35" s="21">
        <v>0</v>
      </c>
      <c r="AR35" s="91">
        <v>161925.65</v>
      </c>
      <c r="AS35" s="21">
        <v>0</v>
      </c>
      <c r="AT35" s="21">
        <v>0</v>
      </c>
      <c r="AV35" s="91">
        <v>562624.51</v>
      </c>
      <c r="AW35" s="21">
        <v>0</v>
      </c>
      <c r="AX35" s="21">
        <v>0</v>
      </c>
      <c r="AY35" s="21">
        <v>0</v>
      </c>
      <c r="AZ35" s="21">
        <v>0</v>
      </c>
      <c r="BB35" s="21">
        <v>0</v>
      </c>
      <c r="BC35" s="21">
        <v>0</v>
      </c>
      <c r="BE35" s="91">
        <v>562624.51</v>
      </c>
      <c r="BF35" s="91">
        <v>1351721.95</v>
      </c>
    </row>
    <row r="36" spans="1:58" x14ac:dyDescent="0.2">
      <c r="A36" s="18" t="s">
        <v>93</v>
      </c>
      <c r="B36" s="21">
        <v>0</v>
      </c>
      <c r="C36" s="91">
        <v>248011</v>
      </c>
      <c r="D36" s="21">
        <v>0</v>
      </c>
      <c r="E36" s="91">
        <v>3063170</v>
      </c>
      <c r="F36" s="21">
        <v>0</v>
      </c>
      <c r="G36" s="91">
        <v>6516</v>
      </c>
      <c r="H36" s="91">
        <v>14595</v>
      </c>
      <c r="I36" s="21">
        <v>0</v>
      </c>
      <c r="J36" s="91">
        <v>3705</v>
      </c>
      <c r="L36" s="91">
        <v>3335997</v>
      </c>
      <c r="M36" s="21">
        <v>0</v>
      </c>
      <c r="N36" s="21">
        <v>0</v>
      </c>
      <c r="O36" s="21">
        <v>0</v>
      </c>
      <c r="P36" s="21">
        <v>0</v>
      </c>
      <c r="Q36" s="91">
        <v>3500</v>
      </c>
      <c r="R36" s="21">
        <v>0</v>
      </c>
      <c r="S36" s="21">
        <v>0</v>
      </c>
      <c r="T36" s="91">
        <v>11095</v>
      </c>
      <c r="U36" s="91">
        <v>14595</v>
      </c>
      <c r="V36" s="91">
        <v>6516</v>
      </c>
      <c r="W36" s="21">
        <v>0</v>
      </c>
      <c r="X36" s="21">
        <v>0</v>
      </c>
      <c r="Y36" s="91">
        <v>6516</v>
      </c>
      <c r="Z36" s="21">
        <v>0</v>
      </c>
      <c r="AA36" s="21">
        <v>0</v>
      </c>
      <c r="AB36" s="91">
        <v>4151</v>
      </c>
      <c r="AC36" s="21">
        <v>0</v>
      </c>
      <c r="AD36" s="91">
        <v>4151</v>
      </c>
      <c r="AE36" s="91">
        <v>243859</v>
      </c>
      <c r="AF36" s="21">
        <v>0</v>
      </c>
      <c r="AH36" s="91">
        <v>269121</v>
      </c>
      <c r="AI36" s="91">
        <v>2500000</v>
      </c>
      <c r="AJ36" s="91">
        <v>610792</v>
      </c>
      <c r="AK36" s="21">
        <v>0</v>
      </c>
      <c r="AL36" s="21">
        <v>0</v>
      </c>
      <c r="AM36" s="21">
        <v>0</v>
      </c>
      <c r="AO36" s="91">
        <v>3110792</v>
      </c>
      <c r="AP36" s="91">
        <v>261539</v>
      </c>
      <c r="AQ36" s="21">
        <v>0</v>
      </c>
      <c r="AR36" s="91">
        <v>31890</v>
      </c>
      <c r="AS36" s="21">
        <v>0</v>
      </c>
      <c r="AT36" s="21">
        <v>0</v>
      </c>
      <c r="AV36" s="91">
        <v>293429</v>
      </c>
      <c r="AW36" s="91">
        <v>348594</v>
      </c>
      <c r="AX36" s="21">
        <v>0</v>
      </c>
      <c r="AY36" s="21">
        <v>0</v>
      </c>
      <c r="AZ36" s="21">
        <v>0</v>
      </c>
      <c r="BB36" s="21">
        <v>0</v>
      </c>
      <c r="BC36" s="21">
        <v>0</v>
      </c>
      <c r="BE36" s="91">
        <v>3404221</v>
      </c>
      <c r="BF36" s="91">
        <v>3673342</v>
      </c>
    </row>
    <row r="37" spans="1:58" x14ac:dyDescent="0.2">
      <c r="A37" s="18" t="s">
        <v>94</v>
      </c>
      <c r="B37" s="21">
        <v>0</v>
      </c>
      <c r="C37" s="21">
        <v>0</v>
      </c>
      <c r="D37" s="21">
        <v>0</v>
      </c>
      <c r="E37" s="91">
        <v>1454180.5</v>
      </c>
      <c r="F37" s="21">
        <v>0</v>
      </c>
      <c r="G37" s="91">
        <v>5000</v>
      </c>
      <c r="H37" s="91">
        <v>45666.559999999998</v>
      </c>
      <c r="I37" s="21">
        <v>0</v>
      </c>
      <c r="J37" s="91">
        <v>52066.07</v>
      </c>
      <c r="L37" s="91">
        <v>1556913.13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91">
        <v>21015.279999999999</v>
      </c>
      <c r="T37" s="91">
        <v>24651.25</v>
      </c>
      <c r="U37" s="91">
        <v>45666.53</v>
      </c>
      <c r="V37" s="91">
        <v>5000</v>
      </c>
      <c r="W37" s="21">
        <v>0</v>
      </c>
      <c r="X37" s="21">
        <v>0</v>
      </c>
      <c r="Y37" s="91">
        <v>5000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H37" s="91">
        <v>50666.53</v>
      </c>
      <c r="AI37" s="91">
        <v>5785000</v>
      </c>
      <c r="AJ37" s="21">
        <v>0</v>
      </c>
      <c r="AK37" s="21">
        <v>0</v>
      </c>
      <c r="AL37" s="21">
        <v>0</v>
      </c>
      <c r="AM37" s="21">
        <v>0</v>
      </c>
      <c r="AO37" s="91">
        <v>5785000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B37" s="21">
        <v>0</v>
      </c>
      <c r="BC37" s="21">
        <v>0</v>
      </c>
      <c r="BE37" s="91">
        <v>5785000</v>
      </c>
      <c r="BF37" s="91">
        <v>5835666.5300000003</v>
      </c>
    </row>
    <row r="38" spans="1:58" x14ac:dyDescent="0.2">
      <c r="A38" s="18" t="s">
        <v>95</v>
      </c>
      <c r="B38" s="21">
        <v>0</v>
      </c>
      <c r="C38" s="21">
        <v>0</v>
      </c>
      <c r="D38" s="21">
        <v>0</v>
      </c>
      <c r="E38" s="91">
        <v>1215535</v>
      </c>
      <c r="F38" s="21">
        <v>0</v>
      </c>
      <c r="G38" s="91">
        <v>223994.4</v>
      </c>
      <c r="H38" s="91">
        <v>207699.45</v>
      </c>
      <c r="I38" s="21">
        <v>0</v>
      </c>
      <c r="J38" s="21">
        <v>0</v>
      </c>
      <c r="L38" s="91">
        <v>1647228.85</v>
      </c>
      <c r="M38" s="21">
        <v>0</v>
      </c>
      <c r="N38" s="21">
        <v>0</v>
      </c>
      <c r="O38" s="21">
        <v>0</v>
      </c>
      <c r="P38" s="21">
        <v>0</v>
      </c>
      <c r="Q38" s="91">
        <v>160299.57999999999</v>
      </c>
      <c r="R38" s="21">
        <v>0</v>
      </c>
      <c r="S38" s="21">
        <v>0</v>
      </c>
      <c r="T38" s="91">
        <v>47399.87</v>
      </c>
      <c r="U38" s="91">
        <v>207699.45</v>
      </c>
      <c r="V38" s="91">
        <v>223994.4</v>
      </c>
      <c r="W38" s="21">
        <v>0</v>
      </c>
      <c r="X38" s="21">
        <v>0</v>
      </c>
      <c r="Y38" s="91">
        <v>223994.4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H38" s="91">
        <v>431693.85</v>
      </c>
      <c r="AI38" s="91">
        <v>1215535</v>
      </c>
      <c r="AJ38" s="21">
        <v>0</v>
      </c>
      <c r="AK38" s="21">
        <v>0</v>
      </c>
      <c r="AL38" s="21">
        <v>0</v>
      </c>
      <c r="AM38" s="21">
        <v>0</v>
      </c>
      <c r="AO38" s="91">
        <v>1215535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B38" s="21">
        <v>0</v>
      </c>
      <c r="BC38" s="21">
        <v>0</v>
      </c>
      <c r="BE38" s="91">
        <v>1215535</v>
      </c>
      <c r="BF38" s="91">
        <v>1647228.85</v>
      </c>
    </row>
    <row r="39" spans="1:58" x14ac:dyDescent="0.2">
      <c r="A39" s="18" t="s">
        <v>96</v>
      </c>
      <c r="B39" s="21">
        <v>0</v>
      </c>
      <c r="C39" s="21">
        <v>0</v>
      </c>
      <c r="D39" s="21">
        <v>0</v>
      </c>
      <c r="E39" s="91">
        <v>4452895</v>
      </c>
      <c r="F39" s="21">
        <v>0</v>
      </c>
      <c r="G39" s="91">
        <v>1496294</v>
      </c>
      <c r="H39" s="91">
        <v>10355905</v>
      </c>
      <c r="I39" s="91">
        <v>2423292</v>
      </c>
      <c r="J39" s="91">
        <v>11973</v>
      </c>
      <c r="L39" s="91">
        <v>18740359</v>
      </c>
      <c r="M39" s="91">
        <v>9777662</v>
      </c>
      <c r="N39" s="21">
        <v>0</v>
      </c>
      <c r="O39" s="21">
        <v>0</v>
      </c>
      <c r="P39" s="91">
        <v>9777662</v>
      </c>
      <c r="Q39" s="21">
        <v>0</v>
      </c>
      <c r="R39" s="91">
        <v>53372</v>
      </c>
      <c r="S39" s="21">
        <v>0</v>
      </c>
      <c r="T39" s="21">
        <v>0</v>
      </c>
      <c r="U39" s="91">
        <v>53372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91">
        <v>144816</v>
      </c>
      <c r="AD39" s="91">
        <v>144816</v>
      </c>
      <c r="AE39" s="21">
        <v>0</v>
      </c>
      <c r="AF39" s="21">
        <v>0</v>
      </c>
      <c r="AH39" s="91">
        <v>9975850</v>
      </c>
      <c r="AI39" s="91">
        <v>2103715</v>
      </c>
      <c r="AJ39" s="21">
        <v>0</v>
      </c>
      <c r="AK39" s="21">
        <v>0</v>
      </c>
      <c r="AL39" s="21">
        <v>0</v>
      </c>
      <c r="AM39" s="21">
        <v>0</v>
      </c>
      <c r="AO39" s="91">
        <v>2103715</v>
      </c>
      <c r="AP39" s="21">
        <v>0</v>
      </c>
      <c r="AQ39" s="21">
        <v>0</v>
      </c>
      <c r="AR39" s="91">
        <v>2014326</v>
      </c>
      <c r="AS39" s="21">
        <v>0</v>
      </c>
      <c r="AT39" s="21">
        <v>0</v>
      </c>
      <c r="AV39" s="91">
        <v>2014326</v>
      </c>
      <c r="AW39" s="21">
        <v>0</v>
      </c>
      <c r="AX39" s="91">
        <v>334854</v>
      </c>
      <c r="AY39" s="21">
        <v>0</v>
      </c>
      <c r="AZ39" s="21">
        <v>0</v>
      </c>
      <c r="BB39" s="91">
        <v>334854</v>
      </c>
      <c r="BC39" s="21">
        <v>0</v>
      </c>
      <c r="BE39" s="91">
        <v>4452895</v>
      </c>
      <c r="BF39" s="91">
        <v>14428745</v>
      </c>
    </row>
    <row r="40" spans="1:58" x14ac:dyDescent="0.2">
      <c r="A40" s="18" t="s">
        <v>97</v>
      </c>
      <c r="B40" s="21">
        <v>0</v>
      </c>
      <c r="C40" s="21">
        <v>0</v>
      </c>
      <c r="D40" s="21">
        <v>0</v>
      </c>
      <c r="E40" s="91">
        <v>45847.09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L40" s="91">
        <v>45847.09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O40" s="21">
        <v>0</v>
      </c>
      <c r="AP40" s="91">
        <v>23748</v>
      </c>
      <c r="AQ40" s="21">
        <v>0</v>
      </c>
      <c r="AR40" s="21">
        <v>0</v>
      </c>
      <c r="AS40" s="21">
        <v>0</v>
      </c>
      <c r="AT40" s="21">
        <v>0</v>
      </c>
      <c r="AV40" s="91">
        <v>23748</v>
      </c>
      <c r="AW40" s="21">
        <v>0</v>
      </c>
      <c r="AX40" s="21">
        <v>0</v>
      </c>
      <c r="AY40" s="21">
        <v>0</v>
      </c>
      <c r="AZ40" s="21">
        <v>0</v>
      </c>
      <c r="BB40" s="21">
        <v>0</v>
      </c>
      <c r="BC40" s="21">
        <v>0</v>
      </c>
      <c r="BE40" s="91">
        <v>23748</v>
      </c>
      <c r="BF40" s="91">
        <v>23748</v>
      </c>
    </row>
    <row r="41" spans="1:58" x14ac:dyDescent="0.2">
      <c r="A41" s="18" t="s">
        <v>98</v>
      </c>
      <c r="B41" s="21">
        <v>0</v>
      </c>
      <c r="C41" s="21">
        <v>0</v>
      </c>
      <c r="D41" s="21">
        <v>0</v>
      </c>
      <c r="E41" s="91">
        <v>71067.56</v>
      </c>
      <c r="F41" s="21">
        <v>0</v>
      </c>
      <c r="G41" s="91">
        <v>53915.55</v>
      </c>
      <c r="H41" s="91">
        <v>57912.36</v>
      </c>
      <c r="I41" s="91">
        <v>404633.28</v>
      </c>
      <c r="J41" s="91">
        <v>32957.61</v>
      </c>
      <c r="L41" s="91">
        <v>620486.36</v>
      </c>
      <c r="M41" s="21">
        <v>0</v>
      </c>
      <c r="N41" s="91">
        <v>404633.28</v>
      </c>
      <c r="O41" s="21">
        <v>0</v>
      </c>
      <c r="P41" s="91">
        <v>404633.28</v>
      </c>
      <c r="Q41" s="21">
        <v>0</v>
      </c>
      <c r="R41" s="91">
        <v>20271.09</v>
      </c>
      <c r="S41" s="21">
        <v>0</v>
      </c>
      <c r="T41" s="91">
        <v>37641.269999999997</v>
      </c>
      <c r="U41" s="91">
        <v>57912.36</v>
      </c>
      <c r="V41" s="91">
        <v>53915.55</v>
      </c>
      <c r="W41" s="21">
        <v>0</v>
      </c>
      <c r="X41" s="21">
        <v>0</v>
      </c>
      <c r="Y41" s="91">
        <v>53915.55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H41" s="91">
        <v>516461.19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O41" s="21">
        <v>0</v>
      </c>
      <c r="AP41" s="21">
        <v>0</v>
      </c>
      <c r="AQ41" s="21">
        <v>0</v>
      </c>
      <c r="AR41" s="91">
        <v>71067.56</v>
      </c>
      <c r="AS41" s="21">
        <v>0</v>
      </c>
      <c r="AT41" s="21">
        <v>0</v>
      </c>
      <c r="AV41" s="91">
        <v>71067.56</v>
      </c>
      <c r="AW41" s="21">
        <v>0</v>
      </c>
      <c r="AX41" s="21">
        <v>0</v>
      </c>
      <c r="AY41" s="21">
        <v>0</v>
      </c>
      <c r="AZ41" s="21">
        <v>0</v>
      </c>
      <c r="BB41" s="21">
        <v>0</v>
      </c>
      <c r="BC41" s="21">
        <v>0</v>
      </c>
      <c r="BE41" s="91">
        <v>71067.56</v>
      </c>
      <c r="BF41" s="91">
        <v>587528.75</v>
      </c>
    </row>
    <row r="42" spans="1:58" x14ac:dyDescent="0.2">
      <c r="A42" s="18" t="s">
        <v>99</v>
      </c>
      <c r="B42" s="21">
        <v>0</v>
      </c>
      <c r="C42" s="21">
        <v>0</v>
      </c>
      <c r="D42" s="21">
        <v>0</v>
      </c>
      <c r="E42" s="91">
        <v>226919</v>
      </c>
      <c r="F42" s="21">
        <v>0</v>
      </c>
      <c r="G42" s="21">
        <v>0</v>
      </c>
      <c r="H42" s="91">
        <v>3000</v>
      </c>
      <c r="I42" s="91">
        <v>12500</v>
      </c>
      <c r="J42" s="91">
        <v>6738</v>
      </c>
      <c r="L42" s="91">
        <v>249157</v>
      </c>
      <c r="M42" s="91">
        <v>12500</v>
      </c>
      <c r="N42" s="21">
        <v>0</v>
      </c>
      <c r="O42" s="21">
        <v>0</v>
      </c>
      <c r="P42" s="91">
        <v>12500</v>
      </c>
      <c r="Q42" s="21">
        <v>0</v>
      </c>
      <c r="R42" s="21">
        <v>0</v>
      </c>
      <c r="S42" s="91">
        <v>10597</v>
      </c>
      <c r="T42" s="91">
        <v>3000</v>
      </c>
      <c r="U42" s="91">
        <v>13597</v>
      </c>
      <c r="V42" s="91">
        <v>6200</v>
      </c>
      <c r="W42" s="21">
        <v>0</v>
      </c>
      <c r="X42" s="21">
        <v>0</v>
      </c>
      <c r="Y42" s="91">
        <v>6200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H42" s="91">
        <v>32297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O42" s="21">
        <v>0</v>
      </c>
      <c r="AP42" s="91">
        <v>121572</v>
      </c>
      <c r="AQ42" s="21">
        <v>0</v>
      </c>
      <c r="AR42" s="91">
        <v>1837</v>
      </c>
      <c r="AS42" s="21">
        <v>0</v>
      </c>
      <c r="AT42" s="21">
        <v>0</v>
      </c>
      <c r="AV42" s="91">
        <v>123409</v>
      </c>
      <c r="AW42" s="21">
        <v>0</v>
      </c>
      <c r="AX42" s="21">
        <v>0</v>
      </c>
      <c r="AY42" s="21">
        <v>0</v>
      </c>
      <c r="AZ42" s="21">
        <v>0</v>
      </c>
      <c r="BB42" s="21">
        <v>0</v>
      </c>
      <c r="BC42" s="21">
        <v>0</v>
      </c>
      <c r="BE42" s="91">
        <v>123409</v>
      </c>
      <c r="BF42" s="91">
        <v>155706</v>
      </c>
    </row>
    <row r="43" spans="1:58" x14ac:dyDescent="0.2">
      <c r="A43" s="18" t="s">
        <v>100</v>
      </c>
      <c r="B43" s="21">
        <v>0</v>
      </c>
      <c r="C43" s="91">
        <v>555982.32999999996</v>
      </c>
      <c r="D43" s="21">
        <v>0</v>
      </c>
      <c r="E43" s="91">
        <v>1173042.27</v>
      </c>
      <c r="F43" s="21">
        <v>0</v>
      </c>
      <c r="G43" s="21">
        <v>0</v>
      </c>
      <c r="H43" s="91">
        <v>159300.21</v>
      </c>
      <c r="I43" s="21">
        <v>0</v>
      </c>
      <c r="J43" s="91">
        <v>39782.03</v>
      </c>
      <c r="L43" s="91">
        <v>1928106.84</v>
      </c>
      <c r="M43" s="21">
        <v>0</v>
      </c>
      <c r="N43" s="21">
        <v>0</v>
      </c>
      <c r="O43" s="21">
        <v>0</v>
      </c>
      <c r="P43" s="21">
        <v>0</v>
      </c>
      <c r="Q43" s="91">
        <v>61207.71</v>
      </c>
      <c r="R43" s="21">
        <v>0</v>
      </c>
      <c r="S43" s="21">
        <v>0</v>
      </c>
      <c r="T43" s="21">
        <v>0</v>
      </c>
      <c r="U43" s="91">
        <v>61207.71</v>
      </c>
      <c r="V43" s="21">
        <v>0</v>
      </c>
      <c r="W43" s="91">
        <v>392026.75</v>
      </c>
      <c r="X43" s="21">
        <v>0</v>
      </c>
      <c r="Y43" s="91">
        <v>392026.75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H43" s="91">
        <v>453234.46</v>
      </c>
      <c r="AI43" s="91">
        <v>2500000</v>
      </c>
      <c r="AJ43" s="91">
        <v>285000</v>
      </c>
      <c r="AK43" s="21">
        <v>0</v>
      </c>
      <c r="AL43" s="21">
        <v>0</v>
      </c>
      <c r="AM43" s="21">
        <v>0</v>
      </c>
      <c r="AO43" s="91">
        <v>2785000</v>
      </c>
      <c r="AP43" s="91">
        <v>278369.32</v>
      </c>
      <c r="AQ43" s="21">
        <v>0</v>
      </c>
      <c r="AR43" s="91">
        <v>84753.66</v>
      </c>
      <c r="AS43" s="21">
        <v>0</v>
      </c>
      <c r="AT43" s="21">
        <v>0</v>
      </c>
      <c r="AV43" s="91">
        <v>278369.32</v>
      </c>
      <c r="AW43" s="21">
        <v>0</v>
      </c>
      <c r="AX43" s="21">
        <v>0</v>
      </c>
      <c r="AY43" s="21">
        <v>0</v>
      </c>
      <c r="AZ43" s="21">
        <v>0</v>
      </c>
      <c r="BB43" s="21">
        <v>0</v>
      </c>
      <c r="BC43" s="21">
        <v>0</v>
      </c>
      <c r="BE43" s="91">
        <v>3063369.32</v>
      </c>
      <c r="BF43" s="91">
        <v>3516603.78</v>
      </c>
    </row>
    <row r="44" spans="1:58" x14ac:dyDescent="0.2">
      <c r="A44" s="18" t="s">
        <v>101</v>
      </c>
      <c r="B44" s="21">
        <v>0</v>
      </c>
      <c r="C44" s="91">
        <v>29861.68</v>
      </c>
      <c r="D44" s="21">
        <v>0</v>
      </c>
      <c r="E44" s="91">
        <v>424291.66</v>
      </c>
      <c r="F44" s="21">
        <v>0</v>
      </c>
      <c r="G44" s="21">
        <v>0</v>
      </c>
      <c r="H44" s="91">
        <v>664631.36</v>
      </c>
      <c r="I44" s="91">
        <v>47695.57</v>
      </c>
      <c r="J44" s="91">
        <v>1218.18</v>
      </c>
      <c r="L44" s="91">
        <v>1167698.45</v>
      </c>
      <c r="M44" s="91">
        <v>47695.57</v>
      </c>
      <c r="N44" s="91">
        <v>259440.86</v>
      </c>
      <c r="O44" s="21">
        <v>0</v>
      </c>
      <c r="P44" s="91">
        <v>307136.43</v>
      </c>
      <c r="Q44" s="21">
        <v>0</v>
      </c>
      <c r="R44" s="91">
        <v>45542.01</v>
      </c>
      <c r="S44" s="21">
        <v>0</v>
      </c>
      <c r="T44" s="91">
        <v>359648.49</v>
      </c>
      <c r="U44" s="91">
        <v>405190.5</v>
      </c>
      <c r="V44" s="21">
        <v>0</v>
      </c>
      <c r="W44" s="21">
        <v>0</v>
      </c>
      <c r="X44" s="21">
        <v>0</v>
      </c>
      <c r="Y44" s="21">
        <v>0</v>
      </c>
      <c r="Z44" s="91">
        <v>26441.99</v>
      </c>
      <c r="AA44" s="21">
        <v>0</v>
      </c>
      <c r="AB44" s="21">
        <v>0</v>
      </c>
      <c r="AC44" s="91">
        <v>3419.69</v>
      </c>
      <c r="AD44" s="91">
        <v>29861.68</v>
      </c>
      <c r="AE44" s="21">
        <v>0</v>
      </c>
      <c r="AF44" s="21">
        <v>0</v>
      </c>
      <c r="AH44" s="91">
        <v>742188.61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O44" s="21">
        <v>0</v>
      </c>
      <c r="AP44" s="91">
        <v>424291.66</v>
      </c>
      <c r="AQ44" s="21">
        <v>0</v>
      </c>
      <c r="AR44" s="21">
        <v>0</v>
      </c>
      <c r="AS44" s="21">
        <v>0</v>
      </c>
      <c r="AT44" s="21">
        <v>0</v>
      </c>
      <c r="AV44" s="91">
        <v>424291.66</v>
      </c>
      <c r="AW44" s="21">
        <v>0</v>
      </c>
      <c r="AX44" s="21">
        <v>0</v>
      </c>
      <c r="AY44" s="21">
        <v>0</v>
      </c>
      <c r="AZ44" s="21">
        <v>0</v>
      </c>
      <c r="BB44" s="21">
        <v>0</v>
      </c>
      <c r="BC44" s="21">
        <v>0</v>
      </c>
      <c r="BE44" s="91">
        <v>424291.66</v>
      </c>
      <c r="BF44" s="91">
        <v>1166480.27</v>
      </c>
    </row>
    <row r="45" spans="1:58" x14ac:dyDescent="0.2">
      <c r="A45" s="18" t="s">
        <v>102</v>
      </c>
      <c r="B45" s="91">
        <v>1606250</v>
      </c>
      <c r="C45" s="21">
        <v>0</v>
      </c>
      <c r="D45" s="21">
        <v>0</v>
      </c>
      <c r="E45" s="91">
        <f>7539558.13*0.526</f>
        <v>3965807.57638</v>
      </c>
      <c r="F45" s="21">
        <v>0</v>
      </c>
      <c r="G45" s="91">
        <v>1967500.5536199999</v>
      </c>
      <c r="H45" s="21">
        <v>0</v>
      </c>
      <c r="I45" s="21">
        <v>0</v>
      </c>
      <c r="J45" s="21">
        <v>0</v>
      </c>
      <c r="L45" s="91">
        <f>SUM(B45:J45)</f>
        <v>7539558.129999999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91">
        <v>776658</v>
      </c>
      <c r="W45" s="21">
        <v>0</v>
      </c>
      <c r="X45" s="21">
        <v>0</v>
      </c>
      <c r="Y45" s="91">
        <v>776658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H45" s="91">
        <v>776658</v>
      </c>
      <c r="AI45" s="91">
        <v>2500000</v>
      </c>
      <c r="AJ45" s="91">
        <v>410000</v>
      </c>
      <c r="AK45" s="21">
        <v>0</v>
      </c>
      <c r="AL45" s="21">
        <v>0</v>
      </c>
      <c r="AM45" s="21">
        <v>0</v>
      </c>
      <c r="AO45" s="91">
        <v>2910000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V45" s="21">
        <v>0</v>
      </c>
      <c r="AW45" s="21">
        <v>0</v>
      </c>
      <c r="AX45" s="21">
        <v>0</v>
      </c>
      <c r="AY45" s="21">
        <v>0</v>
      </c>
      <c r="AZ45" s="21">
        <v>0</v>
      </c>
      <c r="BB45" s="21">
        <v>0</v>
      </c>
      <c r="BC45" s="21">
        <v>0</v>
      </c>
      <c r="BE45" s="91">
        <v>2910000</v>
      </c>
      <c r="BF45" s="91">
        <v>3686658</v>
      </c>
    </row>
    <row r="46" spans="1:58" x14ac:dyDescent="0.2">
      <c r="A46" s="18" t="s">
        <v>103</v>
      </c>
      <c r="B46" s="21">
        <v>0</v>
      </c>
      <c r="C46" s="21">
        <v>0</v>
      </c>
      <c r="D46" s="91">
        <v>1926.5</v>
      </c>
      <c r="E46" s="91">
        <v>2491719.4500000002</v>
      </c>
      <c r="F46" s="21">
        <v>0</v>
      </c>
      <c r="G46" s="21">
        <v>0</v>
      </c>
      <c r="H46" s="91">
        <v>99816.21</v>
      </c>
      <c r="I46" s="91">
        <v>21652</v>
      </c>
      <c r="J46" s="91">
        <v>15547.56</v>
      </c>
      <c r="L46" s="91">
        <v>2630661.7200000002</v>
      </c>
      <c r="M46" s="91">
        <v>21652</v>
      </c>
      <c r="N46" s="21">
        <v>0</v>
      </c>
      <c r="O46" s="21">
        <v>0</v>
      </c>
      <c r="P46" s="91">
        <v>21652</v>
      </c>
      <c r="Q46" s="91">
        <v>99816.21</v>
      </c>
      <c r="R46" s="21">
        <v>0</v>
      </c>
      <c r="S46" s="21">
        <v>0</v>
      </c>
      <c r="T46" s="21">
        <v>0</v>
      </c>
      <c r="U46" s="91">
        <v>99816.21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H46" s="91">
        <v>121468.21</v>
      </c>
      <c r="AI46" s="91">
        <v>5000000</v>
      </c>
      <c r="AJ46" s="91">
        <v>715095</v>
      </c>
      <c r="AK46" s="91">
        <v>11000</v>
      </c>
      <c r="AL46" s="21">
        <v>0</v>
      </c>
      <c r="AM46" s="21">
        <v>0</v>
      </c>
      <c r="AO46" s="91">
        <v>5726095</v>
      </c>
      <c r="AP46" s="91">
        <v>333324</v>
      </c>
      <c r="AQ46" s="21">
        <v>0</v>
      </c>
      <c r="AR46" s="91">
        <v>12115</v>
      </c>
      <c r="AS46" s="21">
        <v>0</v>
      </c>
      <c r="AT46" s="21">
        <v>0</v>
      </c>
      <c r="AV46" s="91">
        <v>345439</v>
      </c>
      <c r="AW46" s="21">
        <v>0</v>
      </c>
      <c r="AX46" s="21">
        <v>0</v>
      </c>
      <c r="AY46" s="21">
        <v>0</v>
      </c>
      <c r="AZ46" s="21">
        <v>0</v>
      </c>
      <c r="BB46" s="21">
        <v>0</v>
      </c>
      <c r="BC46" s="21">
        <v>0</v>
      </c>
      <c r="BE46" s="91">
        <v>6071534</v>
      </c>
      <c r="BF46" s="91">
        <v>6193002.21</v>
      </c>
    </row>
    <row r="47" spans="1:58" x14ac:dyDescent="0.2">
      <c r="A47" s="18" t="s">
        <v>104</v>
      </c>
      <c r="B47" s="21">
        <v>0</v>
      </c>
      <c r="C47" s="21">
        <v>0</v>
      </c>
      <c r="D47" s="21">
        <v>0</v>
      </c>
      <c r="E47" s="91">
        <v>18382.79</v>
      </c>
      <c r="F47" s="21">
        <v>0</v>
      </c>
      <c r="G47" s="91">
        <v>112706.42</v>
      </c>
      <c r="H47" s="21">
        <v>623.21</v>
      </c>
      <c r="I47" s="91">
        <v>230721.02</v>
      </c>
      <c r="J47" s="21">
        <v>7.77</v>
      </c>
      <c r="L47" s="91">
        <v>362441.21</v>
      </c>
      <c r="M47" s="91">
        <v>230721.02</v>
      </c>
      <c r="N47" s="21">
        <v>0</v>
      </c>
      <c r="O47" s="91">
        <v>103868.42</v>
      </c>
      <c r="P47" s="91">
        <v>334589.44</v>
      </c>
      <c r="Q47" s="21">
        <v>0</v>
      </c>
      <c r="R47" s="21">
        <v>557.54</v>
      </c>
      <c r="S47" s="21">
        <v>65.67</v>
      </c>
      <c r="T47" s="21">
        <v>0</v>
      </c>
      <c r="U47" s="21">
        <v>623.21</v>
      </c>
      <c r="V47" s="91">
        <v>8838</v>
      </c>
      <c r="W47" s="21">
        <v>0</v>
      </c>
      <c r="X47" s="21">
        <v>0</v>
      </c>
      <c r="Y47" s="91">
        <v>8838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H47" s="91">
        <v>344050.65</v>
      </c>
      <c r="AI47" s="21">
        <v>0</v>
      </c>
      <c r="AJ47" s="21">
        <v>0</v>
      </c>
      <c r="AK47" s="21">
        <v>0</v>
      </c>
      <c r="AL47" s="21">
        <v>883.1</v>
      </c>
      <c r="AM47" s="21">
        <v>0</v>
      </c>
      <c r="AO47" s="21">
        <v>883.1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V47" s="21">
        <v>0</v>
      </c>
      <c r="AW47" s="91">
        <v>17499.689999999999</v>
      </c>
      <c r="AX47" s="21">
        <v>0</v>
      </c>
      <c r="AY47" s="21">
        <v>0</v>
      </c>
      <c r="AZ47" s="21">
        <v>0</v>
      </c>
      <c r="BB47" s="91">
        <v>17499.689999999999</v>
      </c>
      <c r="BC47" s="21">
        <v>0</v>
      </c>
      <c r="BE47" s="91">
        <v>18382.79</v>
      </c>
      <c r="BF47" s="91">
        <v>362433.44</v>
      </c>
    </row>
    <row r="48" spans="1:58" x14ac:dyDescent="0.2">
      <c r="A48" s="18" t="s">
        <v>105</v>
      </c>
      <c r="B48" s="21">
        <v>0</v>
      </c>
      <c r="C48" s="91">
        <v>4674.46</v>
      </c>
      <c r="D48" s="21">
        <v>0</v>
      </c>
      <c r="E48" s="91">
        <v>2842987.04</v>
      </c>
      <c r="F48" s="21">
        <v>0</v>
      </c>
      <c r="G48" s="91">
        <v>35000</v>
      </c>
      <c r="H48" s="91">
        <v>589018.18999999994</v>
      </c>
      <c r="I48" s="91">
        <v>401881.24</v>
      </c>
      <c r="J48" s="91">
        <v>32742.43</v>
      </c>
      <c r="L48" s="91">
        <v>3906303.36</v>
      </c>
      <c r="M48" s="91">
        <v>401881.24</v>
      </c>
      <c r="N48" s="21">
        <v>0</v>
      </c>
      <c r="O48" s="91">
        <v>48289.67</v>
      </c>
      <c r="P48" s="91">
        <v>450170.91</v>
      </c>
      <c r="Q48" s="91">
        <v>163568.70000000001</v>
      </c>
      <c r="R48" s="21">
        <v>0</v>
      </c>
      <c r="S48" s="21">
        <v>0</v>
      </c>
      <c r="T48" s="91">
        <v>377159.82</v>
      </c>
      <c r="U48" s="91">
        <v>540728.52</v>
      </c>
      <c r="V48" s="91">
        <v>35000</v>
      </c>
      <c r="W48" s="21">
        <v>0</v>
      </c>
      <c r="X48" s="21">
        <v>0</v>
      </c>
      <c r="Y48" s="91">
        <v>35000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91">
        <v>4674.46</v>
      </c>
      <c r="AF48" s="21">
        <v>0</v>
      </c>
      <c r="AH48" s="91">
        <v>1030573.89</v>
      </c>
      <c r="AI48" s="91">
        <v>4409276.22</v>
      </c>
      <c r="AJ48" s="21">
        <v>0</v>
      </c>
      <c r="AK48" s="21">
        <v>0</v>
      </c>
      <c r="AL48" s="21">
        <v>0</v>
      </c>
      <c r="AM48" s="91">
        <v>4143.1099999999997</v>
      </c>
      <c r="AO48" s="91">
        <v>4413419.33</v>
      </c>
      <c r="AP48" s="91">
        <v>1185446.3899999999</v>
      </c>
      <c r="AQ48" s="21">
        <v>0</v>
      </c>
      <c r="AR48" s="91">
        <v>154388.6</v>
      </c>
      <c r="AS48" s="21">
        <v>0</v>
      </c>
      <c r="AT48" s="21">
        <v>0</v>
      </c>
      <c r="AV48" s="91">
        <v>1339834.99</v>
      </c>
      <c r="AW48" s="21">
        <v>0</v>
      </c>
      <c r="AX48" s="21">
        <v>0</v>
      </c>
      <c r="AY48" s="21">
        <v>0</v>
      </c>
      <c r="AZ48" s="21">
        <v>0</v>
      </c>
      <c r="BB48" s="21">
        <v>0</v>
      </c>
      <c r="BC48" s="21">
        <v>0</v>
      </c>
      <c r="BE48" s="91">
        <v>5753254.3200000003</v>
      </c>
      <c r="BF48" s="91">
        <v>6783828.21</v>
      </c>
    </row>
    <row r="49" spans="1:58" x14ac:dyDescent="0.2">
      <c r="A49" s="18" t="s">
        <v>106</v>
      </c>
      <c r="B49" s="21">
        <v>0</v>
      </c>
      <c r="C49" s="21">
        <v>0</v>
      </c>
      <c r="D49" s="21">
        <v>0</v>
      </c>
      <c r="E49" s="91">
        <v>598479.1</v>
      </c>
      <c r="F49" s="21">
        <v>0</v>
      </c>
      <c r="G49" s="91">
        <v>735910.69</v>
      </c>
      <c r="H49" s="91">
        <v>7907.67</v>
      </c>
      <c r="I49" s="91">
        <v>5112.1000000000004</v>
      </c>
      <c r="J49" s="91">
        <v>38559.599999999999</v>
      </c>
      <c r="L49" s="91">
        <v>1385969.16</v>
      </c>
      <c r="M49" s="91">
        <v>5112.1000000000004</v>
      </c>
      <c r="N49" s="21">
        <v>0</v>
      </c>
      <c r="O49" s="21">
        <v>0</v>
      </c>
      <c r="P49" s="91">
        <v>5112.1000000000004</v>
      </c>
      <c r="Q49" s="91">
        <v>6634.67</v>
      </c>
      <c r="R49" s="21">
        <v>0</v>
      </c>
      <c r="S49" s="21">
        <v>0</v>
      </c>
      <c r="T49" s="91">
        <v>1273</v>
      </c>
      <c r="U49" s="91">
        <v>7907.67</v>
      </c>
      <c r="V49" s="91">
        <v>735910.69</v>
      </c>
      <c r="W49" s="21">
        <v>0</v>
      </c>
      <c r="X49" s="21">
        <v>0</v>
      </c>
      <c r="Y49" s="91">
        <v>735910.69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H49" s="91">
        <v>748930.46</v>
      </c>
      <c r="AI49" s="21">
        <v>0</v>
      </c>
      <c r="AJ49" s="91">
        <v>109233.59</v>
      </c>
      <c r="AK49" s="21">
        <v>0</v>
      </c>
      <c r="AL49" s="21">
        <v>0</v>
      </c>
      <c r="AM49" s="21">
        <v>0</v>
      </c>
      <c r="AO49" s="91">
        <v>109233.59</v>
      </c>
      <c r="AP49" s="21">
        <v>0</v>
      </c>
      <c r="AQ49" s="21">
        <v>0</v>
      </c>
      <c r="AR49" s="91">
        <v>489245.51</v>
      </c>
      <c r="AS49" s="21">
        <v>0</v>
      </c>
      <c r="AT49" s="21">
        <v>0</v>
      </c>
      <c r="AV49" s="91">
        <v>489245.51</v>
      </c>
      <c r="AW49" s="21">
        <v>0</v>
      </c>
      <c r="AX49" s="21">
        <v>0</v>
      </c>
      <c r="AY49" s="21">
        <v>0</v>
      </c>
      <c r="AZ49" s="21">
        <v>0</v>
      </c>
      <c r="BB49" s="21">
        <v>0</v>
      </c>
      <c r="BC49" s="21">
        <v>0</v>
      </c>
      <c r="BE49" s="91">
        <v>598479.1</v>
      </c>
      <c r="BF49" s="91">
        <v>1347409.56</v>
      </c>
    </row>
    <row r="50" spans="1:58" x14ac:dyDescent="0.2">
      <c r="A50" s="18" t="s">
        <v>107</v>
      </c>
      <c r="B50" s="91">
        <v>28082.21</v>
      </c>
      <c r="C50" s="21">
        <v>0</v>
      </c>
      <c r="D50" s="21">
        <v>0</v>
      </c>
      <c r="E50" s="91">
        <v>1916450.13</v>
      </c>
      <c r="F50" s="21">
        <v>0</v>
      </c>
      <c r="G50" s="91">
        <v>269553.08</v>
      </c>
      <c r="H50" s="91">
        <v>1033465.28</v>
      </c>
      <c r="I50" s="91">
        <v>111854.05</v>
      </c>
      <c r="J50" s="91">
        <v>8852.24</v>
      </c>
      <c r="L50" s="91">
        <v>3368256.99</v>
      </c>
      <c r="M50" s="91">
        <v>111854.05</v>
      </c>
      <c r="N50" s="21">
        <v>0</v>
      </c>
      <c r="O50" s="21">
        <v>0</v>
      </c>
      <c r="P50" s="91">
        <v>111854.05</v>
      </c>
      <c r="Q50" s="91">
        <v>142456.26</v>
      </c>
      <c r="R50" s="21">
        <v>0</v>
      </c>
      <c r="S50" s="21">
        <v>0</v>
      </c>
      <c r="T50" s="91">
        <v>1033465.28</v>
      </c>
      <c r="U50" s="91">
        <v>1175921.54</v>
      </c>
      <c r="V50" s="21">
        <v>0</v>
      </c>
      <c r="W50" s="21">
        <v>0</v>
      </c>
      <c r="X50" s="91">
        <v>127096.82</v>
      </c>
      <c r="Y50" s="91">
        <v>127096.82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91">
        <v>8852.24</v>
      </c>
      <c r="AH50" s="91">
        <v>1423724.65</v>
      </c>
      <c r="AI50" s="91">
        <v>3453000</v>
      </c>
      <c r="AJ50" s="91">
        <v>100000</v>
      </c>
      <c r="AK50" s="21">
        <v>0</v>
      </c>
      <c r="AL50" s="21">
        <v>0</v>
      </c>
      <c r="AM50" s="21">
        <v>0</v>
      </c>
      <c r="AO50" s="91">
        <v>3553000</v>
      </c>
      <c r="AP50" s="91">
        <v>258134</v>
      </c>
      <c r="AQ50" s="21">
        <v>0</v>
      </c>
      <c r="AR50" s="91">
        <v>170564.8</v>
      </c>
      <c r="AS50" s="21">
        <v>0</v>
      </c>
      <c r="AT50" s="21">
        <v>0</v>
      </c>
      <c r="AV50" s="91">
        <v>258134</v>
      </c>
      <c r="AW50" s="91">
        <v>59028.7</v>
      </c>
      <c r="AX50" s="21">
        <v>0</v>
      </c>
      <c r="AY50" s="21">
        <v>0</v>
      </c>
      <c r="AZ50" s="21">
        <v>0</v>
      </c>
      <c r="BB50" s="21">
        <v>0</v>
      </c>
      <c r="BC50" s="21">
        <v>0</v>
      </c>
      <c r="BE50" s="21">
        <v>0</v>
      </c>
      <c r="BF50" s="91">
        <v>5234858.6500000004</v>
      </c>
    </row>
    <row r="51" spans="1:58" x14ac:dyDescent="0.2">
      <c r="A51" s="18" t="s">
        <v>108</v>
      </c>
      <c r="B51" s="21">
        <v>0</v>
      </c>
      <c r="C51" s="21">
        <v>0</v>
      </c>
      <c r="D51" s="21">
        <v>0</v>
      </c>
      <c r="E51" s="91">
        <v>54464.27</v>
      </c>
      <c r="F51" s="21">
        <v>0</v>
      </c>
      <c r="G51" s="91">
        <v>1653020.72</v>
      </c>
      <c r="H51" s="91">
        <v>142221.82</v>
      </c>
      <c r="I51" s="91">
        <v>35232.47</v>
      </c>
      <c r="J51" s="91">
        <v>7948.86</v>
      </c>
      <c r="L51" s="91">
        <v>1892888.14</v>
      </c>
      <c r="M51" s="91">
        <v>34631.46</v>
      </c>
      <c r="N51" s="21">
        <v>0</v>
      </c>
      <c r="O51" s="21">
        <v>601.01</v>
      </c>
      <c r="P51" s="91">
        <v>35232.47</v>
      </c>
      <c r="Q51" s="91">
        <v>1705026.48</v>
      </c>
      <c r="R51" s="21">
        <v>0</v>
      </c>
      <c r="S51" s="21">
        <v>0</v>
      </c>
      <c r="T51" s="91">
        <v>299777.09999999998</v>
      </c>
      <c r="U51" s="91">
        <v>2004803.58</v>
      </c>
      <c r="V51" s="91">
        <v>183290.16</v>
      </c>
      <c r="W51" s="21">
        <v>0</v>
      </c>
      <c r="X51" s="21">
        <v>0</v>
      </c>
      <c r="Y51" s="91">
        <v>183290.16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H51" s="91">
        <v>2223326.21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O51" s="21">
        <v>0</v>
      </c>
      <c r="AP51" s="91">
        <v>20547.2</v>
      </c>
      <c r="AQ51" s="21">
        <v>0</v>
      </c>
      <c r="AR51" s="91">
        <v>23153.52</v>
      </c>
      <c r="AS51" s="21">
        <v>0</v>
      </c>
      <c r="AT51" s="21">
        <v>0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  <c r="BB51" s="21">
        <v>0</v>
      </c>
      <c r="BC51" s="21">
        <v>0</v>
      </c>
      <c r="BE51" s="91">
        <v>43700.72</v>
      </c>
      <c r="BF51" s="91">
        <v>2267026.9300000002</v>
      </c>
    </row>
    <row r="52" spans="1:58" x14ac:dyDescent="0.2">
      <c r="A52" s="18" t="s">
        <v>109</v>
      </c>
      <c r="B52" s="91">
        <v>27405</v>
      </c>
      <c r="C52" s="21">
        <v>0</v>
      </c>
      <c r="D52" s="91">
        <v>14281</v>
      </c>
      <c r="E52" s="91">
        <v>5464755</v>
      </c>
      <c r="F52" s="21">
        <v>0</v>
      </c>
      <c r="G52" s="91">
        <v>36415</v>
      </c>
      <c r="H52" s="91">
        <v>27395470</v>
      </c>
      <c r="I52" s="91">
        <v>8891727</v>
      </c>
      <c r="J52" s="91">
        <v>1313265</v>
      </c>
      <c r="L52" s="91">
        <v>43143318</v>
      </c>
      <c r="M52" s="91">
        <v>8781696</v>
      </c>
      <c r="N52" s="21">
        <v>0</v>
      </c>
      <c r="O52" s="91">
        <v>110031</v>
      </c>
      <c r="P52" s="91">
        <v>8891727</v>
      </c>
      <c r="Q52" s="91">
        <v>871885</v>
      </c>
      <c r="R52" s="91">
        <v>73014</v>
      </c>
      <c r="S52" s="91">
        <v>12139603</v>
      </c>
      <c r="T52" s="91">
        <v>9547072</v>
      </c>
      <c r="U52" s="91">
        <v>22631574</v>
      </c>
      <c r="V52" s="91">
        <v>36415</v>
      </c>
      <c r="W52" s="91">
        <v>106284</v>
      </c>
      <c r="X52" s="21">
        <v>0</v>
      </c>
      <c r="Y52" s="91">
        <v>142699</v>
      </c>
      <c r="Z52" s="21">
        <v>0</v>
      </c>
      <c r="AA52" s="21">
        <v>0</v>
      </c>
      <c r="AB52" s="21">
        <v>0</v>
      </c>
      <c r="AC52" s="91">
        <v>14281</v>
      </c>
      <c r="AD52" s="91">
        <v>14281</v>
      </c>
      <c r="AE52" s="21">
        <v>0</v>
      </c>
      <c r="AF52" s="91">
        <v>5970355</v>
      </c>
      <c r="AH52" s="91">
        <v>37650636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O52" s="21">
        <v>0</v>
      </c>
      <c r="AP52" s="91">
        <v>1686969</v>
      </c>
      <c r="AQ52" s="21">
        <v>0</v>
      </c>
      <c r="AR52" s="91">
        <v>1600713</v>
      </c>
      <c r="AS52" s="21">
        <v>0</v>
      </c>
      <c r="AT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B52" s="21">
        <v>0</v>
      </c>
      <c r="BC52" s="21">
        <v>0</v>
      </c>
      <c r="BE52" s="91">
        <v>3617682</v>
      </c>
      <c r="BF52" s="91">
        <v>41268318</v>
      </c>
    </row>
    <row r="53" spans="1:58" x14ac:dyDescent="0.2">
      <c r="A53" s="18" t="s">
        <v>110</v>
      </c>
      <c r="B53" s="21">
        <v>0</v>
      </c>
      <c r="C53" s="91">
        <v>14408</v>
      </c>
      <c r="D53" s="21">
        <v>0</v>
      </c>
      <c r="E53" s="91">
        <v>8666752</v>
      </c>
      <c r="F53" s="21">
        <v>0</v>
      </c>
      <c r="G53" s="21">
        <v>0</v>
      </c>
      <c r="H53" s="91">
        <v>151509</v>
      </c>
      <c r="I53" s="21">
        <v>0</v>
      </c>
      <c r="J53" s="91">
        <v>-2412</v>
      </c>
      <c r="L53" s="91">
        <v>8830257</v>
      </c>
      <c r="M53" s="91">
        <v>6300000</v>
      </c>
      <c r="N53" s="21">
        <v>0</v>
      </c>
      <c r="O53" s="91">
        <v>236000</v>
      </c>
      <c r="P53" s="91">
        <v>6536000</v>
      </c>
      <c r="Q53" s="91">
        <v>221000</v>
      </c>
      <c r="R53" s="91">
        <v>1300000</v>
      </c>
      <c r="S53" s="21">
        <v>0</v>
      </c>
      <c r="T53" s="21">
        <v>0</v>
      </c>
      <c r="U53" s="91">
        <v>1521000</v>
      </c>
      <c r="V53" s="91">
        <v>150000</v>
      </c>
      <c r="W53" s="91">
        <v>71000</v>
      </c>
      <c r="X53" s="21">
        <v>0</v>
      </c>
      <c r="Y53" s="91">
        <v>221000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H53" s="91">
        <v>8278000</v>
      </c>
      <c r="AI53" s="91">
        <v>3500000</v>
      </c>
      <c r="AJ53" s="91">
        <v>1593676</v>
      </c>
      <c r="AK53" s="21">
        <v>0</v>
      </c>
      <c r="AL53" s="21">
        <v>0</v>
      </c>
      <c r="AM53" s="21">
        <v>0</v>
      </c>
      <c r="AO53" s="91">
        <v>5093676</v>
      </c>
      <c r="AP53" s="91">
        <v>903850</v>
      </c>
      <c r="AQ53" s="21">
        <v>0</v>
      </c>
      <c r="AR53" s="91">
        <v>207102</v>
      </c>
      <c r="AS53" s="21">
        <v>0</v>
      </c>
      <c r="AT53" s="21">
        <v>0</v>
      </c>
      <c r="AV53" s="21">
        <v>0</v>
      </c>
      <c r="AW53" s="91">
        <v>572781.27</v>
      </c>
      <c r="AX53" s="91">
        <v>1749125</v>
      </c>
      <c r="AY53" s="91">
        <v>366986</v>
      </c>
      <c r="AZ53" s="91">
        <v>8510413</v>
      </c>
      <c r="BB53" s="91">
        <v>10626524</v>
      </c>
      <c r="BC53" s="21">
        <v>0</v>
      </c>
      <c r="BE53" s="91">
        <v>16831152</v>
      </c>
      <c r="BF53" s="91">
        <v>25109152</v>
      </c>
    </row>
    <row r="54" spans="1:58" x14ac:dyDescent="0.2">
      <c r="A54" s="18" t="s">
        <v>111</v>
      </c>
      <c r="B54" s="21">
        <v>0</v>
      </c>
      <c r="C54" s="91">
        <v>125996.09</v>
      </c>
      <c r="D54" s="91">
        <v>53501.4</v>
      </c>
      <c r="E54" s="91">
        <v>12906054.640000001</v>
      </c>
      <c r="F54" s="21">
        <v>0</v>
      </c>
      <c r="G54" s="91">
        <v>823603.06</v>
      </c>
      <c r="H54" s="91">
        <v>1105410.18</v>
      </c>
      <c r="I54" s="91">
        <v>601997.97</v>
      </c>
      <c r="J54" s="91">
        <v>436485.89</v>
      </c>
      <c r="L54" s="91">
        <v>16053049.23</v>
      </c>
      <c r="M54" s="91">
        <v>601997.97</v>
      </c>
      <c r="N54" s="21">
        <v>0</v>
      </c>
      <c r="O54" s="21">
        <v>0</v>
      </c>
      <c r="P54" s="91">
        <v>601997.97</v>
      </c>
      <c r="Q54" s="91">
        <v>248203.41</v>
      </c>
      <c r="R54" s="91">
        <v>318394.34000000003</v>
      </c>
      <c r="S54" s="21">
        <v>0</v>
      </c>
      <c r="T54" s="91">
        <v>273155.95</v>
      </c>
      <c r="U54" s="91">
        <v>839753.7</v>
      </c>
      <c r="V54" s="91">
        <v>521789.54</v>
      </c>
      <c r="W54" s="21">
        <v>0</v>
      </c>
      <c r="X54" s="21">
        <v>0</v>
      </c>
      <c r="Y54" s="91">
        <v>521789.54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91">
        <v>28615.45</v>
      </c>
      <c r="AF54" s="91">
        <v>392816.85</v>
      </c>
      <c r="AH54" s="91">
        <v>2384973.5099999998</v>
      </c>
      <c r="AI54" s="91">
        <v>6500000</v>
      </c>
      <c r="AJ54" s="91">
        <v>220000</v>
      </c>
      <c r="AK54" s="21">
        <v>0</v>
      </c>
      <c r="AL54" s="21">
        <v>0</v>
      </c>
      <c r="AM54" s="21">
        <v>0</v>
      </c>
      <c r="AO54" s="91">
        <v>6720000</v>
      </c>
      <c r="AP54" s="91">
        <v>5517175.1500000004</v>
      </c>
      <c r="AQ54" s="21">
        <v>0</v>
      </c>
      <c r="AR54" s="91">
        <v>1620314.47</v>
      </c>
      <c r="AS54" s="21">
        <v>0</v>
      </c>
      <c r="AT54" s="21">
        <v>0</v>
      </c>
      <c r="AV54" s="91">
        <v>7137489.6200000001</v>
      </c>
      <c r="AW54" s="91">
        <v>76501.8</v>
      </c>
      <c r="AX54" s="91">
        <v>2190000</v>
      </c>
      <c r="AY54" s="91">
        <v>75977.47</v>
      </c>
      <c r="AZ54" s="21">
        <v>0</v>
      </c>
      <c r="BB54" s="91">
        <v>2342479.27</v>
      </c>
      <c r="BC54" s="21">
        <v>0</v>
      </c>
      <c r="BE54" s="91">
        <v>16199968.890000001</v>
      </c>
      <c r="BF54" s="91">
        <v>18584942.399999999</v>
      </c>
    </row>
    <row r="55" spans="1:58" x14ac:dyDescent="0.2">
      <c r="A55" s="18" t="s">
        <v>112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91">
        <v>596411.21</v>
      </c>
      <c r="I55" s="21">
        <v>0</v>
      </c>
      <c r="J55" s="21">
        <v>0</v>
      </c>
      <c r="L55" s="91">
        <v>596411.21</v>
      </c>
      <c r="M55" s="91">
        <v>289284.78000000003</v>
      </c>
      <c r="N55" s="21">
        <v>0</v>
      </c>
      <c r="O55" s="21">
        <v>0</v>
      </c>
      <c r="P55" s="91">
        <v>289284.78000000003</v>
      </c>
      <c r="Q55" s="21">
        <v>0</v>
      </c>
      <c r="R55" s="21">
        <v>0</v>
      </c>
      <c r="S55" s="21">
        <v>0</v>
      </c>
      <c r="T55" s="91">
        <v>307126.43</v>
      </c>
      <c r="U55" s="91">
        <v>307126.43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H55" s="91">
        <v>596411.21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  <c r="BB55" s="21">
        <v>0</v>
      </c>
      <c r="BC55" s="21">
        <v>0</v>
      </c>
      <c r="BE55" s="21">
        <v>0</v>
      </c>
      <c r="BF55" s="91">
        <v>596411.21</v>
      </c>
    </row>
    <row r="56" spans="1:58" x14ac:dyDescent="0.2">
      <c r="A56" s="18" t="s">
        <v>113</v>
      </c>
      <c r="B56" s="21">
        <v>0</v>
      </c>
      <c r="C56" s="21">
        <v>0</v>
      </c>
      <c r="D56" s="21">
        <v>0</v>
      </c>
      <c r="E56" s="91">
        <v>79121.899999999994</v>
      </c>
      <c r="F56" s="21">
        <v>0</v>
      </c>
      <c r="G56" s="91">
        <v>44098.94</v>
      </c>
      <c r="H56" s="21">
        <v>0</v>
      </c>
      <c r="I56" s="91">
        <v>41255.269999999997</v>
      </c>
      <c r="J56" s="21">
        <v>61.43</v>
      </c>
      <c r="L56" s="91">
        <v>164537.54</v>
      </c>
      <c r="M56" s="91">
        <v>8750.82</v>
      </c>
      <c r="N56" s="91">
        <v>8504.43</v>
      </c>
      <c r="O56" s="91">
        <v>24000</v>
      </c>
      <c r="P56" s="91">
        <v>41255.25</v>
      </c>
      <c r="Q56" s="91">
        <v>30000</v>
      </c>
      <c r="R56" s="21">
        <v>0</v>
      </c>
      <c r="S56" s="21">
        <v>0</v>
      </c>
      <c r="T56" s="91">
        <v>14098.94</v>
      </c>
      <c r="U56" s="91">
        <v>44098.94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61.43</v>
      </c>
      <c r="AH56" s="91">
        <v>85415.62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O56" s="21">
        <v>0</v>
      </c>
      <c r="AP56" s="21">
        <v>0</v>
      </c>
      <c r="AQ56" s="21">
        <v>0</v>
      </c>
      <c r="AR56" s="91">
        <v>79121.899999999994</v>
      </c>
      <c r="AS56" s="21">
        <v>0</v>
      </c>
      <c r="AT56" s="21">
        <v>0</v>
      </c>
      <c r="AV56" s="91">
        <v>79121.899999999994</v>
      </c>
      <c r="AW56" s="21">
        <v>0</v>
      </c>
      <c r="AX56" s="21">
        <v>0</v>
      </c>
      <c r="AY56" s="21">
        <v>0</v>
      </c>
      <c r="AZ56" s="21">
        <v>0</v>
      </c>
      <c r="BB56" s="21">
        <v>0</v>
      </c>
      <c r="BC56" s="21">
        <v>0</v>
      </c>
      <c r="BE56" s="91">
        <v>79121.899999999994</v>
      </c>
      <c r="BF56" s="91">
        <v>164537.51999999999</v>
      </c>
    </row>
    <row r="57" spans="1:58" x14ac:dyDescent="0.2">
      <c r="A57" s="18" t="s">
        <v>114</v>
      </c>
      <c r="B57" s="21">
        <v>0</v>
      </c>
      <c r="C57" s="21">
        <v>0</v>
      </c>
      <c r="D57" s="21">
        <v>0</v>
      </c>
      <c r="E57" s="91">
        <v>4525927.58</v>
      </c>
      <c r="F57" s="91">
        <v>161758.41</v>
      </c>
      <c r="G57" s="91">
        <v>3654.98</v>
      </c>
      <c r="H57" s="91">
        <v>12187.54</v>
      </c>
      <c r="I57" s="21">
        <v>0</v>
      </c>
      <c r="J57" s="21">
        <v>0</v>
      </c>
      <c r="L57" s="91">
        <v>4703528.51</v>
      </c>
      <c r="M57" s="91">
        <v>12187.54</v>
      </c>
      <c r="N57" s="21">
        <v>0</v>
      </c>
      <c r="O57" s="21">
        <v>0</v>
      </c>
      <c r="P57" s="91">
        <v>12187.54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91">
        <v>207619.93</v>
      </c>
      <c r="X57" s="21">
        <v>0</v>
      </c>
      <c r="Y57" s="91">
        <v>207619.93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H57" s="91">
        <v>219807.47</v>
      </c>
      <c r="AI57" s="91">
        <v>7500000</v>
      </c>
      <c r="AJ57" s="91">
        <v>540000</v>
      </c>
      <c r="AK57" s="21">
        <v>0</v>
      </c>
      <c r="AL57" s="21">
        <v>0</v>
      </c>
      <c r="AM57" s="21">
        <v>0</v>
      </c>
      <c r="AO57" s="91">
        <v>8040000</v>
      </c>
      <c r="AP57" s="91">
        <v>258505.09</v>
      </c>
      <c r="AQ57" s="21">
        <v>0</v>
      </c>
      <c r="AR57" s="91">
        <v>158701.72</v>
      </c>
      <c r="AS57" s="91">
        <v>594663.59</v>
      </c>
      <c r="AT57" s="21">
        <v>0</v>
      </c>
      <c r="AV57" s="91">
        <v>258505.09</v>
      </c>
      <c r="AW57" s="21">
        <v>0</v>
      </c>
      <c r="AX57" s="21">
        <v>0</v>
      </c>
      <c r="AY57" s="21">
        <v>0</v>
      </c>
      <c r="AZ57" s="91">
        <v>674557.57</v>
      </c>
      <c r="BB57" s="21">
        <v>0</v>
      </c>
      <c r="BC57" s="21">
        <v>0</v>
      </c>
      <c r="BE57" s="91">
        <v>8298505.0899999999</v>
      </c>
      <c r="BF57" s="91">
        <v>8518312.5600000005</v>
      </c>
    </row>
    <row r="58" spans="1:58" x14ac:dyDescent="0.2">
      <c r="A58" s="18" t="s">
        <v>115</v>
      </c>
      <c r="B58" s="21">
        <v>0</v>
      </c>
      <c r="C58" s="21">
        <v>0</v>
      </c>
      <c r="D58" s="21">
        <v>0</v>
      </c>
      <c r="E58" s="91">
        <v>1946670.11</v>
      </c>
      <c r="F58" s="21">
        <v>0</v>
      </c>
      <c r="G58" s="21">
        <v>0</v>
      </c>
      <c r="H58" s="91">
        <v>54306.17</v>
      </c>
      <c r="I58" s="91">
        <v>8228</v>
      </c>
      <c r="J58" s="21">
        <v>0</v>
      </c>
      <c r="L58" s="91">
        <v>2009204.28</v>
      </c>
      <c r="M58" s="91">
        <v>8228</v>
      </c>
      <c r="N58" s="21">
        <v>0</v>
      </c>
      <c r="O58" s="21">
        <v>0</v>
      </c>
      <c r="P58" s="91">
        <v>8228</v>
      </c>
      <c r="Q58" s="21">
        <v>0</v>
      </c>
      <c r="R58" s="21">
        <v>0</v>
      </c>
      <c r="S58" s="21">
        <v>0</v>
      </c>
      <c r="T58" s="91">
        <v>54306.17</v>
      </c>
      <c r="U58" s="91">
        <v>54306.17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H58" s="91">
        <v>62534.17</v>
      </c>
      <c r="AI58" s="21">
        <v>0</v>
      </c>
      <c r="AJ58" s="91">
        <v>140780.91</v>
      </c>
      <c r="AK58" s="21">
        <v>0</v>
      </c>
      <c r="AL58" s="91">
        <v>49468.959999999999</v>
      </c>
      <c r="AM58" s="21">
        <v>0</v>
      </c>
      <c r="AO58" s="91">
        <v>190249.87</v>
      </c>
      <c r="AP58" s="91">
        <v>1617936.54</v>
      </c>
      <c r="AQ58" s="21">
        <v>0</v>
      </c>
      <c r="AR58" s="91">
        <v>138483.70000000001</v>
      </c>
      <c r="AS58" s="21">
        <v>0</v>
      </c>
      <c r="AT58" s="21">
        <v>0</v>
      </c>
      <c r="AV58" s="91">
        <v>1756420.24</v>
      </c>
      <c r="AW58" s="21">
        <v>0</v>
      </c>
      <c r="AX58" s="21">
        <v>0</v>
      </c>
      <c r="AY58" s="21">
        <v>0</v>
      </c>
      <c r="AZ58" s="21">
        <v>0</v>
      </c>
      <c r="BB58" s="21">
        <v>0</v>
      </c>
      <c r="BC58" s="21">
        <v>0</v>
      </c>
      <c r="BE58" s="91">
        <v>1946670.11</v>
      </c>
      <c r="BF58" s="91">
        <v>2009204.28</v>
      </c>
    </row>
    <row r="59" spans="1:58" x14ac:dyDescent="0.2">
      <c r="A59" s="18" t="s">
        <v>116</v>
      </c>
      <c r="B59" s="21">
        <v>0</v>
      </c>
      <c r="C59" s="91">
        <v>6078</v>
      </c>
      <c r="D59" s="21">
        <v>0</v>
      </c>
      <c r="E59" s="91">
        <v>4388695</v>
      </c>
      <c r="F59" s="21">
        <v>0</v>
      </c>
      <c r="G59" s="91">
        <v>407043</v>
      </c>
      <c r="H59" s="21">
        <v>0</v>
      </c>
      <c r="I59" s="91">
        <v>94413</v>
      </c>
      <c r="J59" s="91">
        <v>15416</v>
      </c>
      <c r="L59" s="91">
        <v>4911645</v>
      </c>
      <c r="M59" s="91">
        <v>113215</v>
      </c>
      <c r="N59" s="21">
        <v>0</v>
      </c>
      <c r="O59" s="21">
        <v>0</v>
      </c>
      <c r="P59" s="91">
        <v>113215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91">
        <v>90000</v>
      </c>
      <c r="W59" s="21">
        <v>0</v>
      </c>
      <c r="X59" s="21">
        <v>0</v>
      </c>
      <c r="Y59" s="91">
        <v>90000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H59" s="91">
        <v>203215</v>
      </c>
      <c r="AI59" s="91">
        <v>4250000</v>
      </c>
      <c r="AJ59" s="21">
        <v>0</v>
      </c>
      <c r="AK59" s="21">
        <v>0</v>
      </c>
      <c r="AL59" s="21">
        <v>0</v>
      </c>
      <c r="AM59" s="21">
        <v>0</v>
      </c>
      <c r="AO59" s="91">
        <v>4250000</v>
      </c>
      <c r="AP59" s="91">
        <v>3169922</v>
      </c>
      <c r="AQ59" s="21">
        <v>0</v>
      </c>
      <c r="AR59" s="91">
        <v>219310</v>
      </c>
      <c r="AS59" s="21">
        <v>0</v>
      </c>
      <c r="AT59" s="21">
        <v>0</v>
      </c>
      <c r="AV59" s="91">
        <v>3389232</v>
      </c>
      <c r="AW59" s="91">
        <v>400000</v>
      </c>
      <c r="AX59" s="21">
        <v>0</v>
      </c>
      <c r="AY59" s="21">
        <v>0</v>
      </c>
      <c r="AZ59" s="91">
        <v>135424</v>
      </c>
      <c r="BB59" s="91">
        <v>535424</v>
      </c>
      <c r="BC59" s="21">
        <v>0</v>
      </c>
      <c r="BE59" s="91">
        <v>8174656</v>
      </c>
      <c r="BF59" s="91">
        <v>8377871</v>
      </c>
    </row>
    <row r="60" spans="1:58" x14ac:dyDescent="0.2">
      <c r="A60" s="18" t="s">
        <v>117</v>
      </c>
      <c r="B60" s="21">
        <v>0</v>
      </c>
      <c r="C60" s="91">
        <v>4657</v>
      </c>
      <c r="D60" s="21">
        <v>0</v>
      </c>
      <c r="E60" s="21">
        <v>0</v>
      </c>
      <c r="F60" s="21">
        <v>0</v>
      </c>
      <c r="G60" s="21">
        <v>0</v>
      </c>
      <c r="H60" s="91">
        <v>104437</v>
      </c>
      <c r="I60" s="91">
        <v>33699</v>
      </c>
      <c r="J60" s="21">
        <v>285</v>
      </c>
      <c r="L60" s="91">
        <v>143078</v>
      </c>
      <c r="M60" s="91">
        <v>70326</v>
      </c>
      <c r="N60" s="21">
        <v>0</v>
      </c>
      <c r="O60" s="21">
        <v>0</v>
      </c>
      <c r="P60" s="91">
        <v>70326</v>
      </c>
      <c r="Q60" s="91">
        <v>21289</v>
      </c>
      <c r="R60" s="21">
        <v>0</v>
      </c>
      <c r="S60" s="21">
        <v>0</v>
      </c>
      <c r="T60" s="91">
        <v>46521</v>
      </c>
      <c r="U60" s="91">
        <v>67810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91">
        <v>4657</v>
      </c>
      <c r="AF60" s="21">
        <v>0</v>
      </c>
      <c r="AH60" s="91">
        <v>142793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V60" s="21">
        <v>0</v>
      </c>
      <c r="AW60" s="21">
        <v>0</v>
      </c>
      <c r="AX60" s="21">
        <v>0</v>
      </c>
      <c r="AY60" s="21">
        <v>0</v>
      </c>
      <c r="AZ60" s="21">
        <v>0</v>
      </c>
      <c r="BB60" s="21">
        <v>0</v>
      </c>
      <c r="BC60" s="21">
        <v>0</v>
      </c>
      <c r="BE60" s="21">
        <v>0</v>
      </c>
      <c r="BF60" s="91">
        <v>142793</v>
      </c>
    </row>
    <row r="61" spans="1:58" x14ac:dyDescent="0.2">
      <c r="A61" s="18" t="s">
        <v>118</v>
      </c>
      <c r="B61" s="21">
        <v>0</v>
      </c>
      <c r="C61" s="91">
        <v>15178</v>
      </c>
      <c r="D61" s="91">
        <v>6430.29</v>
      </c>
      <c r="E61" s="91">
        <v>2412742.15</v>
      </c>
      <c r="F61" s="91">
        <v>18250</v>
      </c>
      <c r="G61" s="91">
        <v>168973.31</v>
      </c>
      <c r="H61" s="91">
        <v>116261.91</v>
      </c>
      <c r="I61" s="91">
        <v>172202.04</v>
      </c>
      <c r="J61" s="91">
        <v>65038.76</v>
      </c>
      <c r="L61" s="91">
        <v>2975076.46</v>
      </c>
      <c r="M61" s="91">
        <v>172202.04</v>
      </c>
      <c r="N61" s="21">
        <v>0</v>
      </c>
      <c r="O61" s="21">
        <v>0</v>
      </c>
      <c r="P61" s="91">
        <v>172202.04</v>
      </c>
      <c r="Q61" s="21">
        <v>0</v>
      </c>
      <c r="R61" s="21">
        <v>0</v>
      </c>
      <c r="S61" s="91">
        <v>5118</v>
      </c>
      <c r="T61" s="91">
        <v>5417.15</v>
      </c>
      <c r="U61" s="91">
        <v>10535.15</v>
      </c>
      <c r="V61" s="91">
        <v>44497.72</v>
      </c>
      <c r="W61" s="91">
        <v>85392.38</v>
      </c>
      <c r="X61" s="21">
        <v>0</v>
      </c>
      <c r="Y61" s="91">
        <v>129890.1</v>
      </c>
      <c r="Z61" s="21">
        <v>0</v>
      </c>
      <c r="AA61" s="91">
        <v>1312.29</v>
      </c>
      <c r="AB61" s="21">
        <v>0</v>
      </c>
      <c r="AC61" s="21">
        <v>0</v>
      </c>
      <c r="AD61" s="91">
        <v>1312.29</v>
      </c>
      <c r="AE61" s="91">
        <v>27892</v>
      </c>
      <c r="AF61" s="91">
        <v>2660.76</v>
      </c>
      <c r="AH61" s="91">
        <v>344492.34</v>
      </c>
      <c r="AI61" s="91">
        <v>2500000</v>
      </c>
      <c r="AJ61" s="91">
        <v>220000</v>
      </c>
      <c r="AK61" s="91">
        <v>15400</v>
      </c>
      <c r="AL61" s="21">
        <v>0</v>
      </c>
      <c r="AM61" s="21">
        <v>0</v>
      </c>
      <c r="AO61" s="91">
        <v>2735400</v>
      </c>
      <c r="AP61" s="91">
        <v>637360.51</v>
      </c>
      <c r="AQ61" s="21">
        <v>0</v>
      </c>
      <c r="AR61" s="91">
        <v>64364.83</v>
      </c>
      <c r="AS61" s="21">
        <v>0</v>
      </c>
      <c r="AT61" s="21">
        <v>0</v>
      </c>
      <c r="AV61" s="91">
        <v>701725.34</v>
      </c>
      <c r="AW61" s="91">
        <v>1091560</v>
      </c>
      <c r="AX61" s="21">
        <v>0</v>
      </c>
      <c r="AY61" s="21">
        <v>0</v>
      </c>
      <c r="AZ61" s="21">
        <v>0</v>
      </c>
      <c r="BB61" s="91">
        <v>1091560</v>
      </c>
      <c r="BC61" s="91">
        <v>24000</v>
      </c>
      <c r="BE61" s="91">
        <v>4528685.34</v>
      </c>
      <c r="BF61" s="91">
        <v>4873177.68</v>
      </c>
    </row>
    <row r="62" spans="1:58" x14ac:dyDescent="0.2">
      <c r="A62" s="18" t="s">
        <v>119</v>
      </c>
      <c r="B62" s="91">
        <v>277000</v>
      </c>
      <c r="C62" s="91">
        <v>5676000</v>
      </c>
      <c r="D62" s="21">
        <v>0</v>
      </c>
      <c r="E62" s="91">
        <v>30488000</v>
      </c>
      <c r="F62" s="21">
        <v>0</v>
      </c>
      <c r="G62" s="91">
        <v>7852000</v>
      </c>
      <c r="H62" s="91">
        <v>2925000</v>
      </c>
      <c r="I62" s="91">
        <v>32290000</v>
      </c>
      <c r="J62" s="91">
        <v>2813000</v>
      </c>
      <c r="L62" s="91">
        <v>82321000</v>
      </c>
      <c r="M62" s="91">
        <v>26889043</v>
      </c>
      <c r="N62" s="21">
        <v>0</v>
      </c>
      <c r="O62" s="91">
        <v>406253</v>
      </c>
      <c r="P62" s="91">
        <v>27295296</v>
      </c>
      <c r="Q62" s="91">
        <v>775820</v>
      </c>
      <c r="R62" s="91">
        <v>1171393</v>
      </c>
      <c r="S62" s="21">
        <v>0</v>
      </c>
      <c r="T62" s="91">
        <v>4638875</v>
      </c>
      <c r="U62" s="91">
        <v>6586088</v>
      </c>
      <c r="V62" s="91">
        <v>36100</v>
      </c>
      <c r="W62" s="91">
        <v>1147789</v>
      </c>
      <c r="X62" s="91">
        <v>143623</v>
      </c>
      <c r="Y62" s="91">
        <v>1327512</v>
      </c>
      <c r="Z62" s="91">
        <v>5194023</v>
      </c>
      <c r="AA62" s="91">
        <v>39259</v>
      </c>
      <c r="AB62" s="91">
        <v>77427</v>
      </c>
      <c r="AC62" s="91">
        <v>272294</v>
      </c>
      <c r="AD62" s="91">
        <v>5583003</v>
      </c>
      <c r="AE62" s="91">
        <v>386251</v>
      </c>
      <c r="AF62" s="91">
        <v>7299398</v>
      </c>
      <c r="AH62" s="91">
        <v>48477548</v>
      </c>
      <c r="AI62" s="91">
        <v>10334000</v>
      </c>
      <c r="AJ62" s="21">
        <v>0</v>
      </c>
      <c r="AK62" s="21">
        <v>0</v>
      </c>
      <c r="AL62" s="21">
        <v>0</v>
      </c>
      <c r="AM62" s="21">
        <v>0</v>
      </c>
      <c r="AO62" s="91">
        <v>10334000</v>
      </c>
      <c r="AP62" s="91">
        <v>2150254.02</v>
      </c>
      <c r="AQ62" s="21">
        <v>0</v>
      </c>
      <c r="AR62" s="91">
        <v>407000</v>
      </c>
      <c r="AS62" s="21">
        <v>0</v>
      </c>
      <c r="AT62" s="91">
        <v>54000</v>
      </c>
      <c r="AV62" s="91">
        <v>2611254.02</v>
      </c>
      <c r="AW62" s="21">
        <v>0</v>
      </c>
      <c r="AX62" s="91">
        <v>12491000</v>
      </c>
      <c r="AY62" s="21">
        <v>0</v>
      </c>
      <c r="AZ62" s="91">
        <v>7708000</v>
      </c>
      <c r="BB62" s="91">
        <v>20199000</v>
      </c>
      <c r="BC62" s="21">
        <v>0</v>
      </c>
      <c r="BE62" s="91">
        <v>33144254.02</v>
      </c>
      <c r="BF62" s="91">
        <v>81621802.019999996</v>
      </c>
    </row>
    <row r="63" spans="1:58" x14ac:dyDescent="0.2">
      <c r="A63" s="18" t="s">
        <v>120</v>
      </c>
      <c r="B63" s="21">
        <v>0</v>
      </c>
      <c r="C63" s="91">
        <v>12733.76</v>
      </c>
      <c r="D63" s="21">
        <v>0</v>
      </c>
      <c r="E63" s="91">
        <v>668964.49</v>
      </c>
      <c r="F63" s="21">
        <v>0</v>
      </c>
      <c r="G63" s="21">
        <v>0</v>
      </c>
      <c r="H63" s="91">
        <v>6800.45</v>
      </c>
      <c r="I63" s="91">
        <v>6932.5</v>
      </c>
      <c r="J63" s="91">
        <v>2209.34</v>
      </c>
      <c r="L63" s="91">
        <v>697640.54</v>
      </c>
      <c r="M63" s="91">
        <v>6932.5</v>
      </c>
      <c r="N63" s="21">
        <v>0</v>
      </c>
      <c r="O63" s="21">
        <v>0</v>
      </c>
      <c r="P63" s="91">
        <v>6932.5</v>
      </c>
      <c r="Q63" s="21">
        <v>0</v>
      </c>
      <c r="R63" s="21">
        <v>0</v>
      </c>
      <c r="S63" s="21">
        <v>0</v>
      </c>
      <c r="T63" s="91">
        <v>6800.45</v>
      </c>
      <c r="U63" s="91">
        <v>6800.45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91">
        <v>5017.3</v>
      </c>
      <c r="AC63" s="91">
        <v>1127.93</v>
      </c>
      <c r="AD63" s="91">
        <v>6145.23</v>
      </c>
      <c r="AE63" s="91">
        <v>6588.53</v>
      </c>
      <c r="AF63" s="21">
        <v>0</v>
      </c>
      <c r="AH63" s="91">
        <v>26466.71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O63" s="21">
        <v>0</v>
      </c>
      <c r="AP63" s="91">
        <v>516406.78</v>
      </c>
      <c r="AQ63" s="21">
        <v>0</v>
      </c>
      <c r="AR63" s="91">
        <v>152557.71</v>
      </c>
      <c r="AS63" s="21">
        <v>0</v>
      </c>
      <c r="AT63" s="21">
        <v>0</v>
      </c>
      <c r="AV63" s="91">
        <v>668964.49</v>
      </c>
      <c r="AW63" s="21">
        <v>0</v>
      </c>
      <c r="AX63" s="21">
        <v>0</v>
      </c>
      <c r="AY63" s="21">
        <v>0</v>
      </c>
      <c r="AZ63" s="21">
        <v>0</v>
      </c>
      <c r="BB63" s="21">
        <v>0</v>
      </c>
      <c r="BC63" s="21">
        <v>0</v>
      </c>
      <c r="BE63" s="91">
        <v>668964.49</v>
      </c>
      <c r="BF63" s="91">
        <v>695431.2</v>
      </c>
    </row>
    <row r="64" spans="1:58" x14ac:dyDescent="0.2">
      <c r="A64" s="18" t="s">
        <v>121</v>
      </c>
      <c r="B64" s="21">
        <v>0</v>
      </c>
      <c r="C64" s="21">
        <v>0</v>
      </c>
      <c r="D64" s="21">
        <v>0</v>
      </c>
      <c r="E64" s="91">
        <v>632850.39</v>
      </c>
      <c r="F64" s="21">
        <v>0</v>
      </c>
      <c r="G64" s="91">
        <v>286755.96000000002</v>
      </c>
      <c r="H64" s="21">
        <v>0</v>
      </c>
      <c r="I64" s="91">
        <v>11497053.77</v>
      </c>
      <c r="J64" s="91">
        <v>5806.92</v>
      </c>
      <c r="L64" s="91">
        <v>12422467.039999999</v>
      </c>
      <c r="M64" s="91">
        <v>2941133.53</v>
      </c>
      <c r="N64" s="91">
        <v>8201031.0499999998</v>
      </c>
      <c r="O64" s="21">
        <v>0</v>
      </c>
      <c r="P64" s="91">
        <v>11142164.58</v>
      </c>
      <c r="Q64" s="91">
        <v>53664.32</v>
      </c>
      <c r="R64" s="91">
        <v>297630.27</v>
      </c>
      <c r="S64" s="91">
        <v>74952.92</v>
      </c>
      <c r="T64" s="21">
        <v>0</v>
      </c>
      <c r="U64" s="91">
        <v>426247.51</v>
      </c>
      <c r="V64" s="21">
        <v>0</v>
      </c>
      <c r="W64" s="91">
        <v>215397.64</v>
      </c>
      <c r="X64" s="21">
        <v>0</v>
      </c>
      <c r="Y64" s="91">
        <v>215397.64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H64" s="91">
        <v>11783809.73</v>
      </c>
      <c r="AI64" s="91">
        <v>2500000</v>
      </c>
      <c r="AJ64" s="21">
        <v>0</v>
      </c>
      <c r="AK64" s="21">
        <v>0</v>
      </c>
      <c r="AL64" s="21">
        <v>0</v>
      </c>
      <c r="AM64" s="21">
        <v>0</v>
      </c>
      <c r="AO64" s="91">
        <v>2500000</v>
      </c>
      <c r="AP64" s="91">
        <v>197109</v>
      </c>
      <c r="AQ64" s="21">
        <v>0</v>
      </c>
      <c r="AR64" s="21">
        <v>0</v>
      </c>
      <c r="AS64" s="21">
        <v>0</v>
      </c>
      <c r="AT64" s="21">
        <v>0</v>
      </c>
      <c r="AV64" s="91">
        <v>197109</v>
      </c>
      <c r="AW64" s="21">
        <v>0</v>
      </c>
      <c r="AX64" s="21">
        <v>0</v>
      </c>
      <c r="AY64" s="91">
        <v>443376</v>
      </c>
      <c r="AZ64" s="21">
        <v>0</v>
      </c>
      <c r="BB64" s="91">
        <v>443376</v>
      </c>
      <c r="BC64" s="21">
        <v>0</v>
      </c>
      <c r="BE64" s="91">
        <v>3140485</v>
      </c>
      <c r="BF64" s="91">
        <v>14924294.73</v>
      </c>
    </row>
    <row r="65" spans="1:58" x14ac:dyDescent="0.2">
      <c r="A65" s="18" t="s">
        <v>122</v>
      </c>
      <c r="B65" s="21">
        <v>0</v>
      </c>
      <c r="C65" s="91">
        <v>2383.8000000000002</v>
      </c>
      <c r="D65" s="21">
        <v>0</v>
      </c>
      <c r="E65" s="91">
        <v>1566056.6</v>
      </c>
      <c r="F65" s="21">
        <v>0</v>
      </c>
      <c r="G65" s="91">
        <v>189640.95</v>
      </c>
      <c r="H65" s="91">
        <v>57635.09</v>
      </c>
      <c r="I65" s="91">
        <v>52077.42</v>
      </c>
      <c r="J65" s="91">
        <v>23689.19</v>
      </c>
      <c r="L65" s="91">
        <v>1891483.05</v>
      </c>
      <c r="M65" s="91">
        <v>67306.48</v>
      </c>
      <c r="N65" s="21">
        <v>0</v>
      </c>
      <c r="O65" s="91">
        <v>3156.54</v>
      </c>
      <c r="P65" s="91">
        <v>70463.02</v>
      </c>
      <c r="Q65" s="91">
        <v>64170.12</v>
      </c>
      <c r="R65" s="21">
        <v>0</v>
      </c>
      <c r="S65" s="21">
        <v>0</v>
      </c>
      <c r="T65" s="91">
        <v>53778.3</v>
      </c>
      <c r="U65" s="91">
        <v>117948.42</v>
      </c>
      <c r="V65" s="91">
        <v>15000</v>
      </c>
      <c r="W65" s="21">
        <v>0</v>
      </c>
      <c r="X65" s="21">
        <v>0</v>
      </c>
      <c r="Y65" s="91">
        <v>15000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H65" s="91">
        <v>203411.44</v>
      </c>
      <c r="AI65" s="21">
        <v>0</v>
      </c>
      <c r="AJ65" s="91">
        <v>441957</v>
      </c>
      <c r="AK65" s="21">
        <v>0</v>
      </c>
      <c r="AL65" s="21">
        <v>0</v>
      </c>
      <c r="AM65" s="21">
        <v>0</v>
      </c>
      <c r="AO65" s="91">
        <v>441957</v>
      </c>
      <c r="AP65" s="91">
        <v>128097</v>
      </c>
      <c r="AQ65" s="21">
        <v>0</v>
      </c>
      <c r="AR65" s="91">
        <v>240541.11</v>
      </c>
      <c r="AS65" s="21">
        <v>0</v>
      </c>
      <c r="AT65" s="21">
        <v>0</v>
      </c>
      <c r="AV65" s="91">
        <v>368638.11</v>
      </c>
      <c r="AW65" s="21">
        <v>0</v>
      </c>
      <c r="AX65" s="21">
        <v>0</v>
      </c>
      <c r="AY65" s="21">
        <v>0</v>
      </c>
      <c r="AZ65" s="21">
        <v>0</v>
      </c>
      <c r="BB65" s="21">
        <v>0</v>
      </c>
      <c r="BC65" s="21">
        <v>0</v>
      </c>
      <c r="BE65" s="91">
        <v>810595.11</v>
      </c>
      <c r="BF65" s="91">
        <v>1014006.55</v>
      </c>
    </row>
    <row r="66" spans="1:58" x14ac:dyDescent="0.2">
      <c r="A66" s="18" t="s">
        <v>123</v>
      </c>
      <c r="B66" s="21">
        <v>0</v>
      </c>
      <c r="C66" s="91">
        <v>88444</v>
      </c>
      <c r="D66" s="21">
        <v>0</v>
      </c>
      <c r="E66" s="91">
        <v>201825</v>
      </c>
      <c r="F66" s="21">
        <v>0</v>
      </c>
      <c r="G66" s="21">
        <v>0</v>
      </c>
      <c r="H66" s="91">
        <v>1383084</v>
      </c>
      <c r="I66" s="91">
        <v>170538</v>
      </c>
      <c r="J66" s="91">
        <v>80386</v>
      </c>
      <c r="L66" s="91">
        <v>1924277</v>
      </c>
      <c r="M66" s="91">
        <v>170538</v>
      </c>
      <c r="N66" s="21">
        <v>0</v>
      </c>
      <c r="O66" s="21">
        <v>0</v>
      </c>
      <c r="P66" s="91">
        <v>170538</v>
      </c>
      <c r="Q66" s="91">
        <v>593545</v>
      </c>
      <c r="R66" s="91">
        <v>13750</v>
      </c>
      <c r="S66" s="91">
        <v>285360</v>
      </c>
      <c r="T66" s="91">
        <v>643100</v>
      </c>
      <c r="U66" s="91">
        <v>1535755</v>
      </c>
      <c r="V66" s="21">
        <v>0</v>
      </c>
      <c r="W66" s="21">
        <v>0</v>
      </c>
      <c r="X66" s="21">
        <v>0</v>
      </c>
      <c r="Y66" s="21">
        <v>0</v>
      </c>
      <c r="Z66" s="91">
        <v>88444</v>
      </c>
      <c r="AA66" s="21">
        <v>0</v>
      </c>
      <c r="AB66" s="21">
        <v>0</v>
      </c>
      <c r="AC66" s="21">
        <v>0</v>
      </c>
      <c r="AD66" s="91">
        <v>88444</v>
      </c>
      <c r="AE66" s="21">
        <v>0</v>
      </c>
      <c r="AF66" s="91">
        <v>73776</v>
      </c>
      <c r="AH66" s="91">
        <v>1868513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O66" s="21">
        <v>0</v>
      </c>
      <c r="AP66" s="21">
        <v>0</v>
      </c>
      <c r="AQ66" s="21">
        <v>0</v>
      </c>
      <c r="AR66" s="91">
        <v>186862</v>
      </c>
      <c r="AS66" s="21">
        <v>0</v>
      </c>
      <c r="AT66" s="21">
        <v>0</v>
      </c>
      <c r="AV66" s="91">
        <v>186862</v>
      </c>
      <c r="AW66" s="21">
        <v>0</v>
      </c>
      <c r="AX66" s="21">
        <v>0</v>
      </c>
      <c r="AY66" s="21">
        <v>0</v>
      </c>
      <c r="AZ66" s="21">
        <v>0</v>
      </c>
      <c r="BB66" s="21">
        <v>0</v>
      </c>
      <c r="BC66" s="21">
        <v>0</v>
      </c>
      <c r="BE66" s="91">
        <v>186862</v>
      </c>
      <c r="BF66" s="91">
        <v>2055375</v>
      </c>
    </row>
    <row r="67" spans="1:58" x14ac:dyDescent="0.2">
      <c r="A67" s="18" t="s">
        <v>124</v>
      </c>
      <c r="B67" s="21">
        <v>0</v>
      </c>
      <c r="C67" s="21">
        <v>0</v>
      </c>
      <c r="D67" s="21">
        <v>0</v>
      </c>
      <c r="E67" s="91">
        <v>14742</v>
      </c>
      <c r="F67" s="21">
        <v>0</v>
      </c>
      <c r="G67" s="21">
        <v>0</v>
      </c>
      <c r="H67" s="21">
        <v>0</v>
      </c>
      <c r="I67" s="91">
        <v>15141.61</v>
      </c>
      <c r="J67" s="21">
        <v>0</v>
      </c>
      <c r="L67" s="91">
        <v>29883.61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91">
        <v>8724</v>
      </c>
      <c r="T67" s="91">
        <v>1799.82</v>
      </c>
      <c r="U67" s="91">
        <v>10523.82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H67" s="91">
        <v>10523.82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O67" s="21">
        <v>0</v>
      </c>
      <c r="AP67" s="21">
        <v>0</v>
      </c>
      <c r="AQ67" s="21">
        <v>0</v>
      </c>
      <c r="AR67" s="91">
        <v>14742</v>
      </c>
      <c r="AS67" s="21">
        <v>0</v>
      </c>
      <c r="AT67" s="21">
        <v>0</v>
      </c>
      <c r="AV67" s="91">
        <v>14742</v>
      </c>
      <c r="AW67" s="21">
        <v>0</v>
      </c>
      <c r="AX67" s="21">
        <v>0</v>
      </c>
      <c r="AY67" s="21">
        <v>0</v>
      </c>
      <c r="AZ67" s="21">
        <v>0</v>
      </c>
      <c r="BB67" s="21">
        <v>0</v>
      </c>
      <c r="BC67" s="21">
        <v>0</v>
      </c>
      <c r="BE67" s="91">
        <v>14742</v>
      </c>
      <c r="BF67" s="91">
        <v>25265.82</v>
      </c>
    </row>
    <row r="68" spans="1:58" x14ac:dyDescent="0.2">
      <c r="A68" s="18" t="s">
        <v>125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91">
        <v>1160</v>
      </c>
      <c r="J68" s="21">
        <v>0</v>
      </c>
      <c r="L68" s="91">
        <v>1160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O68" s="21">
        <v>0</v>
      </c>
      <c r="AP68" s="91">
        <v>122832</v>
      </c>
      <c r="AQ68" s="21">
        <v>0</v>
      </c>
      <c r="AR68" s="21">
        <v>0</v>
      </c>
      <c r="AS68" s="21">
        <v>0</v>
      </c>
      <c r="AT68" s="21">
        <v>0</v>
      </c>
      <c r="AV68" s="91">
        <v>122832</v>
      </c>
      <c r="AW68" s="21">
        <v>0</v>
      </c>
      <c r="AX68" s="21">
        <v>0</v>
      </c>
      <c r="AY68" s="21">
        <v>0</v>
      </c>
      <c r="AZ68" s="21">
        <v>0</v>
      </c>
      <c r="BB68" s="21">
        <v>0</v>
      </c>
      <c r="BC68" s="21">
        <v>0</v>
      </c>
      <c r="BE68" s="91">
        <v>122832</v>
      </c>
      <c r="BF68" s="91">
        <v>122832</v>
      </c>
    </row>
    <row r="69" spans="1:58" x14ac:dyDescent="0.2">
      <c r="A69" s="18" t="s">
        <v>126</v>
      </c>
      <c r="B69" s="21">
        <v>0</v>
      </c>
      <c r="C69" s="91">
        <v>2512.2199999999998</v>
      </c>
      <c r="D69" s="21">
        <v>0</v>
      </c>
      <c r="E69" s="21">
        <v>0</v>
      </c>
      <c r="F69" s="21">
        <v>0</v>
      </c>
      <c r="G69" s="91">
        <v>34798.07</v>
      </c>
      <c r="H69" s="91">
        <v>12940</v>
      </c>
      <c r="I69" s="91">
        <v>86089.9</v>
      </c>
      <c r="J69" s="91">
        <v>69313.960000000006</v>
      </c>
      <c r="L69" s="91">
        <v>205654.15</v>
      </c>
      <c r="M69" s="91">
        <v>86089.9</v>
      </c>
      <c r="N69" s="21">
        <v>0</v>
      </c>
      <c r="O69" s="21">
        <v>0</v>
      </c>
      <c r="P69" s="91">
        <v>86089.9</v>
      </c>
      <c r="Q69" s="91">
        <v>34798.07</v>
      </c>
      <c r="R69" s="21">
        <v>0</v>
      </c>
      <c r="S69" s="91">
        <v>34165.019999999997</v>
      </c>
      <c r="T69" s="91">
        <v>12940</v>
      </c>
      <c r="U69" s="91">
        <v>81903.09</v>
      </c>
      <c r="V69" s="21">
        <v>0</v>
      </c>
      <c r="W69" s="21">
        <v>0</v>
      </c>
      <c r="X69" s="21">
        <v>0</v>
      </c>
      <c r="Y69" s="21">
        <v>0</v>
      </c>
      <c r="Z69" s="91">
        <v>2512.2199999999998</v>
      </c>
      <c r="AA69" s="21">
        <v>0</v>
      </c>
      <c r="AB69" s="21">
        <v>0</v>
      </c>
      <c r="AC69" s="21">
        <v>0</v>
      </c>
      <c r="AD69" s="91">
        <v>2512.2199999999998</v>
      </c>
      <c r="AE69" s="21">
        <v>0</v>
      </c>
      <c r="AF69" s="21">
        <v>0</v>
      </c>
      <c r="AH69" s="91">
        <v>170505.21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V69" s="21">
        <v>0</v>
      </c>
      <c r="AW69" s="21">
        <v>0</v>
      </c>
      <c r="AX69" s="21">
        <v>0</v>
      </c>
      <c r="AY69" s="21">
        <v>0</v>
      </c>
      <c r="AZ69" s="21">
        <v>0</v>
      </c>
      <c r="BB69" s="21">
        <v>0</v>
      </c>
      <c r="BC69" s="21">
        <v>0</v>
      </c>
      <c r="BE69" s="21">
        <v>0</v>
      </c>
      <c r="BF69" s="91">
        <v>170505.21</v>
      </c>
    </row>
    <row r="70" spans="1:58" x14ac:dyDescent="0.2">
      <c r="A70" s="18" t="s">
        <v>127</v>
      </c>
      <c r="B70" s="21">
        <v>0</v>
      </c>
      <c r="C70" s="21">
        <v>0</v>
      </c>
      <c r="D70" s="21">
        <v>0</v>
      </c>
      <c r="E70" s="91">
        <v>2139278.89</v>
      </c>
      <c r="F70" s="21">
        <v>0</v>
      </c>
      <c r="G70" s="91">
        <v>18465.47</v>
      </c>
      <c r="H70" s="91">
        <v>2570.09</v>
      </c>
      <c r="I70" s="91">
        <v>32763.35</v>
      </c>
      <c r="J70" s="91">
        <v>20054.189999999999</v>
      </c>
      <c r="L70" s="91">
        <v>2213131.9900000002</v>
      </c>
      <c r="M70" s="91">
        <v>13984.99</v>
      </c>
      <c r="N70" s="21">
        <v>0</v>
      </c>
      <c r="O70" s="91">
        <v>19149.41</v>
      </c>
      <c r="P70" s="91">
        <v>33134.400000000001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H70" s="91">
        <v>33134.400000000001</v>
      </c>
      <c r="AI70" s="91">
        <v>2500000</v>
      </c>
      <c r="AJ70" s="91">
        <v>918125</v>
      </c>
      <c r="AK70" s="21">
        <v>0</v>
      </c>
      <c r="AL70" s="21">
        <v>0</v>
      </c>
      <c r="AM70" s="21">
        <v>0</v>
      </c>
      <c r="AO70" s="91">
        <v>3418125</v>
      </c>
      <c r="AP70" s="91">
        <v>127103.56</v>
      </c>
      <c r="AQ70" s="21">
        <v>0</v>
      </c>
      <c r="AR70" s="21">
        <v>0</v>
      </c>
      <c r="AS70" s="21">
        <v>0</v>
      </c>
      <c r="AT70" s="21">
        <v>0</v>
      </c>
      <c r="AV70" s="91">
        <v>127103.56</v>
      </c>
      <c r="AW70" s="91">
        <v>94685.65</v>
      </c>
      <c r="AX70" s="21">
        <v>0</v>
      </c>
      <c r="AY70" s="21">
        <v>0</v>
      </c>
      <c r="AZ70" s="21">
        <v>0</v>
      </c>
      <c r="BB70" s="91">
        <v>94685.65</v>
      </c>
      <c r="BC70" s="21">
        <v>0</v>
      </c>
      <c r="BE70" s="91">
        <v>3639914.21</v>
      </c>
      <c r="BF70" s="91">
        <v>3673048.61</v>
      </c>
    </row>
    <row r="71" spans="1:58" x14ac:dyDescent="0.2">
      <c r="A71" s="18" t="s">
        <v>128</v>
      </c>
      <c r="B71" s="21">
        <v>0</v>
      </c>
      <c r="C71" s="91">
        <v>83961</v>
      </c>
      <c r="D71" s="21">
        <v>0</v>
      </c>
      <c r="E71" s="91">
        <v>11596476</v>
      </c>
      <c r="F71" s="21">
        <v>0</v>
      </c>
      <c r="G71" s="91">
        <v>1934559</v>
      </c>
      <c r="H71" s="91">
        <v>1163277</v>
      </c>
      <c r="I71" s="91">
        <v>7477089</v>
      </c>
      <c r="J71" s="91">
        <v>57979</v>
      </c>
      <c r="L71" s="91">
        <v>22313341</v>
      </c>
      <c r="M71" s="91">
        <v>6117000</v>
      </c>
      <c r="N71" s="21">
        <v>0</v>
      </c>
      <c r="O71" s="21">
        <v>0</v>
      </c>
      <c r="P71" s="91">
        <v>6117000</v>
      </c>
      <c r="Q71" s="21">
        <v>0</v>
      </c>
      <c r="R71" s="91">
        <v>690000</v>
      </c>
      <c r="S71" s="21">
        <v>0</v>
      </c>
      <c r="T71" s="91">
        <v>929000</v>
      </c>
      <c r="U71" s="91">
        <v>1619000</v>
      </c>
      <c r="V71" s="91">
        <v>2203000</v>
      </c>
      <c r="W71" s="91">
        <v>528000</v>
      </c>
      <c r="X71" s="21">
        <v>0</v>
      </c>
      <c r="Y71" s="91">
        <v>2731000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91">
        <v>295000</v>
      </c>
      <c r="AH71" s="91">
        <v>10762000</v>
      </c>
      <c r="AI71" s="91">
        <v>7500000</v>
      </c>
      <c r="AJ71" s="91">
        <v>860720</v>
      </c>
      <c r="AK71" s="21">
        <v>0</v>
      </c>
      <c r="AL71" s="21">
        <v>0</v>
      </c>
      <c r="AM71" s="21">
        <v>0</v>
      </c>
      <c r="AO71" s="91">
        <v>8360720</v>
      </c>
      <c r="AP71" s="91">
        <v>271542</v>
      </c>
      <c r="AQ71" s="21">
        <v>0</v>
      </c>
      <c r="AR71" s="91">
        <v>285319</v>
      </c>
      <c r="AS71" s="21">
        <v>0</v>
      </c>
      <c r="AT71" s="21">
        <v>0</v>
      </c>
      <c r="AV71" s="91">
        <v>556861</v>
      </c>
      <c r="AW71" s="91">
        <v>4279409</v>
      </c>
      <c r="AX71" s="91">
        <v>4941563</v>
      </c>
      <c r="AY71" s="21">
        <v>0</v>
      </c>
      <c r="AZ71" s="91">
        <v>2556720</v>
      </c>
      <c r="BB71" s="91">
        <v>11777692</v>
      </c>
      <c r="BC71" s="91">
        <v>305975</v>
      </c>
      <c r="BE71" s="91">
        <v>20695273</v>
      </c>
      <c r="BF71" s="91">
        <v>31457273</v>
      </c>
    </row>
    <row r="72" spans="1:58" x14ac:dyDescent="0.2">
      <c r="A72" s="18" t="s">
        <v>129</v>
      </c>
      <c r="B72" s="21">
        <v>0</v>
      </c>
      <c r="C72" s="21">
        <v>807.08</v>
      </c>
      <c r="D72" s="21">
        <v>0</v>
      </c>
      <c r="E72" s="91">
        <v>531805.67000000004</v>
      </c>
      <c r="F72" s="21">
        <v>0</v>
      </c>
      <c r="G72" s="91">
        <v>167543.53</v>
      </c>
      <c r="H72" s="91">
        <v>1041668.56</v>
      </c>
      <c r="I72" s="91">
        <v>17985</v>
      </c>
      <c r="J72" s="91">
        <v>3806.43</v>
      </c>
      <c r="L72" s="91">
        <v>1763616.27</v>
      </c>
      <c r="M72" s="91">
        <v>384682.91</v>
      </c>
      <c r="N72" s="21">
        <v>0</v>
      </c>
      <c r="O72" s="21">
        <v>0</v>
      </c>
      <c r="P72" s="91">
        <v>384682.91</v>
      </c>
      <c r="Q72" s="91">
        <v>85985.35</v>
      </c>
      <c r="R72" s="91">
        <v>79419.820000000007</v>
      </c>
      <c r="S72" s="91">
        <v>442224.73</v>
      </c>
      <c r="T72" s="21">
        <v>0</v>
      </c>
      <c r="U72" s="91">
        <v>607629.9</v>
      </c>
      <c r="V72" s="91">
        <v>163543.53</v>
      </c>
      <c r="W72" s="21">
        <v>0</v>
      </c>
      <c r="X72" s="21">
        <v>0</v>
      </c>
      <c r="Y72" s="91">
        <v>163543.53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807.08</v>
      </c>
      <c r="AF72" s="91">
        <v>1650</v>
      </c>
      <c r="AH72" s="91">
        <v>1158313.42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O72" s="21">
        <v>0</v>
      </c>
      <c r="AP72" s="21">
        <v>0</v>
      </c>
      <c r="AQ72" s="21">
        <v>0</v>
      </c>
      <c r="AR72" s="91">
        <v>219571.05</v>
      </c>
      <c r="AS72" s="21">
        <v>0</v>
      </c>
      <c r="AT72" s="21">
        <v>0</v>
      </c>
      <c r="AV72" s="21">
        <v>0</v>
      </c>
      <c r="AW72" s="21">
        <v>0</v>
      </c>
      <c r="AX72" s="21">
        <v>0</v>
      </c>
      <c r="AY72" s="21">
        <v>0</v>
      </c>
      <c r="AZ72" s="21">
        <v>0</v>
      </c>
      <c r="BB72" s="21">
        <v>0</v>
      </c>
      <c r="BC72" s="21">
        <v>0</v>
      </c>
      <c r="BE72" s="91">
        <v>219571.05</v>
      </c>
      <c r="BF72" s="91">
        <v>1377884.47</v>
      </c>
    </row>
    <row r="73" spans="1:58" x14ac:dyDescent="0.2">
      <c r="A73" s="18" t="s">
        <v>130</v>
      </c>
      <c r="B73" s="21">
        <v>0</v>
      </c>
      <c r="C73" s="91">
        <v>313240.68</v>
      </c>
      <c r="D73" s="91">
        <v>3936.44</v>
      </c>
      <c r="E73" s="91">
        <v>2468469.88</v>
      </c>
      <c r="F73" s="21">
        <v>0</v>
      </c>
      <c r="G73" s="21">
        <v>0</v>
      </c>
      <c r="H73" s="91">
        <v>31442.26</v>
      </c>
      <c r="I73" s="91">
        <v>209968</v>
      </c>
      <c r="J73" s="91">
        <v>8955.1200000000008</v>
      </c>
      <c r="L73" s="91">
        <v>3036012.38</v>
      </c>
      <c r="M73" s="91">
        <v>119874.64</v>
      </c>
      <c r="N73" s="21">
        <v>0</v>
      </c>
      <c r="O73" s="91">
        <v>4100</v>
      </c>
      <c r="P73" s="91">
        <v>123974.64</v>
      </c>
      <c r="Q73" s="91">
        <v>15467.34</v>
      </c>
      <c r="R73" s="21">
        <v>0</v>
      </c>
      <c r="S73" s="91">
        <v>3613.86</v>
      </c>
      <c r="T73" s="91">
        <v>10625.5</v>
      </c>
      <c r="U73" s="91">
        <v>29706.7</v>
      </c>
      <c r="V73" s="21">
        <v>0</v>
      </c>
      <c r="W73" s="21">
        <v>857.15</v>
      </c>
      <c r="X73" s="21">
        <v>0</v>
      </c>
      <c r="Y73" s="21">
        <v>857.15</v>
      </c>
      <c r="Z73" s="91">
        <v>227290.16</v>
      </c>
      <c r="AA73" s="21">
        <v>0</v>
      </c>
      <c r="AB73" s="21">
        <v>0</v>
      </c>
      <c r="AC73" s="91">
        <v>2271.79</v>
      </c>
      <c r="AD73" s="91">
        <v>229561.95</v>
      </c>
      <c r="AE73" s="91">
        <v>23105.57</v>
      </c>
      <c r="AF73" s="21">
        <v>0</v>
      </c>
      <c r="AH73" s="91">
        <v>407206.01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O73" s="21">
        <v>0</v>
      </c>
      <c r="AP73" s="91">
        <v>1570997.93</v>
      </c>
      <c r="AQ73" s="21">
        <v>0</v>
      </c>
      <c r="AR73" s="91">
        <v>507762.2</v>
      </c>
      <c r="AS73" s="21">
        <v>0</v>
      </c>
      <c r="AT73" s="21">
        <v>0</v>
      </c>
      <c r="AV73" s="91">
        <v>2078760.13</v>
      </c>
      <c r="AW73" s="91">
        <v>19781.84</v>
      </c>
      <c r="AX73" s="21">
        <v>0</v>
      </c>
      <c r="AY73" s="21">
        <v>0</v>
      </c>
      <c r="AZ73" s="21">
        <v>0</v>
      </c>
      <c r="BB73" s="91">
        <v>19781.84</v>
      </c>
      <c r="BC73" s="21">
        <v>0</v>
      </c>
      <c r="BE73" s="91">
        <v>2098541.9700000002</v>
      </c>
      <c r="BF73" s="91">
        <v>2505747.98</v>
      </c>
    </row>
    <row r="74" spans="1:58" x14ac:dyDescent="0.2">
      <c r="A74" s="18" t="s">
        <v>131</v>
      </c>
      <c r="B74" s="21">
        <v>0</v>
      </c>
      <c r="C74" s="91">
        <v>1035.1400000000001</v>
      </c>
      <c r="D74" s="21">
        <v>0</v>
      </c>
      <c r="E74" s="21">
        <v>0</v>
      </c>
      <c r="F74" s="21">
        <v>0</v>
      </c>
      <c r="G74" s="21">
        <v>0</v>
      </c>
      <c r="H74" s="91">
        <v>2441</v>
      </c>
      <c r="I74" s="91">
        <v>5695.67</v>
      </c>
      <c r="J74" s="21">
        <v>0</v>
      </c>
      <c r="L74" s="91">
        <v>9171.81</v>
      </c>
      <c r="M74" s="91">
        <v>5695.67</v>
      </c>
      <c r="N74" s="21">
        <v>0</v>
      </c>
      <c r="O74" s="21">
        <v>0</v>
      </c>
      <c r="P74" s="91">
        <v>5695.67</v>
      </c>
      <c r="Q74" s="21">
        <v>0</v>
      </c>
      <c r="R74" s="21">
        <v>0</v>
      </c>
      <c r="S74" s="21">
        <v>0</v>
      </c>
      <c r="T74" s="91">
        <v>2441</v>
      </c>
      <c r="U74" s="91">
        <v>2441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91">
        <v>1035.1400000000001</v>
      </c>
      <c r="AF74" s="21">
        <v>0</v>
      </c>
      <c r="AH74" s="91">
        <v>9171.81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V74" s="21">
        <v>0</v>
      </c>
      <c r="AW74" s="21">
        <v>0</v>
      </c>
      <c r="AX74" s="21">
        <v>0</v>
      </c>
      <c r="AY74" s="21">
        <v>0</v>
      </c>
      <c r="AZ74" s="21">
        <v>0</v>
      </c>
      <c r="BB74" s="21">
        <v>0</v>
      </c>
      <c r="BC74" s="21">
        <v>0</v>
      </c>
      <c r="BE74" s="21">
        <v>0</v>
      </c>
      <c r="BF74" s="91">
        <v>9171.81</v>
      </c>
    </row>
    <row r="75" spans="1:58" x14ac:dyDescent="0.2">
      <c r="A75" s="18" t="s">
        <v>132</v>
      </c>
      <c r="B75" s="21">
        <v>0</v>
      </c>
      <c r="C75" s="21">
        <v>0</v>
      </c>
      <c r="D75" s="91">
        <v>4050</v>
      </c>
      <c r="E75" s="91">
        <v>19225.53</v>
      </c>
      <c r="F75" s="21">
        <v>0</v>
      </c>
      <c r="G75" s="91">
        <v>34492.83</v>
      </c>
      <c r="H75" s="91">
        <v>63292.73</v>
      </c>
      <c r="I75" s="91">
        <v>14699.44</v>
      </c>
      <c r="J75" s="21">
        <v>1</v>
      </c>
      <c r="L75" s="91">
        <v>135761.53</v>
      </c>
      <c r="M75" s="91">
        <v>14699.44</v>
      </c>
      <c r="N75" s="21">
        <v>0</v>
      </c>
      <c r="O75" s="21">
        <v>0</v>
      </c>
      <c r="P75" s="91">
        <v>14699.44</v>
      </c>
      <c r="Q75" s="91">
        <v>63292.73</v>
      </c>
      <c r="R75" s="21">
        <v>0</v>
      </c>
      <c r="S75" s="21">
        <v>0</v>
      </c>
      <c r="T75" s="21">
        <v>0</v>
      </c>
      <c r="U75" s="91">
        <v>63292.73</v>
      </c>
      <c r="V75" s="91">
        <v>34492.83</v>
      </c>
      <c r="W75" s="21">
        <v>0</v>
      </c>
      <c r="X75" s="21">
        <v>0</v>
      </c>
      <c r="Y75" s="91">
        <v>34492.83</v>
      </c>
      <c r="Z75" s="21">
        <v>0</v>
      </c>
      <c r="AA75" s="21">
        <v>0</v>
      </c>
      <c r="AB75" s="21">
        <v>0</v>
      </c>
      <c r="AC75" s="91">
        <v>4050</v>
      </c>
      <c r="AD75" s="91">
        <v>4050</v>
      </c>
      <c r="AE75" s="21">
        <v>0</v>
      </c>
      <c r="AF75" s="21">
        <v>0</v>
      </c>
      <c r="AH75" s="91">
        <v>116535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O75" s="21">
        <v>0</v>
      </c>
      <c r="AP75" s="91">
        <v>3000</v>
      </c>
      <c r="AQ75" s="21">
        <v>0</v>
      </c>
      <c r="AR75" s="91">
        <v>38736.980000000003</v>
      </c>
      <c r="AS75" s="21">
        <v>0</v>
      </c>
      <c r="AT75" s="21">
        <v>0</v>
      </c>
      <c r="AV75" s="91">
        <v>41736.980000000003</v>
      </c>
      <c r="AW75" s="21">
        <v>0</v>
      </c>
      <c r="AX75" s="21">
        <v>0</v>
      </c>
      <c r="AY75" s="21">
        <v>0</v>
      </c>
      <c r="AZ75" s="21">
        <v>0</v>
      </c>
      <c r="BB75" s="21">
        <v>0</v>
      </c>
      <c r="BC75" s="21">
        <v>0</v>
      </c>
      <c r="BE75" s="91">
        <v>41736.980000000003</v>
      </c>
      <c r="BF75" s="91">
        <v>158271.98000000001</v>
      </c>
    </row>
    <row r="76" spans="1:58" x14ac:dyDescent="0.2">
      <c r="A76" s="18" t="s">
        <v>133</v>
      </c>
      <c r="B76" s="21">
        <v>0</v>
      </c>
      <c r="C76" s="21">
        <v>0</v>
      </c>
      <c r="D76" s="91">
        <v>24250</v>
      </c>
      <c r="E76" s="91">
        <v>576410.88</v>
      </c>
      <c r="F76" s="21">
        <v>0</v>
      </c>
      <c r="G76" s="91">
        <v>61486</v>
      </c>
      <c r="H76" s="91">
        <v>531456.85</v>
      </c>
      <c r="I76" s="91">
        <v>55886.35</v>
      </c>
      <c r="J76" s="91">
        <v>1326.43</v>
      </c>
      <c r="L76" s="91">
        <v>1250816.51</v>
      </c>
      <c r="M76" s="91">
        <v>55886.35</v>
      </c>
      <c r="N76" s="21">
        <v>0</v>
      </c>
      <c r="O76" s="21">
        <v>0</v>
      </c>
      <c r="P76" s="91">
        <v>55886.35</v>
      </c>
      <c r="Q76" s="21">
        <v>0</v>
      </c>
      <c r="R76" s="21">
        <v>0</v>
      </c>
      <c r="S76" s="91">
        <v>424051</v>
      </c>
      <c r="T76" s="91">
        <v>131655.85</v>
      </c>
      <c r="U76" s="91">
        <v>555706.85</v>
      </c>
      <c r="V76" s="91">
        <v>139716</v>
      </c>
      <c r="W76" s="21">
        <v>0</v>
      </c>
      <c r="X76" s="21">
        <v>0</v>
      </c>
      <c r="Y76" s="91">
        <v>139716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H76" s="91">
        <v>751309.2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O76" s="21">
        <v>0</v>
      </c>
      <c r="AP76" s="91">
        <v>360514.91</v>
      </c>
      <c r="AQ76" s="21">
        <v>0</v>
      </c>
      <c r="AR76" s="91">
        <v>222581.05</v>
      </c>
      <c r="AS76" s="21">
        <v>0</v>
      </c>
      <c r="AT76" s="21">
        <v>0</v>
      </c>
      <c r="AV76" s="91">
        <v>583095.96</v>
      </c>
      <c r="AW76" s="91">
        <v>20474.060000000001</v>
      </c>
      <c r="AX76" s="21">
        <v>0</v>
      </c>
      <c r="AY76" s="21">
        <v>0</v>
      </c>
      <c r="AZ76" s="21">
        <v>0</v>
      </c>
      <c r="BB76" s="91">
        <v>20474.060000000001</v>
      </c>
      <c r="BC76" s="21">
        <v>0</v>
      </c>
      <c r="BE76" s="91">
        <v>603570.02</v>
      </c>
      <c r="BF76" s="91">
        <v>1354879.22</v>
      </c>
    </row>
    <row r="77" spans="1:58" x14ac:dyDescent="0.2">
      <c r="A77" s="18" t="s">
        <v>134</v>
      </c>
      <c r="B77" s="21">
        <v>0</v>
      </c>
      <c r="C77" s="21">
        <v>0</v>
      </c>
      <c r="D77" s="21">
        <v>0</v>
      </c>
      <c r="E77" s="91">
        <v>4171010.05</v>
      </c>
      <c r="F77" s="21">
        <v>0</v>
      </c>
      <c r="G77" s="21">
        <v>0</v>
      </c>
      <c r="H77" s="91">
        <v>15359.09</v>
      </c>
      <c r="I77" s="91">
        <v>124877.54</v>
      </c>
      <c r="J77" s="21">
        <v>0</v>
      </c>
      <c r="L77" s="91">
        <v>13589782.74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91">
        <v>15359.09</v>
      </c>
      <c r="T77" s="21">
        <v>0</v>
      </c>
      <c r="U77" s="91">
        <v>55104.23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H77" s="91">
        <v>110208.46</v>
      </c>
      <c r="AI77" s="91">
        <v>3738500</v>
      </c>
      <c r="AJ77" s="21">
        <v>0</v>
      </c>
      <c r="AK77" s="21">
        <v>0</v>
      </c>
      <c r="AL77" s="21">
        <v>0</v>
      </c>
      <c r="AM77" s="21">
        <v>0</v>
      </c>
      <c r="AO77" s="91">
        <v>3738500</v>
      </c>
      <c r="AP77" s="91">
        <v>1320429.08</v>
      </c>
      <c r="AQ77" s="21">
        <v>0</v>
      </c>
      <c r="AR77" s="91">
        <v>494204.02</v>
      </c>
      <c r="AS77" s="21">
        <v>0</v>
      </c>
      <c r="AT77" s="21">
        <v>0</v>
      </c>
      <c r="AV77" s="91">
        <v>3839681.56</v>
      </c>
      <c r="AW77" s="21">
        <v>0</v>
      </c>
      <c r="AX77" s="21">
        <v>0</v>
      </c>
      <c r="AY77" s="21">
        <v>0</v>
      </c>
      <c r="AZ77" s="21">
        <v>0</v>
      </c>
      <c r="BB77" s="91">
        <v>155921.48000000001</v>
      </c>
      <c r="BC77" s="21">
        <v>0</v>
      </c>
      <c r="BE77" s="91">
        <v>15468206.08</v>
      </c>
      <c r="BF77" s="91">
        <v>31156829.079999998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1"/>
  <sheetViews>
    <sheetView showGridLines="0" topLeftCell="A2" workbookViewId="0">
      <selection activeCell="B2" sqref="B2:I2"/>
    </sheetView>
  </sheetViews>
  <sheetFormatPr baseColWidth="10" defaultColWidth="11.42578125" defaultRowHeight="12.75" x14ac:dyDescent="0.2"/>
  <cols>
    <col min="1" max="1" width="1.42578125" style="35" customWidth="1"/>
    <col min="2" max="2" width="33" style="35" customWidth="1"/>
    <col min="3" max="4" width="8.28515625" style="35" customWidth="1"/>
    <col min="5" max="5" width="11" style="148" customWidth="1"/>
    <col min="6" max="6" width="7.28515625" style="149" customWidth="1"/>
    <col min="7" max="8" width="2.42578125" style="35" customWidth="1"/>
    <col min="9" max="9" width="24" style="35" customWidth="1"/>
    <col min="10" max="10" width="9.85546875" style="35" customWidth="1"/>
    <col min="11" max="16" width="11.42578125" style="35"/>
    <col min="17" max="17" width="11.42578125" style="35" bestFit="1" customWidth="1"/>
    <col min="18" max="18" width="11.42578125" style="35"/>
    <col min="19" max="19" width="11.42578125" style="35" bestFit="1" customWidth="1"/>
    <col min="20" max="20" width="12" style="35" bestFit="1" customWidth="1"/>
    <col min="21" max="22" width="11.42578125" style="35"/>
    <col min="23" max="23" width="5.42578125" style="35" customWidth="1"/>
    <col min="24" max="16384" width="11.42578125" style="35"/>
  </cols>
  <sheetData>
    <row r="1" spans="2:25" ht="7.5" hidden="1" customHeight="1" x14ac:dyDescent="0.2"/>
    <row r="2" spans="2:25" ht="33" customHeight="1" x14ac:dyDescent="0.2">
      <c r="B2" s="320" t="s">
        <v>237</v>
      </c>
      <c r="C2" s="320"/>
      <c r="D2" s="320"/>
      <c r="E2" s="320"/>
      <c r="F2" s="320"/>
      <c r="G2" s="320"/>
      <c r="H2" s="320"/>
      <c r="I2" s="320"/>
    </row>
    <row r="3" spans="2:25" s="33" customFormat="1" ht="7.5" customHeight="1" x14ac:dyDescent="0.2">
      <c r="B3" s="296"/>
      <c r="C3" s="296"/>
      <c r="D3" s="296"/>
      <c r="E3" s="296"/>
      <c r="F3" s="296"/>
      <c r="G3" s="296"/>
      <c r="H3" s="296"/>
      <c r="I3" s="296"/>
    </row>
    <row r="4" spans="2:25" s="33" customFormat="1" ht="31.5" customHeight="1" x14ac:dyDescent="0.2">
      <c r="B4" s="347" t="s">
        <v>238</v>
      </c>
      <c r="C4" s="348"/>
      <c r="D4" s="348"/>
      <c r="E4" s="348"/>
      <c r="F4" s="349"/>
      <c r="G4" s="296"/>
      <c r="H4" s="296"/>
      <c r="I4" s="150"/>
      <c r="J4" s="151">
        <v>2003</v>
      </c>
      <c r="K4" s="152">
        <v>2004</v>
      </c>
      <c r="L4" s="152">
        <v>2005</v>
      </c>
      <c r="M4" s="153">
        <v>2006</v>
      </c>
      <c r="N4" s="153">
        <v>2007</v>
      </c>
      <c r="O4" s="153">
        <v>2008</v>
      </c>
      <c r="P4" s="153">
        <v>2009</v>
      </c>
      <c r="Q4" s="153">
        <v>2010</v>
      </c>
      <c r="R4" s="153">
        <v>2011</v>
      </c>
      <c r="S4" s="153">
        <v>2012</v>
      </c>
      <c r="T4" s="153">
        <v>2013</v>
      </c>
      <c r="U4" s="153">
        <v>2014</v>
      </c>
      <c r="V4" s="154">
        <v>2015</v>
      </c>
    </row>
    <row r="5" spans="2:25" s="161" customFormat="1" ht="20.25" customHeight="1" x14ac:dyDescent="0.2">
      <c r="B5" s="295"/>
      <c r="C5" s="296">
        <v>2015</v>
      </c>
      <c r="D5" s="296">
        <v>2014</v>
      </c>
      <c r="E5" s="320" t="s">
        <v>239</v>
      </c>
      <c r="F5" s="346"/>
      <c r="G5" s="155"/>
      <c r="H5" s="155"/>
      <c r="I5" s="156" t="s">
        <v>156</v>
      </c>
      <c r="J5" s="157">
        <v>0.55000000000000004</v>
      </c>
      <c r="K5" s="158">
        <v>0.49171916493098994</v>
      </c>
      <c r="L5" s="159">
        <v>0.42841117606835422</v>
      </c>
      <c r="M5" s="159">
        <v>0.54</v>
      </c>
      <c r="N5" s="159">
        <v>0.54400000000000004</v>
      </c>
      <c r="O5" s="159">
        <v>0.57240666433742671</v>
      </c>
      <c r="P5" s="159">
        <v>0.59320985542244509</v>
      </c>
      <c r="Q5" s="159">
        <v>0.58303578302139003</v>
      </c>
      <c r="R5" s="159">
        <v>0.41081811396342283</v>
      </c>
      <c r="S5" s="159">
        <v>0.50312020858832696</v>
      </c>
      <c r="T5" s="159">
        <v>0.50658436520445571</v>
      </c>
      <c r="U5" s="159">
        <f>'Totales fondos'!F47</f>
        <v>0.55506188278132751</v>
      </c>
      <c r="V5" s="160">
        <f>'Totales fondos'!D47</f>
        <v>0.39881632101655234</v>
      </c>
    </row>
    <row r="6" spans="2:25" x14ac:dyDescent="0.2">
      <c r="B6" s="162"/>
      <c r="C6" s="49" t="s">
        <v>240</v>
      </c>
      <c r="D6" s="49" t="s">
        <v>240</v>
      </c>
      <c r="E6" s="49" t="s">
        <v>151</v>
      </c>
      <c r="F6" s="163" t="s">
        <v>152</v>
      </c>
      <c r="G6" s="33"/>
      <c r="H6" s="33"/>
      <c r="I6" s="156" t="s">
        <v>157</v>
      </c>
      <c r="J6" s="157">
        <v>0.45</v>
      </c>
      <c r="K6" s="158">
        <v>0.50828083506901012</v>
      </c>
      <c r="L6" s="159">
        <v>0.5715888239316459</v>
      </c>
      <c r="M6" s="159">
        <v>0.46</v>
      </c>
      <c r="N6" s="159">
        <v>0.45600000000000002</v>
      </c>
      <c r="O6" s="159">
        <v>0.42759333566257335</v>
      </c>
      <c r="P6" s="159">
        <v>0.40679014457755497</v>
      </c>
      <c r="Q6" s="159">
        <v>0.41696421697861002</v>
      </c>
      <c r="R6" s="159">
        <v>0.58918188603657717</v>
      </c>
      <c r="S6" s="159">
        <v>0.49687979141167293</v>
      </c>
      <c r="T6" s="159">
        <v>0.49341563479554423</v>
      </c>
      <c r="U6" s="159">
        <f>'Totales fondos'!F25</f>
        <v>0.44493811721867238</v>
      </c>
      <c r="V6" s="160">
        <f>'Totales fondos'!D25</f>
        <v>0.6011836789834476</v>
      </c>
      <c r="X6" s="161" t="s">
        <v>241</v>
      </c>
      <c r="Y6" s="161" t="s">
        <v>242</v>
      </c>
    </row>
    <row r="7" spans="2:25" ht="15.75" customHeight="1" x14ac:dyDescent="0.2">
      <c r="B7" s="164" t="s">
        <v>157</v>
      </c>
      <c r="C7" s="302"/>
      <c r="D7" s="302"/>
      <c r="E7" s="302"/>
      <c r="F7" s="165"/>
      <c r="G7" s="33"/>
      <c r="H7" s="33"/>
      <c r="I7" s="166" t="s">
        <v>158</v>
      </c>
      <c r="J7" s="199">
        <v>410.81748090132356</v>
      </c>
      <c r="K7" s="199">
        <v>447.79105418244274</v>
      </c>
      <c r="L7" s="199">
        <v>538.28622099999995</v>
      </c>
      <c r="M7" s="199">
        <f>SUM(M8:M9)</f>
        <v>656.03</v>
      </c>
      <c r="N7" s="199">
        <f>SUM(N8:N9)</f>
        <v>668.81999999999994</v>
      </c>
      <c r="O7" s="199">
        <v>625.3882853099999</v>
      </c>
      <c r="P7" s="199">
        <v>648.65075400000001</v>
      </c>
      <c r="Q7" s="199">
        <v>817.3001569999999</v>
      </c>
      <c r="R7" s="199">
        <v>530.519499</v>
      </c>
      <c r="S7" s="199">
        <v>458.06621561999998</v>
      </c>
      <c r="T7" s="199">
        <v>465.25853819999998</v>
      </c>
      <c r="U7" s="199">
        <f>SUM(U8:U9)</f>
        <v>620.89275281000005</v>
      </c>
      <c r="V7" s="254">
        <f>SUM(V8:V9)</f>
        <v>498.57178699000002</v>
      </c>
      <c r="X7" s="35">
        <v>2010</v>
      </c>
      <c r="Y7" s="99">
        <f>Q15</f>
        <v>723.36202900000001</v>
      </c>
    </row>
    <row r="8" spans="2:25" ht="14.25" customHeight="1" x14ac:dyDescent="0.2">
      <c r="B8" s="170" t="s">
        <v>209</v>
      </c>
      <c r="C8" s="99">
        <f>'Totales fondos'!C5</f>
        <v>154.80995867999999</v>
      </c>
      <c r="D8" s="171">
        <f>'Totales fondos'!E5</f>
        <v>147.32748608</v>
      </c>
      <c r="E8" s="172">
        <f t="shared" ref="E8:E13" si="0">C8-D8</f>
        <v>7.4824725999999941</v>
      </c>
      <c r="F8" s="173">
        <f t="shared" ref="F8:F13" si="1">(C8-D8)/D8</f>
        <v>5.0788028758849191E-2</v>
      </c>
      <c r="G8" s="33"/>
      <c r="H8" s="33"/>
      <c r="I8" s="156" t="s">
        <v>156</v>
      </c>
      <c r="J8" s="167">
        <v>225.94961449572799</v>
      </c>
      <c r="K8" s="167">
        <v>220.18744322615842</v>
      </c>
      <c r="L8" s="167">
        <v>230.607833</v>
      </c>
      <c r="M8" s="167">
        <v>361.29</v>
      </c>
      <c r="N8" s="167">
        <v>363.54</v>
      </c>
      <c r="O8" s="167">
        <v>357.97642230999998</v>
      </c>
      <c r="P8" s="167">
        <v>384.78602000000001</v>
      </c>
      <c r="Q8" s="167">
        <v>476.51523699999996</v>
      </c>
      <c r="R8" s="167">
        <v>217.94701999999998</v>
      </c>
      <c r="S8" s="167">
        <v>230.46236994999995</v>
      </c>
      <c r="T8" s="167">
        <v>235.69270122999998</v>
      </c>
      <c r="U8" s="167">
        <f>'Totales fondos'!E47</f>
        <v>344.63390038</v>
      </c>
      <c r="V8" s="168">
        <f>'Totales fondos'!C47</f>
        <v>198.83856585000001</v>
      </c>
      <c r="X8" s="21">
        <v>2011</v>
      </c>
      <c r="Y8" s="99">
        <f>R15</f>
        <v>732.10098799999992</v>
      </c>
    </row>
    <row r="9" spans="2:25" ht="14.25" customHeight="1" x14ac:dyDescent="0.2">
      <c r="B9" s="170" t="s">
        <v>211</v>
      </c>
      <c r="C9" s="167">
        <f>'Totales fondos'!C9</f>
        <v>90.925300880000009</v>
      </c>
      <c r="D9" s="171">
        <f>'Totales fondos'!E9</f>
        <v>79.008233850000011</v>
      </c>
      <c r="E9" s="172">
        <f t="shared" si="0"/>
        <v>11.917067029999998</v>
      </c>
      <c r="F9" s="173">
        <f t="shared" si="1"/>
        <v>0.15083322901034568</v>
      </c>
      <c r="G9" s="33"/>
      <c r="H9" s="33"/>
      <c r="I9" s="174" t="s">
        <v>157</v>
      </c>
      <c r="J9" s="175">
        <v>184.86786640559561</v>
      </c>
      <c r="K9" s="175">
        <v>227.60361095628434</v>
      </c>
      <c r="L9" s="175">
        <v>307.67838799999998</v>
      </c>
      <c r="M9" s="175">
        <v>294.74</v>
      </c>
      <c r="N9" s="175">
        <v>305.27999999999997</v>
      </c>
      <c r="O9" s="175">
        <v>267.41186299999998</v>
      </c>
      <c r="P9" s="175">
        <v>263.86473400000006</v>
      </c>
      <c r="Q9" s="175">
        <v>340.78492</v>
      </c>
      <c r="R9" s="175">
        <v>312.57247899999999</v>
      </c>
      <c r="S9" s="175">
        <v>227.60384567</v>
      </c>
      <c r="T9" s="175">
        <v>229.56583696999996</v>
      </c>
      <c r="U9" s="175">
        <f>'Totales fondos'!E25</f>
        <v>276.25885242999999</v>
      </c>
      <c r="V9" s="176">
        <f>'Totales fondos'!C25</f>
        <v>299.73322114000001</v>
      </c>
      <c r="X9" s="21">
        <v>2012</v>
      </c>
      <c r="Y9" s="99">
        <f>S15</f>
        <v>545.75176579000004</v>
      </c>
    </row>
    <row r="10" spans="2:25" ht="14.25" customHeight="1" x14ac:dyDescent="0.2">
      <c r="B10" s="170" t="s">
        <v>214</v>
      </c>
      <c r="C10" s="167">
        <f>'Totales fondos'!C14</f>
        <v>26.522388320000001</v>
      </c>
      <c r="D10" s="171">
        <f>'Totales fondos'!E14</f>
        <v>25.51059618</v>
      </c>
      <c r="E10" s="172">
        <f t="shared" si="0"/>
        <v>1.0117921400000007</v>
      </c>
      <c r="F10" s="173">
        <f t="shared" si="1"/>
        <v>3.9661642278404831E-2</v>
      </c>
      <c r="G10" s="33"/>
      <c r="H10" s="33"/>
      <c r="I10" s="33" t="s">
        <v>243</v>
      </c>
      <c r="P10" s="201">
        <f t="shared" ref="P10:R11" si="2">(P8-O8)/O8</f>
        <v>7.4892076737901728E-2</v>
      </c>
      <c r="Q10" s="201">
        <f t="shared" si="2"/>
        <v>0.23839020191014201</v>
      </c>
      <c r="R10" s="201">
        <f t="shared" si="2"/>
        <v>-0.54262318793386255</v>
      </c>
      <c r="S10" s="201">
        <f t="shared" ref="S10:V11" si="3">(S8-R8)/R8</f>
        <v>5.7423817724142193E-2</v>
      </c>
      <c r="T10" s="201">
        <f t="shared" si="3"/>
        <v>2.2694947036840669E-2</v>
      </c>
      <c r="U10" s="201">
        <f t="shared" si="3"/>
        <v>0.46221710974278363</v>
      </c>
      <c r="V10" s="201">
        <f>(V8-U8)/U8</f>
        <v>-0.42304408930532728</v>
      </c>
      <c r="X10" s="35">
        <v>2013</v>
      </c>
      <c r="Y10" s="99">
        <f>T15</f>
        <v>503.94739817999988</v>
      </c>
    </row>
    <row r="11" spans="2:25" ht="14.25" customHeight="1" x14ac:dyDescent="0.2">
      <c r="B11" s="170" t="s">
        <v>216</v>
      </c>
      <c r="C11" s="167">
        <f>'Totales fondos'!C18</f>
        <v>9.5150072899999998</v>
      </c>
      <c r="D11" s="171">
        <f>'Totales fondos'!E18</f>
        <v>9.009119870000001</v>
      </c>
      <c r="E11" s="172">
        <f t="shared" si="0"/>
        <v>0.50588741999999876</v>
      </c>
      <c r="F11" s="173">
        <f t="shared" si="1"/>
        <v>5.6152812627633372E-2</v>
      </c>
      <c r="G11" s="33"/>
      <c r="H11" s="33"/>
      <c r="I11" s="33" t="s">
        <v>244</v>
      </c>
      <c r="J11" s="99"/>
      <c r="P11" s="201">
        <f t="shared" si="2"/>
        <v>-1.3264665823744429E-2</v>
      </c>
      <c r="Q11" s="201">
        <f t="shared" si="2"/>
        <v>0.29151370413903027</v>
      </c>
      <c r="R11" s="201">
        <f t="shared" si="2"/>
        <v>-8.2786647366908175E-2</v>
      </c>
      <c r="S11" s="201">
        <f t="shared" si="3"/>
        <v>-0.27183657883712786</v>
      </c>
      <c r="T11" s="201">
        <f t="shared" si="3"/>
        <v>8.6202027660140356E-3</v>
      </c>
      <c r="U11" s="201">
        <f t="shared" si="3"/>
        <v>0.20339705627062421</v>
      </c>
      <c r="V11" s="201">
        <f t="shared" si="3"/>
        <v>8.4972367413811978E-2</v>
      </c>
      <c r="X11" s="35">
        <v>2014</v>
      </c>
      <c r="Y11" s="99">
        <f>U15</f>
        <v>574.79751962</v>
      </c>
    </row>
    <row r="12" spans="2:25" ht="14.25" customHeight="1" x14ac:dyDescent="0.2">
      <c r="B12" s="170" t="s">
        <v>218</v>
      </c>
      <c r="C12" s="99">
        <f>'Totales fondos'!C23+'Totales fondos'!C24</f>
        <v>17.960565969999998</v>
      </c>
      <c r="D12" s="171">
        <f>'Totales fondos'!E23+'Totales fondos'!E24</f>
        <v>15.403416449999998</v>
      </c>
      <c r="E12" s="172">
        <f t="shared" si="0"/>
        <v>2.5571495199999994</v>
      </c>
      <c r="F12" s="173">
        <f t="shared" si="1"/>
        <v>0.16601184083418064</v>
      </c>
      <c r="G12" s="33"/>
      <c r="H12" s="33"/>
      <c r="I12" s="33" t="s">
        <v>65</v>
      </c>
      <c r="X12" s="35">
        <v>2015</v>
      </c>
      <c r="Y12" s="99">
        <f>V15</f>
        <v>553.75446443999999</v>
      </c>
    </row>
    <row r="13" spans="2:25" ht="12.75" customHeight="1" x14ac:dyDescent="0.2">
      <c r="B13" s="164" t="s">
        <v>245</v>
      </c>
      <c r="C13" s="146">
        <f>SUM(C8:C12)</f>
        <v>299.73322114000001</v>
      </c>
      <c r="D13" s="178">
        <f>SUM(D8:D12)</f>
        <v>276.25885242999999</v>
      </c>
      <c r="E13" s="253">
        <f t="shared" si="0"/>
        <v>23.474368710000022</v>
      </c>
      <c r="F13" s="173">
        <f t="shared" si="1"/>
        <v>8.4972367413811978E-2</v>
      </c>
      <c r="G13" s="33"/>
      <c r="H13" s="33"/>
      <c r="I13" s="179" t="s">
        <v>234</v>
      </c>
      <c r="J13" s="180"/>
      <c r="K13" s="180"/>
      <c r="L13" s="180"/>
      <c r="M13" s="180">
        <v>262.56</v>
      </c>
      <c r="N13" s="180">
        <v>333.16</v>
      </c>
      <c r="O13" s="181">
        <v>376.64164999999997</v>
      </c>
      <c r="P13" s="181">
        <v>404.21496599999995</v>
      </c>
      <c r="Q13" s="181">
        <v>411.8</v>
      </c>
      <c r="R13" s="181">
        <v>373.59837199999998</v>
      </c>
      <c r="S13" s="181">
        <v>312.52822587000003</v>
      </c>
      <c r="T13" s="181">
        <v>278.23514241999993</v>
      </c>
      <c r="U13" s="181">
        <f>'Totales ingresos'!F16</f>
        <v>296.84194337638002</v>
      </c>
      <c r="V13" s="202">
        <f>'Totales ingresos'!D16</f>
        <v>257.57064429000002</v>
      </c>
      <c r="X13" s="99"/>
    </row>
    <row r="14" spans="2:25" x14ac:dyDescent="0.2">
      <c r="B14" s="182"/>
      <c r="C14" s="178"/>
      <c r="D14" s="178"/>
      <c r="E14" s="178"/>
      <c r="F14" s="177"/>
      <c r="G14" s="33"/>
      <c r="H14" s="33"/>
      <c r="I14" s="183" t="s">
        <v>235</v>
      </c>
      <c r="J14" s="148"/>
      <c r="K14" s="148"/>
      <c r="L14" s="148"/>
      <c r="M14" s="148">
        <v>270.38</v>
      </c>
      <c r="N14" s="148">
        <v>296.12</v>
      </c>
      <c r="O14" s="167">
        <v>268.83795600000002</v>
      </c>
      <c r="P14" s="167">
        <v>270.25202899999999</v>
      </c>
      <c r="Q14" s="167">
        <v>311.562029</v>
      </c>
      <c r="R14" s="167">
        <v>344.48292099999998</v>
      </c>
      <c r="S14" s="167">
        <v>233.22353991999998</v>
      </c>
      <c r="T14" s="167">
        <v>225.71225575999995</v>
      </c>
      <c r="U14" s="167">
        <f>'Totales ingresos'!F17</f>
        <v>277.95557624361999</v>
      </c>
      <c r="V14" s="168">
        <f>'Totales ingresos'!D17</f>
        <v>296.18382015000003</v>
      </c>
    </row>
    <row r="15" spans="2:25" ht="16.5" customHeight="1" x14ac:dyDescent="0.2">
      <c r="B15" s="164" t="s">
        <v>156</v>
      </c>
      <c r="C15" s="184"/>
      <c r="D15" s="184"/>
      <c r="E15" s="184"/>
      <c r="F15" s="177"/>
      <c r="G15" s="33"/>
      <c r="H15" s="33"/>
      <c r="I15" s="185" t="s">
        <v>246</v>
      </c>
      <c r="J15" s="186"/>
      <c r="K15" s="186"/>
      <c r="L15" s="186"/>
      <c r="M15" s="187">
        <v>549.29999999999995</v>
      </c>
      <c r="N15" s="188">
        <v>644.73</v>
      </c>
      <c r="O15" s="189">
        <v>659.69287899999995</v>
      </c>
      <c r="P15" s="189">
        <v>688.36316299999999</v>
      </c>
      <c r="Q15" s="189">
        <f>SUM(Q13:Q14)</f>
        <v>723.36202900000001</v>
      </c>
      <c r="R15" s="189">
        <v>732.10098799999992</v>
      </c>
      <c r="S15" s="189">
        <f>SUM(S13:S14)</f>
        <v>545.75176579000004</v>
      </c>
      <c r="T15" s="189">
        <f>SUM(T13:T14)</f>
        <v>503.94739817999988</v>
      </c>
      <c r="U15" s="189">
        <f>'Totales ingresos'!F18</f>
        <v>574.79751962</v>
      </c>
      <c r="V15" s="190">
        <f>'Totales ingresos'!D18</f>
        <v>553.75446443999999</v>
      </c>
    </row>
    <row r="16" spans="2:25" x14ac:dyDescent="0.2">
      <c r="B16" s="170" t="s">
        <v>220</v>
      </c>
      <c r="C16" s="99">
        <f>'Totales fondos'!C30</f>
        <v>31.515468210000005</v>
      </c>
      <c r="D16" s="171">
        <f>'Totales fondos'!E30</f>
        <v>154.32868246999999</v>
      </c>
      <c r="E16" s="172">
        <f>C16-D16</f>
        <v>-122.81321425999998</v>
      </c>
      <c r="F16" s="173">
        <f>(C16-D16)/D16</f>
        <v>-0.79578994840362027</v>
      </c>
      <c r="G16" s="33"/>
      <c r="H16" s="33"/>
      <c r="I16" s="350"/>
      <c r="J16" s="350"/>
      <c r="K16" s="350"/>
      <c r="L16" s="350"/>
      <c r="O16" s="99"/>
    </row>
    <row r="17" spans="2:16" x14ac:dyDescent="0.2">
      <c r="B17" s="170" t="s">
        <v>170</v>
      </c>
      <c r="C17" s="99">
        <f>'Totales fondos'!C36</f>
        <v>53.805427379999998</v>
      </c>
      <c r="D17" s="171">
        <f>'Totales fondos'!E36</f>
        <v>60.162101099999994</v>
      </c>
      <c r="E17" s="172">
        <f>C17-D17</f>
        <v>-6.3566737199999963</v>
      </c>
      <c r="F17" s="173">
        <f t="shared" ref="F17:F22" si="4">(C17-D17)/D17</f>
        <v>-0.10565910438257611</v>
      </c>
      <c r="G17" s="33"/>
      <c r="H17" s="33"/>
      <c r="I17" s="191"/>
      <c r="J17" s="60"/>
      <c r="K17" s="60"/>
      <c r="L17" s="60"/>
      <c r="M17" s="60"/>
    </row>
    <row r="18" spans="2:16" ht="13.5" customHeight="1" x14ac:dyDescent="0.2">
      <c r="B18" s="170" t="s">
        <v>171</v>
      </c>
      <c r="C18" s="99">
        <f>'Totales fondos'!C41</f>
        <v>112.35423861000001</v>
      </c>
      <c r="D18" s="171">
        <f>'Totales fondos'!E41</f>
        <v>128.97968516</v>
      </c>
      <c r="E18" s="172">
        <f>C18-D18</f>
        <v>-16.625446549999992</v>
      </c>
      <c r="F18" s="173">
        <f t="shared" si="4"/>
        <v>-0.12889972966964552</v>
      </c>
      <c r="G18" s="33"/>
      <c r="H18" s="33"/>
      <c r="I18" s="60"/>
      <c r="J18" s="148"/>
      <c r="K18" s="48"/>
      <c r="L18" s="48"/>
      <c r="M18" s="48"/>
      <c r="O18" s="99"/>
    </row>
    <row r="19" spans="2:16" ht="13.5" customHeight="1" x14ac:dyDescent="0.2">
      <c r="B19" s="170" t="s">
        <v>172</v>
      </c>
      <c r="C19" s="99">
        <f>'Totales fondos'!C46</f>
        <v>1.1634316499999999</v>
      </c>
      <c r="D19" s="171">
        <f>'Totales fondos'!E46</f>
        <v>1.1634316499999999</v>
      </c>
      <c r="E19" s="172">
        <f>C19-D19</f>
        <v>0</v>
      </c>
      <c r="F19" s="173">
        <f t="shared" si="4"/>
        <v>0</v>
      </c>
      <c r="G19" s="33"/>
      <c r="H19" s="33"/>
      <c r="I19" s="60"/>
      <c r="J19" s="148"/>
      <c r="K19" s="48"/>
      <c r="L19" s="48"/>
      <c r="M19" s="48"/>
      <c r="O19" s="99"/>
    </row>
    <row r="20" spans="2:16" x14ac:dyDescent="0.2">
      <c r="B20" s="164" t="s">
        <v>247</v>
      </c>
      <c r="C20" s="146">
        <f>SUM(C16:C19)</f>
        <v>198.83856585000001</v>
      </c>
      <c r="D20" s="146">
        <f>SUM(D16:D19)</f>
        <v>344.63390038</v>
      </c>
      <c r="E20" s="253">
        <f>C20-D20</f>
        <v>-145.79533452999999</v>
      </c>
      <c r="F20" s="173">
        <f t="shared" si="4"/>
        <v>-0.42304408930532728</v>
      </c>
      <c r="G20" s="33"/>
      <c r="H20" s="33"/>
      <c r="I20" s="36"/>
      <c r="J20" s="32"/>
      <c r="K20" s="32"/>
      <c r="L20" s="32"/>
      <c r="M20" s="32"/>
      <c r="O20" s="99"/>
    </row>
    <row r="21" spans="2:16" x14ac:dyDescent="0.2">
      <c r="B21" s="192"/>
      <c r="C21" s="302"/>
      <c r="D21" s="302"/>
      <c r="E21" s="302"/>
      <c r="F21" s="173"/>
      <c r="G21" s="33"/>
      <c r="H21" s="33"/>
      <c r="I21" s="36"/>
      <c r="J21" s="32"/>
      <c r="K21" s="32"/>
      <c r="L21" s="32"/>
      <c r="M21" s="32"/>
      <c r="O21" s="99"/>
    </row>
    <row r="22" spans="2:16" x14ac:dyDescent="0.2">
      <c r="B22" s="193" t="s">
        <v>248</v>
      </c>
      <c r="C22" s="194">
        <f>C13+C20</f>
        <v>498.57178699000002</v>
      </c>
      <c r="D22" s="194">
        <f>+D20+D13</f>
        <v>620.89275281000005</v>
      </c>
      <c r="E22" s="195">
        <f>C22-D22</f>
        <v>-122.32096582000003</v>
      </c>
      <c r="F22" s="173">
        <f t="shared" si="4"/>
        <v>-0.19700820353661236</v>
      </c>
      <c r="G22" s="33"/>
      <c r="H22" s="33"/>
      <c r="I22" s="39"/>
      <c r="J22" s="31"/>
      <c r="K22" s="31"/>
      <c r="L22" s="31"/>
      <c r="M22" s="31"/>
      <c r="O22" s="99"/>
    </row>
    <row r="23" spans="2:16" x14ac:dyDescent="0.2">
      <c r="B23" s="345"/>
      <c r="C23" s="345"/>
      <c r="D23" s="345"/>
      <c r="E23" s="345"/>
      <c r="F23" s="345"/>
      <c r="I23" s="43"/>
      <c r="J23" s="31"/>
      <c r="K23" s="31"/>
      <c r="L23" s="31"/>
      <c r="M23" s="31"/>
      <c r="O23" s="99"/>
      <c r="P23" s="21"/>
    </row>
    <row r="24" spans="2:16" x14ac:dyDescent="0.2">
      <c r="C24" s="196"/>
      <c r="D24" s="145"/>
      <c r="E24" s="196"/>
      <c r="I24" s="294"/>
      <c r="J24" s="51"/>
      <c r="K24" s="51"/>
      <c r="L24" s="31"/>
      <c r="M24" s="31"/>
      <c r="P24" s="21"/>
    </row>
    <row r="25" spans="2:16" x14ac:dyDescent="0.2">
      <c r="B25" s="197"/>
      <c r="C25" s="196"/>
      <c r="D25" s="196"/>
      <c r="I25" s="198"/>
      <c r="J25" s="199"/>
      <c r="K25" s="199"/>
      <c r="L25" s="32"/>
      <c r="M25" s="32"/>
      <c r="P25" s="21"/>
    </row>
    <row r="26" spans="2:16" ht="26.25" customHeight="1" x14ac:dyDescent="0.2">
      <c r="B26" s="197"/>
      <c r="C26" s="196"/>
      <c r="D26" s="196"/>
      <c r="I26" s="61"/>
      <c r="J26" s="32"/>
      <c r="K26" s="32"/>
      <c r="L26" s="32"/>
      <c r="M26" s="32"/>
      <c r="P26" s="21"/>
    </row>
    <row r="27" spans="2:16" x14ac:dyDescent="0.2">
      <c r="B27" s="197"/>
      <c r="C27" s="196"/>
      <c r="D27" s="196"/>
      <c r="P27" s="200"/>
    </row>
    <row r="28" spans="2:16" x14ac:dyDescent="0.2">
      <c r="B28" s="197"/>
      <c r="C28" s="196"/>
      <c r="D28" s="196"/>
      <c r="P28" s="21"/>
    </row>
    <row r="29" spans="2:16" x14ac:dyDescent="0.2">
      <c r="B29" s="197"/>
      <c r="C29" s="196"/>
      <c r="D29" s="196"/>
      <c r="P29" s="21"/>
    </row>
    <row r="30" spans="2:16" x14ac:dyDescent="0.2">
      <c r="B30" s="197"/>
      <c r="C30" s="196"/>
      <c r="D30" s="196"/>
      <c r="P30" s="21"/>
    </row>
    <row r="31" spans="2:16" x14ac:dyDescent="0.2">
      <c r="B31" s="197"/>
      <c r="C31" s="196"/>
      <c r="D31" s="173"/>
      <c r="P31" s="21"/>
    </row>
    <row r="32" spans="2:16" x14ac:dyDescent="0.2">
      <c r="B32" s="197"/>
      <c r="C32" s="196"/>
      <c r="D32" s="196"/>
      <c r="P32" s="200"/>
    </row>
    <row r="33" spans="2:18" x14ac:dyDescent="0.2">
      <c r="B33" s="197"/>
      <c r="C33" s="196"/>
      <c r="D33" s="196"/>
      <c r="P33" s="21"/>
    </row>
    <row r="34" spans="2:18" x14ac:dyDescent="0.2">
      <c r="B34" s="197"/>
      <c r="C34" s="196"/>
      <c r="D34" s="196"/>
      <c r="N34" s="169"/>
      <c r="O34" s="169"/>
      <c r="P34" s="21"/>
      <c r="Q34" s="169"/>
      <c r="R34" s="169"/>
    </row>
    <row r="35" spans="2:18" x14ac:dyDescent="0.2">
      <c r="B35" s="197"/>
      <c r="C35" s="196"/>
      <c r="D35" s="196"/>
      <c r="N35" s="169"/>
      <c r="O35" s="169"/>
      <c r="P35" s="21"/>
      <c r="Q35" s="169"/>
      <c r="R35" s="169"/>
    </row>
    <row r="36" spans="2:18" x14ac:dyDescent="0.2">
      <c r="B36" s="197"/>
      <c r="C36" s="196"/>
      <c r="D36" s="196"/>
      <c r="N36" s="169"/>
      <c r="O36" s="169"/>
      <c r="P36" s="21"/>
      <c r="Q36" s="169"/>
      <c r="R36" s="169"/>
    </row>
    <row r="37" spans="2:18" x14ac:dyDescent="0.2">
      <c r="B37" s="197"/>
      <c r="C37" s="196"/>
      <c r="D37" s="196"/>
      <c r="P37" s="200"/>
    </row>
    <row r="38" spans="2:18" x14ac:dyDescent="0.2">
      <c r="P38" s="21"/>
    </row>
    <row r="39" spans="2:18" x14ac:dyDescent="0.2">
      <c r="P39" s="21"/>
    </row>
    <row r="40" spans="2:18" x14ac:dyDescent="0.2">
      <c r="P40" s="200"/>
    </row>
    <row r="41" spans="2:18" x14ac:dyDescent="0.2">
      <c r="P41" s="21"/>
    </row>
    <row r="42" spans="2:18" x14ac:dyDescent="0.2">
      <c r="P42" s="21"/>
    </row>
    <row r="43" spans="2:18" x14ac:dyDescent="0.2">
      <c r="P43" s="200"/>
    </row>
    <row r="44" spans="2:18" x14ac:dyDescent="0.2">
      <c r="P44" s="21"/>
    </row>
    <row r="45" spans="2:18" x14ac:dyDescent="0.2">
      <c r="P45" s="21"/>
    </row>
    <row r="46" spans="2:18" x14ac:dyDescent="0.2">
      <c r="P46" s="21"/>
    </row>
    <row r="47" spans="2:18" x14ac:dyDescent="0.2">
      <c r="P47" s="21"/>
    </row>
    <row r="48" spans="2:18" x14ac:dyDescent="0.2">
      <c r="P48" s="200"/>
    </row>
    <row r="49" spans="9:17" x14ac:dyDescent="0.2">
      <c r="P49" s="21"/>
    </row>
    <row r="50" spans="9:17" x14ac:dyDescent="0.2">
      <c r="P50" s="21"/>
    </row>
    <row r="51" spans="9:17" x14ac:dyDescent="0.2">
      <c r="P51" s="200"/>
    </row>
    <row r="52" spans="9:17" x14ac:dyDescent="0.2">
      <c r="P52" s="21"/>
    </row>
    <row r="59" spans="9:17" x14ac:dyDescent="0.2">
      <c r="I59" s="186"/>
      <c r="J59" s="186">
        <v>2008</v>
      </c>
      <c r="K59" s="186">
        <v>2009</v>
      </c>
      <c r="L59" s="186">
        <v>2010</v>
      </c>
      <c r="M59" s="186">
        <v>2011</v>
      </c>
      <c r="N59" s="186">
        <v>2012</v>
      </c>
      <c r="O59" s="186">
        <v>2013</v>
      </c>
      <c r="P59" s="186">
        <v>2014</v>
      </c>
      <c r="Q59" s="186">
        <v>2015</v>
      </c>
    </row>
    <row r="60" spans="9:17" x14ac:dyDescent="0.2">
      <c r="I60" s="35" t="s">
        <v>156</v>
      </c>
      <c r="J60" s="59">
        <v>0.57240666433742671</v>
      </c>
      <c r="K60" s="59">
        <v>0.59320985542244509</v>
      </c>
      <c r="L60" s="59">
        <v>0.58303578302139003</v>
      </c>
      <c r="M60" s="59">
        <v>0.41081811396342283</v>
      </c>
      <c r="N60" s="59">
        <v>0.50312020858832696</v>
      </c>
      <c r="O60" s="59">
        <v>0.50658436520445571</v>
      </c>
      <c r="P60" s="59">
        <v>0.55506188278132751</v>
      </c>
      <c r="Q60" s="59">
        <v>0.39881632101655234</v>
      </c>
    </row>
    <row r="61" spans="9:17" x14ac:dyDescent="0.2">
      <c r="I61" s="35" t="s">
        <v>157</v>
      </c>
      <c r="J61" s="59">
        <v>0.42759333566257335</v>
      </c>
      <c r="K61" s="59">
        <v>0.40679014457755497</v>
      </c>
      <c r="L61" s="59">
        <v>0.41696421697861002</v>
      </c>
      <c r="M61" s="59">
        <v>0.58918188603657717</v>
      </c>
      <c r="N61" s="59">
        <v>0.49687979141167293</v>
      </c>
      <c r="O61" s="59">
        <v>0.49341563479554423</v>
      </c>
      <c r="P61" s="59">
        <v>0.44493811721867238</v>
      </c>
      <c r="Q61" s="59">
        <v>0.6011836789834476</v>
      </c>
    </row>
    <row r="62" spans="9:17" x14ac:dyDescent="0.2">
      <c r="I62" s="255" t="s">
        <v>158</v>
      </c>
      <c r="J62" s="262">
        <v>625.3882853099999</v>
      </c>
      <c r="K62" s="262">
        <v>648.65075400000001</v>
      </c>
      <c r="L62" s="262">
        <v>817.3001569999999</v>
      </c>
      <c r="M62" s="262">
        <v>530.519499</v>
      </c>
      <c r="N62" s="262">
        <v>458.06621561999998</v>
      </c>
      <c r="O62" s="262">
        <v>465.25853819999998</v>
      </c>
      <c r="P62" s="262">
        <v>620.89275281000005</v>
      </c>
      <c r="Q62" s="262">
        <v>498.57178699000002</v>
      </c>
    </row>
    <row r="63" spans="9:17" x14ac:dyDescent="0.2">
      <c r="I63" s="35" t="s">
        <v>156</v>
      </c>
      <c r="J63" s="261">
        <v>357.97642230999998</v>
      </c>
      <c r="K63" s="261">
        <v>384.78602000000001</v>
      </c>
      <c r="L63" s="261">
        <v>476.51523699999996</v>
      </c>
      <c r="M63" s="261">
        <v>217.94701999999998</v>
      </c>
      <c r="N63" s="261">
        <v>230.46236994999995</v>
      </c>
      <c r="O63" s="261">
        <v>235.69270122999998</v>
      </c>
      <c r="P63" s="261">
        <v>344.63390038</v>
      </c>
      <c r="Q63" s="261">
        <v>198.83856585000001</v>
      </c>
    </row>
    <row r="64" spans="9:17" x14ac:dyDescent="0.2">
      <c r="I64" s="35" t="s">
        <v>157</v>
      </c>
      <c r="J64" s="261">
        <v>267.41186299999998</v>
      </c>
      <c r="K64" s="261">
        <v>263.86473400000006</v>
      </c>
      <c r="L64" s="261">
        <v>340.78492</v>
      </c>
      <c r="M64" s="261">
        <v>312.57247899999999</v>
      </c>
      <c r="N64" s="261">
        <v>227.60384567</v>
      </c>
      <c r="O64" s="261">
        <v>229.56583696999996</v>
      </c>
      <c r="P64" s="261">
        <v>276.25885242999999</v>
      </c>
      <c r="Q64" s="261">
        <v>299.73322114000001</v>
      </c>
    </row>
    <row r="68" spans="9:17" x14ac:dyDescent="0.2">
      <c r="I68" s="186"/>
      <c r="J68" s="186">
        <v>2008</v>
      </c>
      <c r="K68" s="186">
        <v>2009</v>
      </c>
      <c r="L68" s="186">
        <v>2010</v>
      </c>
      <c r="M68" s="186">
        <v>2011</v>
      </c>
      <c r="N68" s="186">
        <v>2012</v>
      </c>
      <c r="O68" s="186">
        <v>2013</v>
      </c>
      <c r="P68" s="186">
        <v>2014</v>
      </c>
      <c r="Q68" s="186">
        <v>2015</v>
      </c>
    </row>
    <row r="69" spans="9:17" x14ac:dyDescent="0.2">
      <c r="I69" s="255" t="s">
        <v>246</v>
      </c>
      <c r="J69" s="262">
        <v>659.69287899999995</v>
      </c>
      <c r="K69" s="262">
        <v>688.36316299999999</v>
      </c>
      <c r="L69" s="262">
        <v>723.36202900000001</v>
      </c>
      <c r="M69" s="262">
        <v>732.10098799999992</v>
      </c>
      <c r="N69" s="262">
        <v>545.75176579000004</v>
      </c>
      <c r="O69" s="262">
        <v>503.94739817999988</v>
      </c>
      <c r="P69" s="262">
        <v>574.79751962</v>
      </c>
      <c r="Q69" s="262">
        <v>553.75446443999999</v>
      </c>
    </row>
    <row r="70" spans="9:17" x14ac:dyDescent="0.2">
      <c r="I70" s="35" t="s">
        <v>234</v>
      </c>
      <c r="J70" s="261">
        <v>376.64164999999997</v>
      </c>
      <c r="K70" s="261">
        <v>404.21496599999995</v>
      </c>
      <c r="L70" s="261">
        <v>411.8</v>
      </c>
      <c r="M70" s="261">
        <v>373.59837199999998</v>
      </c>
      <c r="N70" s="261">
        <v>312.52822587000003</v>
      </c>
      <c r="O70" s="261">
        <v>278.23514241999993</v>
      </c>
      <c r="P70" s="261">
        <v>296.84194337638002</v>
      </c>
      <c r="Q70" s="261">
        <v>257.57064429000002</v>
      </c>
    </row>
    <row r="71" spans="9:17" x14ac:dyDescent="0.2">
      <c r="I71" s="35" t="s">
        <v>235</v>
      </c>
      <c r="J71" s="261">
        <v>268.83795600000002</v>
      </c>
      <c r="K71" s="261">
        <v>270.25202899999999</v>
      </c>
      <c r="L71" s="261">
        <v>311.562029</v>
      </c>
      <c r="M71" s="261">
        <v>344.48292099999998</v>
      </c>
      <c r="N71" s="261">
        <v>233.22353991999998</v>
      </c>
      <c r="O71" s="261">
        <v>225.71225575999995</v>
      </c>
      <c r="P71" s="261">
        <v>277.95557624361999</v>
      </c>
      <c r="Q71" s="261">
        <v>296.18382015000003</v>
      </c>
    </row>
  </sheetData>
  <mergeCells count="5">
    <mergeCell ref="B23:F23"/>
    <mergeCell ref="E5:F5"/>
    <mergeCell ref="B2:I2"/>
    <mergeCell ref="B4:F4"/>
    <mergeCell ref="I16:L16"/>
  </mergeCells>
  <phoneticPr fontId="0" type="noConversion"/>
  <pageMargins left="0.19685039370078741" right="0.19685039370078741" top="0.39370078740157483" bottom="0.98425196850393704" header="0" footer="0"/>
  <pageSetup paperSize="9" scale="86" orientation="portrait" horizontalDpi="4294967293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showZeros="0" workbookViewId="0">
      <selection activeCell="A2" sqref="A2"/>
    </sheetView>
  </sheetViews>
  <sheetFormatPr baseColWidth="10" defaultColWidth="11.42578125" defaultRowHeight="12.75" x14ac:dyDescent="0.2"/>
  <cols>
    <col min="1" max="1" width="39.42578125" style="3" customWidth="1"/>
    <col min="2" max="2" width="15.7109375" style="11" customWidth="1"/>
    <col min="3" max="3" width="14.85546875" style="13" customWidth="1"/>
    <col min="4" max="4" width="14.42578125" style="13" bestFit="1" customWidth="1"/>
    <col min="5" max="5" width="14.28515625" style="13" bestFit="1" customWidth="1"/>
    <col min="6" max="6" width="14.42578125" style="13" customWidth="1"/>
    <col min="7" max="8" width="13" style="13" bestFit="1" customWidth="1"/>
    <col min="9" max="9" width="14.28515625" style="11" bestFit="1" customWidth="1"/>
    <col min="10" max="10" width="13" style="13" bestFit="1" customWidth="1"/>
    <col min="11" max="11" width="13.85546875" style="13" customWidth="1"/>
    <col min="12" max="12" width="13" style="13" bestFit="1" customWidth="1"/>
    <col min="13" max="13" width="11.7109375" style="13" customWidth="1"/>
    <col min="14" max="14" width="12.42578125" style="11" bestFit="1" customWidth="1"/>
    <col min="15" max="16384" width="11.42578125" style="3"/>
  </cols>
  <sheetData>
    <row r="1" spans="1:18" ht="51" x14ac:dyDescent="0.2">
      <c r="A1" s="203" t="s">
        <v>249</v>
      </c>
      <c r="B1" s="64" t="s">
        <v>250</v>
      </c>
      <c r="C1" s="65" t="s">
        <v>251</v>
      </c>
      <c r="D1" s="65" t="s">
        <v>252</v>
      </c>
      <c r="E1" s="65" t="s">
        <v>253</v>
      </c>
      <c r="F1" s="65" t="s">
        <v>254</v>
      </c>
      <c r="G1" s="65" t="s">
        <v>216</v>
      </c>
      <c r="H1" s="65" t="s">
        <v>218</v>
      </c>
      <c r="I1" s="64" t="s">
        <v>255</v>
      </c>
      <c r="J1" s="65" t="s">
        <v>256</v>
      </c>
      <c r="K1" s="65" t="s">
        <v>257</v>
      </c>
      <c r="L1" s="65" t="s">
        <v>258</v>
      </c>
      <c r="M1" s="66" t="s">
        <v>259</v>
      </c>
      <c r="N1" s="204" t="s">
        <v>177</v>
      </c>
    </row>
    <row r="2" spans="1:18" x14ac:dyDescent="0.2">
      <c r="A2" s="121" t="s">
        <v>58</v>
      </c>
      <c r="B2" s="68">
        <f t="shared" ref="B2:B65" si="0">SUM(C2:H2)</f>
        <v>12948973</v>
      </c>
      <c r="C2" s="69">
        <f>+VLOOKUP($A2,Fondos2014!$B$7:$AS$82,3,FALSE)</f>
        <v>6640239</v>
      </c>
      <c r="D2" s="69">
        <f>+VLOOKUP($A2,Fondos2014!$B$7:$AS$82,4,FALSE)</f>
        <v>0</v>
      </c>
      <c r="E2" s="69">
        <f>+VLOOKUP($A2,Fondos2014!$B$7:$AS$82,11,FALSE)</f>
        <v>1897978</v>
      </c>
      <c r="F2" s="69">
        <f>+VLOOKUP($A2,Fondos2014!$B$7:$AS$82,15,FALSE)</f>
        <v>4410756</v>
      </c>
      <c r="G2" s="69">
        <f>+VLOOKUP($A2,Fondos2014!$B$7:$AS$82,20,FALSE)</f>
        <v>0</v>
      </c>
      <c r="H2" s="69">
        <f>+VLOOKUP($A2,Fondos2014!$B$7:$AS$82,23,FALSE)</f>
        <v>0</v>
      </c>
      <c r="I2" s="68">
        <f t="shared" ref="I2:I65" si="1">SUM(J2:M2)</f>
        <v>74160793</v>
      </c>
      <c r="J2" s="69">
        <f>+VLOOKUP($A2,Fondos2014!$B$7:$BA$82,30,FALSE)</f>
        <v>7667997</v>
      </c>
      <c r="K2" s="69">
        <f>+VLOOKUP($A2,Fondos2014!$B$7:$BA$83,35,FALSE)</f>
        <v>0</v>
      </c>
      <c r="L2" s="69">
        <f>+VLOOKUP($A2,Fondos2014!$B$7:$BA$83,40,FALSE)</f>
        <v>66492796</v>
      </c>
      <c r="M2" s="69">
        <f>+VLOOKUP($A2,Fondos2014!$B$7:$BA$83,41,FALSE)</f>
        <v>0</v>
      </c>
      <c r="N2" s="68">
        <f>+B2+I2</f>
        <v>87109766</v>
      </c>
      <c r="O2" s="121" t="s">
        <v>58</v>
      </c>
      <c r="P2" s="13"/>
      <c r="R2" s="13"/>
    </row>
    <row r="3" spans="1:18" x14ac:dyDescent="0.2">
      <c r="A3" s="121" t="s">
        <v>59</v>
      </c>
      <c r="B3" s="68">
        <f t="shared" si="0"/>
        <v>344821.37</v>
      </c>
      <c r="C3" s="69">
        <f>+VLOOKUP($A3,Fondos2014!$B$7:$AS$82,3,FALSE)</f>
        <v>91720.75</v>
      </c>
      <c r="D3" s="69">
        <f>+VLOOKUP($A3,Fondos2014!$B$7:$AS$82,4,FALSE)</f>
        <v>25225.53</v>
      </c>
      <c r="E3" s="69">
        <f>+VLOOKUP($A3,Fondos2014!$B$7:$AS$82,11,FALSE)</f>
        <v>227875.09</v>
      </c>
      <c r="F3" s="69">
        <f>+VLOOKUP($A3,Fondos2014!$B$7:$AS$82,15,FALSE)</f>
        <v>0</v>
      </c>
      <c r="G3" s="69">
        <f>+VLOOKUP($A3,Fondos2014!$B$7:$AS$82,20,FALSE)</f>
        <v>0</v>
      </c>
      <c r="H3" s="69">
        <f>+VLOOKUP($A3,Fondos2014!$B$7:$AS$82,23,FALSE)</f>
        <v>0</v>
      </c>
      <c r="I3" s="68">
        <f t="shared" si="1"/>
        <v>116895.59</v>
      </c>
      <c r="J3" s="69">
        <f>+VLOOKUP($A3,Fondos2014!$B$7:$BA$82,30,FALSE)</f>
        <v>0</v>
      </c>
      <c r="K3" s="69">
        <f>+VLOOKUP($A3,Fondos2014!$B$7:$BA$83,35,FALSE)</f>
        <v>116895.59</v>
      </c>
      <c r="L3" s="69">
        <f>+VLOOKUP($A3,Fondos2014!$B$7:$BA$83,40,FALSE)</f>
        <v>0</v>
      </c>
      <c r="M3" s="69">
        <f>+VLOOKUP($A3,Fondos2014!$B$7:$BA$83,41,FALSE)</f>
        <v>0</v>
      </c>
      <c r="N3" s="68">
        <f t="shared" ref="N3:N66" si="2">+B3+I3</f>
        <v>461716.95999999996</v>
      </c>
      <c r="O3" s="121" t="s">
        <v>59</v>
      </c>
    </row>
    <row r="4" spans="1:18" x14ac:dyDescent="0.2">
      <c r="A4" s="121" t="s">
        <v>60</v>
      </c>
      <c r="B4" s="68">
        <f t="shared" si="0"/>
        <v>203574.33000000002</v>
      </c>
      <c r="C4" s="69">
        <f>+VLOOKUP($A4,Fondos2014!$B$7:$AS$82,3,FALSE)</f>
        <v>148188.72</v>
      </c>
      <c r="D4" s="69">
        <f>+VLOOKUP($A4,Fondos2014!$B$7:$AS$82,4,FALSE)</f>
        <v>0</v>
      </c>
      <c r="E4" s="69">
        <f>+VLOOKUP($A4,Fondos2014!$B$7:$AS$82,11,FALSE)</f>
        <v>55385.61</v>
      </c>
      <c r="F4" s="69">
        <f>+VLOOKUP($A4,Fondos2014!$B$7:$AS$82,15,FALSE)</f>
        <v>0</v>
      </c>
      <c r="G4" s="69">
        <f>+VLOOKUP($A4,Fondos2014!$B$7:$AS$82,20,FALSE)</f>
        <v>0</v>
      </c>
      <c r="H4" s="69">
        <f>+VLOOKUP($A4,Fondos2014!$B$7:$AS$82,23,FALSE)</f>
        <v>0</v>
      </c>
      <c r="I4" s="68">
        <f t="shared" si="1"/>
        <v>2629268.19</v>
      </c>
      <c r="J4" s="69">
        <f>+VLOOKUP($A4,Fondos2014!$B$7:$BA$82,30,FALSE)</f>
        <v>2500000</v>
      </c>
      <c r="K4" s="69">
        <f>+VLOOKUP($A4,Fondos2014!$B$7:$BA$83,35,FALSE)</f>
        <v>129268.19</v>
      </c>
      <c r="L4" s="69">
        <f>+VLOOKUP($A4,Fondos2014!$B$7:$BA$83,40,FALSE)</f>
        <v>0</v>
      </c>
      <c r="M4" s="69">
        <f>+VLOOKUP($A4,Fondos2014!$B$7:$BA$83,41,FALSE)</f>
        <v>0</v>
      </c>
      <c r="N4" s="68">
        <f t="shared" si="2"/>
        <v>2832842.52</v>
      </c>
      <c r="O4" s="121" t="s">
        <v>60</v>
      </c>
    </row>
    <row r="5" spans="1:18" x14ac:dyDescent="0.2">
      <c r="A5" s="121" t="s">
        <v>61</v>
      </c>
      <c r="B5" s="68">
        <f t="shared" si="0"/>
        <v>292049.01</v>
      </c>
      <c r="C5" s="69">
        <f>+VLOOKUP($A5,Fondos2014!$B$7:$AS$82,3,FALSE)</f>
        <v>29057</v>
      </c>
      <c r="D5" s="69">
        <f>+VLOOKUP($A5,Fondos2014!$B$7:$AS$82,4,FALSE)</f>
        <v>0</v>
      </c>
      <c r="E5" s="69">
        <f>+VLOOKUP($A5,Fondos2014!$B$7:$AS$82,11,FALSE)</f>
        <v>102949.29</v>
      </c>
      <c r="F5" s="69">
        <f>+VLOOKUP($A5,Fondos2014!$B$7:$AS$82,15,FALSE)</f>
        <v>85000</v>
      </c>
      <c r="G5" s="69">
        <f>+VLOOKUP($A5,Fondos2014!$B$7:$AS$82,20,FALSE)</f>
        <v>75042.720000000001</v>
      </c>
      <c r="H5" s="69">
        <f>+VLOOKUP($A5,Fondos2014!$B$7:$AS$82,23,FALSE)</f>
        <v>0</v>
      </c>
      <c r="I5" s="68">
        <f t="shared" si="1"/>
        <v>1376284</v>
      </c>
      <c r="J5" s="69">
        <f>+VLOOKUP($A5,Fondos2014!$B$7:$BA$82,30,FALSE)</f>
        <v>224800</v>
      </c>
      <c r="K5" s="69">
        <f>+VLOOKUP($A5,Fondos2014!$B$7:$BA$83,35,FALSE)</f>
        <v>155788</v>
      </c>
      <c r="L5" s="69">
        <f>+VLOOKUP($A5,Fondos2014!$B$7:$BA$83,40,FALSE)</f>
        <v>995696</v>
      </c>
      <c r="M5" s="69">
        <f>+VLOOKUP($A5,Fondos2014!$B$7:$BA$83,41,FALSE)</f>
        <v>0</v>
      </c>
      <c r="N5" s="68">
        <f t="shared" si="2"/>
        <v>1668333.01</v>
      </c>
      <c r="O5" s="121" t="s">
        <v>61</v>
      </c>
    </row>
    <row r="6" spans="1:18" x14ac:dyDescent="0.2">
      <c r="A6" s="121" t="s">
        <v>62</v>
      </c>
      <c r="B6" s="68">
        <f t="shared" si="0"/>
        <v>162984.01</v>
      </c>
      <c r="C6" s="69">
        <f>+VLOOKUP($A6,Fondos2014!$B$7:$AS$82,3,FALSE)</f>
        <v>500</v>
      </c>
      <c r="D6" s="69">
        <f>+VLOOKUP($A6,Fondos2014!$B$7:$AS$82,4,FALSE)</f>
        <v>0</v>
      </c>
      <c r="E6" s="69">
        <f>+VLOOKUP($A6,Fondos2014!$B$7:$AS$82,11,FALSE)</f>
        <v>6600.01</v>
      </c>
      <c r="F6" s="69">
        <f>+VLOOKUP($A6,Fondos2014!$B$7:$AS$82,15,FALSE)</f>
        <v>0</v>
      </c>
      <c r="G6" s="69">
        <f>+VLOOKUP($A6,Fondos2014!$B$7:$AS$82,20,FALSE)</f>
        <v>0</v>
      </c>
      <c r="H6" s="69">
        <f>+VLOOKUP($A6,Fondos2014!$B$7:$AS$82,23,FALSE)</f>
        <v>155884</v>
      </c>
      <c r="I6" s="68">
        <f t="shared" si="1"/>
        <v>3547700</v>
      </c>
      <c r="J6" s="69">
        <f>+VLOOKUP($A6,Fondos2014!$B$7:$BA$82,30,FALSE)</f>
        <v>3547700</v>
      </c>
      <c r="K6" s="69">
        <f>+VLOOKUP($A6,Fondos2014!$B$7:$BA$83,35,FALSE)</f>
        <v>0</v>
      </c>
      <c r="L6" s="69">
        <f>+VLOOKUP($A6,Fondos2014!$B$7:$BA$83,40,FALSE)</f>
        <v>0</v>
      </c>
      <c r="M6" s="69">
        <f>+VLOOKUP($A6,Fondos2014!$B$7:$BA$83,41,FALSE)</f>
        <v>0</v>
      </c>
      <c r="N6" s="68">
        <f t="shared" si="2"/>
        <v>3710684.01</v>
      </c>
      <c r="O6" s="121" t="s">
        <v>62</v>
      </c>
    </row>
    <row r="7" spans="1:18" x14ac:dyDescent="0.2">
      <c r="A7" s="121" t="s">
        <v>63</v>
      </c>
      <c r="B7" s="68">
        <f t="shared" si="0"/>
        <v>6091903.1200000001</v>
      </c>
      <c r="C7" s="69">
        <f>+VLOOKUP($A7,Fondos2014!$B$7:$AS$82,3,FALSE)</f>
        <v>699706.25</v>
      </c>
      <c r="D7" s="69">
        <f>+VLOOKUP($A7,Fondos2014!$B$7:$AS$82,4,FALSE)</f>
        <v>60882.79</v>
      </c>
      <c r="E7" s="69">
        <f>+VLOOKUP($A7,Fondos2014!$B$7:$AS$82,11,FALSE)</f>
        <v>4850852.74</v>
      </c>
      <c r="F7" s="69">
        <f>+VLOOKUP($A7,Fondos2014!$B$7:$AS$82,15,FALSE)</f>
        <v>450765</v>
      </c>
      <c r="G7" s="69">
        <f>+VLOOKUP($A7,Fondos2014!$B$7:$AS$82,20,FALSE)</f>
        <v>6179.62</v>
      </c>
      <c r="H7" s="69">
        <f>+VLOOKUP($A7,Fondos2014!$B$7:$AS$82,23,FALSE)</f>
        <v>23516.720000000001</v>
      </c>
      <c r="I7" s="68">
        <f t="shared" si="1"/>
        <v>4522298</v>
      </c>
      <c r="J7" s="69">
        <f>+VLOOKUP($A7,Fondos2014!$B$7:$BA$82,30,FALSE)</f>
        <v>480940</v>
      </c>
      <c r="K7" s="69">
        <f>+VLOOKUP($A7,Fondos2014!$B$7:$BA$83,35,FALSE)</f>
        <v>4041358</v>
      </c>
      <c r="L7" s="69">
        <f>+VLOOKUP($A7,Fondos2014!$B$7:$BA$83,40,FALSE)</f>
        <v>0</v>
      </c>
      <c r="M7" s="69">
        <f>+VLOOKUP($A7,Fondos2014!$B$7:$BA$83,41,FALSE)</f>
        <v>0</v>
      </c>
      <c r="N7" s="68">
        <f t="shared" si="2"/>
        <v>10614201.120000001</v>
      </c>
      <c r="O7" s="121" t="s">
        <v>63</v>
      </c>
    </row>
    <row r="8" spans="1:18" x14ac:dyDescent="0.2">
      <c r="A8" s="121" t="s">
        <v>64</v>
      </c>
      <c r="B8" s="68">
        <f t="shared" si="0"/>
        <v>705326.91</v>
      </c>
      <c r="C8" s="69">
        <f>+VLOOKUP($A8,Fondos2014!$B$7:$AS$82,3,FALSE)</f>
        <v>196277.28</v>
      </c>
      <c r="D8" s="69">
        <f>+VLOOKUP($A8,Fondos2014!$B$7:$AS$82,4,FALSE)</f>
        <v>0</v>
      </c>
      <c r="E8" s="69">
        <f>+VLOOKUP($A8,Fondos2014!$B$7:$AS$82,11,FALSE)</f>
        <v>156378.14000000001</v>
      </c>
      <c r="F8" s="69">
        <f>+VLOOKUP($A8,Fondos2014!$B$7:$AS$82,15,FALSE)</f>
        <v>212155.72</v>
      </c>
      <c r="G8" s="69">
        <f>+VLOOKUP($A8,Fondos2014!$B$7:$AS$82,20,FALSE)</f>
        <v>108561.48</v>
      </c>
      <c r="H8" s="69">
        <f>+VLOOKUP($A8,Fondos2014!$B$7:$AS$82,23,FALSE)</f>
        <v>31954.29</v>
      </c>
      <c r="I8" s="68">
        <f t="shared" si="1"/>
        <v>11145043.24</v>
      </c>
      <c r="J8" s="69">
        <f>+VLOOKUP($A8,Fondos2014!$B$7:$BA$82,30,FALSE)</f>
        <v>9194023</v>
      </c>
      <c r="K8" s="69">
        <f>+VLOOKUP($A8,Fondos2014!$B$7:$BA$83,35,FALSE)</f>
        <v>787441</v>
      </c>
      <c r="L8" s="69">
        <f>+VLOOKUP($A8,Fondos2014!$B$7:$BA$83,40,FALSE)</f>
        <v>1163579.24</v>
      </c>
      <c r="M8" s="69">
        <f>+VLOOKUP($A8,Fondos2014!$B$7:$BA$83,41,FALSE)</f>
        <v>0</v>
      </c>
      <c r="N8" s="68">
        <f t="shared" si="2"/>
        <v>11850370.15</v>
      </c>
      <c r="O8" s="121" t="s">
        <v>64</v>
      </c>
    </row>
    <row r="9" spans="1:18" x14ac:dyDescent="0.2">
      <c r="A9" s="121" t="s">
        <v>66</v>
      </c>
      <c r="B9" s="68">
        <f t="shared" si="0"/>
        <v>0</v>
      </c>
      <c r="C9" s="69">
        <f>+VLOOKUP($A9,Fondos2014!$B$7:$AS$82,3,FALSE)</f>
        <v>0</v>
      </c>
      <c r="D9" s="69">
        <f>+VLOOKUP($A9,Fondos2014!$B$7:$AS$82,4,FALSE)</f>
        <v>0</v>
      </c>
      <c r="E9" s="69">
        <f>+VLOOKUP($A9,Fondos2014!$B$7:$AS$82,11,FALSE)</f>
        <v>0</v>
      </c>
      <c r="F9" s="69">
        <f>+VLOOKUP($A9,Fondos2014!$B$7:$AS$82,15,FALSE)</f>
        <v>0</v>
      </c>
      <c r="G9" s="69">
        <f>+VLOOKUP($A9,Fondos2014!$B$7:$AS$82,20,FALSE)</f>
        <v>0</v>
      </c>
      <c r="H9" s="69">
        <f>+VLOOKUP($A9,Fondos2014!$B$7:$AS$82,23,FALSE)</f>
        <v>0</v>
      </c>
      <c r="I9" s="68">
        <f t="shared" si="1"/>
        <v>592846.75</v>
      </c>
      <c r="J9" s="69">
        <f>+VLOOKUP($A9,Fondos2014!$B$7:$BA$82,30,FALSE)</f>
        <v>334923.74</v>
      </c>
      <c r="K9" s="69">
        <f>+VLOOKUP($A9,Fondos2014!$B$7:$BA$83,35,FALSE)</f>
        <v>0</v>
      </c>
      <c r="L9" s="69">
        <f>+VLOOKUP($A9,Fondos2014!$B$7:$BA$83,40,FALSE)</f>
        <v>257923.01</v>
      </c>
      <c r="M9" s="69">
        <f>+VLOOKUP($A9,Fondos2014!$B$7:$BA$83,41,FALSE)</f>
        <v>0</v>
      </c>
      <c r="N9" s="68">
        <f t="shared" si="2"/>
        <v>592846.75</v>
      </c>
      <c r="O9" s="121" t="s">
        <v>66</v>
      </c>
    </row>
    <row r="10" spans="1:18" x14ac:dyDescent="0.2">
      <c r="A10" s="121" t="s">
        <v>67</v>
      </c>
      <c r="B10" s="68">
        <f t="shared" si="0"/>
        <v>305574.93999999994</v>
      </c>
      <c r="C10" s="69">
        <f>+VLOOKUP($A10,Fondos2014!$B$7:$AS$82,3,FALSE)</f>
        <v>44878</v>
      </c>
      <c r="D10" s="69">
        <f>+VLOOKUP($A10,Fondos2014!$B$7:$AS$82,4,FALSE)</f>
        <v>0</v>
      </c>
      <c r="E10" s="69">
        <f>+VLOOKUP($A10,Fondos2014!$B$7:$AS$82,11,FALSE)</f>
        <v>62412.709999999992</v>
      </c>
      <c r="F10" s="69">
        <f>+VLOOKUP($A10,Fondos2014!$B$7:$AS$82,15,FALSE)</f>
        <v>198284.22999999998</v>
      </c>
      <c r="G10" s="69">
        <f>+VLOOKUP($A10,Fondos2014!$B$7:$AS$82,20,FALSE)</f>
        <v>0</v>
      </c>
      <c r="H10" s="69">
        <f>+VLOOKUP($A10,Fondos2014!$B$7:$AS$82,23,FALSE)</f>
        <v>0</v>
      </c>
      <c r="I10" s="68">
        <f t="shared" si="1"/>
        <v>678609.60000000009</v>
      </c>
      <c r="J10" s="69">
        <f>+VLOOKUP($A10,Fondos2014!$B$7:$BA$82,30,FALSE)</f>
        <v>371395.84000000003</v>
      </c>
      <c r="K10" s="69">
        <f>+VLOOKUP($A10,Fondos2014!$B$7:$BA$83,35,FALSE)</f>
        <v>307213.76</v>
      </c>
      <c r="L10" s="69">
        <f>+VLOOKUP($A10,Fondos2014!$B$7:$BA$83,40,FALSE)</f>
        <v>0</v>
      </c>
      <c r="M10" s="69">
        <f>+VLOOKUP($A10,Fondos2014!$B$7:$BA$83,41,FALSE)</f>
        <v>0</v>
      </c>
      <c r="N10" s="68">
        <f t="shared" si="2"/>
        <v>984184.54</v>
      </c>
      <c r="O10" s="121" t="s">
        <v>67</v>
      </c>
    </row>
    <row r="11" spans="1:18" x14ac:dyDescent="0.2">
      <c r="A11" s="121" t="s">
        <v>68</v>
      </c>
      <c r="B11" s="68">
        <f t="shared" si="0"/>
        <v>7416199.1500000004</v>
      </c>
      <c r="C11" s="69">
        <f>+VLOOKUP($A11,Fondos2014!$B$7:$AS$82,3,FALSE)</f>
        <v>6768994.0700000003</v>
      </c>
      <c r="D11" s="69">
        <f>+VLOOKUP($A11,Fondos2014!$B$7:$AS$82,4,FALSE)</f>
        <v>0</v>
      </c>
      <c r="E11" s="69">
        <f>+VLOOKUP($A11,Fondos2014!$B$7:$AS$82,11,FALSE)</f>
        <v>647205.08000000007</v>
      </c>
      <c r="F11" s="69">
        <f>+VLOOKUP($A11,Fondos2014!$B$7:$AS$82,15,FALSE)</f>
        <v>0</v>
      </c>
      <c r="G11" s="69">
        <f>+VLOOKUP($A11,Fondos2014!$B$7:$AS$82,20,FALSE)</f>
        <v>0</v>
      </c>
      <c r="H11" s="69">
        <f>+VLOOKUP($A11,Fondos2014!$B$7:$AS$82,23,FALSE)</f>
        <v>0</v>
      </c>
      <c r="I11" s="68">
        <f t="shared" si="1"/>
        <v>376000</v>
      </c>
      <c r="J11" s="69">
        <f>+VLOOKUP($A11,Fondos2014!$B$7:$BA$82,30,FALSE)</f>
        <v>168000</v>
      </c>
      <c r="K11" s="69">
        <f>+VLOOKUP($A11,Fondos2014!$B$7:$BA$83,35,FALSE)</f>
        <v>190000</v>
      </c>
      <c r="L11" s="69">
        <f>+VLOOKUP($A11,Fondos2014!$B$7:$BA$83,40,FALSE)</f>
        <v>18000</v>
      </c>
      <c r="M11" s="69">
        <f>+VLOOKUP($A11,Fondos2014!$B$7:$BA$83,41,FALSE)</f>
        <v>0</v>
      </c>
      <c r="N11" s="68">
        <f t="shared" si="2"/>
        <v>7792199.1500000004</v>
      </c>
      <c r="O11" s="121" t="s">
        <v>68</v>
      </c>
    </row>
    <row r="12" spans="1:18" x14ac:dyDescent="0.2">
      <c r="A12" s="121" t="s">
        <v>69</v>
      </c>
      <c r="B12" s="68">
        <f t="shared" si="0"/>
        <v>467612.70999999996</v>
      </c>
      <c r="C12" s="69">
        <f>+VLOOKUP($A12,Fondos2014!$B$7:$AS$82,3,FALSE)</f>
        <v>88276</v>
      </c>
      <c r="D12" s="69">
        <f>+VLOOKUP($A12,Fondos2014!$B$7:$AS$82,4,FALSE)</f>
        <v>0</v>
      </c>
      <c r="E12" s="69">
        <f>+VLOOKUP($A12,Fondos2014!$B$7:$AS$82,11,FALSE)</f>
        <v>21752.5</v>
      </c>
      <c r="F12" s="69">
        <f>+VLOOKUP($A12,Fondos2014!$B$7:$AS$82,15,FALSE)</f>
        <v>176435.23</v>
      </c>
      <c r="G12" s="69">
        <f>+VLOOKUP($A12,Fondos2014!$B$7:$AS$82,20,FALSE)</f>
        <v>34946.74</v>
      </c>
      <c r="H12" s="69">
        <f>+VLOOKUP($A12,Fondos2014!$B$7:$AS$82,23,FALSE)</f>
        <v>146202.23999999999</v>
      </c>
      <c r="I12" s="68">
        <f t="shared" si="1"/>
        <v>905740.91999999993</v>
      </c>
      <c r="J12" s="69">
        <f>+VLOOKUP($A12,Fondos2014!$B$7:$BA$82,30,FALSE)</f>
        <v>433960.05</v>
      </c>
      <c r="K12" s="69">
        <f>+VLOOKUP($A12,Fondos2014!$B$7:$BA$83,35,FALSE)</f>
        <v>471780.87</v>
      </c>
      <c r="L12" s="69">
        <f>+VLOOKUP($A12,Fondos2014!$B$7:$BA$83,40,FALSE)</f>
        <v>0</v>
      </c>
      <c r="M12" s="69">
        <f>+VLOOKUP($A12,Fondos2014!$B$7:$BA$83,41,FALSE)</f>
        <v>0</v>
      </c>
      <c r="N12" s="68">
        <f t="shared" si="2"/>
        <v>1373353.63</v>
      </c>
      <c r="O12" s="121" t="s">
        <v>69</v>
      </c>
    </row>
    <row r="13" spans="1:18" x14ac:dyDescent="0.2">
      <c r="A13" s="121" t="s">
        <v>70</v>
      </c>
      <c r="B13" s="68">
        <f t="shared" si="0"/>
        <v>501582.20999999996</v>
      </c>
      <c r="C13" s="69">
        <f>+VLOOKUP($A13,Fondos2014!$B$7:$AS$82,3,FALSE)</f>
        <v>152293.76000000001</v>
      </c>
      <c r="D13" s="69">
        <f>+VLOOKUP($A13,Fondos2014!$B$7:$AS$82,4,FALSE)</f>
        <v>0</v>
      </c>
      <c r="E13" s="69">
        <f>+VLOOKUP($A13,Fondos2014!$B$7:$AS$82,11,FALSE)</f>
        <v>140548.35</v>
      </c>
      <c r="F13" s="69">
        <f>+VLOOKUP($A13,Fondos2014!$B$7:$AS$82,15,FALSE)</f>
        <v>208740.1</v>
      </c>
      <c r="G13" s="69">
        <f>+VLOOKUP($A13,Fondos2014!$B$7:$AS$82,20,FALSE)</f>
        <v>0</v>
      </c>
      <c r="H13" s="69">
        <f>+VLOOKUP($A13,Fondos2014!$B$7:$AS$82,23,FALSE)</f>
        <v>0</v>
      </c>
      <c r="I13" s="68">
        <f t="shared" si="1"/>
        <v>5002738.78</v>
      </c>
      <c r="J13" s="69">
        <f>+VLOOKUP($A13,Fondos2014!$B$7:$BA$82,30,FALSE)</f>
        <v>33810</v>
      </c>
      <c r="K13" s="69">
        <f>+VLOOKUP($A13,Fondos2014!$B$7:$BA$83,35,FALSE)</f>
        <v>4480289.9000000004</v>
      </c>
      <c r="L13" s="69">
        <f>+VLOOKUP($A13,Fondos2014!$B$7:$BA$83,40,FALSE)</f>
        <v>488638.88</v>
      </c>
      <c r="M13" s="69">
        <f>+VLOOKUP($A13,Fondos2014!$B$7:$BA$83,41,FALSE)</f>
        <v>0</v>
      </c>
      <c r="N13" s="68">
        <f t="shared" si="2"/>
        <v>5504320.9900000002</v>
      </c>
      <c r="O13" s="121" t="s">
        <v>70</v>
      </c>
    </row>
    <row r="14" spans="1:18" x14ac:dyDescent="0.2">
      <c r="A14" s="121" t="s">
        <v>71</v>
      </c>
      <c r="B14" s="68">
        <f t="shared" si="0"/>
        <v>107942.01000000001</v>
      </c>
      <c r="C14" s="69">
        <f>+VLOOKUP($A14,Fondos2014!$B$7:$AS$82,3,FALSE)</f>
        <v>86491.66</v>
      </c>
      <c r="D14" s="69">
        <f>+VLOOKUP($A14,Fondos2014!$B$7:$AS$82,4,FALSE)</f>
        <v>0</v>
      </c>
      <c r="E14" s="69">
        <f>+VLOOKUP($A14,Fondos2014!$B$7:$AS$82,11,FALSE)</f>
        <v>21450.35</v>
      </c>
      <c r="F14" s="69">
        <f>+VLOOKUP($A14,Fondos2014!$B$7:$AS$82,15,FALSE)</f>
        <v>0</v>
      </c>
      <c r="G14" s="69">
        <f>+VLOOKUP($A14,Fondos2014!$B$7:$AS$82,20,FALSE)</f>
        <v>0</v>
      </c>
      <c r="H14" s="69">
        <f>+VLOOKUP($A14,Fondos2014!$B$7:$AS$82,23,FALSE)</f>
        <v>0</v>
      </c>
      <c r="I14" s="68">
        <f t="shared" si="1"/>
        <v>2130792.08</v>
      </c>
      <c r="J14" s="69">
        <f>+VLOOKUP($A14,Fondos2014!$B$7:$BA$82,30,FALSE)</f>
        <v>1250000.3</v>
      </c>
      <c r="K14" s="69">
        <f>+VLOOKUP($A14,Fondos2014!$B$7:$BA$83,35,FALSE)</f>
        <v>880791.77999999991</v>
      </c>
      <c r="L14" s="69">
        <f>+VLOOKUP($A14,Fondos2014!$B$7:$BA$83,40,FALSE)</f>
        <v>0</v>
      </c>
      <c r="M14" s="69">
        <f>+VLOOKUP($A14,Fondos2014!$B$7:$BA$83,41,FALSE)</f>
        <v>0</v>
      </c>
      <c r="N14" s="68">
        <f t="shared" si="2"/>
        <v>2238734.09</v>
      </c>
      <c r="O14" s="121" t="s">
        <v>71</v>
      </c>
    </row>
    <row r="15" spans="1:18" x14ac:dyDescent="0.2">
      <c r="A15" s="121" t="s">
        <v>72</v>
      </c>
      <c r="B15" s="68">
        <f t="shared" si="0"/>
        <v>730423.95</v>
      </c>
      <c r="C15" s="69">
        <f>+VLOOKUP($A15,Fondos2014!$B$7:$AS$82,3,FALSE)</f>
        <v>366365</v>
      </c>
      <c r="D15" s="69">
        <f>+VLOOKUP($A15,Fondos2014!$B$7:$AS$82,4,FALSE)</f>
        <v>0</v>
      </c>
      <c r="E15" s="69">
        <f>+VLOOKUP($A15,Fondos2014!$B$7:$AS$82,11,FALSE)</f>
        <v>268817.62</v>
      </c>
      <c r="F15" s="69">
        <f>+VLOOKUP($A15,Fondos2014!$B$7:$AS$82,15,FALSE)</f>
        <v>95241.33</v>
      </c>
      <c r="G15" s="69">
        <f>+VLOOKUP($A15,Fondos2014!$B$7:$AS$82,20,FALSE)</f>
        <v>0</v>
      </c>
      <c r="H15" s="69">
        <f>+VLOOKUP($A15,Fondos2014!$B$7:$AS$82,23,FALSE)</f>
        <v>0</v>
      </c>
      <c r="I15" s="68">
        <f t="shared" si="1"/>
        <v>82473.850000000006</v>
      </c>
      <c r="J15" s="69">
        <f>+VLOOKUP($A15,Fondos2014!$B$7:$BA$82,30,FALSE)</f>
        <v>0</v>
      </c>
      <c r="K15" s="69">
        <f>+VLOOKUP($A15,Fondos2014!$B$7:$BA$83,35,FALSE)</f>
        <v>82473.850000000006</v>
      </c>
      <c r="L15" s="69">
        <f>+VLOOKUP($A15,Fondos2014!$B$7:$BA$83,40,FALSE)</f>
        <v>0</v>
      </c>
      <c r="M15" s="69">
        <f>+VLOOKUP($A15,Fondos2014!$B$7:$BA$83,41,FALSE)</f>
        <v>0</v>
      </c>
      <c r="N15" s="68">
        <f t="shared" si="2"/>
        <v>812897.79999999993</v>
      </c>
      <c r="O15" s="121" t="s">
        <v>72</v>
      </c>
    </row>
    <row r="16" spans="1:18" x14ac:dyDescent="0.2">
      <c r="A16" s="121" t="s">
        <v>73</v>
      </c>
      <c r="B16" s="68">
        <f t="shared" si="0"/>
        <v>27428651.57</v>
      </c>
      <c r="C16" s="69">
        <f>+VLOOKUP($A16,Fondos2014!$B$7:$AS$82,3,FALSE)</f>
        <v>1324288.8600000001</v>
      </c>
      <c r="D16" s="69">
        <f>+VLOOKUP($A16,Fondos2014!$B$7:$AS$82,4,FALSE)</f>
        <v>25181475.579999998</v>
      </c>
      <c r="E16" s="69">
        <f>+VLOOKUP($A16,Fondos2014!$B$7:$AS$82,11,FALSE)</f>
        <v>481136.27</v>
      </c>
      <c r="F16" s="69">
        <f>+VLOOKUP($A16,Fondos2014!$B$7:$AS$82,15,FALSE)</f>
        <v>325181.8</v>
      </c>
      <c r="G16" s="69">
        <f>+VLOOKUP($A16,Fondos2014!$B$7:$AS$82,20,FALSE)</f>
        <v>14903.39</v>
      </c>
      <c r="H16" s="69">
        <f>+VLOOKUP($A16,Fondos2014!$B$7:$AS$82,23,FALSE)</f>
        <v>101665.67</v>
      </c>
      <c r="I16" s="68">
        <f t="shared" si="1"/>
        <v>7969651.0399999991</v>
      </c>
      <c r="J16" s="69">
        <f>+VLOOKUP($A16,Fondos2014!$B$7:$BA$82,30,FALSE)</f>
        <v>4975509.8499999996</v>
      </c>
      <c r="K16" s="69">
        <f>+VLOOKUP($A16,Fondos2014!$B$7:$BA$83,35,FALSE)</f>
        <v>2975979.92</v>
      </c>
      <c r="L16" s="69">
        <f>+VLOOKUP($A16,Fondos2014!$B$7:$BA$83,40,FALSE)</f>
        <v>18161.27</v>
      </c>
      <c r="M16" s="69">
        <f>+VLOOKUP($A16,Fondos2014!$B$7:$BA$83,41,FALSE)</f>
        <v>0</v>
      </c>
      <c r="N16" s="68">
        <f t="shared" si="2"/>
        <v>35398302.609999999</v>
      </c>
      <c r="O16" s="121" t="s">
        <v>73</v>
      </c>
    </row>
    <row r="17" spans="1:15" x14ac:dyDescent="0.2">
      <c r="A17" s="121" t="s">
        <v>74</v>
      </c>
      <c r="B17" s="68">
        <f t="shared" si="0"/>
        <v>20464214</v>
      </c>
      <c r="C17" s="69">
        <f>+VLOOKUP($A17,Fondos2014!$B$7:$AS$82,3,FALSE)</f>
        <v>0</v>
      </c>
      <c r="D17" s="69">
        <f>+VLOOKUP($A17,Fondos2014!$B$7:$AS$82,4,FALSE)</f>
        <v>0</v>
      </c>
      <c r="E17" s="69">
        <f>+VLOOKUP($A17,Fondos2014!$B$7:$AS$82,11,FALSE)</f>
        <v>20464214</v>
      </c>
      <c r="F17" s="69">
        <f>+VLOOKUP($A17,Fondos2014!$B$7:$AS$82,15,FALSE)</f>
        <v>0</v>
      </c>
      <c r="G17" s="69">
        <f>+VLOOKUP($A17,Fondos2014!$B$7:$AS$82,20,FALSE)</f>
        <v>0</v>
      </c>
      <c r="H17" s="69">
        <f>+VLOOKUP($A17,Fondos2014!$B$7:$AS$82,23,FALSE)</f>
        <v>0</v>
      </c>
      <c r="I17" s="68">
        <f t="shared" si="1"/>
        <v>8373028</v>
      </c>
      <c r="J17" s="69">
        <f>+VLOOKUP($A17,Fondos2014!$B$7:$BA$82,30,FALSE)</f>
        <v>7780000</v>
      </c>
      <c r="K17" s="69">
        <f>+VLOOKUP($A17,Fondos2014!$B$7:$BA$83,35,FALSE)</f>
        <v>193028</v>
      </c>
      <c r="L17" s="69">
        <f>+VLOOKUP($A17,Fondos2014!$B$7:$BA$83,40,FALSE)</f>
        <v>400000</v>
      </c>
      <c r="M17" s="69">
        <f>+VLOOKUP($A17,Fondos2014!$B$7:$BA$83,41,FALSE)</f>
        <v>0</v>
      </c>
      <c r="N17" s="68">
        <f t="shared" si="2"/>
        <v>28837242</v>
      </c>
      <c r="O17" s="121" t="s">
        <v>74</v>
      </c>
    </row>
    <row r="18" spans="1:15" x14ac:dyDescent="0.2">
      <c r="A18" s="121" t="s">
        <v>75</v>
      </c>
      <c r="B18" s="68">
        <f t="shared" si="0"/>
        <v>315494.73</v>
      </c>
      <c r="C18" s="69">
        <f>+VLOOKUP($A18,Fondos2014!$B$7:$AS$82,3,FALSE)</f>
        <v>23145</v>
      </c>
      <c r="D18" s="69">
        <f>+VLOOKUP($A18,Fondos2014!$B$7:$AS$82,4,FALSE)</f>
        <v>0</v>
      </c>
      <c r="E18" s="69">
        <f>+VLOOKUP($A18,Fondos2014!$B$7:$AS$82,11,FALSE)</f>
        <v>3523.68</v>
      </c>
      <c r="F18" s="69">
        <f>+VLOOKUP($A18,Fondos2014!$B$7:$AS$82,15,FALSE)</f>
        <v>220710.86</v>
      </c>
      <c r="G18" s="69">
        <f>+VLOOKUP($A18,Fondos2014!$B$7:$AS$82,20,FALSE)</f>
        <v>0</v>
      </c>
      <c r="H18" s="69">
        <f>+VLOOKUP($A18,Fondos2014!$B$7:$AS$82,23,FALSE)</f>
        <v>68115.19</v>
      </c>
      <c r="I18" s="68">
        <f t="shared" si="1"/>
        <v>1334910.98</v>
      </c>
      <c r="J18" s="69">
        <f>+VLOOKUP($A18,Fondos2014!$B$7:$BA$82,30,FALSE)</f>
        <v>225793</v>
      </c>
      <c r="K18" s="69">
        <f>+VLOOKUP($A18,Fondos2014!$B$7:$BA$83,35,FALSE)</f>
        <v>547199.97</v>
      </c>
      <c r="L18" s="69">
        <f>+VLOOKUP($A18,Fondos2014!$B$7:$BA$83,40,FALSE)</f>
        <v>561918.01</v>
      </c>
      <c r="M18" s="69">
        <f>+VLOOKUP($A18,Fondos2014!$B$7:$BA$83,41,FALSE)</f>
        <v>0</v>
      </c>
      <c r="N18" s="68">
        <f t="shared" si="2"/>
        <v>1650405.71</v>
      </c>
      <c r="O18" s="121" t="s">
        <v>75</v>
      </c>
    </row>
    <row r="19" spans="1:15" x14ac:dyDescent="0.2">
      <c r="A19" s="121" t="s">
        <v>76</v>
      </c>
      <c r="B19" s="68">
        <f t="shared" si="0"/>
        <v>1942340.42</v>
      </c>
      <c r="C19" s="69">
        <f>+VLOOKUP($A19,Fondos2014!$B$7:$AS$82,3,FALSE)</f>
        <v>103915.78</v>
      </c>
      <c r="D19" s="69">
        <f>+VLOOKUP($A19,Fondos2014!$B$7:$AS$82,4,FALSE)</f>
        <v>2000</v>
      </c>
      <c r="E19" s="69">
        <f>+VLOOKUP($A19,Fondos2014!$B$7:$AS$82,11,FALSE)</f>
        <v>143752.28</v>
      </c>
      <c r="F19" s="69">
        <f>+VLOOKUP($A19,Fondos2014!$B$7:$AS$82,15,FALSE)</f>
        <v>1690907.16</v>
      </c>
      <c r="G19" s="69">
        <f>+VLOOKUP($A19,Fondos2014!$B$7:$AS$82,20,FALSE)</f>
        <v>1765.2</v>
      </c>
      <c r="H19" s="69">
        <f>+VLOOKUP($A19,Fondos2014!$B$7:$AS$82,23,FALSE)</f>
        <v>0</v>
      </c>
      <c r="I19" s="68">
        <f t="shared" si="1"/>
        <v>12583410.700000001</v>
      </c>
      <c r="J19" s="69">
        <f>+VLOOKUP($A19,Fondos2014!$B$7:$BA$82,30,FALSE)</f>
        <v>11125000</v>
      </c>
      <c r="K19" s="69">
        <f>+VLOOKUP($A19,Fondos2014!$B$7:$BA$83,35,FALSE)</f>
        <v>858506.1</v>
      </c>
      <c r="L19" s="69">
        <f>+VLOOKUP($A19,Fondos2014!$B$7:$BA$83,40,FALSE)</f>
        <v>383906.13</v>
      </c>
      <c r="M19" s="69">
        <f>+VLOOKUP($A19,Fondos2014!$B$7:$BA$83,41,FALSE)</f>
        <v>215998.47</v>
      </c>
      <c r="N19" s="68">
        <f t="shared" si="2"/>
        <v>14525751.120000001</v>
      </c>
      <c r="O19" s="121" t="s">
        <v>76</v>
      </c>
    </row>
    <row r="20" spans="1:15" x14ac:dyDescent="0.2">
      <c r="A20" s="121" t="s">
        <v>77</v>
      </c>
      <c r="B20" s="68">
        <f t="shared" si="0"/>
        <v>810529.04999999993</v>
      </c>
      <c r="C20" s="69">
        <f>+VLOOKUP($A20,Fondos2014!$B$7:$AS$82,3,FALSE)</f>
        <v>162783.29999999999</v>
      </c>
      <c r="D20" s="69">
        <f>+VLOOKUP($A20,Fondos2014!$B$7:$AS$82,4,FALSE)</f>
        <v>0</v>
      </c>
      <c r="E20" s="69">
        <f>+VLOOKUP($A20,Fondos2014!$B$7:$AS$82,11,FALSE)</f>
        <v>94757.680000000008</v>
      </c>
      <c r="F20" s="69">
        <f>+VLOOKUP($A20,Fondos2014!$B$7:$AS$82,15,FALSE)</f>
        <v>545653.88</v>
      </c>
      <c r="G20" s="69">
        <f>+VLOOKUP($A20,Fondos2014!$B$7:$AS$82,20,FALSE)</f>
        <v>0</v>
      </c>
      <c r="H20" s="69">
        <f>+VLOOKUP($A20,Fondos2014!$B$7:$AS$82,23,FALSE)</f>
        <v>7334.19</v>
      </c>
      <c r="I20" s="68">
        <f t="shared" si="1"/>
        <v>6286715.2899999991</v>
      </c>
      <c r="J20" s="69">
        <f>+VLOOKUP($A20,Fondos2014!$B$7:$BA$82,30,FALSE)</f>
        <v>5324965.8</v>
      </c>
      <c r="K20" s="69">
        <f>+VLOOKUP($A20,Fondos2014!$B$7:$BA$83,35,FALSE)</f>
        <v>267874.93</v>
      </c>
      <c r="L20" s="69">
        <f>+VLOOKUP($A20,Fondos2014!$B$7:$BA$83,40,FALSE)</f>
        <v>693874.55999999994</v>
      </c>
      <c r="M20" s="69">
        <f>+VLOOKUP($A20,Fondos2014!$B$7:$BA$83,41,FALSE)</f>
        <v>0</v>
      </c>
      <c r="N20" s="68">
        <f t="shared" si="2"/>
        <v>7097244.3399999989</v>
      </c>
      <c r="O20" s="121" t="s">
        <v>77</v>
      </c>
    </row>
    <row r="21" spans="1:15" x14ac:dyDescent="0.2">
      <c r="A21" s="121" t="s">
        <v>78</v>
      </c>
      <c r="B21" s="68">
        <f t="shared" si="0"/>
        <v>4670.8099999999995</v>
      </c>
      <c r="C21" s="69">
        <f>+VLOOKUP($A21,Fondos2014!$B$7:$AS$82,3,FALSE)</f>
        <v>2409.15</v>
      </c>
      <c r="D21" s="69">
        <f>+VLOOKUP($A21,Fondos2014!$B$7:$AS$82,4,FALSE)</f>
        <v>0</v>
      </c>
      <c r="E21" s="69">
        <f>+VLOOKUP($A21,Fondos2014!$B$7:$AS$82,11,FALSE)</f>
        <v>586.66</v>
      </c>
      <c r="F21" s="69">
        <f>+VLOOKUP($A21,Fondos2014!$B$7:$AS$82,15,FALSE)</f>
        <v>1675</v>
      </c>
      <c r="G21" s="69">
        <f>+VLOOKUP($A21,Fondos2014!$B$7:$AS$82,20,FALSE)</f>
        <v>0</v>
      </c>
      <c r="H21" s="69">
        <f>+VLOOKUP($A21,Fondos2014!$B$7:$AS$82,23,FALSE)</f>
        <v>0</v>
      </c>
      <c r="I21" s="68">
        <f t="shared" si="1"/>
        <v>0</v>
      </c>
      <c r="J21" s="69">
        <f>+VLOOKUP($A21,Fondos2014!$B$7:$BA$82,30,FALSE)</f>
        <v>0</v>
      </c>
      <c r="K21" s="69">
        <f>+VLOOKUP($A21,Fondos2014!$B$7:$BA$83,35,FALSE)</f>
        <v>0</v>
      </c>
      <c r="L21" s="69">
        <f>+VLOOKUP($A21,Fondos2014!$B$7:$BA$83,40,FALSE)</f>
        <v>0</v>
      </c>
      <c r="M21" s="69">
        <f>+VLOOKUP($A21,Fondos2014!$B$7:$BA$83,41,FALSE)</f>
        <v>0</v>
      </c>
      <c r="N21" s="68">
        <f t="shared" si="2"/>
        <v>4670.8099999999995</v>
      </c>
      <c r="O21" s="121" t="s">
        <v>78</v>
      </c>
    </row>
    <row r="22" spans="1:15" x14ac:dyDescent="0.2">
      <c r="A22" s="121" t="s">
        <v>79</v>
      </c>
      <c r="B22" s="68">
        <f t="shared" si="0"/>
        <v>93030.75</v>
      </c>
      <c r="C22" s="69">
        <f>+VLOOKUP($A22,Fondos2014!$B$7:$AS$82,3,FALSE)</f>
        <v>15205.59</v>
      </c>
      <c r="D22" s="69">
        <f>+VLOOKUP($A22,Fondos2014!$B$7:$AS$82,4,FALSE)</f>
        <v>0</v>
      </c>
      <c r="E22" s="69">
        <f>+VLOOKUP($A22,Fondos2014!$B$7:$AS$82,11,FALSE)</f>
        <v>22291.52</v>
      </c>
      <c r="F22" s="69">
        <f>+VLOOKUP($A22,Fondos2014!$B$7:$AS$82,15,FALSE)</f>
        <v>0</v>
      </c>
      <c r="G22" s="69">
        <f>+VLOOKUP($A22,Fondos2014!$B$7:$AS$82,20,FALSE)</f>
        <v>0</v>
      </c>
      <c r="H22" s="69">
        <f>+VLOOKUP($A22,Fondos2014!$B$7:$AS$82,23,FALSE)</f>
        <v>55533.64</v>
      </c>
      <c r="I22" s="68">
        <f t="shared" si="1"/>
        <v>1064980.46</v>
      </c>
      <c r="J22" s="69">
        <f>+VLOOKUP($A22,Fondos2014!$B$7:$BA$82,30,FALSE)</f>
        <v>770000</v>
      </c>
      <c r="K22" s="69">
        <f>+VLOOKUP($A22,Fondos2014!$B$7:$BA$83,35,FALSE)</f>
        <v>294980.46000000002</v>
      </c>
      <c r="L22" s="69">
        <f>+VLOOKUP($A22,Fondos2014!$B$7:$BA$83,40,FALSE)</f>
        <v>0</v>
      </c>
      <c r="M22" s="69">
        <f>+VLOOKUP($A22,Fondos2014!$B$7:$BA$83,41,FALSE)</f>
        <v>0</v>
      </c>
      <c r="N22" s="68">
        <f t="shared" si="2"/>
        <v>1158011.21</v>
      </c>
      <c r="O22" s="121" t="s">
        <v>79</v>
      </c>
    </row>
    <row r="23" spans="1:15" x14ac:dyDescent="0.2">
      <c r="A23" s="121" t="s">
        <v>80</v>
      </c>
      <c r="B23" s="68">
        <f t="shared" si="0"/>
        <v>44000</v>
      </c>
      <c r="C23" s="69">
        <f>+VLOOKUP($A23,Fondos2014!$B$7:$AS$82,3,FALSE)</f>
        <v>0</v>
      </c>
      <c r="D23" s="69">
        <f>+VLOOKUP($A23,Fondos2014!$B$7:$AS$82,4,FALSE)</f>
        <v>0</v>
      </c>
      <c r="E23" s="69">
        <f>+VLOOKUP($A23,Fondos2014!$B$7:$AS$82,11,FALSE)</f>
        <v>4000</v>
      </c>
      <c r="F23" s="69">
        <f>+VLOOKUP($A23,Fondos2014!$B$7:$AS$82,15,FALSE)</f>
        <v>40000</v>
      </c>
      <c r="G23" s="69">
        <f>+VLOOKUP($A23,Fondos2014!$B$7:$AS$82,20,FALSE)</f>
        <v>0</v>
      </c>
      <c r="H23" s="69">
        <f>+VLOOKUP($A23,Fondos2014!$B$7:$AS$82,23,FALSE)</f>
        <v>0</v>
      </c>
      <c r="I23" s="68">
        <f t="shared" si="1"/>
        <v>0</v>
      </c>
      <c r="J23" s="69">
        <f>+VLOOKUP($A23,Fondos2014!$B$7:$BA$82,30,FALSE)</f>
        <v>0</v>
      </c>
      <c r="K23" s="69">
        <f>+VLOOKUP($A23,Fondos2014!$B$7:$BA$83,35,FALSE)</f>
        <v>0</v>
      </c>
      <c r="L23" s="69">
        <f>+VLOOKUP($A23,Fondos2014!$B$7:$BA$83,40,FALSE)</f>
        <v>0</v>
      </c>
      <c r="M23" s="69">
        <f>+VLOOKUP($A23,Fondos2014!$B$7:$BA$83,41,FALSE)</f>
        <v>0</v>
      </c>
      <c r="N23" s="68">
        <f t="shared" si="2"/>
        <v>44000</v>
      </c>
      <c r="O23" s="121" t="s">
        <v>80</v>
      </c>
    </row>
    <row r="24" spans="1:15" x14ac:dyDescent="0.2">
      <c r="A24" s="121" t="s">
        <v>81</v>
      </c>
      <c r="B24" s="68">
        <f t="shared" si="0"/>
        <v>17088210</v>
      </c>
      <c r="C24" s="69">
        <f>+VLOOKUP($A24,Fondos2014!$B$7:$AS$82,3,FALSE)</f>
        <v>7068040</v>
      </c>
      <c r="D24" s="69">
        <f>+VLOOKUP($A24,Fondos2014!$B$7:$AS$82,4,FALSE)</f>
        <v>0</v>
      </c>
      <c r="E24" s="69">
        <f>+VLOOKUP($A24,Fondos2014!$B$7:$AS$82,11,FALSE)</f>
        <v>2100000</v>
      </c>
      <c r="F24" s="69">
        <f>+VLOOKUP($A24,Fondos2014!$B$7:$AS$82,15,FALSE)</f>
        <v>7920170</v>
      </c>
      <c r="G24" s="69">
        <f>+VLOOKUP($A24,Fondos2014!$B$7:$AS$82,20,FALSE)</f>
        <v>0</v>
      </c>
      <c r="H24" s="69">
        <f>+VLOOKUP($A24,Fondos2014!$B$7:$AS$82,23,FALSE)</f>
        <v>0</v>
      </c>
      <c r="I24" s="68">
        <f t="shared" si="1"/>
        <v>17496754</v>
      </c>
      <c r="J24" s="69">
        <f>+VLOOKUP($A24,Fondos2014!$B$7:$BA$82,30,FALSE)</f>
        <v>5154563</v>
      </c>
      <c r="K24" s="69">
        <f>+VLOOKUP($A24,Fondos2014!$B$7:$BA$83,35,FALSE)</f>
        <v>4106718</v>
      </c>
      <c r="L24" s="69">
        <f>+VLOOKUP($A24,Fondos2014!$B$7:$BA$83,40,FALSE)</f>
        <v>8235473</v>
      </c>
      <c r="M24" s="69">
        <f>+VLOOKUP($A24,Fondos2014!$B$7:$BA$83,41,FALSE)</f>
        <v>0</v>
      </c>
      <c r="N24" s="68">
        <f t="shared" si="2"/>
        <v>34584964</v>
      </c>
      <c r="O24" s="121" t="s">
        <v>81</v>
      </c>
    </row>
    <row r="25" spans="1:15" x14ac:dyDescent="0.2">
      <c r="A25" s="121" t="s">
        <v>82</v>
      </c>
      <c r="B25" s="68">
        <f t="shared" si="0"/>
        <v>126954.43</v>
      </c>
      <c r="C25" s="69">
        <f>+VLOOKUP($A25,Fondos2014!$B$7:$AS$82,3,FALSE)</f>
        <v>0</v>
      </c>
      <c r="D25" s="69">
        <f>+VLOOKUP($A25,Fondos2014!$B$7:$AS$82,4,FALSE)</f>
        <v>0</v>
      </c>
      <c r="E25" s="69">
        <f>+VLOOKUP($A25,Fondos2014!$B$7:$AS$82,11,FALSE)</f>
        <v>0</v>
      </c>
      <c r="F25" s="69">
        <f>+VLOOKUP($A25,Fondos2014!$B$7:$AS$82,15,FALSE)</f>
        <v>126954.43</v>
      </c>
      <c r="G25" s="69">
        <f>+VLOOKUP($A25,Fondos2014!$B$7:$AS$82,20,FALSE)</f>
        <v>0</v>
      </c>
      <c r="H25" s="69">
        <f>+VLOOKUP($A25,Fondos2014!$B$7:$AS$82,23,FALSE)</f>
        <v>0</v>
      </c>
      <c r="I25" s="68">
        <f t="shared" si="1"/>
        <v>53740.160000000003</v>
      </c>
      <c r="J25" s="69">
        <f>+VLOOKUP($A25,Fondos2014!$B$7:$BA$82,30,FALSE)</f>
        <v>0</v>
      </c>
      <c r="K25" s="69">
        <f>+VLOOKUP($A25,Fondos2014!$B$7:$BA$83,35,FALSE)</f>
        <v>43832.51</v>
      </c>
      <c r="L25" s="69">
        <f>+VLOOKUP($A25,Fondos2014!$B$7:$BA$83,40,FALSE)</f>
        <v>9907.65</v>
      </c>
      <c r="M25" s="69">
        <f>+VLOOKUP($A25,Fondos2014!$B$7:$BA$83,41,FALSE)</f>
        <v>0</v>
      </c>
      <c r="N25" s="68">
        <f t="shared" si="2"/>
        <v>180694.59</v>
      </c>
      <c r="O25" s="121" t="s">
        <v>82</v>
      </c>
    </row>
    <row r="26" spans="1:15" x14ac:dyDescent="0.2">
      <c r="A26" s="121" t="s">
        <v>83</v>
      </c>
      <c r="B26" s="68">
        <f t="shared" si="0"/>
        <v>81927.760000000009</v>
      </c>
      <c r="C26" s="69">
        <f>+VLOOKUP($A26,Fondos2014!$B$7:$AS$82,3,FALSE)</f>
        <v>32436.46</v>
      </c>
      <c r="D26" s="69">
        <f>+VLOOKUP($A26,Fondos2014!$B$7:$AS$82,4,FALSE)</f>
        <v>0</v>
      </c>
      <c r="E26" s="69">
        <f>+VLOOKUP($A26,Fondos2014!$B$7:$AS$82,11,FALSE)</f>
        <v>49491.3</v>
      </c>
      <c r="F26" s="69">
        <f>+VLOOKUP($A26,Fondos2014!$B$7:$AS$82,15,FALSE)</f>
        <v>0</v>
      </c>
      <c r="G26" s="69">
        <f>+VLOOKUP($A26,Fondos2014!$B$7:$AS$82,20,FALSE)</f>
        <v>0</v>
      </c>
      <c r="H26" s="69">
        <f>+VLOOKUP($A26,Fondos2014!$B$7:$AS$82,23,FALSE)</f>
        <v>0</v>
      </c>
      <c r="I26" s="68">
        <f t="shared" si="1"/>
        <v>0</v>
      </c>
      <c r="J26" s="69">
        <f>+VLOOKUP($A26,Fondos2014!$B$7:$BA$82,30,FALSE)</f>
        <v>0</v>
      </c>
      <c r="K26" s="69">
        <f>+VLOOKUP($A26,Fondos2014!$B$7:$BA$83,35,FALSE)</f>
        <v>0</v>
      </c>
      <c r="L26" s="69">
        <f>+VLOOKUP($A26,Fondos2014!$B$7:$BA$83,40,FALSE)</f>
        <v>0</v>
      </c>
      <c r="M26" s="69">
        <f>+VLOOKUP($A26,Fondos2014!$B$7:$BA$83,41,FALSE)</f>
        <v>0</v>
      </c>
      <c r="N26" s="68">
        <f t="shared" si="2"/>
        <v>81927.760000000009</v>
      </c>
      <c r="O26" s="121" t="s">
        <v>83</v>
      </c>
    </row>
    <row r="27" spans="1:15" x14ac:dyDescent="0.2">
      <c r="A27" s="121" t="s">
        <v>84</v>
      </c>
      <c r="B27" s="68">
        <f t="shared" si="0"/>
        <v>26016569</v>
      </c>
      <c r="C27" s="69">
        <f>+VLOOKUP($A27,Fondos2014!$B$7:$AS$82,3,FALSE)</f>
        <v>698049</v>
      </c>
      <c r="D27" s="69">
        <f>+VLOOKUP($A27,Fondos2014!$B$7:$AS$82,4,FALSE)</f>
        <v>22652597</v>
      </c>
      <c r="E27" s="69">
        <f>+VLOOKUP($A27,Fondos2014!$B$7:$AS$82,11,FALSE)</f>
        <v>2612555</v>
      </c>
      <c r="F27" s="69">
        <f>+VLOOKUP($A27,Fondos2014!$B$7:$AS$82,15,FALSE)</f>
        <v>36835</v>
      </c>
      <c r="G27" s="69">
        <f>+VLOOKUP($A27,Fondos2014!$B$7:$AS$82,20,FALSE)</f>
        <v>9518</v>
      </c>
      <c r="H27" s="69">
        <f>+VLOOKUP($A27,Fondos2014!$B$7:$AS$82,23,FALSE)</f>
        <v>7015</v>
      </c>
      <c r="I27" s="68">
        <f t="shared" si="1"/>
        <v>2277</v>
      </c>
      <c r="J27" s="69">
        <f>+VLOOKUP($A27,Fondos2014!$B$7:$BA$82,30,FALSE)</f>
        <v>0</v>
      </c>
      <c r="K27" s="69">
        <f>+VLOOKUP($A27,Fondos2014!$B$7:$BA$83,35,FALSE)</f>
        <v>2277</v>
      </c>
      <c r="L27" s="69">
        <f>+VLOOKUP($A27,Fondos2014!$B$7:$BA$83,40,FALSE)</f>
        <v>0</v>
      </c>
      <c r="M27" s="69">
        <f>+VLOOKUP($A27,Fondos2014!$B$7:$BA$83,41,FALSE)</f>
        <v>0</v>
      </c>
      <c r="N27" s="68">
        <f t="shared" si="2"/>
        <v>26018846</v>
      </c>
      <c r="O27" s="121" t="s">
        <v>84</v>
      </c>
    </row>
    <row r="28" spans="1:15" x14ac:dyDescent="0.2">
      <c r="A28" s="121" t="s">
        <v>85</v>
      </c>
      <c r="B28" s="68">
        <f t="shared" si="0"/>
        <v>7457</v>
      </c>
      <c r="C28" s="69">
        <f>+VLOOKUP($A28,Fondos2014!$B$7:$AS$82,3,FALSE)</f>
        <v>0</v>
      </c>
      <c r="D28" s="69">
        <f>+VLOOKUP($A28,Fondos2014!$B$7:$AS$82,4,FALSE)</f>
        <v>0</v>
      </c>
      <c r="E28" s="69">
        <f>+VLOOKUP($A28,Fondos2014!$B$7:$AS$82,11,FALSE)</f>
        <v>0</v>
      </c>
      <c r="F28" s="69">
        <f>+VLOOKUP($A28,Fondos2014!$B$7:$AS$82,15,FALSE)</f>
        <v>7457</v>
      </c>
      <c r="G28" s="69">
        <f>+VLOOKUP($A28,Fondos2014!$B$7:$AS$82,20,FALSE)</f>
        <v>0</v>
      </c>
      <c r="H28" s="69">
        <f>+VLOOKUP($A28,Fondos2014!$B$7:$AS$82,23,FALSE)</f>
        <v>0</v>
      </c>
      <c r="I28" s="68">
        <f t="shared" si="1"/>
        <v>2941315</v>
      </c>
      <c r="J28" s="69">
        <f>+VLOOKUP($A28,Fondos2014!$B$7:$BA$82,30,FALSE)</f>
        <v>2500000</v>
      </c>
      <c r="K28" s="69">
        <f>+VLOOKUP($A28,Fondos2014!$B$7:$BA$83,35,FALSE)</f>
        <v>441315</v>
      </c>
      <c r="L28" s="69">
        <f>+VLOOKUP($A28,Fondos2014!$B$7:$BA$83,40,FALSE)</f>
        <v>0</v>
      </c>
      <c r="M28" s="69">
        <f>+VLOOKUP($A28,Fondos2014!$B$7:$BA$83,41,FALSE)</f>
        <v>0</v>
      </c>
      <c r="N28" s="68">
        <f t="shared" si="2"/>
        <v>2948772</v>
      </c>
      <c r="O28" s="121" t="s">
        <v>85</v>
      </c>
    </row>
    <row r="29" spans="1:15" x14ac:dyDescent="0.2">
      <c r="A29" s="121" t="s">
        <v>86</v>
      </c>
      <c r="B29" s="68">
        <f t="shared" si="0"/>
        <v>707589.28</v>
      </c>
      <c r="C29" s="69">
        <f>+VLOOKUP($A29,Fondos2014!$B$7:$AS$82,3,FALSE)</f>
        <v>42219.12</v>
      </c>
      <c r="D29" s="69">
        <f>+VLOOKUP($A29,Fondos2014!$B$7:$AS$82,4,FALSE)</f>
        <v>0</v>
      </c>
      <c r="E29" s="69">
        <f>+VLOOKUP($A29,Fondos2014!$B$7:$AS$82,11,FALSE)</f>
        <v>622470.16</v>
      </c>
      <c r="F29" s="69">
        <f>+VLOOKUP($A29,Fondos2014!$B$7:$AS$82,15,FALSE)</f>
        <v>10000</v>
      </c>
      <c r="G29" s="69">
        <f>+VLOOKUP($A29,Fondos2014!$B$7:$AS$82,20,FALSE)</f>
        <v>0</v>
      </c>
      <c r="H29" s="69">
        <f>+VLOOKUP($A29,Fondos2014!$B$7:$AS$82,23,FALSE)</f>
        <v>32900</v>
      </c>
      <c r="I29" s="68">
        <f t="shared" si="1"/>
        <v>18536.169999999998</v>
      </c>
      <c r="J29" s="69">
        <f>+VLOOKUP($A29,Fondos2014!$B$7:$BA$82,30,FALSE)</f>
        <v>0</v>
      </c>
      <c r="K29" s="69">
        <f>+VLOOKUP($A29,Fondos2014!$B$7:$BA$83,35,FALSE)</f>
        <v>18536.169999999998</v>
      </c>
      <c r="L29" s="69">
        <f>+VLOOKUP($A29,Fondos2014!$B$7:$BA$83,40,FALSE)</f>
        <v>0</v>
      </c>
      <c r="M29" s="69">
        <f>+VLOOKUP($A29,Fondos2014!$B$7:$BA$83,41,FALSE)</f>
        <v>0</v>
      </c>
      <c r="N29" s="68">
        <f t="shared" si="2"/>
        <v>726125.45000000007</v>
      </c>
      <c r="O29" s="121" t="s">
        <v>86</v>
      </c>
    </row>
    <row r="30" spans="1:15" x14ac:dyDescent="0.2">
      <c r="A30" s="121" t="s">
        <v>87</v>
      </c>
      <c r="B30" s="68">
        <f t="shared" si="0"/>
        <v>3552833.74</v>
      </c>
      <c r="C30" s="69">
        <f>+VLOOKUP($A30,Fondos2014!$B$7:$AS$82,3,FALSE)</f>
        <v>328706.06</v>
      </c>
      <c r="D30" s="69">
        <f>+VLOOKUP($A30,Fondos2014!$B$7:$AS$82,4,FALSE)</f>
        <v>0</v>
      </c>
      <c r="E30" s="69">
        <f>+VLOOKUP($A30,Fondos2014!$B$7:$AS$82,11,FALSE)</f>
        <v>1071018.92</v>
      </c>
      <c r="F30" s="69">
        <f>+VLOOKUP($A30,Fondos2014!$B$7:$AS$82,15,FALSE)</f>
        <v>212324</v>
      </c>
      <c r="G30" s="69">
        <f>+VLOOKUP($A30,Fondos2014!$B$7:$AS$82,20,FALSE)</f>
        <v>1940784.76</v>
      </c>
      <c r="H30" s="69">
        <f>+VLOOKUP($A30,Fondos2014!$B$7:$AS$82,23,FALSE)</f>
        <v>0</v>
      </c>
      <c r="I30" s="68">
        <f t="shared" si="1"/>
        <v>5834215.1200000001</v>
      </c>
      <c r="J30" s="69">
        <f>+VLOOKUP($A30,Fondos2014!$B$7:$BA$82,30,FALSE)</f>
        <v>2730000</v>
      </c>
      <c r="K30" s="69">
        <f>+VLOOKUP($A30,Fondos2014!$B$7:$BA$83,35,FALSE)</f>
        <v>3012482.7199999997</v>
      </c>
      <c r="L30" s="69">
        <f>+VLOOKUP($A30,Fondos2014!$B$7:$BA$83,40,FALSE)</f>
        <v>91732.4</v>
      </c>
      <c r="M30" s="69">
        <f>+VLOOKUP($A30,Fondos2014!$B$7:$BA$83,41,FALSE)</f>
        <v>0</v>
      </c>
      <c r="N30" s="68">
        <f t="shared" si="2"/>
        <v>9387048.8599999994</v>
      </c>
      <c r="O30" s="121" t="s">
        <v>87</v>
      </c>
    </row>
    <row r="31" spans="1:15" x14ac:dyDescent="0.2">
      <c r="A31" s="121" t="s">
        <v>88</v>
      </c>
      <c r="B31" s="68">
        <f t="shared" si="0"/>
        <v>63175</v>
      </c>
      <c r="C31" s="69">
        <f>+VLOOKUP($A31,Fondos2014!$B$7:$AS$82,3,FALSE)</f>
        <v>0</v>
      </c>
      <c r="D31" s="69">
        <f>+VLOOKUP($A31,Fondos2014!$B$7:$AS$82,4,FALSE)</f>
        <v>0</v>
      </c>
      <c r="E31" s="69">
        <f>+VLOOKUP($A31,Fondos2014!$B$7:$AS$82,11,FALSE)</f>
        <v>57175</v>
      </c>
      <c r="F31" s="69">
        <f>+VLOOKUP($A31,Fondos2014!$B$7:$AS$82,15,FALSE)</f>
        <v>6000</v>
      </c>
      <c r="G31" s="69">
        <f>+VLOOKUP($A31,Fondos2014!$B$7:$AS$82,20,FALSE)</f>
        <v>0</v>
      </c>
      <c r="H31" s="69">
        <f>+VLOOKUP($A31,Fondos2014!$B$7:$AS$82,23,FALSE)</f>
        <v>0</v>
      </c>
      <c r="I31" s="68">
        <f t="shared" si="1"/>
        <v>2000</v>
      </c>
      <c r="J31" s="69">
        <f>+VLOOKUP($A31,Fondos2014!$B$7:$BA$82,30,FALSE)</f>
        <v>0</v>
      </c>
      <c r="K31" s="69">
        <f>+VLOOKUP($A31,Fondos2014!$B$7:$BA$83,35,FALSE)</f>
        <v>2000</v>
      </c>
      <c r="L31" s="69">
        <f>+VLOOKUP($A31,Fondos2014!$B$7:$BA$83,40,FALSE)</f>
        <v>0</v>
      </c>
      <c r="M31" s="69">
        <f>+VLOOKUP($A31,Fondos2014!$B$7:$BA$83,41,FALSE)</f>
        <v>0</v>
      </c>
      <c r="N31" s="68">
        <f t="shared" si="2"/>
        <v>65175</v>
      </c>
      <c r="O31" s="121" t="s">
        <v>88</v>
      </c>
    </row>
    <row r="32" spans="1:15" x14ac:dyDescent="0.2">
      <c r="A32" s="121" t="s">
        <v>89</v>
      </c>
      <c r="B32" s="68">
        <f t="shared" si="0"/>
        <v>513618.50999999995</v>
      </c>
      <c r="C32" s="69">
        <f>+VLOOKUP($A32,Fondos2014!$B$7:$AS$82,3,FALSE)</f>
        <v>116638.99</v>
      </c>
      <c r="D32" s="69">
        <f>+VLOOKUP($A32,Fondos2014!$B$7:$AS$82,4,FALSE)</f>
        <v>0</v>
      </c>
      <c r="E32" s="69">
        <f>+VLOOKUP($A32,Fondos2014!$B$7:$AS$82,11,FALSE)</f>
        <v>396979.51999999996</v>
      </c>
      <c r="F32" s="69">
        <f>+VLOOKUP($A32,Fondos2014!$B$7:$AS$82,15,FALSE)</f>
        <v>0</v>
      </c>
      <c r="G32" s="69">
        <f>+VLOOKUP($A32,Fondos2014!$B$7:$AS$82,20,FALSE)</f>
        <v>0</v>
      </c>
      <c r="H32" s="69">
        <f>+VLOOKUP($A32,Fondos2014!$B$7:$AS$82,23,FALSE)</f>
        <v>0</v>
      </c>
      <c r="I32" s="68">
        <f t="shared" si="1"/>
        <v>1055590.53</v>
      </c>
      <c r="J32" s="69">
        <f>+VLOOKUP($A32,Fondos2014!$B$7:$BA$82,30,FALSE)</f>
        <v>0</v>
      </c>
      <c r="K32" s="69">
        <f>+VLOOKUP($A32,Fondos2014!$B$7:$BA$83,35,FALSE)</f>
        <v>1055590.53</v>
      </c>
      <c r="L32" s="69">
        <f>+VLOOKUP($A32,Fondos2014!$B$7:$BA$83,40,FALSE)</f>
        <v>0</v>
      </c>
      <c r="M32" s="69">
        <f>+VLOOKUP($A32,Fondos2014!$B$7:$BA$83,41,FALSE)</f>
        <v>0</v>
      </c>
      <c r="N32" s="68">
        <f t="shared" si="2"/>
        <v>1569209.04</v>
      </c>
      <c r="O32" s="121" t="s">
        <v>89</v>
      </c>
    </row>
    <row r="33" spans="1:15" x14ac:dyDescent="0.2">
      <c r="A33" s="121" t="s">
        <v>90</v>
      </c>
      <c r="B33" s="68">
        <f t="shared" si="0"/>
        <v>538732.09</v>
      </c>
      <c r="C33" s="69">
        <f>+VLOOKUP($A33,Fondos2014!$B$7:$AS$82,3,FALSE)</f>
        <v>157964.07999999999</v>
      </c>
      <c r="D33" s="69">
        <f>+VLOOKUP($A33,Fondos2014!$B$7:$AS$82,4,FALSE)</f>
        <v>0</v>
      </c>
      <c r="E33" s="69">
        <f>+VLOOKUP($A33,Fondos2014!$B$7:$AS$82,11,FALSE)</f>
        <v>351982.66</v>
      </c>
      <c r="F33" s="69">
        <f>+VLOOKUP($A33,Fondos2014!$B$7:$AS$82,15,FALSE)</f>
        <v>28785.35</v>
      </c>
      <c r="G33" s="69">
        <f>+VLOOKUP($A33,Fondos2014!$B$7:$AS$82,20,FALSE)</f>
        <v>0</v>
      </c>
      <c r="H33" s="69">
        <f>+VLOOKUP($A33,Fondos2014!$B$7:$AS$82,23,FALSE)</f>
        <v>0</v>
      </c>
      <c r="I33" s="68">
        <f t="shared" si="1"/>
        <v>108884.22</v>
      </c>
      <c r="J33" s="69">
        <f>+VLOOKUP($A33,Fondos2014!$B$7:$BA$82,30,FALSE)</f>
        <v>0</v>
      </c>
      <c r="K33" s="69">
        <f>+VLOOKUP($A33,Fondos2014!$B$7:$BA$83,35,FALSE)</f>
        <v>108884.22</v>
      </c>
      <c r="L33" s="69">
        <f>+VLOOKUP($A33,Fondos2014!$B$7:$BA$83,40,FALSE)</f>
        <v>0</v>
      </c>
      <c r="M33" s="69">
        <f>+VLOOKUP($A33,Fondos2014!$B$7:$BA$83,41,FALSE)</f>
        <v>0</v>
      </c>
      <c r="N33" s="68">
        <f t="shared" si="2"/>
        <v>647616.30999999994</v>
      </c>
      <c r="O33" s="121" t="s">
        <v>90</v>
      </c>
    </row>
    <row r="34" spans="1:15" x14ac:dyDescent="0.2">
      <c r="A34" s="121" t="s">
        <v>91</v>
      </c>
      <c r="B34" s="68">
        <f t="shared" si="0"/>
        <v>214533.22</v>
      </c>
      <c r="C34" s="69">
        <f>+VLOOKUP($A34,Fondos2014!$B$7:$AS$82,3,FALSE)</f>
        <v>0</v>
      </c>
      <c r="D34" s="69">
        <f>+VLOOKUP($A34,Fondos2014!$B$7:$AS$82,4,FALSE)</f>
        <v>0</v>
      </c>
      <c r="E34" s="69">
        <f>+VLOOKUP($A34,Fondos2014!$B$7:$AS$82,11,FALSE)</f>
        <v>214533.22</v>
      </c>
      <c r="F34" s="69">
        <f>+VLOOKUP($A34,Fondos2014!$B$7:$AS$82,15,FALSE)</f>
        <v>0</v>
      </c>
      <c r="G34" s="69">
        <f>+VLOOKUP($A34,Fondos2014!$B$7:$AS$82,20,FALSE)</f>
        <v>0</v>
      </c>
      <c r="H34" s="69">
        <f>+VLOOKUP($A34,Fondos2014!$B$7:$AS$82,23,FALSE)</f>
        <v>0</v>
      </c>
      <c r="I34" s="68">
        <f t="shared" si="1"/>
        <v>9766.9599999999991</v>
      </c>
      <c r="J34" s="69">
        <f>+VLOOKUP($A34,Fondos2014!$B$7:$BA$82,30,FALSE)</f>
        <v>0</v>
      </c>
      <c r="K34" s="69">
        <f>+VLOOKUP($A34,Fondos2014!$B$7:$BA$83,35,FALSE)</f>
        <v>0</v>
      </c>
      <c r="L34" s="69">
        <f>+VLOOKUP($A34,Fondos2014!$B$7:$BA$83,40,FALSE)</f>
        <v>9766.9599999999991</v>
      </c>
      <c r="M34" s="69">
        <f>+VLOOKUP($A34,Fondos2014!$B$7:$BA$83,41,FALSE)</f>
        <v>0</v>
      </c>
      <c r="N34" s="68">
        <f t="shared" si="2"/>
        <v>224300.18</v>
      </c>
      <c r="O34" s="121" t="s">
        <v>91</v>
      </c>
    </row>
    <row r="35" spans="1:15" x14ac:dyDescent="0.2">
      <c r="A35" s="121" t="s">
        <v>92</v>
      </c>
      <c r="B35" s="68">
        <f t="shared" si="0"/>
        <v>789097.44</v>
      </c>
      <c r="C35" s="69">
        <f>+VLOOKUP($A35,Fondos2014!$B$7:$AS$82,3,FALSE)</f>
        <v>39065.589999999997</v>
      </c>
      <c r="D35" s="69">
        <f>+VLOOKUP($A35,Fondos2014!$B$7:$AS$82,4,FALSE)</f>
        <v>0</v>
      </c>
      <c r="E35" s="69">
        <f>+VLOOKUP($A35,Fondos2014!$B$7:$AS$82,11,FALSE)</f>
        <v>33912.26</v>
      </c>
      <c r="F35" s="69">
        <f>+VLOOKUP($A35,Fondos2014!$B$7:$AS$82,15,FALSE)</f>
        <v>5600</v>
      </c>
      <c r="G35" s="69">
        <f>+VLOOKUP($A35,Fondos2014!$B$7:$AS$82,20,FALSE)</f>
        <v>709279.59</v>
      </c>
      <c r="H35" s="69">
        <f>+VLOOKUP($A35,Fondos2014!$B$7:$AS$82,23,FALSE)</f>
        <v>1240</v>
      </c>
      <c r="I35" s="68">
        <f t="shared" si="1"/>
        <v>562624.51</v>
      </c>
      <c r="J35" s="69">
        <f>+VLOOKUP($A35,Fondos2014!$B$7:$BA$82,30,FALSE)</f>
        <v>0</v>
      </c>
      <c r="K35" s="69">
        <f>+VLOOKUP($A35,Fondos2014!$B$7:$BA$83,35,FALSE)</f>
        <v>562624.51</v>
      </c>
      <c r="L35" s="69">
        <f>+VLOOKUP($A35,Fondos2014!$B$7:$BA$83,40,FALSE)</f>
        <v>0</v>
      </c>
      <c r="M35" s="69">
        <f>+VLOOKUP($A35,Fondos2014!$B$7:$BA$83,41,FALSE)</f>
        <v>0</v>
      </c>
      <c r="N35" s="68">
        <f t="shared" si="2"/>
        <v>1351721.95</v>
      </c>
      <c r="O35" s="121" t="s">
        <v>92</v>
      </c>
    </row>
    <row r="36" spans="1:15" x14ac:dyDescent="0.2">
      <c r="A36" s="121" t="s">
        <v>93</v>
      </c>
      <c r="B36" s="68">
        <f t="shared" si="0"/>
        <v>269121</v>
      </c>
      <c r="C36" s="69">
        <f>+VLOOKUP($A36,Fondos2014!$B$7:$AS$82,3,FALSE)</f>
        <v>0</v>
      </c>
      <c r="D36" s="69">
        <f>+VLOOKUP($A36,Fondos2014!$B$7:$AS$82,4,FALSE)</f>
        <v>0</v>
      </c>
      <c r="E36" s="69">
        <f>+VLOOKUP($A36,Fondos2014!$B$7:$AS$82,11,FALSE)</f>
        <v>14595</v>
      </c>
      <c r="F36" s="69">
        <f>+VLOOKUP($A36,Fondos2014!$B$7:$AS$82,15,FALSE)</f>
        <v>6516</v>
      </c>
      <c r="G36" s="69">
        <f>+VLOOKUP($A36,Fondos2014!$B$7:$AS$82,20,FALSE)</f>
        <v>4151</v>
      </c>
      <c r="H36" s="69">
        <f>+VLOOKUP($A36,Fondos2014!$B$7:$AS$82,23,FALSE)</f>
        <v>243859</v>
      </c>
      <c r="I36" s="68">
        <f t="shared" si="1"/>
        <v>3752815</v>
      </c>
      <c r="J36" s="69">
        <f>+VLOOKUP($A36,Fondos2014!$B$7:$BA$82,30,FALSE)</f>
        <v>3110792</v>
      </c>
      <c r="K36" s="69">
        <f>+VLOOKUP($A36,Fondos2014!$B$7:$BA$83,35,FALSE)</f>
        <v>293429</v>
      </c>
      <c r="L36" s="69">
        <f>+VLOOKUP($A36,Fondos2014!$B$7:$BA$83,40,FALSE)</f>
        <v>348594</v>
      </c>
      <c r="M36" s="69">
        <f>+VLOOKUP($A36,Fondos2014!$B$7:$BA$83,41,FALSE)</f>
        <v>0</v>
      </c>
      <c r="N36" s="68">
        <f t="shared" si="2"/>
        <v>4021936</v>
      </c>
      <c r="O36" s="121" t="s">
        <v>93</v>
      </c>
    </row>
    <row r="37" spans="1:15" ht="12.75" customHeight="1" x14ac:dyDescent="0.2">
      <c r="A37" s="121" t="s">
        <v>94</v>
      </c>
      <c r="B37" s="68">
        <f t="shared" si="0"/>
        <v>50666.53</v>
      </c>
      <c r="C37" s="69">
        <f>+VLOOKUP($A37,Fondos2014!$B$7:$AS$82,3,FALSE)</f>
        <v>0</v>
      </c>
      <c r="D37" s="69">
        <f>+VLOOKUP($A37,Fondos2014!$B$7:$AS$82,4,FALSE)</f>
        <v>0</v>
      </c>
      <c r="E37" s="69">
        <f>+VLOOKUP($A37,Fondos2014!$B$7:$AS$82,11,FALSE)</f>
        <v>45666.53</v>
      </c>
      <c r="F37" s="69">
        <f>+VLOOKUP($A37,Fondos2014!$B$7:$AS$82,15,FALSE)</f>
        <v>5000</v>
      </c>
      <c r="G37" s="69">
        <f>+VLOOKUP($A37,Fondos2014!$B$7:$AS$82,20,FALSE)</f>
        <v>0</v>
      </c>
      <c r="H37" s="69">
        <f>+VLOOKUP($A37,Fondos2014!$B$7:$AS$82,23,FALSE)</f>
        <v>0</v>
      </c>
      <c r="I37" s="68">
        <f t="shared" si="1"/>
        <v>5785000</v>
      </c>
      <c r="J37" s="69">
        <f>+VLOOKUP($A37,Fondos2014!$B$7:$BA$82,30,FALSE)</f>
        <v>5785000</v>
      </c>
      <c r="K37" s="69">
        <f>+VLOOKUP($A37,Fondos2014!$B$7:$BA$83,35,FALSE)</f>
        <v>0</v>
      </c>
      <c r="L37" s="69">
        <f>+VLOOKUP($A37,Fondos2014!$B$7:$BA$83,40,FALSE)</f>
        <v>0</v>
      </c>
      <c r="M37" s="69">
        <f>+VLOOKUP($A37,Fondos2014!$B$7:$BA$83,41,FALSE)</f>
        <v>0</v>
      </c>
      <c r="N37" s="68">
        <f t="shared" si="2"/>
        <v>5835666.5300000003</v>
      </c>
      <c r="O37" s="121" t="s">
        <v>94</v>
      </c>
    </row>
    <row r="38" spans="1:15" ht="12.75" customHeight="1" x14ac:dyDescent="0.2">
      <c r="A38" s="121" t="s">
        <v>95</v>
      </c>
      <c r="B38" s="68">
        <f t="shared" si="0"/>
        <v>431693.85</v>
      </c>
      <c r="C38" s="69">
        <f>+VLOOKUP($A38,Fondos2014!$B$7:$AS$82,3,FALSE)</f>
        <v>0</v>
      </c>
      <c r="D38" s="69">
        <f>+VLOOKUP($A38,Fondos2014!$B$7:$AS$82,4,FALSE)</f>
        <v>0</v>
      </c>
      <c r="E38" s="69">
        <f>+VLOOKUP($A38,Fondos2014!$B$7:$AS$82,11,FALSE)</f>
        <v>207699.44999999998</v>
      </c>
      <c r="F38" s="69">
        <f>+VLOOKUP($A38,Fondos2014!$B$7:$AS$82,15,FALSE)</f>
        <v>223994.4</v>
      </c>
      <c r="G38" s="69">
        <f>+VLOOKUP($A38,Fondos2014!$B$7:$AS$82,20,FALSE)</f>
        <v>0</v>
      </c>
      <c r="H38" s="69">
        <f>+VLOOKUP($A38,Fondos2014!$B$7:$AS$82,23,FALSE)</f>
        <v>0</v>
      </c>
      <c r="I38" s="68">
        <f t="shared" si="1"/>
        <v>1215535</v>
      </c>
      <c r="J38" s="69">
        <f>+VLOOKUP($A38,Fondos2014!$B$7:$BA$82,30,FALSE)</f>
        <v>1215535</v>
      </c>
      <c r="K38" s="69">
        <f>+VLOOKUP($A38,Fondos2014!$B$7:$BA$83,35,FALSE)</f>
        <v>0</v>
      </c>
      <c r="L38" s="69">
        <f>+VLOOKUP($A38,Fondos2014!$B$7:$BA$83,40,FALSE)</f>
        <v>0</v>
      </c>
      <c r="M38" s="69">
        <f>+VLOOKUP($A38,Fondos2014!$B$7:$BA$83,41,FALSE)</f>
        <v>0</v>
      </c>
      <c r="N38" s="68">
        <f t="shared" si="2"/>
        <v>1647228.85</v>
      </c>
      <c r="O38" s="121" t="s">
        <v>95</v>
      </c>
    </row>
    <row r="39" spans="1:15" ht="12.75" customHeight="1" x14ac:dyDescent="0.2">
      <c r="A39" s="121" t="s">
        <v>96</v>
      </c>
      <c r="B39" s="68">
        <f t="shared" si="0"/>
        <v>9975850</v>
      </c>
      <c r="C39" s="69">
        <f>+VLOOKUP($A39,Fondos2014!$B$7:$AS$82,3,FALSE)</f>
        <v>9777662</v>
      </c>
      <c r="D39" s="69">
        <f>+VLOOKUP($A39,Fondos2014!$B$7:$AS$82,4,FALSE)</f>
        <v>0</v>
      </c>
      <c r="E39" s="69">
        <f>+VLOOKUP($A39,Fondos2014!$B$7:$AS$82,11,FALSE)</f>
        <v>53372</v>
      </c>
      <c r="F39" s="69">
        <f>+VLOOKUP($A39,Fondos2014!$B$7:$AS$82,15,FALSE)</f>
        <v>0</v>
      </c>
      <c r="G39" s="69">
        <f>+VLOOKUP($A39,Fondos2014!$B$7:$AS$82,20,FALSE)</f>
        <v>144816</v>
      </c>
      <c r="H39" s="69">
        <f>+VLOOKUP($A39,Fondos2014!$B$7:$AS$82,23,FALSE)</f>
        <v>0</v>
      </c>
      <c r="I39" s="68">
        <f t="shared" si="1"/>
        <v>4452895</v>
      </c>
      <c r="J39" s="69">
        <f>+VLOOKUP($A39,Fondos2014!$B$7:$BA$82,30,FALSE)</f>
        <v>2103715</v>
      </c>
      <c r="K39" s="69">
        <f>+VLOOKUP($A39,Fondos2014!$B$7:$BA$83,35,FALSE)</f>
        <v>2014326</v>
      </c>
      <c r="L39" s="69">
        <f>+VLOOKUP($A39,Fondos2014!$B$7:$BA$83,40,FALSE)</f>
        <v>334854</v>
      </c>
      <c r="M39" s="69">
        <f>+VLOOKUP($A39,Fondos2014!$B$7:$BA$83,41,FALSE)</f>
        <v>0</v>
      </c>
      <c r="N39" s="68">
        <f t="shared" si="2"/>
        <v>14428745</v>
      </c>
      <c r="O39" s="121" t="s">
        <v>96</v>
      </c>
    </row>
    <row r="40" spans="1:15" x14ac:dyDescent="0.2">
      <c r="A40" s="121" t="s">
        <v>97</v>
      </c>
      <c r="B40" s="68">
        <f t="shared" si="0"/>
        <v>0</v>
      </c>
      <c r="C40" s="69">
        <f>+VLOOKUP($A40,Fondos2014!$B$7:$AS$82,3,FALSE)</f>
        <v>0</v>
      </c>
      <c r="D40" s="69">
        <f>+VLOOKUP($A40,Fondos2014!$B$7:$AS$82,4,FALSE)</f>
        <v>0</v>
      </c>
      <c r="E40" s="69">
        <f>+VLOOKUP($A40,Fondos2014!$B$7:$AS$82,11,FALSE)</f>
        <v>0</v>
      </c>
      <c r="F40" s="69">
        <f>+VLOOKUP($A40,Fondos2014!$B$7:$AS$82,15,FALSE)</f>
        <v>0</v>
      </c>
      <c r="G40" s="69">
        <f>+VLOOKUP($A40,Fondos2014!$B$7:$AS$82,20,FALSE)</f>
        <v>0</v>
      </c>
      <c r="H40" s="69">
        <f>+VLOOKUP($A40,Fondos2014!$B$7:$AS$82,23,FALSE)</f>
        <v>0</v>
      </c>
      <c r="I40" s="68">
        <f t="shared" si="1"/>
        <v>23748</v>
      </c>
      <c r="J40" s="69">
        <f>+VLOOKUP($A40,Fondos2014!$B$7:$BA$82,30,FALSE)</f>
        <v>0</v>
      </c>
      <c r="K40" s="69">
        <f>+VLOOKUP($A40,Fondos2014!$B$7:$BA$83,35,FALSE)</f>
        <v>23748</v>
      </c>
      <c r="L40" s="69">
        <f>+VLOOKUP($A40,Fondos2014!$B$7:$BA$83,40,FALSE)</f>
        <v>0</v>
      </c>
      <c r="M40" s="69">
        <f>+VLOOKUP($A40,Fondos2014!$B$7:$BA$83,41,FALSE)</f>
        <v>0</v>
      </c>
      <c r="N40" s="68">
        <f t="shared" si="2"/>
        <v>23748</v>
      </c>
      <c r="O40" s="121" t="s">
        <v>97</v>
      </c>
    </row>
    <row r="41" spans="1:15" x14ac:dyDescent="0.2">
      <c r="A41" s="121" t="s">
        <v>98</v>
      </c>
      <c r="B41" s="68">
        <f t="shared" si="0"/>
        <v>516461.19</v>
      </c>
      <c r="C41" s="69">
        <f>+VLOOKUP($A41,Fondos2014!$B$7:$AS$82,3,FALSE)</f>
        <v>0</v>
      </c>
      <c r="D41" s="69">
        <f>+VLOOKUP($A41,Fondos2014!$B$7:$AS$82,4,FALSE)</f>
        <v>404633.28</v>
      </c>
      <c r="E41" s="69">
        <f>+VLOOKUP($A41,Fondos2014!$B$7:$AS$82,11,FALSE)</f>
        <v>57912.36</v>
      </c>
      <c r="F41" s="69">
        <f>+VLOOKUP($A41,Fondos2014!$B$7:$AS$82,15,FALSE)</f>
        <v>53915.55</v>
      </c>
      <c r="G41" s="69">
        <f>+VLOOKUP($A41,Fondos2014!$B$7:$AS$82,20,FALSE)</f>
        <v>0</v>
      </c>
      <c r="H41" s="69">
        <f>+VLOOKUP($A41,Fondos2014!$B$7:$AS$82,23,FALSE)</f>
        <v>0</v>
      </c>
      <c r="I41" s="68">
        <f t="shared" si="1"/>
        <v>71067.56</v>
      </c>
      <c r="J41" s="69">
        <f>+VLOOKUP($A41,Fondos2014!$B$7:$BA$82,30,FALSE)</f>
        <v>0</v>
      </c>
      <c r="K41" s="69">
        <f>+VLOOKUP($A41,Fondos2014!$B$7:$BA$83,35,FALSE)</f>
        <v>71067.56</v>
      </c>
      <c r="L41" s="69">
        <f>+VLOOKUP($A41,Fondos2014!$B$7:$BA$83,40,FALSE)</f>
        <v>0</v>
      </c>
      <c r="M41" s="69">
        <f>+VLOOKUP($A41,Fondos2014!$B$7:$BA$83,41,FALSE)</f>
        <v>0</v>
      </c>
      <c r="N41" s="68">
        <f t="shared" si="2"/>
        <v>587528.75</v>
      </c>
      <c r="O41" s="121" t="s">
        <v>98</v>
      </c>
    </row>
    <row r="42" spans="1:15" x14ac:dyDescent="0.2">
      <c r="A42" s="121" t="s">
        <v>99</v>
      </c>
      <c r="B42" s="68">
        <f t="shared" si="0"/>
        <v>32297</v>
      </c>
      <c r="C42" s="69">
        <f>+VLOOKUP($A42,Fondos2014!$B$7:$AS$82,3,FALSE)</f>
        <v>12500</v>
      </c>
      <c r="D42" s="69">
        <f>+VLOOKUP($A42,Fondos2014!$B$7:$AS$82,4,FALSE)</f>
        <v>0</v>
      </c>
      <c r="E42" s="69">
        <f>+VLOOKUP($A42,Fondos2014!$B$7:$AS$82,11,FALSE)</f>
        <v>13597</v>
      </c>
      <c r="F42" s="69">
        <f>+VLOOKUP($A42,Fondos2014!$B$7:$AS$82,15,FALSE)</f>
        <v>6200</v>
      </c>
      <c r="G42" s="69">
        <f>+VLOOKUP($A42,Fondos2014!$B$7:$AS$82,20,FALSE)</f>
        <v>0</v>
      </c>
      <c r="H42" s="69">
        <f>+VLOOKUP($A42,Fondos2014!$B$7:$AS$82,23,FALSE)</f>
        <v>0</v>
      </c>
      <c r="I42" s="68">
        <f t="shared" si="1"/>
        <v>123409</v>
      </c>
      <c r="J42" s="69">
        <f>+VLOOKUP($A42,Fondos2014!$B$7:$BA$82,30,FALSE)</f>
        <v>0</v>
      </c>
      <c r="K42" s="69">
        <f>+VLOOKUP($A42,Fondos2014!$B$7:$BA$83,35,FALSE)</f>
        <v>123409</v>
      </c>
      <c r="L42" s="69">
        <f>+VLOOKUP($A42,Fondos2014!$B$7:$BA$83,40,FALSE)</f>
        <v>0</v>
      </c>
      <c r="M42" s="69">
        <f>+VLOOKUP($A42,Fondos2014!$B$7:$BA$83,41,FALSE)</f>
        <v>0</v>
      </c>
      <c r="N42" s="68">
        <f t="shared" si="2"/>
        <v>155706</v>
      </c>
      <c r="O42" s="121" t="s">
        <v>99</v>
      </c>
    </row>
    <row r="43" spans="1:15" x14ac:dyDescent="0.2">
      <c r="A43" s="121" t="s">
        <v>100</v>
      </c>
      <c r="B43" s="68">
        <f t="shared" si="0"/>
        <v>453234.46</v>
      </c>
      <c r="C43" s="69">
        <f>+VLOOKUP($A43,Fondos2014!$B$7:$AS$82,3,FALSE)</f>
        <v>0</v>
      </c>
      <c r="D43" s="69">
        <f>+VLOOKUP($A43,Fondos2014!$B$7:$AS$82,4,FALSE)</f>
        <v>0</v>
      </c>
      <c r="E43" s="69">
        <f>+VLOOKUP($A43,Fondos2014!$B$7:$AS$82,11,FALSE)</f>
        <v>61207.71</v>
      </c>
      <c r="F43" s="69">
        <f>+VLOOKUP($A43,Fondos2014!$B$7:$AS$82,15,FALSE)</f>
        <v>392026.75</v>
      </c>
      <c r="G43" s="69">
        <f>+VLOOKUP($A43,Fondos2014!$B$7:$AS$82,20,FALSE)</f>
        <v>0</v>
      </c>
      <c r="H43" s="69">
        <f>+VLOOKUP($A43,Fondos2014!$B$7:$AS$82,23,FALSE)</f>
        <v>0</v>
      </c>
      <c r="I43" s="68">
        <f t="shared" si="1"/>
        <v>3148122.98</v>
      </c>
      <c r="J43" s="69">
        <f>+VLOOKUP($A43,Fondos2014!$B$7:$BA$82,30,FALSE)</f>
        <v>2785000</v>
      </c>
      <c r="K43" s="69">
        <f>+VLOOKUP($A43,Fondos2014!$B$7:$BA$83,35,FALSE)</f>
        <v>363122.98</v>
      </c>
      <c r="L43" s="69">
        <f>+VLOOKUP($A43,Fondos2014!$B$7:$BA$83,40,FALSE)</f>
        <v>0</v>
      </c>
      <c r="M43" s="69">
        <f>+VLOOKUP($A43,Fondos2014!$B$7:$BA$83,41,FALSE)</f>
        <v>0</v>
      </c>
      <c r="N43" s="68">
        <f t="shared" si="2"/>
        <v>3601357.44</v>
      </c>
      <c r="O43" s="121" t="s">
        <v>100</v>
      </c>
    </row>
    <row r="44" spans="1:15" x14ac:dyDescent="0.2">
      <c r="A44" s="121" t="s">
        <v>101</v>
      </c>
      <c r="B44" s="68">
        <f t="shared" si="0"/>
        <v>742188.61</v>
      </c>
      <c r="C44" s="69">
        <f>+VLOOKUP($A44,Fondos2014!$B$7:$AS$82,3,FALSE)</f>
        <v>47695.57</v>
      </c>
      <c r="D44" s="69">
        <f>+VLOOKUP($A44,Fondos2014!$B$7:$AS$82,4,FALSE)</f>
        <v>259440.86</v>
      </c>
      <c r="E44" s="69">
        <f>+VLOOKUP($A44,Fondos2014!$B$7:$AS$82,11,FALSE)</f>
        <v>405190.5</v>
      </c>
      <c r="F44" s="69">
        <f>+VLOOKUP($A44,Fondos2014!$B$7:$AS$82,15,FALSE)</f>
        <v>0</v>
      </c>
      <c r="G44" s="69">
        <f>+VLOOKUP($A44,Fondos2014!$B$7:$AS$82,20,FALSE)</f>
        <v>29861.68</v>
      </c>
      <c r="H44" s="69">
        <f>+VLOOKUP($A44,Fondos2014!$B$7:$AS$82,23,FALSE)</f>
        <v>0</v>
      </c>
      <c r="I44" s="68">
        <f t="shared" si="1"/>
        <v>424291.66</v>
      </c>
      <c r="J44" s="69">
        <f>+VLOOKUP($A44,Fondos2014!$B$7:$BA$82,30,FALSE)</f>
        <v>0</v>
      </c>
      <c r="K44" s="69">
        <f>+VLOOKUP($A44,Fondos2014!$B$7:$BA$83,35,FALSE)</f>
        <v>424291.66</v>
      </c>
      <c r="L44" s="69">
        <f>+VLOOKUP($A44,Fondos2014!$B$7:$BA$83,40,FALSE)</f>
        <v>0</v>
      </c>
      <c r="M44" s="69">
        <f>+VLOOKUP($A44,Fondos2014!$B$7:$BA$83,41,FALSE)</f>
        <v>0</v>
      </c>
      <c r="N44" s="68">
        <f t="shared" si="2"/>
        <v>1166480.27</v>
      </c>
      <c r="O44" s="121" t="s">
        <v>101</v>
      </c>
    </row>
    <row r="45" spans="1:15" x14ac:dyDescent="0.2">
      <c r="A45" s="121" t="s">
        <v>102</v>
      </c>
      <c r="B45" s="68">
        <f t="shared" si="0"/>
        <v>776658</v>
      </c>
      <c r="C45" s="69">
        <f>+VLOOKUP($A45,Fondos2014!$B$7:$AS$82,3,FALSE)</f>
        <v>0</v>
      </c>
      <c r="D45" s="69">
        <f>+VLOOKUP($A45,Fondos2014!$B$7:$AS$82,4,FALSE)</f>
        <v>0</v>
      </c>
      <c r="E45" s="69">
        <f>+VLOOKUP($A45,Fondos2014!$B$7:$AS$82,11,FALSE)</f>
        <v>0</v>
      </c>
      <c r="F45" s="69">
        <f>+VLOOKUP($A45,Fondos2014!$B$7:$AS$82,15,FALSE)</f>
        <v>776658</v>
      </c>
      <c r="G45" s="69">
        <f>+VLOOKUP($A45,Fondos2014!$B$7:$AS$82,20,FALSE)</f>
        <v>0</v>
      </c>
      <c r="H45" s="69">
        <f>+VLOOKUP($A45,Fondos2014!$B$7:$AS$82,23,FALSE)</f>
        <v>0</v>
      </c>
      <c r="I45" s="68">
        <f t="shared" si="1"/>
        <v>2910000</v>
      </c>
      <c r="J45" s="69">
        <f>+VLOOKUP($A45,Fondos2014!$B$7:$BA$82,30,FALSE)</f>
        <v>2910000</v>
      </c>
      <c r="K45" s="69">
        <f>+VLOOKUP($A45,Fondos2014!$B$7:$BA$83,35,FALSE)</f>
        <v>0</v>
      </c>
      <c r="L45" s="69">
        <f>+VLOOKUP($A45,Fondos2014!$B$7:$BA$83,40,FALSE)</f>
        <v>0</v>
      </c>
      <c r="M45" s="69">
        <f>+VLOOKUP($A45,Fondos2014!$B$7:$BA$83,41,FALSE)</f>
        <v>0</v>
      </c>
      <c r="N45" s="68">
        <f t="shared" si="2"/>
        <v>3686658</v>
      </c>
      <c r="O45" s="121" t="s">
        <v>102</v>
      </c>
    </row>
    <row r="46" spans="1:15" x14ac:dyDescent="0.2">
      <c r="A46" s="121" t="s">
        <v>103</v>
      </c>
      <c r="B46" s="68">
        <f t="shared" si="0"/>
        <v>121468.21</v>
      </c>
      <c r="C46" s="69">
        <f>+VLOOKUP($A46,Fondos2014!$B$7:$AS$82,3,FALSE)</f>
        <v>21652</v>
      </c>
      <c r="D46" s="69">
        <f>+VLOOKUP($A46,Fondos2014!$B$7:$AS$82,4,FALSE)</f>
        <v>0</v>
      </c>
      <c r="E46" s="69">
        <f>+VLOOKUP($A46,Fondos2014!$B$7:$AS$82,11,FALSE)</f>
        <v>99816.21</v>
      </c>
      <c r="F46" s="69">
        <f>+VLOOKUP($A46,Fondos2014!$B$7:$AS$82,15,FALSE)</f>
        <v>0</v>
      </c>
      <c r="G46" s="69">
        <f>+VLOOKUP($A46,Fondos2014!$B$7:$AS$82,20,FALSE)</f>
        <v>0</v>
      </c>
      <c r="H46" s="69">
        <f>+VLOOKUP($A46,Fondos2014!$B$7:$AS$82,23,FALSE)</f>
        <v>0</v>
      </c>
      <c r="I46" s="68">
        <f t="shared" si="1"/>
        <v>6071534</v>
      </c>
      <c r="J46" s="69">
        <f>+VLOOKUP($A46,Fondos2014!$B$7:$BA$82,30,FALSE)</f>
        <v>5726095</v>
      </c>
      <c r="K46" s="69">
        <f>+VLOOKUP($A46,Fondos2014!$B$7:$BA$83,35,FALSE)</f>
        <v>345439</v>
      </c>
      <c r="L46" s="69">
        <f>+VLOOKUP($A46,Fondos2014!$B$7:$BA$83,40,FALSE)</f>
        <v>0</v>
      </c>
      <c r="M46" s="69">
        <f>+VLOOKUP($A46,Fondos2014!$B$7:$BA$83,41,FALSE)</f>
        <v>0</v>
      </c>
      <c r="N46" s="68">
        <f t="shared" si="2"/>
        <v>6193002.21</v>
      </c>
      <c r="O46" s="121" t="s">
        <v>103</v>
      </c>
    </row>
    <row r="47" spans="1:15" x14ac:dyDescent="0.2">
      <c r="A47" s="121" t="s">
        <v>104</v>
      </c>
      <c r="B47" s="68">
        <f t="shared" si="0"/>
        <v>240182.22999999998</v>
      </c>
      <c r="C47" s="69">
        <f>+VLOOKUP($A47,Fondos2014!$B$7:$AS$82,3,FALSE)</f>
        <v>230721.02</v>
      </c>
      <c r="D47" s="69">
        <f>+VLOOKUP($A47,Fondos2014!$B$7:$AS$82,4,FALSE)</f>
        <v>0</v>
      </c>
      <c r="E47" s="69">
        <f>+VLOOKUP($A47,Fondos2014!$B$7:$AS$82,11,FALSE)</f>
        <v>623.20999999999992</v>
      </c>
      <c r="F47" s="69">
        <f>+VLOOKUP($A47,Fondos2014!$B$7:$AS$82,15,FALSE)</f>
        <v>8838</v>
      </c>
      <c r="G47" s="69">
        <f>+VLOOKUP($A47,Fondos2014!$B$7:$AS$82,20,FALSE)</f>
        <v>0</v>
      </c>
      <c r="H47" s="69">
        <f>+VLOOKUP($A47,Fondos2014!$B$7:$AS$82,23,FALSE)</f>
        <v>0</v>
      </c>
      <c r="I47" s="68">
        <f t="shared" si="1"/>
        <v>18382.789999999997</v>
      </c>
      <c r="J47" s="69">
        <f>+VLOOKUP($A47,Fondos2014!$B$7:$BA$82,30,FALSE)</f>
        <v>883.1</v>
      </c>
      <c r="K47" s="69">
        <f>+VLOOKUP($A47,Fondos2014!$B$7:$BA$83,35,FALSE)</f>
        <v>0</v>
      </c>
      <c r="L47" s="69">
        <f>+VLOOKUP($A47,Fondos2014!$B$7:$BA$83,40,FALSE)</f>
        <v>17499.689999999999</v>
      </c>
      <c r="M47" s="69">
        <f>+VLOOKUP($A47,Fondos2014!$B$7:$BA$83,41,FALSE)</f>
        <v>0</v>
      </c>
      <c r="N47" s="68">
        <f t="shared" si="2"/>
        <v>258565.02</v>
      </c>
      <c r="O47" s="121" t="s">
        <v>104</v>
      </c>
    </row>
    <row r="48" spans="1:15" x14ac:dyDescent="0.2">
      <c r="A48" s="121" t="s">
        <v>105</v>
      </c>
      <c r="B48" s="68">
        <f t="shared" si="0"/>
        <v>982284.22</v>
      </c>
      <c r="C48" s="69">
        <f>+VLOOKUP($A48,Fondos2014!$B$7:$AS$82,3,FALSE)</f>
        <v>401881.24</v>
      </c>
      <c r="D48" s="69">
        <f>+VLOOKUP($A48,Fondos2014!$B$7:$AS$82,4,FALSE)</f>
        <v>0</v>
      </c>
      <c r="E48" s="69">
        <f>+VLOOKUP($A48,Fondos2014!$B$7:$AS$82,11,FALSE)</f>
        <v>540728.52</v>
      </c>
      <c r="F48" s="69">
        <f>+VLOOKUP($A48,Fondos2014!$B$7:$AS$82,15,FALSE)</f>
        <v>35000</v>
      </c>
      <c r="G48" s="69">
        <f>+VLOOKUP($A48,Fondos2014!$B$7:$AS$82,20,FALSE)</f>
        <v>0</v>
      </c>
      <c r="H48" s="69">
        <f>+VLOOKUP($A48,Fondos2014!$B$7:$AS$82,23,FALSE)</f>
        <v>4674.46</v>
      </c>
      <c r="I48" s="68">
        <f t="shared" si="1"/>
        <v>5753254.3200000003</v>
      </c>
      <c r="J48" s="69">
        <f>+VLOOKUP($A48,Fondos2014!$B$7:$BA$82,30,FALSE)</f>
        <v>4413419.33</v>
      </c>
      <c r="K48" s="69">
        <f>+VLOOKUP($A48,Fondos2014!$B$7:$BA$83,35,FALSE)</f>
        <v>1339834.99</v>
      </c>
      <c r="L48" s="69">
        <f>+VLOOKUP($A48,Fondos2014!$B$7:$BA$83,40,FALSE)</f>
        <v>0</v>
      </c>
      <c r="M48" s="69">
        <f>+VLOOKUP($A48,Fondos2014!$B$7:$BA$83,41,FALSE)</f>
        <v>0</v>
      </c>
      <c r="N48" s="68">
        <f t="shared" si="2"/>
        <v>6735538.54</v>
      </c>
      <c r="O48" s="121" t="s">
        <v>105</v>
      </c>
    </row>
    <row r="49" spans="1:15" x14ac:dyDescent="0.2">
      <c r="A49" s="121" t="s">
        <v>106</v>
      </c>
      <c r="B49" s="68">
        <f t="shared" si="0"/>
        <v>748930.46</v>
      </c>
      <c r="C49" s="69">
        <f>+VLOOKUP($A49,Fondos2014!$B$7:$AS$82,3,FALSE)</f>
        <v>5112.1000000000004</v>
      </c>
      <c r="D49" s="69">
        <f>+VLOOKUP($A49,Fondos2014!$B$7:$AS$82,4,FALSE)</f>
        <v>0</v>
      </c>
      <c r="E49" s="69">
        <f>+VLOOKUP($A49,Fondos2014!$B$7:$AS$82,11,FALSE)</f>
        <v>7907.67</v>
      </c>
      <c r="F49" s="69">
        <f>+VLOOKUP($A49,Fondos2014!$B$7:$AS$82,15,FALSE)</f>
        <v>735910.69</v>
      </c>
      <c r="G49" s="69">
        <f>+VLOOKUP($A49,Fondos2014!$B$7:$AS$82,20,FALSE)</f>
        <v>0</v>
      </c>
      <c r="H49" s="69">
        <f>+VLOOKUP($A49,Fondos2014!$B$7:$AS$82,23,FALSE)</f>
        <v>0</v>
      </c>
      <c r="I49" s="68">
        <f t="shared" si="1"/>
        <v>598479.1</v>
      </c>
      <c r="J49" s="69">
        <f>+VLOOKUP($A49,Fondos2014!$B$7:$BA$82,30,FALSE)</f>
        <v>109233.59</v>
      </c>
      <c r="K49" s="69">
        <f>+VLOOKUP($A49,Fondos2014!$B$7:$BA$83,35,FALSE)</f>
        <v>489245.51</v>
      </c>
      <c r="L49" s="69">
        <f>+VLOOKUP($A49,Fondos2014!$B$7:$BA$83,40,FALSE)</f>
        <v>0</v>
      </c>
      <c r="M49" s="69">
        <f>+VLOOKUP($A49,Fondos2014!$B$7:$BA$83,41,FALSE)</f>
        <v>0</v>
      </c>
      <c r="N49" s="68">
        <f t="shared" si="2"/>
        <v>1347409.56</v>
      </c>
      <c r="O49" s="121" t="s">
        <v>106</v>
      </c>
    </row>
    <row r="50" spans="1:15" x14ac:dyDescent="0.2">
      <c r="A50" s="121" t="s">
        <v>107</v>
      </c>
      <c r="B50" s="68">
        <f t="shared" si="0"/>
        <v>1423724.6500000001</v>
      </c>
      <c r="C50" s="69">
        <f>+VLOOKUP($A50,Fondos2014!$B$7:$AS$82,3,FALSE)</f>
        <v>111854.05</v>
      </c>
      <c r="D50" s="69">
        <f>+VLOOKUP($A50,Fondos2014!$B$7:$AS$82,4,FALSE)</f>
        <v>0</v>
      </c>
      <c r="E50" s="69">
        <f>+VLOOKUP($A50,Fondos2014!$B$7:$AS$82,11,FALSE)</f>
        <v>1175921.54</v>
      </c>
      <c r="F50" s="69">
        <f>+VLOOKUP($A50,Fondos2014!$B$7:$AS$82,15,FALSE)</f>
        <v>127096.82</v>
      </c>
      <c r="G50" s="69">
        <f>+VLOOKUP($A50,Fondos2014!$B$7:$AS$82,20,FALSE)</f>
        <v>0</v>
      </c>
      <c r="H50" s="69">
        <f>+VLOOKUP($A50,Fondos2014!$B$7:$AS$82,23,FALSE)</f>
        <v>8852.24</v>
      </c>
      <c r="I50" s="68">
        <f t="shared" si="1"/>
        <v>4040727.5</v>
      </c>
      <c r="J50" s="69">
        <f>+VLOOKUP($A50,Fondos2014!$B$7:$BA$82,30,FALSE)</f>
        <v>3553000</v>
      </c>
      <c r="K50" s="69">
        <f>+VLOOKUP($A50,Fondos2014!$B$7:$BA$83,35,FALSE)</f>
        <v>428698.8</v>
      </c>
      <c r="L50" s="69">
        <f>+VLOOKUP($A50,Fondos2014!$B$7:$BA$83,40,FALSE)</f>
        <v>59028.7</v>
      </c>
      <c r="M50" s="69">
        <f>+VLOOKUP($A50,Fondos2014!$B$7:$BA$83,41,FALSE)</f>
        <v>0</v>
      </c>
      <c r="N50" s="68">
        <f t="shared" si="2"/>
        <v>5464452.1500000004</v>
      </c>
      <c r="O50" s="121" t="s">
        <v>107</v>
      </c>
    </row>
    <row r="51" spans="1:15" x14ac:dyDescent="0.2">
      <c r="A51" s="121" t="s">
        <v>108</v>
      </c>
      <c r="B51" s="68">
        <f t="shared" si="0"/>
        <v>2222725.2000000002</v>
      </c>
      <c r="C51" s="69">
        <f>+VLOOKUP($A51,Fondos2014!$B$7:$AS$82,3,FALSE)</f>
        <v>34631.46</v>
      </c>
      <c r="D51" s="69">
        <f>+VLOOKUP($A51,Fondos2014!$B$7:$AS$82,4,FALSE)</f>
        <v>0</v>
      </c>
      <c r="E51" s="69">
        <f>+VLOOKUP($A51,Fondos2014!$B$7:$AS$82,11,FALSE)</f>
        <v>2004803.58</v>
      </c>
      <c r="F51" s="69">
        <f>+VLOOKUP($A51,Fondos2014!$B$7:$AS$82,15,FALSE)</f>
        <v>183290.16</v>
      </c>
      <c r="G51" s="69">
        <f>+VLOOKUP($A51,Fondos2014!$B$7:$AS$82,20,FALSE)</f>
        <v>0</v>
      </c>
      <c r="H51" s="69">
        <f>+VLOOKUP($A51,Fondos2014!$B$7:$AS$82,23,FALSE)</f>
        <v>0</v>
      </c>
      <c r="I51" s="68">
        <f t="shared" si="1"/>
        <v>43700.72</v>
      </c>
      <c r="J51" s="69">
        <f>+VLOOKUP($A51,Fondos2014!$B$7:$BA$82,30,FALSE)</f>
        <v>0</v>
      </c>
      <c r="K51" s="69">
        <f>+VLOOKUP($A51,Fondos2014!$B$7:$BA$83,35,FALSE)</f>
        <v>43700.72</v>
      </c>
      <c r="L51" s="69">
        <f>+VLOOKUP($A51,Fondos2014!$B$7:$BA$83,40,FALSE)</f>
        <v>0</v>
      </c>
      <c r="M51" s="69">
        <f>+VLOOKUP($A51,Fondos2014!$B$7:$BA$83,41,FALSE)</f>
        <v>0</v>
      </c>
      <c r="N51" s="68">
        <f t="shared" si="2"/>
        <v>2266425.9200000004</v>
      </c>
      <c r="O51" s="121" t="s">
        <v>108</v>
      </c>
    </row>
    <row r="52" spans="1:15" x14ac:dyDescent="0.2">
      <c r="A52" s="121" t="s">
        <v>109</v>
      </c>
      <c r="B52" s="68">
        <f t="shared" si="0"/>
        <v>37540605</v>
      </c>
      <c r="C52" s="69">
        <f>+VLOOKUP($A52,Fondos2014!$B$7:$AS$82,3,FALSE)</f>
        <v>8781696</v>
      </c>
      <c r="D52" s="69">
        <f>+VLOOKUP($A52,Fondos2014!$B$7:$AS$82,4,FALSE)</f>
        <v>0</v>
      </c>
      <c r="E52" s="69">
        <f>+VLOOKUP($A52,Fondos2014!$B$7:$AS$82,11,FALSE)</f>
        <v>22631574</v>
      </c>
      <c r="F52" s="69">
        <f>+VLOOKUP($A52,Fondos2014!$B$7:$AS$82,15,FALSE)</f>
        <v>142699</v>
      </c>
      <c r="G52" s="69">
        <f>+VLOOKUP($A52,Fondos2014!$B$7:$AS$82,20,FALSE)</f>
        <v>14281</v>
      </c>
      <c r="H52" s="69">
        <f>+VLOOKUP($A52,Fondos2014!$B$7:$AS$82,23,FALSE)</f>
        <v>5970355</v>
      </c>
      <c r="I52" s="68">
        <f t="shared" si="1"/>
        <v>3287682</v>
      </c>
      <c r="J52" s="69">
        <f>+VLOOKUP($A52,Fondos2014!$B$7:$BA$82,30,FALSE)</f>
        <v>0</v>
      </c>
      <c r="K52" s="69">
        <f>+VLOOKUP($A52,Fondos2014!$B$7:$BA$83,35,FALSE)</f>
        <v>3287682</v>
      </c>
      <c r="L52" s="69">
        <f>+VLOOKUP($A52,Fondos2014!$B$7:$BA$83,40,FALSE)</f>
        <v>0</v>
      </c>
      <c r="M52" s="69">
        <f>+VLOOKUP($A52,Fondos2014!$B$7:$BA$83,41,FALSE)</f>
        <v>0</v>
      </c>
      <c r="N52" s="68">
        <f t="shared" si="2"/>
        <v>40828287</v>
      </c>
      <c r="O52" s="121" t="s">
        <v>109</v>
      </c>
    </row>
    <row r="53" spans="1:15" x14ac:dyDescent="0.2">
      <c r="A53" s="121" t="s">
        <v>110</v>
      </c>
      <c r="B53" s="68">
        <f t="shared" si="0"/>
        <v>8042000</v>
      </c>
      <c r="C53" s="69">
        <f>+VLOOKUP($A53,Fondos2014!$B$7:$AS$82,3,FALSE)</f>
        <v>6300000</v>
      </c>
      <c r="D53" s="69">
        <f>+VLOOKUP($A53,Fondos2014!$B$7:$AS$82,4,FALSE)</f>
        <v>0</v>
      </c>
      <c r="E53" s="69">
        <f>+VLOOKUP($A53,Fondos2014!$B$7:$AS$82,11,FALSE)</f>
        <v>1521000</v>
      </c>
      <c r="F53" s="69">
        <f>+VLOOKUP($A53,Fondos2014!$B$7:$AS$82,15,FALSE)</f>
        <v>221000</v>
      </c>
      <c r="G53" s="69">
        <f>+VLOOKUP($A53,Fondos2014!$B$7:$AS$82,20,FALSE)</f>
        <v>0</v>
      </c>
      <c r="H53" s="69">
        <f>+VLOOKUP($A53,Fondos2014!$B$7:$AS$82,23,FALSE)</f>
        <v>0</v>
      </c>
      <c r="I53" s="68">
        <f t="shared" si="1"/>
        <v>17403933.27</v>
      </c>
      <c r="J53" s="69">
        <f>+VLOOKUP($A53,Fondos2014!$B$7:$BA$82,30,FALSE)</f>
        <v>5093676</v>
      </c>
      <c r="K53" s="69">
        <f>+VLOOKUP($A53,Fondos2014!$B$7:$BA$83,35,FALSE)</f>
        <v>1110952</v>
      </c>
      <c r="L53" s="69">
        <f>+VLOOKUP($A53,Fondos2014!$B$7:$BA$83,40,FALSE)</f>
        <v>11199305.27</v>
      </c>
      <c r="M53" s="69">
        <f>+VLOOKUP($A53,Fondos2014!$B$7:$BA$83,41,FALSE)</f>
        <v>0</v>
      </c>
      <c r="N53" s="68">
        <f t="shared" si="2"/>
        <v>25445933.27</v>
      </c>
      <c r="O53" s="121" t="s">
        <v>110</v>
      </c>
    </row>
    <row r="54" spans="1:15" x14ac:dyDescent="0.2">
      <c r="A54" s="121" t="s">
        <v>111</v>
      </c>
      <c r="B54" s="68">
        <f t="shared" si="0"/>
        <v>2384973.5099999998</v>
      </c>
      <c r="C54" s="69">
        <f>+VLOOKUP($A54,Fondos2014!$B$7:$AS$82,3,FALSE)</f>
        <v>601997.97</v>
      </c>
      <c r="D54" s="69">
        <f>+VLOOKUP($A54,Fondos2014!$B$7:$AS$82,4,FALSE)</f>
        <v>0</v>
      </c>
      <c r="E54" s="69">
        <f>+VLOOKUP($A54,Fondos2014!$B$7:$AS$82,11,FALSE)</f>
        <v>839753.7</v>
      </c>
      <c r="F54" s="69">
        <f>+VLOOKUP($A54,Fondos2014!$B$7:$AS$82,15,FALSE)</f>
        <v>521789.54</v>
      </c>
      <c r="G54" s="69">
        <f>+VLOOKUP($A54,Fondos2014!$B$7:$AS$82,20,FALSE)</f>
        <v>0</v>
      </c>
      <c r="H54" s="69">
        <f>+VLOOKUP($A54,Fondos2014!$B$7:$AS$82,23,FALSE)</f>
        <v>421432.3</v>
      </c>
      <c r="I54" s="68">
        <f t="shared" si="1"/>
        <v>16199968.890000001</v>
      </c>
      <c r="J54" s="69">
        <f>+VLOOKUP($A54,Fondos2014!$B$7:$BA$82,30,FALSE)</f>
        <v>6720000</v>
      </c>
      <c r="K54" s="69">
        <f>+VLOOKUP($A54,Fondos2014!$B$7:$BA$83,35,FALSE)</f>
        <v>7137489.6200000001</v>
      </c>
      <c r="L54" s="69">
        <f>+VLOOKUP($A54,Fondos2014!$B$7:$BA$83,40,FALSE)</f>
        <v>2342479.27</v>
      </c>
      <c r="M54" s="69">
        <f>+VLOOKUP($A54,Fondos2014!$B$7:$BA$83,41,FALSE)</f>
        <v>0</v>
      </c>
      <c r="N54" s="68">
        <f t="shared" si="2"/>
        <v>18584942.399999999</v>
      </c>
      <c r="O54" s="121" t="s">
        <v>111</v>
      </c>
    </row>
    <row r="55" spans="1:15" x14ac:dyDescent="0.2">
      <c r="A55" s="121" t="s">
        <v>112</v>
      </c>
      <c r="B55" s="68">
        <f t="shared" si="0"/>
        <v>596411.21</v>
      </c>
      <c r="C55" s="69">
        <f>+VLOOKUP($A55,Fondos2014!$B$7:$AS$82,3,FALSE)</f>
        <v>289284.78000000003</v>
      </c>
      <c r="D55" s="69">
        <f>+VLOOKUP($A55,Fondos2014!$B$7:$AS$82,4,FALSE)</f>
        <v>0</v>
      </c>
      <c r="E55" s="69">
        <f>+VLOOKUP($A55,Fondos2014!$B$7:$AS$82,11,FALSE)</f>
        <v>307126.43</v>
      </c>
      <c r="F55" s="69">
        <f>+VLOOKUP($A55,Fondos2014!$B$7:$AS$82,15,FALSE)</f>
        <v>0</v>
      </c>
      <c r="G55" s="69">
        <f>+VLOOKUP($A55,Fondos2014!$B$7:$AS$82,20,FALSE)</f>
        <v>0</v>
      </c>
      <c r="H55" s="69">
        <f>+VLOOKUP($A55,Fondos2014!$B$7:$AS$82,23,FALSE)</f>
        <v>0</v>
      </c>
      <c r="I55" s="68">
        <f t="shared" si="1"/>
        <v>0</v>
      </c>
      <c r="J55" s="69">
        <f>+VLOOKUP($A55,Fondos2014!$B$7:$BA$82,30,FALSE)</f>
        <v>0</v>
      </c>
      <c r="K55" s="69">
        <f>+VLOOKUP($A55,Fondos2014!$B$7:$BA$83,35,FALSE)</f>
        <v>0</v>
      </c>
      <c r="L55" s="69">
        <f>+VLOOKUP($A55,Fondos2014!$B$7:$BA$83,40,FALSE)</f>
        <v>0</v>
      </c>
      <c r="M55" s="69">
        <f>+VLOOKUP($A55,Fondos2014!$B$7:$BA$83,41,FALSE)</f>
        <v>0</v>
      </c>
      <c r="N55" s="68">
        <f t="shared" si="2"/>
        <v>596411.21</v>
      </c>
      <c r="O55" s="121" t="s">
        <v>112</v>
      </c>
    </row>
    <row r="56" spans="1:15" x14ac:dyDescent="0.2">
      <c r="A56" s="121" t="s">
        <v>113</v>
      </c>
      <c r="B56" s="68">
        <f t="shared" si="0"/>
        <v>61415.62</v>
      </c>
      <c r="C56" s="69">
        <f>+VLOOKUP($A56,Fondos2014!$B$7:$AS$82,3,FALSE)</f>
        <v>8750.82</v>
      </c>
      <c r="D56" s="69">
        <f>+VLOOKUP($A56,Fondos2014!$B$7:$AS$82,4,FALSE)</f>
        <v>8504.43</v>
      </c>
      <c r="E56" s="69">
        <f>+VLOOKUP($A56,Fondos2014!$B$7:$AS$82,11,FALSE)</f>
        <v>44098.94</v>
      </c>
      <c r="F56" s="69">
        <f>+VLOOKUP($A56,Fondos2014!$B$7:$AS$82,15,FALSE)</f>
        <v>0</v>
      </c>
      <c r="G56" s="69">
        <f>+VLOOKUP($A56,Fondos2014!$B$7:$AS$82,20,FALSE)</f>
        <v>0</v>
      </c>
      <c r="H56" s="69">
        <f>+VLOOKUP($A56,Fondos2014!$B$7:$AS$82,23,FALSE)</f>
        <v>61.43</v>
      </c>
      <c r="I56" s="68">
        <f t="shared" si="1"/>
        <v>79121.899999999994</v>
      </c>
      <c r="J56" s="69">
        <f>+VLOOKUP($A56,Fondos2014!$B$7:$BA$82,30,FALSE)</f>
        <v>0</v>
      </c>
      <c r="K56" s="69">
        <f>+VLOOKUP($A56,Fondos2014!$B$7:$BA$83,35,FALSE)</f>
        <v>79121.899999999994</v>
      </c>
      <c r="L56" s="69">
        <f>+VLOOKUP($A56,Fondos2014!$B$7:$BA$83,40,FALSE)</f>
        <v>0</v>
      </c>
      <c r="M56" s="69">
        <f>+VLOOKUP($A56,Fondos2014!$B$7:$BA$83,41,FALSE)</f>
        <v>0</v>
      </c>
      <c r="N56" s="68">
        <f t="shared" si="2"/>
        <v>140537.51999999999</v>
      </c>
      <c r="O56" s="121" t="s">
        <v>113</v>
      </c>
    </row>
    <row r="57" spans="1:15" x14ac:dyDescent="0.2">
      <c r="A57" s="121" t="s">
        <v>114</v>
      </c>
      <c r="B57" s="68">
        <f t="shared" si="0"/>
        <v>219807.47</v>
      </c>
      <c r="C57" s="69">
        <f>+VLOOKUP($A57,Fondos2014!$B$7:$AS$82,3,FALSE)</f>
        <v>12187.54</v>
      </c>
      <c r="D57" s="69">
        <f>+VLOOKUP($A57,Fondos2014!$B$7:$AS$82,4,FALSE)</f>
        <v>0</v>
      </c>
      <c r="E57" s="69">
        <f>+VLOOKUP($A57,Fondos2014!$B$7:$AS$82,11,FALSE)</f>
        <v>0</v>
      </c>
      <c r="F57" s="69">
        <f>+VLOOKUP($A57,Fondos2014!$B$7:$AS$82,15,FALSE)</f>
        <v>207619.93</v>
      </c>
      <c r="G57" s="69">
        <f>+VLOOKUP($A57,Fondos2014!$B$7:$AS$82,20,FALSE)</f>
        <v>0</v>
      </c>
      <c r="H57" s="69">
        <f>+VLOOKUP($A57,Fondos2014!$B$7:$AS$82,23,FALSE)</f>
        <v>0</v>
      </c>
      <c r="I57" s="68">
        <f t="shared" si="1"/>
        <v>9726427.9700000007</v>
      </c>
      <c r="J57" s="69">
        <f>+VLOOKUP($A57,Fondos2014!$B$7:$BA$82,30,FALSE)</f>
        <v>8040000</v>
      </c>
      <c r="K57" s="69">
        <f>+VLOOKUP($A57,Fondos2014!$B$7:$BA$83,35,FALSE)</f>
        <v>1011870.3999999999</v>
      </c>
      <c r="L57" s="69">
        <f>+VLOOKUP($A57,Fondos2014!$B$7:$BA$83,40,FALSE)</f>
        <v>674557.57</v>
      </c>
      <c r="M57" s="69">
        <f>+VLOOKUP($A57,Fondos2014!$B$7:$BA$83,41,FALSE)</f>
        <v>0</v>
      </c>
      <c r="N57" s="68">
        <f t="shared" si="2"/>
        <v>9946235.4400000013</v>
      </c>
      <c r="O57" s="121" t="s">
        <v>114</v>
      </c>
    </row>
    <row r="58" spans="1:15" x14ac:dyDescent="0.2">
      <c r="A58" s="121" t="s">
        <v>115</v>
      </c>
      <c r="B58" s="68">
        <f t="shared" si="0"/>
        <v>62534.17</v>
      </c>
      <c r="C58" s="69">
        <f>+VLOOKUP($A58,Fondos2014!$B$7:$AS$82,3,FALSE)</f>
        <v>8228</v>
      </c>
      <c r="D58" s="69">
        <f>+VLOOKUP($A58,Fondos2014!$B$7:$AS$82,4,FALSE)</f>
        <v>0</v>
      </c>
      <c r="E58" s="69">
        <f>+VLOOKUP($A58,Fondos2014!$B$7:$AS$82,11,FALSE)</f>
        <v>54306.17</v>
      </c>
      <c r="F58" s="69">
        <f>+VLOOKUP($A58,Fondos2014!$B$7:$AS$82,15,FALSE)</f>
        <v>0</v>
      </c>
      <c r="G58" s="69">
        <f>+VLOOKUP($A58,Fondos2014!$B$7:$AS$82,20,FALSE)</f>
        <v>0</v>
      </c>
      <c r="H58" s="69">
        <f>+VLOOKUP($A58,Fondos2014!$B$7:$AS$82,23,FALSE)</f>
        <v>0</v>
      </c>
      <c r="I58" s="68">
        <f t="shared" si="1"/>
        <v>1946670.1099999999</v>
      </c>
      <c r="J58" s="69">
        <f>+VLOOKUP($A58,Fondos2014!$B$7:$BA$82,30,FALSE)</f>
        <v>190249.87</v>
      </c>
      <c r="K58" s="69">
        <f>+VLOOKUP($A58,Fondos2014!$B$7:$BA$83,35,FALSE)</f>
        <v>1756420.24</v>
      </c>
      <c r="L58" s="69">
        <f>+VLOOKUP($A58,Fondos2014!$B$7:$BA$83,40,FALSE)</f>
        <v>0</v>
      </c>
      <c r="M58" s="69">
        <f>+VLOOKUP($A58,Fondos2014!$B$7:$BA$83,41,FALSE)</f>
        <v>0</v>
      </c>
      <c r="N58" s="68">
        <f t="shared" si="2"/>
        <v>2009204.2799999998</v>
      </c>
      <c r="O58" s="121" t="s">
        <v>115</v>
      </c>
    </row>
    <row r="59" spans="1:15" x14ac:dyDescent="0.2">
      <c r="A59" s="121" t="s">
        <v>116</v>
      </c>
      <c r="B59" s="68">
        <f t="shared" si="0"/>
        <v>203215</v>
      </c>
      <c r="C59" s="69">
        <f>+VLOOKUP($A59,Fondos2014!$B$7:$AS$82,3,FALSE)</f>
        <v>113215</v>
      </c>
      <c r="D59" s="69">
        <f>+VLOOKUP($A59,Fondos2014!$B$7:$AS$82,4,FALSE)</f>
        <v>0</v>
      </c>
      <c r="E59" s="69">
        <f>+VLOOKUP($A59,Fondos2014!$B$7:$AS$82,11,FALSE)</f>
        <v>0</v>
      </c>
      <c r="F59" s="69">
        <f>+VLOOKUP($A59,Fondos2014!$B$7:$AS$82,15,FALSE)</f>
        <v>90000</v>
      </c>
      <c r="G59" s="69">
        <f>+VLOOKUP($A59,Fondos2014!$B$7:$AS$82,20,FALSE)</f>
        <v>0</v>
      </c>
      <c r="H59" s="69">
        <f>+VLOOKUP($A59,Fondos2014!$B$7:$AS$82,23,FALSE)</f>
        <v>0</v>
      </c>
      <c r="I59" s="68">
        <f t="shared" si="1"/>
        <v>8174656</v>
      </c>
      <c r="J59" s="69">
        <f>+VLOOKUP($A59,Fondos2014!$B$7:$BA$82,30,FALSE)</f>
        <v>4250000</v>
      </c>
      <c r="K59" s="69">
        <f>+VLOOKUP($A59,Fondos2014!$B$7:$BA$83,35,FALSE)</f>
        <v>3389232</v>
      </c>
      <c r="L59" s="69">
        <f>+VLOOKUP($A59,Fondos2014!$B$7:$BA$83,40,FALSE)</f>
        <v>535424</v>
      </c>
      <c r="M59" s="69">
        <f>+VLOOKUP($A59,Fondos2014!$B$7:$BA$83,41,FALSE)</f>
        <v>0</v>
      </c>
      <c r="N59" s="68">
        <f t="shared" si="2"/>
        <v>8377871</v>
      </c>
      <c r="O59" s="121" t="s">
        <v>116</v>
      </c>
    </row>
    <row r="60" spans="1:15" x14ac:dyDescent="0.2">
      <c r="A60" s="121" t="s">
        <v>117</v>
      </c>
      <c r="B60" s="68">
        <f t="shared" si="0"/>
        <v>142793</v>
      </c>
      <c r="C60" s="69">
        <f>+VLOOKUP($A60,Fondos2014!$B$7:$AS$82,3,FALSE)</f>
        <v>70326</v>
      </c>
      <c r="D60" s="69">
        <f>+VLOOKUP($A60,Fondos2014!$B$7:$AS$82,4,FALSE)</f>
        <v>0</v>
      </c>
      <c r="E60" s="69">
        <f>+VLOOKUP($A60,Fondos2014!$B$7:$AS$82,11,FALSE)</f>
        <v>67810</v>
      </c>
      <c r="F60" s="69">
        <f>+VLOOKUP($A60,Fondos2014!$B$7:$AS$82,15,FALSE)</f>
        <v>0</v>
      </c>
      <c r="G60" s="69">
        <f>+VLOOKUP($A60,Fondos2014!$B$7:$AS$82,20,FALSE)</f>
        <v>0</v>
      </c>
      <c r="H60" s="69">
        <f>+VLOOKUP($A60,Fondos2014!$B$7:$AS$82,23,FALSE)</f>
        <v>4657</v>
      </c>
      <c r="I60" s="68">
        <f t="shared" si="1"/>
        <v>0</v>
      </c>
      <c r="J60" s="69">
        <f>+VLOOKUP($A60,Fondos2014!$B$7:$BA$82,30,FALSE)</f>
        <v>0</v>
      </c>
      <c r="K60" s="69">
        <f>+VLOOKUP($A60,Fondos2014!$B$7:$BA$83,35,FALSE)</f>
        <v>0</v>
      </c>
      <c r="L60" s="69">
        <f>+VLOOKUP($A60,Fondos2014!$B$7:$BA$83,40,FALSE)</f>
        <v>0</v>
      </c>
      <c r="M60" s="69">
        <f>+VLOOKUP($A60,Fondos2014!$B$7:$BA$83,41,FALSE)</f>
        <v>0</v>
      </c>
      <c r="N60" s="68">
        <f t="shared" si="2"/>
        <v>142793</v>
      </c>
      <c r="O60" s="121" t="s">
        <v>117</v>
      </c>
    </row>
    <row r="61" spans="1:15" x14ac:dyDescent="0.2">
      <c r="A61" s="121" t="s">
        <v>118</v>
      </c>
      <c r="B61" s="68">
        <f t="shared" si="0"/>
        <v>344492.34</v>
      </c>
      <c r="C61" s="69">
        <f>+VLOOKUP($A61,Fondos2014!$B$7:$AS$82,3,FALSE)</f>
        <v>172202.04</v>
      </c>
      <c r="D61" s="69">
        <f>+VLOOKUP($A61,Fondos2014!$B$7:$AS$82,4,FALSE)</f>
        <v>0</v>
      </c>
      <c r="E61" s="69">
        <f>+VLOOKUP($A61,Fondos2014!$B$7:$AS$82,11,FALSE)</f>
        <v>10535.15</v>
      </c>
      <c r="F61" s="69">
        <f>+VLOOKUP($A61,Fondos2014!$B$7:$AS$82,15,FALSE)</f>
        <v>129890.1</v>
      </c>
      <c r="G61" s="69">
        <f>+VLOOKUP($A61,Fondos2014!$B$7:$AS$82,20,FALSE)</f>
        <v>1312.29</v>
      </c>
      <c r="H61" s="69">
        <f>+VLOOKUP($A61,Fondos2014!$B$7:$AS$82,23,FALSE)</f>
        <v>30552.760000000002</v>
      </c>
      <c r="I61" s="68">
        <f t="shared" si="1"/>
        <v>4552685.34</v>
      </c>
      <c r="J61" s="69">
        <f>+VLOOKUP($A61,Fondos2014!$B$7:$BA$82,30,FALSE)</f>
        <v>2735400</v>
      </c>
      <c r="K61" s="69">
        <f>+VLOOKUP($A61,Fondos2014!$B$7:$BA$83,35,FALSE)</f>
        <v>701725.34</v>
      </c>
      <c r="L61" s="69">
        <f>+VLOOKUP($A61,Fondos2014!$B$7:$BA$83,40,FALSE)</f>
        <v>1091560</v>
      </c>
      <c r="M61" s="69">
        <f>+VLOOKUP($A61,Fondos2014!$B$7:$BA$83,41,FALSE)</f>
        <v>24000</v>
      </c>
      <c r="N61" s="68">
        <f t="shared" si="2"/>
        <v>4897177.68</v>
      </c>
      <c r="O61" s="121" t="s">
        <v>118</v>
      </c>
    </row>
    <row r="62" spans="1:15" x14ac:dyDescent="0.2">
      <c r="A62" s="121" t="s">
        <v>119</v>
      </c>
      <c r="B62" s="68">
        <f t="shared" si="0"/>
        <v>48071295</v>
      </c>
      <c r="C62" s="69">
        <f>+VLOOKUP($A62,Fondos2014!$B$7:$AS$82,3,FALSE)</f>
        <v>26889043</v>
      </c>
      <c r="D62" s="69">
        <f>+VLOOKUP($A62,Fondos2014!$B$7:$AS$82,4,FALSE)</f>
        <v>0</v>
      </c>
      <c r="E62" s="69">
        <f>+VLOOKUP($A62,Fondos2014!$B$7:$AS$82,11,FALSE)</f>
        <v>6586088</v>
      </c>
      <c r="F62" s="69">
        <f>+VLOOKUP($A62,Fondos2014!$B$7:$AS$82,15,FALSE)</f>
        <v>1327512</v>
      </c>
      <c r="G62" s="69">
        <f>+VLOOKUP($A62,Fondos2014!$B$7:$AS$82,20,FALSE)</f>
        <v>5583003</v>
      </c>
      <c r="H62" s="69">
        <f>+VLOOKUP($A62,Fondos2014!$B$7:$AS$82,23,FALSE)</f>
        <v>7685649</v>
      </c>
      <c r="I62" s="68">
        <f t="shared" si="1"/>
        <v>33144254.02</v>
      </c>
      <c r="J62" s="69">
        <f>+VLOOKUP($A62,Fondos2014!$B$7:$BA$82,30,FALSE)</f>
        <v>10334000</v>
      </c>
      <c r="K62" s="69">
        <f>+VLOOKUP($A62,Fondos2014!$B$7:$BA$83,35,FALSE)</f>
        <v>2611254.02</v>
      </c>
      <c r="L62" s="69">
        <f>+VLOOKUP($A62,Fondos2014!$B$7:$BA$83,40,FALSE)</f>
        <v>20199000</v>
      </c>
      <c r="M62" s="69">
        <f>+VLOOKUP($A62,Fondos2014!$B$7:$BA$83,41,FALSE)</f>
        <v>0</v>
      </c>
      <c r="N62" s="68">
        <f t="shared" si="2"/>
        <v>81215549.019999996</v>
      </c>
      <c r="O62" s="121" t="s">
        <v>119</v>
      </c>
    </row>
    <row r="63" spans="1:15" x14ac:dyDescent="0.2">
      <c r="A63" s="121" t="s">
        <v>120</v>
      </c>
      <c r="B63" s="68">
        <f t="shared" si="0"/>
        <v>26466.71</v>
      </c>
      <c r="C63" s="69">
        <f>+VLOOKUP($A63,Fondos2014!$B$7:$AS$82,3,FALSE)</f>
        <v>6932.5</v>
      </c>
      <c r="D63" s="69">
        <f>+VLOOKUP($A63,Fondos2014!$B$7:$AS$82,4,FALSE)</f>
        <v>0</v>
      </c>
      <c r="E63" s="69">
        <f>+VLOOKUP($A63,Fondos2014!$B$7:$AS$82,11,FALSE)</f>
        <v>6800.45</v>
      </c>
      <c r="F63" s="69">
        <f>+VLOOKUP($A63,Fondos2014!$B$7:$AS$82,15,FALSE)</f>
        <v>0</v>
      </c>
      <c r="G63" s="69">
        <f>+VLOOKUP($A63,Fondos2014!$B$7:$AS$82,20,FALSE)</f>
        <v>6145.2300000000005</v>
      </c>
      <c r="H63" s="69">
        <f>+VLOOKUP($A63,Fondos2014!$B$7:$AS$82,23,FALSE)</f>
        <v>6588.53</v>
      </c>
      <c r="I63" s="68">
        <f t="shared" si="1"/>
        <v>668964.49</v>
      </c>
      <c r="J63" s="69">
        <f>+VLOOKUP($A63,Fondos2014!$B$7:$BA$82,30,FALSE)</f>
        <v>0</v>
      </c>
      <c r="K63" s="69">
        <f>+VLOOKUP($A63,Fondos2014!$B$7:$BA$83,35,FALSE)</f>
        <v>668964.49</v>
      </c>
      <c r="L63" s="69">
        <f>+VLOOKUP($A63,Fondos2014!$B$7:$BA$83,40,FALSE)</f>
        <v>0</v>
      </c>
      <c r="M63" s="69">
        <f>+VLOOKUP($A63,Fondos2014!$B$7:$BA$83,41,FALSE)</f>
        <v>0</v>
      </c>
      <c r="N63" s="68">
        <f t="shared" si="2"/>
        <v>695431.2</v>
      </c>
      <c r="O63" s="121" t="s">
        <v>120</v>
      </c>
    </row>
    <row r="64" spans="1:15" x14ac:dyDescent="0.2">
      <c r="A64" s="121" t="s">
        <v>121</v>
      </c>
      <c r="B64" s="68">
        <f t="shared" si="0"/>
        <v>11783809.73</v>
      </c>
      <c r="C64" s="69">
        <f>+VLOOKUP($A64,Fondos2014!$B$7:$AS$82,3,FALSE)</f>
        <v>2941133.53</v>
      </c>
      <c r="D64" s="69">
        <f>+VLOOKUP($A64,Fondos2014!$B$7:$AS$82,4,FALSE)</f>
        <v>8201031.0499999998</v>
      </c>
      <c r="E64" s="69">
        <f>+VLOOKUP($A64,Fondos2014!$B$7:$AS$82,11,FALSE)</f>
        <v>426247.51</v>
      </c>
      <c r="F64" s="69">
        <f>+VLOOKUP($A64,Fondos2014!$B$7:$AS$82,15,FALSE)</f>
        <v>215397.64</v>
      </c>
      <c r="G64" s="69">
        <f>+VLOOKUP($A64,Fondos2014!$B$7:$AS$82,20,FALSE)</f>
        <v>0</v>
      </c>
      <c r="H64" s="69">
        <f>+VLOOKUP($A64,Fondos2014!$B$7:$AS$82,23,FALSE)</f>
        <v>0</v>
      </c>
      <c r="I64" s="68">
        <f t="shared" si="1"/>
        <v>3140485</v>
      </c>
      <c r="J64" s="69">
        <f>+VLOOKUP($A64,Fondos2014!$B$7:$BA$82,30,FALSE)</f>
        <v>2500000</v>
      </c>
      <c r="K64" s="69">
        <f>+VLOOKUP($A64,Fondos2014!$B$7:$BA$83,35,FALSE)</f>
        <v>197109</v>
      </c>
      <c r="L64" s="69">
        <f>+VLOOKUP($A64,Fondos2014!$B$7:$BA$83,40,FALSE)</f>
        <v>443376</v>
      </c>
      <c r="M64" s="69">
        <f>+VLOOKUP($A64,Fondos2014!$B$7:$BA$83,41,FALSE)</f>
        <v>0</v>
      </c>
      <c r="N64" s="68">
        <f t="shared" si="2"/>
        <v>14924294.73</v>
      </c>
      <c r="O64" s="121" t="s">
        <v>121</v>
      </c>
    </row>
    <row r="65" spans="1:16" x14ac:dyDescent="0.2">
      <c r="A65" s="121" t="s">
        <v>122</v>
      </c>
      <c r="B65" s="68">
        <f t="shared" si="0"/>
        <v>200254.90000000002</v>
      </c>
      <c r="C65" s="69">
        <f>+VLOOKUP($A65,Fondos2014!$B$7:$AS$82,3,FALSE)</f>
        <v>67306.48</v>
      </c>
      <c r="D65" s="69">
        <f>+VLOOKUP($A65,Fondos2014!$B$7:$AS$82,4,FALSE)</f>
        <v>0</v>
      </c>
      <c r="E65" s="69">
        <f>+VLOOKUP($A65,Fondos2014!$B$7:$AS$82,11,FALSE)</f>
        <v>117948.42000000001</v>
      </c>
      <c r="F65" s="69">
        <f>+VLOOKUP($A65,Fondos2014!$B$7:$AS$82,15,FALSE)</f>
        <v>15000</v>
      </c>
      <c r="G65" s="69">
        <f>+VLOOKUP($A65,Fondos2014!$B$7:$AS$82,20,FALSE)</f>
        <v>0</v>
      </c>
      <c r="H65" s="69">
        <f>+VLOOKUP($A65,Fondos2014!$B$7:$AS$82,23,FALSE)</f>
        <v>0</v>
      </c>
      <c r="I65" s="68">
        <f t="shared" si="1"/>
        <v>810595.11</v>
      </c>
      <c r="J65" s="69">
        <f>+VLOOKUP($A65,Fondos2014!$B$7:$BA$82,30,FALSE)</f>
        <v>441957</v>
      </c>
      <c r="K65" s="69">
        <f>+VLOOKUP($A65,Fondos2014!$B$7:$BA$83,35,FALSE)</f>
        <v>368638.11</v>
      </c>
      <c r="L65" s="69">
        <f>+VLOOKUP($A65,Fondos2014!$B$7:$BA$83,40,FALSE)</f>
        <v>0</v>
      </c>
      <c r="M65" s="69">
        <f>+VLOOKUP($A65,Fondos2014!$B$7:$BA$83,41,FALSE)</f>
        <v>0</v>
      </c>
      <c r="N65" s="68">
        <f t="shared" si="2"/>
        <v>1010850.01</v>
      </c>
      <c r="O65" s="121" t="s">
        <v>122</v>
      </c>
    </row>
    <row r="66" spans="1:16" x14ac:dyDescent="0.2">
      <c r="A66" s="121" t="s">
        <v>123</v>
      </c>
      <c r="B66" s="68">
        <f t="shared" ref="B66:B77" si="3">SUM(C66:H66)</f>
        <v>1868513</v>
      </c>
      <c r="C66" s="69">
        <f>+VLOOKUP($A66,Fondos2014!$B$7:$AS$82,3,FALSE)</f>
        <v>170538</v>
      </c>
      <c r="D66" s="69">
        <f>+VLOOKUP($A66,Fondos2014!$B$7:$AS$82,4,FALSE)</f>
        <v>0</v>
      </c>
      <c r="E66" s="69">
        <f>+VLOOKUP($A66,Fondos2014!$B$7:$AS$82,11,FALSE)</f>
        <v>1535755</v>
      </c>
      <c r="F66" s="69">
        <f>+VLOOKUP($A66,Fondos2014!$B$7:$AS$82,15,FALSE)</f>
        <v>0</v>
      </c>
      <c r="G66" s="69">
        <f>+VLOOKUP($A66,Fondos2014!$B$7:$AS$82,20,FALSE)</f>
        <v>88444</v>
      </c>
      <c r="H66" s="69">
        <f>+VLOOKUP($A66,Fondos2014!$B$7:$AS$82,23,FALSE)</f>
        <v>73776</v>
      </c>
      <c r="I66" s="68">
        <f t="shared" ref="I66:I77" si="4">SUM(J66:M66)</f>
        <v>186862</v>
      </c>
      <c r="J66" s="69">
        <f>+VLOOKUP($A66,Fondos2014!$B$7:$BA$82,30,FALSE)</f>
        <v>0</v>
      </c>
      <c r="K66" s="69">
        <f>+VLOOKUP($A66,Fondos2014!$B$7:$BA$83,35,FALSE)</f>
        <v>186862</v>
      </c>
      <c r="L66" s="69">
        <f>+VLOOKUP($A66,Fondos2014!$B$7:$BA$83,40,FALSE)</f>
        <v>0</v>
      </c>
      <c r="M66" s="69">
        <f>+VLOOKUP($A66,Fondos2014!$B$7:$BA$83,41,FALSE)</f>
        <v>0</v>
      </c>
      <c r="N66" s="68">
        <f t="shared" si="2"/>
        <v>2055375</v>
      </c>
      <c r="O66" s="121" t="s">
        <v>123</v>
      </c>
    </row>
    <row r="67" spans="1:16" x14ac:dyDescent="0.2">
      <c r="A67" s="121" t="s">
        <v>124</v>
      </c>
      <c r="B67" s="68">
        <f t="shared" si="3"/>
        <v>10523.82</v>
      </c>
      <c r="C67" s="69">
        <f>+VLOOKUP($A67,Fondos2014!$B$7:$AS$82,3,FALSE)</f>
        <v>0</v>
      </c>
      <c r="D67" s="69">
        <f>+VLOOKUP($A67,Fondos2014!$B$7:$AS$82,4,FALSE)</f>
        <v>0</v>
      </c>
      <c r="E67" s="69">
        <f>+VLOOKUP($A67,Fondos2014!$B$7:$AS$82,11,FALSE)</f>
        <v>10523.82</v>
      </c>
      <c r="F67" s="69">
        <f>+VLOOKUP($A67,Fondos2014!$B$7:$AS$82,15,FALSE)</f>
        <v>0</v>
      </c>
      <c r="G67" s="69">
        <f>+VLOOKUP($A67,Fondos2014!$B$7:$AS$82,20,FALSE)</f>
        <v>0</v>
      </c>
      <c r="H67" s="69">
        <f>+VLOOKUP($A67,Fondos2014!$B$7:$AS$82,23,FALSE)</f>
        <v>0</v>
      </c>
      <c r="I67" s="68">
        <f t="shared" si="4"/>
        <v>14742</v>
      </c>
      <c r="J67" s="69">
        <f>+VLOOKUP($A67,Fondos2014!$B$7:$BA$82,30,FALSE)</f>
        <v>0</v>
      </c>
      <c r="K67" s="69">
        <f>+VLOOKUP($A67,Fondos2014!$B$7:$BA$83,35,FALSE)</f>
        <v>14742</v>
      </c>
      <c r="L67" s="69">
        <f>+VLOOKUP($A67,Fondos2014!$B$7:$BA$83,40,FALSE)</f>
        <v>0</v>
      </c>
      <c r="M67" s="69">
        <f>+VLOOKUP($A67,Fondos2014!$B$7:$BA$83,41,FALSE)</f>
        <v>0</v>
      </c>
      <c r="N67" s="68">
        <f t="shared" ref="N67:N77" si="5">+B67+I67</f>
        <v>25265.82</v>
      </c>
      <c r="O67" s="121" t="s">
        <v>124</v>
      </c>
    </row>
    <row r="68" spans="1:16" x14ac:dyDescent="0.2">
      <c r="A68" s="121" t="s">
        <v>125</v>
      </c>
      <c r="B68" s="68">
        <f t="shared" si="3"/>
        <v>0</v>
      </c>
      <c r="C68" s="69">
        <f>+VLOOKUP($A68,Fondos2014!$B$7:$AS$82,3,FALSE)</f>
        <v>0</v>
      </c>
      <c r="D68" s="69">
        <f>+VLOOKUP($A68,Fondos2014!$B$7:$AS$82,4,FALSE)</f>
        <v>0</v>
      </c>
      <c r="E68" s="69">
        <f>+VLOOKUP($A68,Fondos2014!$B$7:$AS$82,11,FALSE)</f>
        <v>0</v>
      </c>
      <c r="F68" s="69">
        <f>+VLOOKUP($A68,Fondos2014!$B$7:$AS$82,15,FALSE)</f>
        <v>0</v>
      </c>
      <c r="G68" s="69">
        <f>+VLOOKUP($A68,Fondos2014!$B$7:$AS$82,20,FALSE)</f>
        <v>0</v>
      </c>
      <c r="H68" s="69">
        <f>+VLOOKUP($A68,Fondos2014!$B$7:$AS$82,23,FALSE)</f>
        <v>0</v>
      </c>
      <c r="I68" s="68">
        <f t="shared" si="4"/>
        <v>122832</v>
      </c>
      <c r="J68" s="69">
        <f>+VLOOKUP($A68,Fondos2014!$B$7:$BA$82,30,FALSE)</f>
        <v>0</v>
      </c>
      <c r="K68" s="69">
        <f>+VLOOKUP($A68,Fondos2014!$B$7:$BA$83,35,FALSE)</f>
        <v>122832</v>
      </c>
      <c r="L68" s="69">
        <f>+VLOOKUP($A68,Fondos2014!$B$7:$BA$83,40,FALSE)</f>
        <v>0</v>
      </c>
      <c r="M68" s="69">
        <f>+VLOOKUP($A68,Fondos2014!$B$7:$BA$83,41,FALSE)</f>
        <v>0</v>
      </c>
      <c r="N68" s="68">
        <f t="shared" si="5"/>
        <v>122832</v>
      </c>
      <c r="O68" s="121" t="s">
        <v>125</v>
      </c>
    </row>
    <row r="69" spans="1:16" x14ac:dyDescent="0.2">
      <c r="A69" s="121" t="s">
        <v>126</v>
      </c>
      <c r="B69" s="68">
        <f t="shared" si="3"/>
        <v>170505.21</v>
      </c>
      <c r="C69" s="69">
        <f>+VLOOKUP($A69,Fondos2014!$B$7:$AS$82,3,FALSE)</f>
        <v>86089.9</v>
      </c>
      <c r="D69" s="69">
        <f>+VLOOKUP($A69,Fondos2014!$B$7:$AS$82,4,FALSE)</f>
        <v>0</v>
      </c>
      <c r="E69" s="69">
        <f>+VLOOKUP($A69,Fondos2014!$B$7:$AS$82,11,FALSE)</f>
        <v>81903.09</v>
      </c>
      <c r="F69" s="69">
        <f>+VLOOKUP($A69,Fondos2014!$B$7:$AS$82,15,FALSE)</f>
        <v>0</v>
      </c>
      <c r="G69" s="69">
        <f>+VLOOKUP($A69,Fondos2014!$B$7:$AS$82,20,FALSE)</f>
        <v>2512.2199999999998</v>
      </c>
      <c r="H69" s="69">
        <f>+VLOOKUP($A69,Fondos2014!$B$7:$AS$82,23,FALSE)</f>
        <v>0</v>
      </c>
      <c r="I69" s="68">
        <f t="shared" si="4"/>
        <v>0</v>
      </c>
      <c r="J69" s="69">
        <f>+VLOOKUP($A69,Fondos2014!$B$7:$BA$82,30,FALSE)</f>
        <v>0</v>
      </c>
      <c r="K69" s="69">
        <f>+VLOOKUP($A69,Fondos2014!$B$7:$BA$83,35,FALSE)</f>
        <v>0</v>
      </c>
      <c r="L69" s="69">
        <f>+VLOOKUP($A69,Fondos2014!$B$7:$BA$83,40,FALSE)</f>
        <v>0</v>
      </c>
      <c r="M69" s="69">
        <f>+VLOOKUP($A69,Fondos2014!$B$7:$BA$83,41,FALSE)</f>
        <v>0</v>
      </c>
      <c r="N69" s="68">
        <f t="shared" si="5"/>
        <v>170505.21</v>
      </c>
      <c r="O69" s="121" t="s">
        <v>126</v>
      </c>
    </row>
    <row r="70" spans="1:16" x14ac:dyDescent="0.2">
      <c r="A70" s="121" t="s">
        <v>127</v>
      </c>
      <c r="B70" s="68">
        <f t="shared" si="3"/>
        <v>13984.99</v>
      </c>
      <c r="C70" s="69">
        <f>+VLOOKUP($A70,Fondos2014!$B$7:$AS$82,3,FALSE)</f>
        <v>13984.99</v>
      </c>
      <c r="D70" s="69">
        <f>+VLOOKUP($A70,Fondos2014!$B$7:$AS$82,4,FALSE)</f>
        <v>0</v>
      </c>
      <c r="E70" s="69">
        <f>+VLOOKUP($A70,Fondos2014!$B$7:$AS$82,11,FALSE)</f>
        <v>0</v>
      </c>
      <c r="F70" s="69">
        <f>+VLOOKUP($A70,Fondos2014!$B$7:$AS$82,15,FALSE)</f>
        <v>0</v>
      </c>
      <c r="G70" s="69">
        <f>+VLOOKUP($A70,Fondos2014!$B$7:$AS$82,20,FALSE)</f>
        <v>0</v>
      </c>
      <c r="H70" s="69">
        <f>+VLOOKUP($A70,Fondos2014!$B$7:$AS$82,23,FALSE)</f>
        <v>0</v>
      </c>
      <c r="I70" s="68">
        <f t="shared" si="4"/>
        <v>3639914.21</v>
      </c>
      <c r="J70" s="69">
        <f>+VLOOKUP($A70,Fondos2014!$B$7:$BA$82,30,FALSE)</f>
        <v>3418125</v>
      </c>
      <c r="K70" s="69">
        <f>+VLOOKUP($A70,Fondos2014!$B$7:$BA$83,35,FALSE)</f>
        <v>127103.56</v>
      </c>
      <c r="L70" s="69">
        <f>+VLOOKUP($A70,Fondos2014!$B$7:$BA$83,40,FALSE)</f>
        <v>94685.65</v>
      </c>
      <c r="M70" s="69">
        <f>+VLOOKUP($A70,Fondos2014!$B$7:$BA$83,41,FALSE)</f>
        <v>0</v>
      </c>
      <c r="N70" s="68">
        <f t="shared" si="5"/>
        <v>3653899.2</v>
      </c>
      <c r="O70" s="121" t="s">
        <v>127</v>
      </c>
    </row>
    <row r="71" spans="1:16" x14ac:dyDescent="0.2">
      <c r="A71" s="121" t="s">
        <v>128</v>
      </c>
      <c r="B71" s="68">
        <f t="shared" si="3"/>
        <v>10762000</v>
      </c>
      <c r="C71" s="69">
        <f>+VLOOKUP($A71,Fondos2014!$B$7:$AS$82,3,FALSE)</f>
        <v>6117000</v>
      </c>
      <c r="D71" s="69">
        <f>+VLOOKUP($A71,Fondos2014!$B$7:$AS$82,4,FALSE)</f>
        <v>0</v>
      </c>
      <c r="E71" s="69">
        <f>+VLOOKUP($A71,Fondos2014!$B$7:$AS$82,11,FALSE)</f>
        <v>1619000</v>
      </c>
      <c r="F71" s="69">
        <f>+VLOOKUP($A71,Fondos2014!$B$7:$AS$82,15,FALSE)</f>
        <v>2731000</v>
      </c>
      <c r="G71" s="69">
        <f>+VLOOKUP($A71,Fondos2014!$B$7:$AS$82,20,FALSE)</f>
        <v>0</v>
      </c>
      <c r="H71" s="69">
        <f>+VLOOKUP($A71,Fondos2014!$B$7:$AS$82,23,FALSE)</f>
        <v>295000</v>
      </c>
      <c r="I71" s="68">
        <f t="shared" si="4"/>
        <v>21001248</v>
      </c>
      <c r="J71" s="69">
        <f>+VLOOKUP($A71,Fondos2014!$B$7:$BA$82,30,FALSE)</f>
        <v>8360720</v>
      </c>
      <c r="K71" s="69">
        <f>+VLOOKUP($A71,Fondos2014!$B$7:$BA$83,35,FALSE)</f>
        <v>556861</v>
      </c>
      <c r="L71" s="69">
        <f>+VLOOKUP($A71,Fondos2014!$B$7:$BA$83,40,FALSE)</f>
        <v>11777692</v>
      </c>
      <c r="M71" s="69">
        <f>+VLOOKUP($A71,Fondos2014!$B$7:$BA$83,41,FALSE)</f>
        <v>305975</v>
      </c>
      <c r="N71" s="68">
        <f t="shared" si="5"/>
        <v>31763248</v>
      </c>
      <c r="O71" s="121" t="s">
        <v>128</v>
      </c>
    </row>
    <row r="72" spans="1:16" x14ac:dyDescent="0.2">
      <c r="A72" s="121" t="s">
        <v>129</v>
      </c>
      <c r="B72" s="68">
        <f t="shared" si="3"/>
        <v>1158313.4200000002</v>
      </c>
      <c r="C72" s="69">
        <f>+VLOOKUP($A72,Fondos2014!$B$7:$AS$82,3,FALSE)</f>
        <v>384682.91</v>
      </c>
      <c r="D72" s="69">
        <f>+VLOOKUP($A72,Fondos2014!$B$7:$AS$82,4,FALSE)</f>
        <v>0</v>
      </c>
      <c r="E72" s="69">
        <f>+VLOOKUP($A72,Fondos2014!$B$7:$AS$82,11,FALSE)</f>
        <v>607629.9</v>
      </c>
      <c r="F72" s="69">
        <f>+VLOOKUP($A72,Fondos2014!$B$7:$AS$82,15,FALSE)</f>
        <v>163543.53</v>
      </c>
      <c r="G72" s="69">
        <f>+VLOOKUP($A72,Fondos2014!$B$7:$AS$82,20,FALSE)</f>
        <v>0</v>
      </c>
      <c r="H72" s="69">
        <f>+VLOOKUP($A72,Fondos2014!$B$7:$AS$82,23,FALSE)</f>
        <v>2457.08</v>
      </c>
      <c r="I72" s="68">
        <f t="shared" si="4"/>
        <v>219571.05</v>
      </c>
      <c r="J72" s="69">
        <f>+VLOOKUP($A72,Fondos2014!$B$7:$BA$82,30,FALSE)</f>
        <v>0</v>
      </c>
      <c r="K72" s="69">
        <f>+VLOOKUP($A72,Fondos2014!$B$7:$BA$83,35,FALSE)</f>
        <v>219571.05</v>
      </c>
      <c r="L72" s="69">
        <f>+VLOOKUP($A72,Fondos2014!$B$7:$BA$83,40,FALSE)</f>
        <v>0</v>
      </c>
      <c r="M72" s="69">
        <f>+VLOOKUP($A72,Fondos2014!$B$7:$BA$83,41,FALSE)</f>
        <v>0</v>
      </c>
      <c r="N72" s="68">
        <f t="shared" si="5"/>
        <v>1377884.4700000002</v>
      </c>
      <c r="O72" s="121" t="s">
        <v>129</v>
      </c>
    </row>
    <row r="73" spans="1:16" x14ac:dyDescent="0.2">
      <c r="A73" s="121" t="s">
        <v>130</v>
      </c>
      <c r="B73" s="68">
        <f t="shared" si="3"/>
        <v>403106.01</v>
      </c>
      <c r="C73" s="69">
        <f>+VLOOKUP($A73,Fondos2014!$B$7:$AS$82,3,FALSE)</f>
        <v>119874.64</v>
      </c>
      <c r="D73" s="69">
        <f>+VLOOKUP($A73,Fondos2014!$B$7:$AS$82,4,FALSE)</f>
        <v>0</v>
      </c>
      <c r="E73" s="69">
        <f>+VLOOKUP($A73,Fondos2014!$B$7:$AS$82,11,FALSE)</f>
        <v>29706.7</v>
      </c>
      <c r="F73" s="69">
        <f>+VLOOKUP($A73,Fondos2014!$B$7:$AS$82,15,FALSE)</f>
        <v>857.15</v>
      </c>
      <c r="G73" s="69">
        <f>+VLOOKUP($A73,Fondos2014!$B$7:$AS$82,20,FALSE)</f>
        <v>229561.95</v>
      </c>
      <c r="H73" s="69">
        <f>+VLOOKUP($A73,Fondos2014!$B$7:$AS$82,23,FALSE)</f>
        <v>23105.57</v>
      </c>
      <c r="I73" s="68">
        <f t="shared" si="4"/>
        <v>2098541.9699999997</v>
      </c>
      <c r="J73" s="69">
        <f>+VLOOKUP($A73,Fondos2014!$B$7:$BA$82,30,FALSE)</f>
        <v>0</v>
      </c>
      <c r="K73" s="69">
        <f>+VLOOKUP($A73,Fondos2014!$B$7:$BA$83,35,FALSE)</f>
        <v>2078760.13</v>
      </c>
      <c r="L73" s="69">
        <f>+VLOOKUP($A73,Fondos2014!$B$7:$BA$83,40,FALSE)</f>
        <v>19781.84</v>
      </c>
      <c r="M73" s="69">
        <f>+VLOOKUP($A73,Fondos2014!$B$7:$BA$83,41,FALSE)</f>
        <v>0</v>
      </c>
      <c r="N73" s="68">
        <f t="shared" si="5"/>
        <v>2501647.9799999995</v>
      </c>
      <c r="O73" s="121" t="s">
        <v>130</v>
      </c>
    </row>
    <row r="74" spans="1:16" x14ac:dyDescent="0.2">
      <c r="A74" s="121" t="s">
        <v>131</v>
      </c>
      <c r="B74" s="68">
        <f t="shared" si="3"/>
        <v>9171.81</v>
      </c>
      <c r="C74" s="69">
        <f>+VLOOKUP($A74,Fondos2014!$B$7:$AS$82,3,FALSE)</f>
        <v>5695.67</v>
      </c>
      <c r="D74" s="69">
        <f>+VLOOKUP($A74,Fondos2014!$B$7:$AS$82,4,FALSE)</f>
        <v>0</v>
      </c>
      <c r="E74" s="69">
        <f>+VLOOKUP($A74,Fondos2014!$B$7:$AS$82,11,FALSE)</f>
        <v>2441</v>
      </c>
      <c r="F74" s="69">
        <f>+VLOOKUP($A74,Fondos2014!$B$7:$AS$82,15,FALSE)</f>
        <v>0</v>
      </c>
      <c r="G74" s="69">
        <f>+VLOOKUP($A74,Fondos2014!$B$7:$AS$82,20,FALSE)</f>
        <v>0</v>
      </c>
      <c r="H74" s="69">
        <f>+VLOOKUP($A74,Fondos2014!$B$7:$AS$82,23,FALSE)</f>
        <v>1035.1400000000001</v>
      </c>
      <c r="I74" s="68">
        <f t="shared" si="4"/>
        <v>0</v>
      </c>
      <c r="J74" s="69">
        <f>+VLOOKUP($A74,Fondos2014!$B$7:$BA$82,30,FALSE)</f>
        <v>0</v>
      </c>
      <c r="K74" s="69">
        <f>+VLOOKUP($A74,Fondos2014!$B$7:$BA$83,35,FALSE)</f>
        <v>0</v>
      </c>
      <c r="L74" s="69">
        <f>+VLOOKUP($A74,Fondos2014!$B$7:$BA$83,40,FALSE)</f>
        <v>0</v>
      </c>
      <c r="M74" s="69">
        <f>+VLOOKUP($A74,Fondos2014!$B$7:$BA$83,41,FALSE)</f>
        <v>0</v>
      </c>
      <c r="N74" s="68">
        <f t="shared" si="5"/>
        <v>9171.81</v>
      </c>
      <c r="O74" s="121" t="s">
        <v>131</v>
      </c>
    </row>
    <row r="75" spans="1:16" x14ac:dyDescent="0.2">
      <c r="A75" s="121" t="s">
        <v>132</v>
      </c>
      <c r="B75" s="68">
        <f t="shared" si="3"/>
        <v>116535</v>
      </c>
      <c r="C75" s="69">
        <f>+VLOOKUP($A75,Fondos2014!$B$7:$AS$82,3,FALSE)</f>
        <v>14699.44</v>
      </c>
      <c r="D75" s="69">
        <f>+VLOOKUP($A75,Fondos2014!$B$7:$AS$82,4,FALSE)</f>
        <v>0</v>
      </c>
      <c r="E75" s="69">
        <f>+VLOOKUP($A75,Fondos2014!$B$7:$AS$82,11,FALSE)</f>
        <v>63292.73</v>
      </c>
      <c r="F75" s="69">
        <f>+VLOOKUP($A75,Fondos2014!$B$7:$AS$82,15,FALSE)</f>
        <v>34492.83</v>
      </c>
      <c r="G75" s="69">
        <f>+VLOOKUP($A75,Fondos2014!$B$7:$AS$82,20,FALSE)</f>
        <v>4050</v>
      </c>
      <c r="H75" s="69">
        <f>+VLOOKUP($A75,Fondos2014!$B$7:$AS$82,23,FALSE)</f>
        <v>0</v>
      </c>
      <c r="I75" s="68">
        <f t="shared" si="4"/>
        <v>41736.980000000003</v>
      </c>
      <c r="J75" s="69">
        <f>+VLOOKUP($A75,Fondos2014!$B$7:$BA$82,30,FALSE)</f>
        <v>0</v>
      </c>
      <c r="K75" s="69">
        <f>+VLOOKUP($A75,Fondos2014!$B$7:$BA$83,35,FALSE)</f>
        <v>41736.980000000003</v>
      </c>
      <c r="L75" s="69">
        <f>+VLOOKUP($A75,Fondos2014!$B$7:$BA$83,40,FALSE)</f>
        <v>0</v>
      </c>
      <c r="M75" s="69">
        <f>+VLOOKUP($A75,Fondos2014!$B$7:$BA$83,41,FALSE)</f>
        <v>0</v>
      </c>
      <c r="N75" s="68">
        <f t="shared" si="5"/>
        <v>158271.98000000001</v>
      </c>
      <c r="O75" s="121" t="s">
        <v>132</v>
      </c>
    </row>
    <row r="76" spans="1:16" x14ac:dyDescent="0.2">
      <c r="A76" s="121" t="s">
        <v>133</v>
      </c>
      <c r="B76" s="68">
        <f t="shared" si="3"/>
        <v>751309.2</v>
      </c>
      <c r="C76" s="69">
        <f>+VLOOKUP($A76,Fondos2014!$B$7:$AS$82,3,FALSE)</f>
        <v>55886.35</v>
      </c>
      <c r="D76" s="69">
        <f>+VLOOKUP($A76,Fondos2014!$B$7:$AS$82,4,FALSE)</f>
        <v>0</v>
      </c>
      <c r="E76" s="69">
        <f>+VLOOKUP($A76,Fondos2014!$B$7:$AS$82,11,FALSE)</f>
        <v>555706.85</v>
      </c>
      <c r="F76" s="69">
        <f>+VLOOKUP($A76,Fondos2014!$B$7:$AS$82,15,FALSE)</f>
        <v>139716</v>
      </c>
      <c r="G76" s="69">
        <f>+VLOOKUP($A76,Fondos2014!$B$7:$AS$82,20,FALSE)</f>
        <v>0</v>
      </c>
      <c r="H76" s="69">
        <f>+VLOOKUP($A76,Fondos2014!$B$7:$AS$82,23,FALSE)</f>
        <v>0</v>
      </c>
      <c r="I76" s="68">
        <f t="shared" si="4"/>
        <v>603570.02</v>
      </c>
      <c r="J76" s="69">
        <f>+VLOOKUP($A76,Fondos2014!$B$7:$BA$82,30,FALSE)</f>
        <v>0</v>
      </c>
      <c r="K76" s="69">
        <f>+VLOOKUP($A76,Fondos2014!$B$7:$BA$83,35,FALSE)</f>
        <v>583095.96</v>
      </c>
      <c r="L76" s="69">
        <f>+VLOOKUP($A76,Fondos2014!$B$7:$BA$83,40,FALSE)</f>
        <v>20474.060000000001</v>
      </c>
      <c r="M76" s="69">
        <f>+VLOOKUP($A76,Fondos2014!$B$7:$BA$83,41,FALSE)</f>
        <v>0</v>
      </c>
      <c r="N76" s="68">
        <f t="shared" si="5"/>
        <v>1354879.22</v>
      </c>
      <c r="O76" s="121" t="s">
        <v>133</v>
      </c>
    </row>
    <row r="77" spans="1:16" ht="12" customHeight="1" x14ac:dyDescent="0.2">
      <c r="A77" s="121" t="s">
        <v>134</v>
      </c>
      <c r="B77" s="68">
        <f t="shared" si="3"/>
        <v>15359.09</v>
      </c>
      <c r="C77" s="69">
        <f>+VLOOKUP($A77,Fondos2014!$B$7:$AS$82,3,FALSE)</f>
        <v>0</v>
      </c>
      <c r="D77" s="69">
        <f>+VLOOKUP($A77,Fondos2014!$B$7:$AS$82,4,FALSE)</f>
        <v>0</v>
      </c>
      <c r="E77" s="69">
        <f>+VLOOKUP($A77,Fondos2014!$B$7:$AS$82,11,FALSE)</f>
        <v>15359.09</v>
      </c>
      <c r="F77" s="69">
        <f>+VLOOKUP($A77,Fondos2014!$B$7:$AS$82,15,FALSE)</f>
        <v>0</v>
      </c>
      <c r="G77" s="69">
        <f>+VLOOKUP($A77,Fondos2014!$B$7:$AS$82,20,FALSE)</f>
        <v>0</v>
      </c>
      <c r="H77" s="69">
        <f>+VLOOKUP($A77,Fondos2014!$B$7:$AS$82,23,FALSE)</f>
        <v>0</v>
      </c>
      <c r="I77" s="68">
        <f t="shared" si="4"/>
        <v>5553133.0999999996</v>
      </c>
      <c r="J77" s="69">
        <f>+VLOOKUP($A77,Fondos2014!$B$7:$BA$82,30,FALSE)</f>
        <v>3738500</v>
      </c>
      <c r="K77" s="69">
        <f>+VLOOKUP($A77,Fondos2014!$B$7:$BA$83,35,FALSE)</f>
        <v>1814633.1</v>
      </c>
      <c r="L77" s="69">
        <f>+VLOOKUP($A77,Fondos2014!$B$7:$BA$83,40,FALSE)</f>
        <v>0</v>
      </c>
      <c r="M77" s="69">
        <f>+VLOOKUP($A77,Fondos2014!$B$7:$BA$83,41,FALSE)</f>
        <v>0</v>
      </c>
      <c r="N77" s="68">
        <f t="shared" si="5"/>
        <v>5568492.1899999995</v>
      </c>
      <c r="O77" s="121" t="s">
        <v>134</v>
      </c>
    </row>
    <row r="78" spans="1:16" ht="8.25" customHeight="1" x14ac:dyDescent="0.2">
      <c r="A78" s="205"/>
      <c r="E78" s="73" t="s">
        <v>65</v>
      </c>
      <c r="O78" s="205"/>
    </row>
    <row r="79" spans="1:16" s="75" customFormat="1" x14ac:dyDescent="0.2">
      <c r="A79" s="79" t="s">
        <v>260</v>
      </c>
      <c r="B79" s="80">
        <f t="shared" ref="B79:N79" si="6">SUM(B2:B77)</f>
        <v>275029476.34000003</v>
      </c>
      <c r="C79" s="80">
        <f t="shared" si="6"/>
        <v>89302319.469999999</v>
      </c>
      <c r="D79" s="80">
        <f t="shared" si="6"/>
        <v>56795790.519999996</v>
      </c>
      <c r="E79" s="80">
        <f t="shared" si="6"/>
        <v>79008233.850000024</v>
      </c>
      <c r="F79" s="80">
        <f t="shared" si="6"/>
        <v>25510596.180000003</v>
      </c>
      <c r="G79" s="80">
        <f t="shared" si="6"/>
        <v>9009119.870000001</v>
      </c>
      <c r="H79" s="80">
        <f t="shared" si="6"/>
        <v>15403416.449999999</v>
      </c>
      <c r="I79" s="80">
        <f t="shared" si="6"/>
        <v>344016442.19999999</v>
      </c>
      <c r="J79" s="80">
        <f t="shared" si="6"/>
        <v>154328682.47</v>
      </c>
      <c r="K79" s="80">
        <f t="shared" si="6"/>
        <v>60162101.100000009</v>
      </c>
      <c r="L79" s="80">
        <f t="shared" si="6"/>
        <v>128979685.16</v>
      </c>
      <c r="M79" s="80">
        <f t="shared" si="6"/>
        <v>545973.47</v>
      </c>
      <c r="N79" s="80">
        <f t="shared" si="6"/>
        <v>619045918.5400002</v>
      </c>
      <c r="O79" s="81"/>
      <c r="P79" s="82"/>
    </row>
    <row r="80" spans="1:16" x14ac:dyDescent="0.2">
      <c r="B80" s="13">
        <f t="shared" ref="B80:N80" si="7">+COUNTA(B2:B77)-COUNTIF(B2:B77,0)</f>
        <v>73</v>
      </c>
      <c r="C80" s="13">
        <f t="shared" si="7"/>
        <v>59</v>
      </c>
      <c r="D80" s="13">
        <f t="shared" si="7"/>
        <v>9</v>
      </c>
      <c r="E80" s="13">
        <f t="shared" si="7"/>
        <v>67</v>
      </c>
      <c r="F80" s="13">
        <f t="shared" si="7"/>
        <v>49</v>
      </c>
      <c r="G80" s="13">
        <f t="shared" si="7"/>
        <v>20</v>
      </c>
      <c r="H80" s="13">
        <f t="shared" si="7"/>
        <v>26</v>
      </c>
      <c r="I80" s="13">
        <f t="shared" si="7"/>
        <v>69</v>
      </c>
      <c r="J80" s="13">
        <f t="shared" si="7"/>
        <v>44</v>
      </c>
      <c r="K80" s="13">
        <f t="shared" si="7"/>
        <v>61</v>
      </c>
      <c r="L80" s="13">
        <f t="shared" si="7"/>
        <v>30</v>
      </c>
      <c r="M80" s="13">
        <f t="shared" si="7"/>
        <v>3</v>
      </c>
      <c r="N80" s="13">
        <f t="shared" si="7"/>
        <v>76</v>
      </c>
    </row>
    <row r="81" spans="1:14" x14ac:dyDescent="0.2">
      <c r="A81" s="3">
        <v>1</v>
      </c>
      <c r="B81" s="13">
        <f t="shared" ref="B81:N90" si="8">LARGE(B$2:B$77,$A81)</f>
        <v>48071295</v>
      </c>
      <c r="C81" s="13">
        <f t="shared" si="8"/>
        <v>26889043</v>
      </c>
      <c r="D81" s="13">
        <f t="shared" si="8"/>
        <v>25181475.579999998</v>
      </c>
      <c r="E81" s="13">
        <f t="shared" si="8"/>
        <v>22631574</v>
      </c>
      <c r="F81" s="13">
        <f t="shared" si="8"/>
        <v>7920170</v>
      </c>
      <c r="G81" s="13">
        <f t="shared" si="8"/>
        <v>5583003</v>
      </c>
      <c r="H81" s="13">
        <f t="shared" si="8"/>
        <v>7685649</v>
      </c>
      <c r="I81" s="13">
        <f t="shared" si="8"/>
        <v>74160793</v>
      </c>
      <c r="J81" s="13">
        <f t="shared" si="8"/>
        <v>11125000</v>
      </c>
      <c r="K81" s="13">
        <f t="shared" si="8"/>
        <v>7137489.6200000001</v>
      </c>
      <c r="L81" s="13">
        <f t="shared" si="8"/>
        <v>66492796</v>
      </c>
      <c r="M81" s="13">
        <f t="shared" si="8"/>
        <v>305975</v>
      </c>
      <c r="N81" s="13">
        <f t="shared" si="8"/>
        <v>87109766</v>
      </c>
    </row>
    <row r="82" spans="1:14" x14ac:dyDescent="0.2">
      <c r="A82" s="3">
        <v>2</v>
      </c>
      <c r="B82" s="13">
        <f t="shared" si="8"/>
        <v>37540605</v>
      </c>
      <c r="C82" s="13">
        <f t="shared" si="8"/>
        <v>9777662</v>
      </c>
      <c r="D82" s="13">
        <f t="shared" si="8"/>
        <v>22652597</v>
      </c>
      <c r="E82" s="13">
        <f t="shared" si="8"/>
        <v>20464214</v>
      </c>
      <c r="F82" s="13">
        <f t="shared" si="8"/>
        <v>4410756</v>
      </c>
      <c r="G82" s="13">
        <f t="shared" si="8"/>
        <v>1940784.76</v>
      </c>
      <c r="H82" s="13">
        <f t="shared" si="8"/>
        <v>5970355</v>
      </c>
      <c r="I82" s="13">
        <f t="shared" si="8"/>
        <v>33144254.02</v>
      </c>
      <c r="J82" s="13">
        <f t="shared" si="8"/>
        <v>10334000</v>
      </c>
      <c r="K82" s="13">
        <f t="shared" si="8"/>
        <v>4480289.9000000004</v>
      </c>
      <c r="L82" s="13">
        <f t="shared" si="8"/>
        <v>20199000</v>
      </c>
      <c r="M82" s="13">
        <f t="shared" si="8"/>
        <v>215998.47</v>
      </c>
      <c r="N82" s="13">
        <f t="shared" si="8"/>
        <v>81215549.019999996</v>
      </c>
    </row>
    <row r="83" spans="1:14" x14ac:dyDescent="0.2">
      <c r="A83" s="3">
        <v>3</v>
      </c>
      <c r="B83" s="13">
        <f t="shared" si="8"/>
        <v>27428651.57</v>
      </c>
      <c r="C83" s="13">
        <f t="shared" si="8"/>
        <v>8781696</v>
      </c>
      <c r="D83" s="13">
        <f t="shared" si="8"/>
        <v>8201031.0499999998</v>
      </c>
      <c r="E83" s="13">
        <f t="shared" si="8"/>
        <v>6586088</v>
      </c>
      <c r="F83" s="13">
        <f t="shared" si="8"/>
        <v>2731000</v>
      </c>
      <c r="G83" s="13">
        <f t="shared" si="8"/>
        <v>709279.59</v>
      </c>
      <c r="H83" s="13">
        <f t="shared" si="8"/>
        <v>421432.3</v>
      </c>
      <c r="I83" s="13">
        <f t="shared" si="8"/>
        <v>21001248</v>
      </c>
      <c r="J83" s="13">
        <f t="shared" si="8"/>
        <v>9194023</v>
      </c>
      <c r="K83" s="13">
        <f t="shared" si="8"/>
        <v>4106718</v>
      </c>
      <c r="L83" s="13">
        <f t="shared" si="8"/>
        <v>11777692</v>
      </c>
      <c r="M83" s="13">
        <f t="shared" si="8"/>
        <v>24000</v>
      </c>
      <c r="N83" s="13">
        <f t="shared" si="8"/>
        <v>40828287</v>
      </c>
    </row>
    <row r="84" spans="1:14" x14ac:dyDescent="0.2">
      <c r="A84" s="3">
        <v>4</v>
      </c>
      <c r="B84" s="13">
        <f t="shared" si="8"/>
        <v>26016569</v>
      </c>
      <c r="C84" s="13">
        <f t="shared" si="8"/>
        <v>7068040</v>
      </c>
      <c r="D84" s="13">
        <f t="shared" si="8"/>
        <v>404633.28</v>
      </c>
      <c r="E84" s="13">
        <f t="shared" si="8"/>
        <v>4850852.74</v>
      </c>
      <c r="F84" s="13">
        <f t="shared" si="8"/>
        <v>1690907.16</v>
      </c>
      <c r="G84" s="13">
        <f t="shared" si="8"/>
        <v>229561.95</v>
      </c>
      <c r="H84" s="13">
        <f t="shared" si="8"/>
        <v>295000</v>
      </c>
      <c r="I84" s="13">
        <f t="shared" si="8"/>
        <v>17496754</v>
      </c>
      <c r="J84" s="13">
        <f t="shared" si="8"/>
        <v>8360720</v>
      </c>
      <c r="K84" s="13">
        <f t="shared" si="8"/>
        <v>4041358</v>
      </c>
      <c r="L84" s="13">
        <f t="shared" si="8"/>
        <v>11199305.27</v>
      </c>
      <c r="M84" s="13">
        <f t="shared" si="8"/>
        <v>0</v>
      </c>
      <c r="N84" s="13">
        <f t="shared" si="8"/>
        <v>35398302.609999999</v>
      </c>
    </row>
    <row r="85" spans="1:14" x14ac:dyDescent="0.2">
      <c r="A85" s="3">
        <v>5</v>
      </c>
      <c r="B85" s="13">
        <f t="shared" si="8"/>
        <v>20464214</v>
      </c>
      <c r="C85" s="13">
        <f t="shared" si="8"/>
        <v>6768994.0700000003</v>
      </c>
      <c r="D85" s="13">
        <f t="shared" si="8"/>
        <v>259440.86</v>
      </c>
      <c r="E85" s="13">
        <f t="shared" si="8"/>
        <v>2612555</v>
      </c>
      <c r="F85" s="13">
        <f t="shared" si="8"/>
        <v>1327512</v>
      </c>
      <c r="G85" s="13">
        <f t="shared" si="8"/>
        <v>144816</v>
      </c>
      <c r="H85" s="13">
        <f t="shared" si="8"/>
        <v>243859</v>
      </c>
      <c r="I85" s="13">
        <f t="shared" si="8"/>
        <v>17403933.27</v>
      </c>
      <c r="J85" s="13">
        <f t="shared" si="8"/>
        <v>8040000</v>
      </c>
      <c r="K85" s="13">
        <f t="shared" si="8"/>
        <v>3389232</v>
      </c>
      <c r="L85" s="13">
        <f t="shared" si="8"/>
        <v>8235473</v>
      </c>
      <c r="M85" s="13">
        <f t="shared" si="8"/>
        <v>0</v>
      </c>
      <c r="N85" s="13">
        <f t="shared" si="8"/>
        <v>34584964</v>
      </c>
    </row>
    <row r="86" spans="1:14" x14ac:dyDescent="0.2">
      <c r="A86" s="3">
        <v>6</v>
      </c>
      <c r="B86" s="13">
        <f t="shared" si="8"/>
        <v>17088210</v>
      </c>
      <c r="C86" s="13">
        <f t="shared" si="8"/>
        <v>6640239</v>
      </c>
      <c r="D86" s="13">
        <f t="shared" si="8"/>
        <v>60882.79</v>
      </c>
      <c r="E86" s="13">
        <f t="shared" si="8"/>
        <v>2100000</v>
      </c>
      <c r="F86" s="13">
        <f t="shared" si="8"/>
        <v>776658</v>
      </c>
      <c r="G86" s="13">
        <f t="shared" si="8"/>
        <v>108561.48</v>
      </c>
      <c r="H86" s="13">
        <f t="shared" si="8"/>
        <v>155884</v>
      </c>
      <c r="I86" s="13">
        <f t="shared" si="8"/>
        <v>16199968.890000001</v>
      </c>
      <c r="J86" s="13">
        <f t="shared" si="8"/>
        <v>7780000</v>
      </c>
      <c r="K86" s="13">
        <f t="shared" si="8"/>
        <v>3287682</v>
      </c>
      <c r="L86" s="13">
        <f t="shared" si="8"/>
        <v>2342479.27</v>
      </c>
      <c r="M86" s="13">
        <f t="shared" si="8"/>
        <v>0</v>
      </c>
      <c r="N86" s="13">
        <f t="shared" si="8"/>
        <v>31763248</v>
      </c>
    </row>
    <row r="87" spans="1:14" x14ac:dyDescent="0.2">
      <c r="A87" s="3">
        <v>7</v>
      </c>
      <c r="B87" s="13">
        <f t="shared" si="8"/>
        <v>12948973</v>
      </c>
      <c r="C87" s="13">
        <f t="shared" si="8"/>
        <v>6300000</v>
      </c>
      <c r="D87" s="13">
        <f t="shared" si="8"/>
        <v>25225.53</v>
      </c>
      <c r="E87" s="13">
        <f t="shared" si="8"/>
        <v>2004803.58</v>
      </c>
      <c r="F87" s="13">
        <f t="shared" si="8"/>
        <v>735910.69</v>
      </c>
      <c r="G87" s="13">
        <f t="shared" si="8"/>
        <v>88444</v>
      </c>
      <c r="H87" s="13">
        <f t="shared" si="8"/>
        <v>146202.23999999999</v>
      </c>
      <c r="I87" s="13">
        <f t="shared" si="8"/>
        <v>12583410.700000001</v>
      </c>
      <c r="J87" s="13">
        <f t="shared" si="8"/>
        <v>7667997</v>
      </c>
      <c r="K87" s="13">
        <f t="shared" si="8"/>
        <v>3012482.7199999997</v>
      </c>
      <c r="L87" s="13">
        <f t="shared" si="8"/>
        <v>1163579.24</v>
      </c>
      <c r="M87" s="13">
        <f t="shared" si="8"/>
        <v>0</v>
      </c>
      <c r="N87" s="13">
        <f t="shared" si="8"/>
        <v>28837242</v>
      </c>
    </row>
    <row r="88" spans="1:14" x14ac:dyDescent="0.2">
      <c r="A88" s="3">
        <v>8</v>
      </c>
      <c r="B88" s="13">
        <f t="shared" si="8"/>
        <v>11783809.73</v>
      </c>
      <c r="C88" s="13">
        <f t="shared" si="8"/>
        <v>6117000</v>
      </c>
      <c r="D88" s="13">
        <f t="shared" si="8"/>
        <v>8504.43</v>
      </c>
      <c r="E88" s="13">
        <f t="shared" si="8"/>
        <v>1897978</v>
      </c>
      <c r="F88" s="13">
        <f t="shared" si="8"/>
        <v>545653.88</v>
      </c>
      <c r="G88" s="13">
        <f t="shared" si="8"/>
        <v>75042.720000000001</v>
      </c>
      <c r="H88" s="13">
        <f t="shared" si="8"/>
        <v>101665.67</v>
      </c>
      <c r="I88" s="13">
        <f t="shared" si="8"/>
        <v>11145043.24</v>
      </c>
      <c r="J88" s="13">
        <f t="shared" si="8"/>
        <v>6720000</v>
      </c>
      <c r="K88" s="13">
        <f t="shared" si="8"/>
        <v>2975979.92</v>
      </c>
      <c r="L88" s="13">
        <f t="shared" si="8"/>
        <v>1091560</v>
      </c>
      <c r="M88" s="13">
        <f t="shared" si="8"/>
        <v>0</v>
      </c>
      <c r="N88" s="13">
        <f t="shared" si="8"/>
        <v>26018846</v>
      </c>
    </row>
    <row r="89" spans="1:14" x14ac:dyDescent="0.2">
      <c r="A89" s="3">
        <v>9</v>
      </c>
      <c r="B89" s="13">
        <f t="shared" si="8"/>
        <v>10762000</v>
      </c>
      <c r="C89" s="13">
        <f t="shared" si="8"/>
        <v>2941133.53</v>
      </c>
      <c r="D89" s="13">
        <f t="shared" si="8"/>
        <v>2000</v>
      </c>
      <c r="E89" s="13">
        <f t="shared" si="8"/>
        <v>1619000</v>
      </c>
      <c r="F89" s="13">
        <f t="shared" si="8"/>
        <v>521789.54</v>
      </c>
      <c r="G89" s="13">
        <f t="shared" si="8"/>
        <v>34946.74</v>
      </c>
      <c r="H89" s="13">
        <f t="shared" si="8"/>
        <v>73776</v>
      </c>
      <c r="I89" s="13">
        <f t="shared" si="8"/>
        <v>9726427.9700000007</v>
      </c>
      <c r="J89" s="13">
        <f t="shared" si="8"/>
        <v>5785000</v>
      </c>
      <c r="K89" s="13">
        <f t="shared" si="8"/>
        <v>2611254.02</v>
      </c>
      <c r="L89" s="13">
        <f t="shared" si="8"/>
        <v>995696</v>
      </c>
      <c r="M89" s="13">
        <f t="shared" si="8"/>
        <v>0</v>
      </c>
      <c r="N89" s="13">
        <f t="shared" si="8"/>
        <v>25445933.27</v>
      </c>
    </row>
    <row r="90" spans="1:14" x14ac:dyDescent="0.2">
      <c r="A90" s="3">
        <v>10</v>
      </c>
      <c r="B90" s="13">
        <f t="shared" si="8"/>
        <v>9975850</v>
      </c>
      <c r="C90" s="13">
        <f t="shared" si="8"/>
        <v>1324288.8600000001</v>
      </c>
      <c r="D90" s="13">
        <f t="shared" si="8"/>
        <v>0</v>
      </c>
      <c r="E90" s="13">
        <f t="shared" si="8"/>
        <v>1535755</v>
      </c>
      <c r="F90" s="13">
        <f t="shared" si="8"/>
        <v>450765</v>
      </c>
      <c r="G90" s="13">
        <f t="shared" si="8"/>
        <v>29861.68</v>
      </c>
      <c r="H90" s="13">
        <f t="shared" si="8"/>
        <v>68115.19</v>
      </c>
      <c r="I90" s="13">
        <f t="shared" si="8"/>
        <v>8373028</v>
      </c>
      <c r="J90" s="13">
        <f t="shared" si="8"/>
        <v>5726095</v>
      </c>
      <c r="K90" s="13">
        <f t="shared" si="8"/>
        <v>2078760.13</v>
      </c>
      <c r="L90" s="13">
        <f t="shared" si="8"/>
        <v>693874.55999999994</v>
      </c>
      <c r="M90" s="13">
        <f t="shared" si="8"/>
        <v>0</v>
      </c>
      <c r="N90" s="13">
        <f t="shared" si="8"/>
        <v>18584942.399999999</v>
      </c>
    </row>
    <row r="91" spans="1:14" x14ac:dyDescent="0.2">
      <c r="A91" s="3">
        <v>11</v>
      </c>
      <c r="B91" s="13">
        <f t="shared" ref="B91:N100" si="9">LARGE(B$2:B$77,$A91)</f>
        <v>8042000</v>
      </c>
      <c r="C91" s="13">
        <f t="shared" si="9"/>
        <v>699706.25</v>
      </c>
      <c r="D91" s="13">
        <f t="shared" si="9"/>
        <v>0</v>
      </c>
      <c r="E91" s="13">
        <f t="shared" si="9"/>
        <v>1521000</v>
      </c>
      <c r="F91" s="13">
        <f t="shared" si="9"/>
        <v>392026.75</v>
      </c>
      <c r="G91" s="13">
        <f t="shared" si="9"/>
        <v>14903.39</v>
      </c>
      <c r="H91" s="13">
        <f t="shared" si="9"/>
        <v>55533.64</v>
      </c>
      <c r="I91" s="13">
        <f t="shared" si="9"/>
        <v>8174656</v>
      </c>
      <c r="J91" s="13">
        <f t="shared" si="9"/>
        <v>5324965.8</v>
      </c>
      <c r="K91" s="13">
        <f t="shared" si="9"/>
        <v>2014326</v>
      </c>
      <c r="L91" s="13">
        <f t="shared" si="9"/>
        <v>674557.57</v>
      </c>
      <c r="M91" s="13">
        <f t="shared" si="9"/>
        <v>0</v>
      </c>
      <c r="N91" s="13">
        <f t="shared" si="9"/>
        <v>14924294.73</v>
      </c>
    </row>
    <row r="92" spans="1:14" x14ac:dyDescent="0.2">
      <c r="A92" s="3">
        <v>12</v>
      </c>
      <c r="B92" s="13">
        <f t="shared" si="9"/>
        <v>7416199.1500000004</v>
      </c>
      <c r="C92" s="13">
        <f t="shared" si="9"/>
        <v>698049</v>
      </c>
      <c r="D92" s="13">
        <f t="shared" si="9"/>
        <v>0</v>
      </c>
      <c r="E92" s="13">
        <f t="shared" si="9"/>
        <v>1175921.54</v>
      </c>
      <c r="F92" s="13">
        <f t="shared" si="9"/>
        <v>325181.8</v>
      </c>
      <c r="G92" s="13">
        <f t="shared" si="9"/>
        <v>14281</v>
      </c>
      <c r="H92" s="13">
        <f t="shared" si="9"/>
        <v>32900</v>
      </c>
      <c r="I92" s="13">
        <f t="shared" si="9"/>
        <v>7969651.0399999991</v>
      </c>
      <c r="J92" s="13">
        <f t="shared" si="9"/>
        <v>5154563</v>
      </c>
      <c r="K92" s="13">
        <f t="shared" si="9"/>
        <v>1814633.1</v>
      </c>
      <c r="L92" s="13">
        <f t="shared" si="9"/>
        <v>561918.01</v>
      </c>
      <c r="M92" s="13">
        <f t="shared" si="9"/>
        <v>0</v>
      </c>
      <c r="N92" s="13">
        <f t="shared" si="9"/>
        <v>14525751.120000001</v>
      </c>
    </row>
    <row r="93" spans="1:14" x14ac:dyDescent="0.2">
      <c r="A93" s="3">
        <v>13</v>
      </c>
      <c r="B93" s="13">
        <f t="shared" si="9"/>
        <v>6091903.1200000001</v>
      </c>
      <c r="C93" s="13">
        <f t="shared" si="9"/>
        <v>601997.97</v>
      </c>
      <c r="D93" s="13">
        <f t="shared" si="9"/>
        <v>0</v>
      </c>
      <c r="E93" s="13">
        <f t="shared" si="9"/>
        <v>1071018.92</v>
      </c>
      <c r="F93" s="13">
        <f t="shared" si="9"/>
        <v>223994.4</v>
      </c>
      <c r="G93" s="13">
        <f t="shared" si="9"/>
        <v>9518</v>
      </c>
      <c r="H93" s="13">
        <f t="shared" si="9"/>
        <v>31954.29</v>
      </c>
      <c r="I93" s="13">
        <f t="shared" si="9"/>
        <v>6286715.2899999991</v>
      </c>
      <c r="J93" s="13">
        <f t="shared" si="9"/>
        <v>5093676</v>
      </c>
      <c r="K93" s="13">
        <f t="shared" si="9"/>
        <v>1756420.24</v>
      </c>
      <c r="L93" s="13">
        <f t="shared" si="9"/>
        <v>535424</v>
      </c>
      <c r="M93" s="13">
        <f t="shared" si="9"/>
        <v>0</v>
      </c>
      <c r="N93" s="13">
        <f t="shared" si="9"/>
        <v>14428745</v>
      </c>
    </row>
    <row r="94" spans="1:14" x14ac:dyDescent="0.2">
      <c r="A94" s="3">
        <v>14</v>
      </c>
      <c r="B94" s="13">
        <f t="shared" si="9"/>
        <v>3552833.74</v>
      </c>
      <c r="C94" s="13">
        <f t="shared" si="9"/>
        <v>401881.24</v>
      </c>
      <c r="D94" s="13">
        <f t="shared" si="9"/>
        <v>0</v>
      </c>
      <c r="E94" s="13">
        <f t="shared" si="9"/>
        <v>839753.7</v>
      </c>
      <c r="F94" s="13">
        <f t="shared" si="9"/>
        <v>221000</v>
      </c>
      <c r="G94" s="13">
        <f t="shared" si="9"/>
        <v>6179.62</v>
      </c>
      <c r="H94" s="13">
        <f t="shared" si="9"/>
        <v>30552.760000000002</v>
      </c>
      <c r="I94" s="13">
        <f t="shared" si="9"/>
        <v>6071534</v>
      </c>
      <c r="J94" s="13">
        <f t="shared" si="9"/>
        <v>4975509.8499999996</v>
      </c>
      <c r="K94" s="13">
        <f t="shared" si="9"/>
        <v>1339834.99</v>
      </c>
      <c r="L94" s="13">
        <f t="shared" si="9"/>
        <v>488638.88</v>
      </c>
      <c r="M94" s="13">
        <f t="shared" si="9"/>
        <v>0</v>
      </c>
      <c r="N94" s="13">
        <f t="shared" si="9"/>
        <v>11850370.15</v>
      </c>
    </row>
    <row r="95" spans="1:14" x14ac:dyDescent="0.2">
      <c r="A95" s="3">
        <v>15</v>
      </c>
      <c r="B95" s="13">
        <f t="shared" si="9"/>
        <v>2384973.5099999998</v>
      </c>
      <c r="C95" s="13">
        <f t="shared" si="9"/>
        <v>384682.91</v>
      </c>
      <c r="D95" s="13">
        <f t="shared" si="9"/>
        <v>0</v>
      </c>
      <c r="E95" s="13">
        <f t="shared" si="9"/>
        <v>647205.08000000007</v>
      </c>
      <c r="F95" s="13">
        <f t="shared" si="9"/>
        <v>220710.86</v>
      </c>
      <c r="G95" s="13">
        <f t="shared" si="9"/>
        <v>6145.2300000000005</v>
      </c>
      <c r="H95" s="13">
        <f t="shared" si="9"/>
        <v>23516.720000000001</v>
      </c>
      <c r="I95" s="13">
        <f t="shared" si="9"/>
        <v>5834215.1200000001</v>
      </c>
      <c r="J95" s="13">
        <f t="shared" si="9"/>
        <v>4413419.33</v>
      </c>
      <c r="K95" s="13">
        <f t="shared" si="9"/>
        <v>1110952</v>
      </c>
      <c r="L95" s="13">
        <f t="shared" si="9"/>
        <v>443376</v>
      </c>
      <c r="M95" s="13">
        <f t="shared" si="9"/>
        <v>0</v>
      </c>
      <c r="N95" s="13">
        <f t="shared" si="9"/>
        <v>10614201.120000001</v>
      </c>
    </row>
    <row r="96" spans="1:14" x14ac:dyDescent="0.2">
      <c r="A96" s="3">
        <v>16</v>
      </c>
      <c r="B96" s="13">
        <f t="shared" si="9"/>
        <v>2222725.2000000002</v>
      </c>
      <c r="C96" s="13">
        <f t="shared" si="9"/>
        <v>366365</v>
      </c>
      <c r="D96" s="13">
        <f t="shared" si="9"/>
        <v>0</v>
      </c>
      <c r="E96" s="13">
        <f t="shared" si="9"/>
        <v>622470.16</v>
      </c>
      <c r="F96" s="13">
        <f t="shared" si="9"/>
        <v>215397.64</v>
      </c>
      <c r="G96" s="13">
        <f t="shared" si="9"/>
        <v>4151</v>
      </c>
      <c r="H96" s="13">
        <f t="shared" si="9"/>
        <v>23105.57</v>
      </c>
      <c r="I96" s="13">
        <f t="shared" si="9"/>
        <v>5785000</v>
      </c>
      <c r="J96" s="13">
        <f t="shared" si="9"/>
        <v>4250000</v>
      </c>
      <c r="K96" s="13">
        <f t="shared" si="9"/>
        <v>1055590.53</v>
      </c>
      <c r="L96" s="13">
        <f t="shared" si="9"/>
        <v>400000</v>
      </c>
      <c r="M96" s="13">
        <f t="shared" si="9"/>
        <v>0</v>
      </c>
      <c r="N96" s="13">
        <f t="shared" si="9"/>
        <v>9946235.4400000013</v>
      </c>
    </row>
    <row r="97" spans="1:14" x14ac:dyDescent="0.2">
      <c r="A97" s="3">
        <v>17</v>
      </c>
      <c r="B97" s="13">
        <f t="shared" si="9"/>
        <v>1942340.42</v>
      </c>
      <c r="C97" s="13">
        <f t="shared" si="9"/>
        <v>328706.06</v>
      </c>
      <c r="D97" s="13">
        <f t="shared" si="9"/>
        <v>0</v>
      </c>
      <c r="E97" s="13">
        <f t="shared" si="9"/>
        <v>607629.9</v>
      </c>
      <c r="F97" s="13">
        <f t="shared" si="9"/>
        <v>212324</v>
      </c>
      <c r="G97" s="13">
        <f t="shared" si="9"/>
        <v>4050</v>
      </c>
      <c r="H97" s="13">
        <f t="shared" si="9"/>
        <v>8852.24</v>
      </c>
      <c r="I97" s="13">
        <f t="shared" si="9"/>
        <v>5753254.3200000003</v>
      </c>
      <c r="J97" s="13">
        <f t="shared" si="9"/>
        <v>3738500</v>
      </c>
      <c r="K97" s="13">
        <f t="shared" si="9"/>
        <v>1011870.3999999999</v>
      </c>
      <c r="L97" s="13">
        <f t="shared" si="9"/>
        <v>383906.13</v>
      </c>
      <c r="M97" s="13">
        <f t="shared" si="9"/>
        <v>0</v>
      </c>
      <c r="N97" s="13">
        <f t="shared" si="9"/>
        <v>9387048.8599999994</v>
      </c>
    </row>
    <row r="98" spans="1:14" x14ac:dyDescent="0.2">
      <c r="A98" s="3">
        <v>18</v>
      </c>
      <c r="B98" s="13">
        <f t="shared" si="9"/>
        <v>1868513</v>
      </c>
      <c r="C98" s="13">
        <f t="shared" si="9"/>
        <v>289284.78000000003</v>
      </c>
      <c r="D98" s="13">
        <f t="shared" si="9"/>
        <v>0</v>
      </c>
      <c r="E98" s="13">
        <f t="shared" si="9"/>
        <v>555706.85</v>
      </c>
      <c r="F98" s="13">
        <f t="shared" si="9"/>
        <v>212155.72</v>
      </c>
      <c r="G98" s="13">
        <f t="shared" si="9"/>
        <v>2512.2199999999998</v>
      </c>
      <c r="H98" s="13">
        <f t="shared" si="9"/>
        <v>7334.19</v>
      </c>
      <c r="I98" s="13">
        <f t="shared" si="9"/>
        <v>5553133.0999999996</v>
      </c>
      <c r="J98" s="13">
        <f t="shared" si="9"/>
        <v>3553000</v>
      </c>
      <c r="K98" s="13">
        <f t="shared" si="9"/>
        <v>880791.77999999991</v>
      </c>
      <c r="L98" s="13">
        <f t="shared" si="9"/>
        <v>348594</v>
      </c>
      <c r="M98" s="13">
        <f t="shared" si="9"/>
        <v>0</v>
      </c>
      <c r="N98" s="13">
        <f t="shared" si="9"/>
        <v>8377871</v>
      </c>
    </row>
    <row r="99" spans="1:14" x14ac:dyDescent="0.2">
      <c r="A99" s="3">
        <v>19</v>
      </c>
      <c r="B99" s="13">
        <f t="shared" si="9"/>
        <v>1423724.6500000001</v>
      </c>
      <c r="C99" s="13">
        <f t="shared" si="9"/>
        <v>230721.02</v>
      </c>
      <c r="D99" s="13">
        <f t="shared" si="9"/>
        <v>0</v>
      </c>
      <c r="E99" s="13">
        <f t="shared" si="9"/>
        <v>540728.52</v>
      </c>
      <c r="F99" s="13">
        <f t="shared" si="9"/>
        <v>208740.1</v>
      </c>
      <c r="G99" s="13">
        <f t="shared" si="9"/>
        <v>1765.2</v>
      </c>
      <c r="H99" s="13">
        <f t="shared" si="9"/>
        <v>7015</v>
      </c>
      <c r="I99" s="13">
        <f t="shared" si="9"/>
        <v>5002738.78</v>
      </c>
      <c r="J99" s="13">
        <f t="shared" si="9"/>
        <v>3547700</v>
      </c>
      <c r="K99" s="13">
        <f t="shared" si="9"/>
        <v>858506.1</v>
      </c>
      <c r="L99" s="13">
        <f t="shared" si="9"/>
        <v>334854</v>
      </c>
      <c r="M99" s="13">
        <f t="shared" si="9"/>
        <v>0</v>
      </c>
      <c r="N99" s="13">
        <f t="shared" si="9"/>
        <v>7792199.1500000004</v>
      </c>
    </row>
    <row r="100" spans="1:14" x14ac:dyDescent="0.2">
      <c r="A100" s="3">
        <v>20</v>
      </c>
      <c r="B100" s="13">
        <f t="shared" si="9"/>
        <v>1158313.4200000002</v>
      </c>
      <c r="C100" s="13">
        <f t="shared" si="9"/>
        <v>196277.28</v>
      </c>
      <c r="D100" s="13">
        <f t="shared" si="9"/>
        <v>0</v>
      </c>
      <c r="E100" s="13">
        <f t="shared" si="9"/>
        <v>481136.27</v>
      </c>
      <c r="F100" s="13">
        <f t="shared" si="9"/>
        <v>207619.93</v>
      </c>
      <c r="G100" s="13">
        <f t="shared" si="9"/>
        <v>1312.29</v>
      </c>
      <c r="H100" s="13">
        <f t="shared" si="9"/>
        <v>6588.53</v>
      </c>
      <c r="I100" s="13">
        <f t="shared" si="9"/>
        <v>4552685.34</v>
      </c>
      <c r="J100" s="13">
        <f t="shared" si="9"/>
        <v>3418125</v>
      </c>
      <c r="K100" s="13">
        <f t="shared" si="9"/>
        <v>787441</v>
      </c>
      <c r="L100" s="13">
        <f t="shared" si="9"/>
        <v>257923.01</v>
      </c>
      <c r="M100" s="13">
        <f t="shared" si="9"/>
        <v>0</v>
      </c>
      <c r="N100" s="13">
        <f t="shared" si="9"/>
        <v>7097244.3399999989</v>
      </c>
    </row>
    <row r="101" spans="1:14" x14ac:dyDescent="0.2">
      <c r="A101" s="3">
        <v>21</v>
      </c>
      <c r="B101" s="13">
        <f t="shared" ref="B101:N110" si="10">LARGE(B$2:B$77,$A101)</f>
        <v>982284.22</v>
      </c>
      <c r="C101" s="13">
        <f t="shared" si="10"/>
        <v>172202.04</v>
      </c>
      <c r="D101" s="13">
        <f t="shared" si="10"/>
        <v>0</v>
      </c>
      <c r="E101" s="13">
        <f t="shared" si="10"/>
        <v>426247.51</v>
      </c>
      <c r="F101" s="13">
        <f t="shared" si="10"/>
        <v>198284.22999999998</v>
      </c>
      <c r="G101" s="13">
        <f t="shared" si="10"/>
        <v>0</v>
      </c>
      <c r="H101" s="13">
        <f t="shared" si="10"/>
        <v>4674.46</v>
      </c>
      <c r="I101" s="13">
        <f t="shared" si="10"/>
        <v>4522298</v>
      </c>
      <c r="J101" s="13">
        <f t="shared" si="10"/>
        <v>3110792</v>
      </c>
      <c r="K101" s="13">
        <f t="shared" si="10"/>
        <v>701725.34</v>
      </c>
      <c r="L101" s="13">
        <f t="shared" si="10"/>
        <v>94685.65</v>
      </c>
      <c r="M101" s="13">
        <f t="shared" si="10"/>
        <v>0</v>
      </c>
      <c r="N101" s="13">
        <f t="shared" si="10"/>
        <v>6735538.54</v>
      </c>
    </row>
    <row r="102" spans="1:14" x14ac:dyDescent="0.2">
      <c r="A102" s="3">
        <v>22</v>
      </c>
      <c r="B102" s="13">
        <f t="shared" si="10"/>
        <v>810529.04999999993</v>
      </c>
      <c r="C102" s="13">
        <f t="shared" si="10"/>
        <v>170538</v>
      </c>
      <c r="D102" s="13">
        <f t="shared" si="10"/>
        <v>0</v>
      </c>
      <c r="E102" s="13">
        <f t="shared" si="10"/>
        <v>405190.5</v>
      </c>
      <c r="F102" s="13">
        <f t="shared" si="10"/>
        <v>183290.16</v>
      </c>
      <c r="G102" s="13">
        <f t="shared" si="10"/>
        <v>0</v>
      </c>
      <c r="H102" s="13">
        <f t="shared" si="10"/>
        <v>4657</v>
      </c>
      <c r="I102" s="13">
        <f t="shared" si="10"/>
        <v>4452895</v>
      </c>
      <c r="J102" s="13">
        <f t="shared" si="10"/>
        <v>2910000</v>
      </c>
      <c r="K102" s="13">
        <f t="shared" si="10"/>
        <v>668964.49</v>
      </c>
      <c r="L102" s="13">
        <f t="shared" si="10"/>
        <v>91732.4</v>
      </c>
      <c r="M102" s="13">
        <f t="shared" si="10"/>
        <v>0</v>
      </c>
      <c r="N102" s="13">
        <f t="shared" si="10"/>
        <v>6193002.21</v>
      </c>
    </row>
    <row r="103" spans="1:14" x14ac:dyDescent="0.2">
      <c r="A103" s="3">
        <v>23</v>
      </c>
      <c r="B103" s="13">
        <f t="shared" si="10"/>
        <v>789097.44</v>
      </c>
      <c r="C103" s="13">
        <f t="shared" si="10"/>
        <v>162783.29999999999</v>
      </c>
      <c r="D103" s="13">
        <f t="shared" si="10"/>
        <v>0</v>
      </c>
      <c r="E103" s="13">
        <f t="shared" si="10"/>
        <v>396979.51999999996</v>
      </c>
      <c r="F103" s="13">
        <f t="shared" si="10"/>
        <v>176435.23</v>
      </c>
      <c r="G103" s="13">
        <f t="shared" si="10"/>
        <v>0</v>
      </c>
      <c r="H103" s="13">
        <f t="shared" si="10"/>
        <v>2457.08</v>
      </c>
      <c r="I103" s="13">
        <f t="shared" si="10"/>
        <v>4040727.5</v>
      </c>
      <c r="J103" s="13">
        <f t="shared" si="10"/>
        <v>2785000</v>
      </c>
      <c r="K103" s="13">
        <f t="shared" si="10"/>
        <v>583095.96</v>
      </c>
      <c r="L103" s="13">
        <f t="shared" si="10"/>
        <v>59028.7</v>
      </c>
      <c r="M103" s="13">
        <f t="shared" si="10"/>
        <v>0</v>
      </c>
      <c r="N103" s="13">
        <f t="shared" si="10"/>
        <v>5835666.5300000003</v>
      </c>
    </row>
    <row r="104" spans="1:14" x14ac:dyDescent="0.2">
      <c r="A104" s="3">
        <v>24</v>
      </c>
      <c r="B104" s="13">
        <f t="shared" si="10"/>
        <v>776658</v>
      </c>
      <c r="C104" s="13">
        <f t="shared" si="10"/>
        <v>157964.07999999999</v>
      </c>
      <c r="D104" s="13">
        <f t="shared" si="10"/>
        <v>0</v>
      </c>
      <c r="E104" s="13">
        <f t="shared" si="10"/>
        <v>351982.66</v>
      </c>
      <c r="F104" s="13">
        <f t="shared" si="10"/>
        <v>163543.53</v>
      </c>
      <c r="G104" s="13">
        <f t="shared" si="10"/>
        <v>0</v>
      </c>
      <c r="H104" s="13">
        <f t="shared" si="10"/>
        <v>1240</v>
      </c>
      <c r="I104" s="13">
        <f t="shared" si="10"/>
        <v>3752815</v>
      </c>
      <c r="J104" s="13">
        <f t="shared" si="10"/>
        <v>2735400</v>
      </c>
      <c r="K104" s="13">
        <f t="shared" si="10"/>
        <v>562624.51</v>
      </c>
      <c r="L104" s="13">
        <f t="shared" si="10"/>
        <v>20474.060000000001</v>
      </c>
      <c r="M104" s="13">
        <f t="shared" si="10"/>
        <v>0</v>
      </c>
      <c r="N104" s="13">
        <f t="shared" si="10"/>
        <v>5568492.1899999995</v>
      </c>
    </row>
    <row r="105" spans="1:14" x14ac:dyDescent="0.2">
      <c r="A105" s="3">
        <v>25</v>
      </c>
      <c r="B105" s="13">
        <f t="shared" si="10"/>
        <v>751309.2</v>
      </c>
      <c r="C105" s="13">
        <f t="shared" si="10"/>
        <v>152293.76000000001</v>
      </c>
      <c r="D105" s="13">
        <f t="shared" si="10"/>
        <v>0</v>
      </c>
      <c r="E105" s="13">
        <f t="shared" si="10"/>
        <v>307126.43</v>
      </c>
      <c r="F105" s="13">
        <f t="shared" si="10"/>
        <v>142699</v>
      </c>
      <c r="G105" s="13">
        <f t="shared" si="10"/>
        <v>0</v>
      </c>
      <c r="H105" s="13">
        <f t="shared" si="10"/>
        <v>1035.1400000000001</v>
      </c>
      <c r="I105" s="13">
        <f t="shared" si="10"/>
        <v>3639914.21</v>
      </c>
      <c r="J105" s="13">
        <f t="shared" si="10"/>
        <v>2730000</v>
      </c>
      <c r="K105" s="13">
        <f t="shared" si="10"/>
        <v>556861</v>
      </c>
      <c r="L105" s="13">
        <f t="shared" si="10"/>
        <v>19781.84</v>
      </c>
      <c r="M105" s="13">
        <f t="shared" si="10"/>
        <v>0</v>
      </c>
      <c r="N105" s="13">
        <f t="shared" si="10"/>
        <v>5504320.9900000002</v>
      </c>
    </row>
    <row r="106" spans="1:14" x14ac:dyDescent="0.2">
      <c r="A106" s="3">
        <v>26</v>
      </c>
      <c r="B106" s="13">
        <f t="shared" si="10"/>
        <v>748930.46</v>
      </c>
      <c r="C106" s="13">
        <f t="shared" si="10"/>
        <v>148188.72</v>
      </c>
      <c r="D106" s="13">
        <f t="shared" si="10"/>
        <v>0</v>
      </c>
      <c r="E106" s="13">
        <f t="shared" si="10"/>
        <v>268817.62</v>
      </c>
      <c r="F106" s="13">
        <f t="shared" si="10"/>
        <v>139716</v>
      </c>
      <c r="G106" s="13">
        <f t="shared" si="10"/>
        <v>0</v>
      </c>
      <c r="H106" s="13">
        <f t="shared" si="10"/>
        <v>61.43</v>
      </c>
      <c r="I106" s="13">
        <f t="shared" si="10"/>
        <v>3547700</v>
      </c>
      <c r="J106" s="13">
        <f t="shared" si="10"/>
        <v>2500000</v>
      </c>
      <c r="K106" s="13">
        <f t="shared" si="10"/>
        <v>547199.97</v>
      </c>
      <c r="L106" s="13">
        <f t="shared" si="10"/>
        <v>18161.27</v>
      </c>
      <c r="M106" s="13">
        <f t="shared" si="10"/>
        <v>0</v>
      </c>
      <c r="N106" s="13">
        <f t="shared" si="10"/>
        <v>5464452.1500000004</v>
      </c>
    </row>
    <row r="107" spans="1:14" x14ac:dyDescent="0.2">
      <c r="A107" s="3">
        <v>27</v>
      </c>
      <c r="B107" s="13">
        <f t="shared" si="10"/>
        <v>742188.61</v>
      </c>
      <c r="C107" s="13">
        <f t="shared" si="10"/>
        <v>119874.64</v>
      </c>
      <c r="D107" s="13">
        <f t="shared" si="10"/>
        <v>0</v>
      </c>
      <c r="E107" s="13">
        <f t="shared" si="10"/>
        <v>227875.09</v>
      </c>
      <c r="F107" s="13">
        <f t="shared" si="10"/>
        <v>129890.1</v>
      </c>
      <c r="G107" s="13">
        <f t="shared" si="10"/>
        <v>0</v>
      </c>
      <c r="H107" s="13">
        <f t="shared" si="10"/>
        <v>0</v>
      </c>
      <c r="I107" s="13">
        <f t="shared" si="10"/>
        <v>3287682</v>
      </c>
      <c r="J107" s="13">
        <f t="shared" si="10"/>
        <v>2500000</v>
      </c>
      <c r="K107" s="13">
        <f t="shared" si="10"/>
        <v>489245.51</v>
      </c>
      <c r="L107" s="13">
        <f t="shared" si="10"/>
        <v>18000</v>
      </c>
      <c r="M107" s="13">
        <f t="shared" si="10"/>
        <v>0</v>
      </c>
      <c r="N107" s="13">
        <f t="shared" si="10"/>
        <v>4897177.68</v>
      </c>
    </row>
    <row r="108" spans="1:14" x14ac:dyDescent="0.2">
      <c r="A108" s="3">
        <v>28</v>
      </c>
      <c r="B108" s="13">
        <f t="shared" si="10"/>
        <v>730423.95</v>
      </c>
      <c r="C108" s="13">
        <f t="shared" si="10"/>
        <v>116638.99</v>
      </c>
      <c r="D108" s="13">
        <f t="shared" si="10"/>
        <v>0</v>
      </c>
      <c r="E108" s="13">
        <f t="shared" si="10"/>
        <v>214533.22</v>
      </c>
      <c r="F108" s="13">
        <f t="shared" si="10"/>
        <v>127096.82</v>
      </c>
      <c r="G108" s="13">
        <f t="shared" si="10"/>
        <v>0</v>
      </c>
      <c r="H108" s="13">
        <f t="shared" si="10"/>
        <v>0</v>
      </c>
      <c r="I108" s="13">
        <f t="shared" si="10"/>
        <v>3148122.98</v>
      </c>
      <c r="J108" s="13">
        <f t="shared" si="10"/>
        <v>2500000</v>
      </c>
      <c r="K108" s="13">
        <f t="shared" si="10"/>
        <v>471780.87</v>
      </c>
      <c r="L108" s="13">
        <f t="shared" si="10"/>
        <v>17499.689999999999</v>
      </c>
      <c r="M108" s="13">
        <f t="shared" si="10"/>
        <v>0</v>
      </c>
      <c r="N108" s="13">
        <f t="shared" si="10"/>
        <v>4021936</v>
      </c>
    </row>
    <row r="109" spans="1:14" x14ac:dyDescent="0.2">
      <c r="A109" s="3">
        <v>29</v>
      </c>
      <c r="B109" s="13">
        <f t="shared" si="10"/>
        <v>707589.28</v>
      </c>
      <c r="C109" s="13">
        <f t="shared" si="10"/>
        <v>113215</v>
      </c>
      <c r="D109" s="13">
        <f t="shared" si="10"/>
        <v>0</v>
      </c>
      <c r="E109" s="13">
        <f t="shared" si="10"/>
        <v>207699.44999999998</v>
      </c>
      <c r="F109" s="13">
        <f t="shared" si="10"/>
        <v>126954.43</v>
      </c>
      <c r="G109" s="13">
        <f t="shared" si="10"/>
        <v>0</v>
      </c>
      <c r="H109" s="13">
        <f t="shared" si="10"/>
        <v>0</v>
      </c>
      <c r="I109" s="13">
        <f t="shared" si="10"/>
        <v>3140485</v>
      </c>
      <c r="J109" s="13">
        <f t="shared" si="10"/>
        <v>2103715</v>
      </c>
      <c r="K109" s="13">
        <f t="shared" si="10"/>
        <v>441315</v>
      </c>
      <c r="L109" s="13">
        <f t="shared" si="10"/>
        <v>9907.65</v>
      </c>
      <c r="M109" s="13">
        <f t="shared" si="10"/>
        <v>0</v>
      </c>
      <c r="N109" s="13">
        <f t="shared" si="10"/>
        <v>3710684.01</v>
      </c>
    </row>
    <row r="110" spans="1:14" x14ac:dyDescent="0.2">
      <c r="A110" s="3">
        <v>30</v>
      </c>
      <c r="B110" s="13">
        <f t="shared" si="10"/>
        <v>705326.91</v>
      </c>
      <c r="C110" s="13">
        <f t="shared" si="10"/>
        <v>111854.05</v>
      </c>
      <c r="D110" s="13">
        <f t="shared" si="10"/>
        <v>0</v>
      </c>
      <c r="E110" s="13">
        <f t="shared" si="10"/>
        <v>156378.14000000001</v>
      </c>
      <c r="F110" s="13">
        <f t="shared" si="10"/>
        <v>95241.33</v>
      </c>
      <c r="G110" s="13">
        <f t="shared" si="10"/>
        <v>0</v>
      </c>
      <c r="H110" s="13">
        <f t="shared" si="10"/>
        <v>0</v>
      </c>
      <c r="I110" s="13">
        <f t="shared" si="10"/>
        <v>2941315</v>
      </c>
      <c r="J110" s="13">
        <f t="shared" si="10"/>
        <v>1250000.3</v>
      </c>
      <c r="K110" s="13">
        <f t="shared" si="10"/>
        <v>428698.8</v>
      </c>
      <c r="L110" s="13">
        <f t="shared" si="10"/>
        <v>9766.9599999999991</v>
      </c>
      <c r="M110" s="13">
        <f t="shared" si="10"/>
        <v>0</v>
      </c>
      <c r="N110" s="13">
        <f t="shared" si="10"/>
        <v>3686658</v>
      </c>
    </row>
    <row r="111" spans="1:14" x14ac:dyDescent="0.2">
      <c r="A111" s="3">
        <v>31</v>
      </c>
      <c r="B111" s="13">
        <f t="shared" ref="B111:N120" si="11">LARGE(B$2:B$77,$A111)</f>
        <v>596411.21</v>
      </c>
      <c r="C111" s="13">
        <f t="shared" si="11"/>
        <v>103915.78</v>
      </c>
      <c r="D111" s="13">
        <f t="shared" si="11"/>
        <v>0</v>
      </c>
      <c r="E111" s="13">
        <f t="shared" si="11"/>
        <v>143752.28</v>
      </c>
      <c r="F111" s="13">
        <f t="shared" si="11"/>
        <v>90000</v>
      </c>
      <c r="G111" s="13">
        <f t="shared" si="11"/>
        <v>0</v>
      </c>
      <c r="H111" s="13">
        <f t="shared" si="11"/>
        <v>0</v>
      </c>
      <c r="I111" s="13">
        <f t="shared" si="11"/>
        <v>2910000</v>
      </c>
      <c r="J111" s="13">
        <f t="shared" si="11"/>
        <v>1215535</v>
      </c>
      <c r="K111" s="13">
        <f t="shared" si="11"/>
        <v>424291.66</v>
      </c>
      <c r="L111" s="13">
        <f t="shared" si="11"/>
        <v>0</v>
      </c>
      <c r="M111" s="13">
        <f t="shared" si="11"/>
        <v>0</v>
      </c>
      <c r="N111" s="13">
        <f t="shared" si="11"/>
        <v>3653899.2</v>
      </c>
    </row>
    <row r="112" spans="1:14" x14ac:dyDescent="0.2">
      <c r="A112" s="3">
        <v>32</v>
      </c>
      <c r="B112" s="13">
        <f t="shared" si="11"/>
        <v>538732.09</v>
      </c>
      <c r="C112" s="13">
        <f t="shared" si="11"/>
        <v>91720.75</v>
      </c>
      <c r="D112" s="13">
        <f t="shared" si="11"/>
        <v>0</v>
      </c>
      <c r="E112" s="13">
        <f t="shared" si="11"/>
        <v>140548.35</v>
      </c>
      <c r="F112" s="13">
        <f t="shared" si="11"/>
        <v>85000</v>
      </c>
      <c r="G112" s="13">
        <f t="shared" si="11"/>
        <v>0</v>
      </c>
      <c r="H112" s="13">
        <f t="shared" si="11"/>
        <v>0</v>
      </c>
      <c r="I112" s="13">
        <f t="shared" si="11"/>
        <v>2629268.19</v>
      </c>
      <c r="J112" s="13">
        <f t="shared" si="11"/>
        <v>770000</v>
      </c>
      <c r="K112" s="13">
        <f t="shared" si="11"/>
        <v>368638.11</v>
      </c>
      <c r="L112" s="13">
        <f t="shared" si="11"/>
        <v>0</v>
      </c>
      <c r="M112" s="13">
        <f t="shared" si="11"/>
        <v>0</v>
      </c>
      <c r="N112" s="13">
        <f t="shared" si="11"/>
        <v>3601357.44</v>
      </c>
    </row>
    <row r="113" spans="1:14" x14ac:dyDescent="0.2">
      <c r="A113" s="3">
        <v>33</v>
      </c>
      <c r="B113" s="13">
        <f t="shared" si="11"/>
        <v>516461.19</v>
      </c>
      <c r="C113" s="13">
        <f t="shared" si="11"/>
        <v>88276</v>
      </c>
      <c r="D113" s="13">
        <f t="shared" si="11"/>
        <v>0</v>
      </c>
      <c r="E113" s="13">
        <f t="shared" si="11"/>
        <v>117948.42000000001</v>
      </c>
      <c r="F113" s="13">
        <f t="shared" si="11"/>
        <v>53915.55</v>
      </c>
      <c r="G113" s="13">
        <f t="shared" si="11"/>
        <v>0</v>
      </c>
      <c r="H113" s="13">
        <f t="shared" si="11"/>
        <v>0</v>
      </c>
      <c r="I113" s="13">
        <f t="shared" si="11"/>
        <v>2130792.08</v>
      </c>
      <c r="J113" s="13">
        <f t="shared" si="11"/>
        <v>480940</v>
      </c>
      <c r="K113" s="13">
        <f t="shared" si="11"/>
        <v>363122.98</v>
      </c>
      <c r="L113" s="13">
        <f t="shared" si="11"/>
        <v>0</v>
      </c>
      <c r="M113" s="13">
        <f t="shared" si="11"/>
        <v>0</v>
      </c>
      <c r="N113" s="13">
        <f t="shared" si="11"/>
        <v>2948772</v>
      </c>
    </row>
    <row r="114" spans="1:14" x14ac:dyDescent="0.2">
      <c r="A114" s="3">
        <v>34</v>
      </c>
      <c r="B114" s="13">
        <f t="shared" si="11"/>
        <v>513618.50999999995</v>
      </c>
      <c r="C114" s="13">
        <f t="shared" si="11"/>
        <v>86491.66</v>
      </c>
      <c r="D114" s="13">
        <f t="shared" si="11"/>
        <v>0</v>
      </c>
      <c r="E114" s="13">
        <f t="shared" si="11"/>
        <v>102949.29</v>
      </c>
      <c r="F114" s="13">
        <f t="shared" si="11"/>
        <v>40000</v>
      </c>
      <c r="G114" s="13">
        <f t="shared" si="11"/>
        <v>0</v>
      </c>
      <c r="H114" s="13">
        <f t="shared" si="11"/>
        <v>0</v>
      </c>
      <c r="I114" s="13">
        <f t="shared" si="11"/>
        <v>2098541.9699999997</v>
      </c>
      <c r="J114" s="13">
        <f t="shared" si="11"/>
        <v>441957</v>
      </c>
      <c r="K114" s="13">
        <f t="shared" si="11"/>
        <v>345439</v>
      </c>
      <c r="L114" s="13">
        <f t="shared" si="11"/>
        <v>0</v>
      </c>
      <c r="M114" s="13">
        <f t="shared" si="11"/>
        <v>0</v>
      </c>
      <c r="N114" s="13">
        <f t="shared" si="11"/>
        <v>2832842.52</v>
      </c>
    </row>
    <row r="115" spans="1:14" x14ac:dyDescent="0.2">
      <c r="A115" s="3">
        <v>35</v>
      </c>
      <c r="B115" s="13">
        <f t="shared" si="11"/>
        <v>501582.20999999996</v>
      </c>
      <c r="C115" s="13">
        <f t="shared" si="11"/>
        <v>86089.9</v>
      </c>
      <c r="D115" s="13">
        <f t="shared" si="11"/>
        <v>0</v>
      </c>
      <c r="E115" s="13">
        <f t="shared" si="11"/>
        <v>99816.21</v>
      </c>
      <c r="F115" s="13">
        <f t="shared" si="11"/>
        <v>36835</v>
      </c>
      <c r="G115" s="13">
        <f t="shared" si="11"/>
        <v>0</v>
      </c>
      <c r="H115" s="13">
        <f t="shared" si="11"/>
        <v>0</v>
      </c>
      <c r="I115" s="13">
        <f t="shared" si="11"/>
        <v>1946670.1099999999</v>
      </c>
      <c r="J115" s="13">
        <f t="shared" si="11"/>
        <v>433960.05</v>
      </c>
      <c r="K115" s="13">
        <f t="shared" si="11"/>
        <v>307213.76</v>
      </c>
      <c r="L115" s="13">
        <f t="shared" si="11"/>
        <v>0</v>
      </c>
      <c r="M115" s="13">
        <f t="shared" si="11"/>
        <v>0</v>
      </c>
      <c r="N115" s="13">
        <f t="shared" si="11"/>
        <v>2501647.9799999995</v>
      </c>
    </row>
    <row r="116" spans="1:14" x14ac:dyDescent="0.2">
      <c r="A116" s="3">
        <v>36</v>
      </c>
      <c r="B116" s="13">
        <f t="shared" si="11"/>
        <v>467612.70999999996</v>
      </c>
      <c r="C116" s="13">
        <f t="shared" si="11"/>
        <v>70326</v>
      </c>
      <c r="D116" s="13">
        <f t="shared" si="11"/>
        <v>0</v>
      </c>
      <c r="E116" s="13">
        <f t="shared" si="11"/>
        <v>94757.680000000008</v>
      </c>
      <c r="F116" s="13">
        <f t="shared" si="11"/>
        <v>35000</v>
      </c>
      <c r="G116" s="13">
        <f t="shared" si="11"/>
        <v>0</v>
      </c>
      <c r="H116" s="13">
        <f t="shared" si="11"/>
        <v>0</v>
      </c>
      <c r="I116" s="13">
        <f t="shared" si="11"/>
        <v>1376284</v>
      </c>
      <c r="J116" s="13">
        <f t="shared" si="11"/>
        <v>371395.84000000003</v>
      </c>
      <c r="K116" s="13">
        <f t="shared" si="11"/>
        <v>294980.46000000002</v>
      </c>
      <c r="L116" s="13">
        <f t="shared" si="11"/>
        <v>0</v>
      </c>
      <c r="M116" s="13">
        <f t="shared" si="11"/>
        <v>0</v>
      </c>
      <c r="N116" s="13">
        <f t="shared" si="11"/>
        <v>2266425.9200000004</v>
      </c>
    </row>
    <row r="117" spans="1:14" x14ac:dyDescent="0.2">
      <c r="A117" s="3">
        <v>37</v>
      </c>
      <c r="B117" s="13">
        <f t="shared" si="11"/>
        <v>453234.46</v>
      </c>
      <c r="C117" s="13">
        <f t="shared" si="11"/>
        <v>67306.48</v>
      </c>
      <c r="D117" s="13">
        <f t="shared" si="11"/>
        <v>0</v>
      </c>
      <c r="E117" s="13">
        <f t="shared" si="11"/>
        <v>81903.09</v>
      </c>
      <c r="F117" s="13">
        <f t="shared" si="11"/>
        <v>34492.83</v>
      </c>
      <c r="G117" s="13">
        <f t="shared" si="11"/>
        <v>0</v>
      </c>
      <c r="H117" s="13">
        <f t="shared" si="11"/>
        <v>0</v>
      </c>
      <c r="I117" s="13">
        <f t="shared" si="11"/>
        <v>1334910.98</v>
      </c>
      <c r="J117" s="13">
        <f t="shared" si="11"/>
        <v>334923.74</v>
      </c>
      <c r="K117" s="13">
        <f t="shared" si="11"/>
        <v>293429</v>
      </c>
      <c r="L117" s="13">
        <f t="shared" si="11"/>
        <v>0</v>
      </c>
      <c r="M117" s="13">
        <f t="shared" si="11"/>
        <v>0</v>
      </c>
      <c r="N117" s="13">
        <f t="shared" si="11"/>
        <v>2238734.09</v>
      </c>
    </row>
    <row r="118" spans="1:14" x14ac:dyDescent="0.2">
      <c r="A118" s="3">
        <v>38</v>
      </c>
      <c r="B118" s="13">
        <f t="shared" si="11"/>
        <v>431693.85</v>
      </c>
      <c r="C118" s="13">
        <f t="shared" si="11"/>
        <v>55886.35</v>
      </c>
      <c r="D118" s="13">
        <f t="shared" si="11"/>
        <v>0</v>
      </c>
      <c r="E118" s="13">
        <f t="shared" si="11"/>
        <v>67810</v>
      </c>
      <c r="F118" s="13">
        <f t="shared" si="11"/>
        <v>28785.35</v>
      </c>
      <c r="G118" s="13">
        <f t="shared" si="11"/>
        <v>0</v>
      </c>
      <c r="H118" s="13">
        <f t="shared" si="11"/>
        <v>0</v>
      </c>
      <c r="I118" s="13">
        <f t="shared" si="11"/>
        <v>1215535</v>
      </c>
      <c r="J118" s="13">
        <f t="shared" si="11"/>
        <v>225793</v>
      </c>
      <c r="K118" s="13">
        <f t="shared" si="11"/>
        <v>267874.93</v>
      </c>
      <c r="L118" s="13">
        <f t="shared" si="11"/>
        <v>0</v>
      </c>
      <c r="M118" s="13">
        <f t="shared" si="11"/>
        <v>0</v>
      </c>
      <c r="N118" s="13">
        <f t="shared" si="11"/>
        <v>2055375</v>
      </c>
    </row>
    <row r="119" spans="1:14" x14ac:dyDescent="0.2">
      <c r="A119" s="3">
        <v>39</v>
      </c>
      <c r="B119" s="13">
        <f t="shared" si="11"/>
        <v>403106.01</v>
      </c>
      <c r="C119" s="13">
        <f t="shared" si="11"/>
        <v>47695.57</v>
      </c>
      <c r="D119" s="13">
        <f t="shared" si="11"/>
        <v>0</v>
      </c>
      <c r="E119" s="13">
        <f t="shared" si="11"/>
        <v>63292.73</v>
      </c>
      <c r="F119" s="13">
        <f t="shared" si="11"/>
        <v>15000</v>
      </c>
      <c r="G119" s="13">
        <f t="shared" si="11"/>
        <v>0</v>
      </c>
      <c r="H119" s="13">
        <f t="shared" si="11"/>
        <v>0</v>
      </c>
      <c r="I119" s="13">
        <f t="shared" si="11"/>
        <v>1064980.46</v>
      </c>
      <c r="J119" s="13">
        <f t="shared" si="11"/>
        <v>224800</v>
      </c>
      <c r="K119" s="13">
        <f t="shared" si="11"/>
        <v>219571.05</v>
      </c>
      <c r="L119" s="13">
        <f t="shared" si="11"/>
        <v>0</v>
      </c>
      <c r="M119" s="13">
        <f t="shared" si="11"/>
        <v>0</v>
      </c>
      <c r="N119" s="13">
        <f t="shared" si="11"/>
        <v>2009204.2799999998</v>
      </c>
    </row>
    <row r="120" spans="1:14" x14ac:dyDescent="0.2">
      <c r="A120" s="3">
        <v>40</v>
      </c>
      <c r="B120" s="13">
        <f t="shared" si="11"/>
        <v>344821.37</v>
      </c>
      <c r="C120" s="13">
        <f t="shared" si="11"/>
        <v>44878</v>
      </c>
      <c r="D120" s="13">
        <f t="shared" si="11"/>
        <v>0</v>
      </c>
      <c r="E120" s="13">
        <f t="shared" si="11"/>
        <v>62412.709999999992</v>
      </c>
      <c r="F120" s="13">
        <f t="shared" si="11"/>
        <v>10000</v>
      </c>
      <c r="G120" s="13">
        <f t="shared" si="11"/>
        <v>0</v>
      </c>
      <c r="H120" s="13">
        <f t="shared" si="11"/>
        <v>0</v>
      </c>
      <c r="I120" s="13">
        <f t="shared" si="11"/>
        <v>1055590.53</v>
      </c>
      <c r="J120" s="13">
        <f t="shared" si="11"/>
        <v>190249.87</v>
      </c>
      <c r="K120" s="13">
        <f t="shared" si="11"/>
        <v>197109</v>
      </c>
      <c r="L120" s="13">
        <f t="shared" si="11"/>
        <v>0</v>
      </c>
      <c r="M120" s="13">
        <f t="shared" si="11"/>
        <v>0</v>
      </c>
      <c r="N120" s="13">
        <f t="shared" si="11"/>
        <v>1668333.01</v>
      </c>
    </row>
    <row r="121" spans="1:14" x14ac:dyDescent="0.2">
      <c r="A121" s="3">
        <v>41</v>
      </c>
      <c r="B121" s="13">
        <f t="shared" ref="B121:N130" si="12">LARGE(B$2:B$77,$A121)</f>
        <v>344492.34</v>
      </c>
      <c r="C121" s="13">
        <f t="shared" si="12"/>
        <v>42219.12</v>
      </c>
      <c r="D121" s="13">
        <f t="shared" si="12"/>
        <v>0</v>
      </c>
      <c r="E121" s="13">
        <f t="shared" si="12"/>
        <v>61207.71</v>
      </c>
      <c r="F121" s="13">
        <f t="shared" si="12"/>
        <v>8838</v>
      </c>
      <c r="G121" s="13">
        <f t="shared" si="12"/>
        <v>0</v>
      </c>
      <c r="H121" s="13">
        <f t="shared" si="12"/>
        <v>0</v>
      </c>
      <c r="I121" s="13">
        <f t="shared" si="12"/>
        <v>905740.91999999993</v>
      </c>
      <c r="J121" s="13">
        <f t="shared" si="12"/>
        <v>168000</v>
      </c>
      <c r="K121" s="13">
        <f t="shared" si="12"/>
        <v>193028</v>
      </c>
      <c r="L121" s="13">
        <f t="shared" si="12"/>
        <v>0</v>
      </c>
      <c r="M121" s="13">
        <f t="shared" si="12"/>
        <v>0</v>
      </c>
      <c r="N121" s="13">
        <f t="shared" si="12"/>
        <v>1650405.71</v>
      </c>
    </row>
    <row r="122" spans="1:14" x14ac:dyDescent="0.2">
      <c r="A122" s="3">
        <v>42</v>
      </c>
      <c r="B122" s="13">
        <f t="shared" si="12"/>
        <v>315494.73</v>
      </c>
      <c r="C122" s="13">
        <f t="shared" si="12"/>
        <v>39065.589999999997</v>
      </c>
      <c r="D122" s="13">
        <f t="shared" si="12"/>
        <v>0</v>
      </c>
      <c r="E122" s="13">
        <f t="shared" si="12"/>
        <v>57912.36</v>
      </c>
      <c r="F122" s="13">
        <f t="shared" si="12"/>
        <v>7457</v>
      </c>
      <c r="G122" s="13">
        <f t="shared" si="12"/>
        <v>0</v>
      </c>
      <c r="H122" s="13">
        <f t="shared" si="12"/>
        <v>0</v>
      </c>
      <c r="I122" s="13">
        <f t="shared" si="12"/>
        <v>810595.11</v>
      </c>
      <c r="J122" s="13">
        <f t="shared" si="12"/>
        <v>109233.59</v>
      </c>
      <c r="K122" s="13">
        <f t="shared" si="12"/>
        <v>190000</v>
      </c>
      <c r="L122" s="13">
        <f t="shared" si="12"/>
        <v>0</v>
      </c>
      <c r="M122" s="13">
        <f t="shared" si="12"/>
        <v>0</v>
      </c>
      <c r="N122" s="13">
        <f t="shared" si="12"/>
        <v>1647228.85</v>
      </c>
    </row>
    <row r="123" spans="1:14" x14ac:dyDescent="0.2">
      <c r="A123" s="3">
        <v>43</v>
      </c>
      <c r="B123" s="13">
        <f t="shared" si="12"/>
        <v>305574.93999999994</v>
      </c>
      <c r="C123" s="13">
        <f t="shared" si="12"/>
        <v>34631.46</v>
      </c>
      <c r="D123" s="13">
        <f t="shared" si="12"/>
        <v>0</v>
      </c>
      <c r="E123" s="13">
        <f t="shared" si="12"/>
        <v>57175</v>
      </c>
      <c r="F123" s="13">
        <f t="shared" si="12"/>
        <v>6516</v>
      </c>
      <c r="G123" s="13">
        <f t="shared" si="12"/>
        <v>0</v>
      </c>
      <c r="H123" s="13">
        <f t="shared" si="12"/>
        <v>0</v>
      </c>
      <c r="I123" s="13">
        <f t="shared" si="12"/>
        <v>678609.60000000009</v>
      </c>
      <c r="J123" s="13">
        <f t="shared" si="12"/>
        <v>33810</v>
      </c>
      <c r="K123" s="13">
        <f t="shared" si="12"/>
        <v>186862</v>
      </c>
      <c r="L123" s="13">
        <f t="shared" si="12"/>
        <v>0</v>
      </c>
      <c r="M123" s="13">
        <f t="shared" si="12"/>
        <v>0</v>
      </c>
      <c r="N123" s="13">
        <f t="shared" si="12"/>
        <v>1569209.04</v>
      </c>
    </row>
    <row r="124" spans="1:14" x14ac:dyDescent="0.2">
      <c r="A124" s="3">
        <v>44</v>
      </c>
      <c r="B124" s="13">
        <f t="shared" si="12"/>
        <v>292049.01</v>
      </c>
      <c r="C124" s="13">
        <f t="shared" si="12"/>
        <v>32436.46</v>
      </c>
      <c r="D124" s="13">
        <f t="shared" si="12"/>
        <v>0</v>
      </c>
      <c r="E124" s="13">
        <f t="shared" si="12"/>
        <v>55385.61</v>
      </c>
      <c r="F124" s="13">
        <f t="shared" si="12"/>
        <v>6200</v>
      </c>
      <c r="G124" s="13">
        <f t="shared" si="12"/>
        <v>0</v>
      </c>
      <c r="H124" s="13">
        <f t="shared" si="12"/>
        <v>0</v>
      </c>
      <c r="I124" s="13">
        <f t="shared" si="12"/>
        <v>668964.49</v>
      </c>
      <c r="J124" s="13">
        <f t="shared" si="12"/>
        <v>883.1</v>
      </c>
      <c r="K124" s="13">
        <f t="shared" si="12"/>
        <v>155788</v>
      </c>
      <c r="L124" s="13">
        <f t="shared" si="12"/>
        <v>0</v>
      </c>
      <c r="M124" s="13">
        <f t="shared" si="12"/>
        <v>0</v>
      </c>
      <c r="N124" s="13">
        <f t="shared" si="12"/>
        <v>1377884.4700000002</v>
      </c>
    </row>
    <row r="125" spans="1:14" x14ac:dyDescent="0.2">
      <c r="A125" s="3">
        <v>45</v>
      </c>
      <c r="B125" s="13">
        <f t="shared" si="12"/>
        <v>269121</v>
      </c>
      <c r="C125" s="13">
        <f t="shared" si="12"/>
        <v>29057</v>
      </c>
      <c r="D125" s="13">
        <f t="shared" si="12"/>
        <v>0</v>
      </c>
      <c r="E125" s="13">
        <f t="shared" si="12"/>
        <v>54306.17</v>
      </c>
      <c r="F125" s="13">
        <f t="shared" si="12"/>
        <v>6000</v>
      </c>
      <c r="G125" s="13">
        <f t="shared" si="12"/>
        <v>0</v>
      </c>
      <c r="H125" s="13">
        <f t="shared" si="12"/>
        <v>0</v>
      </c>
      <c r="I125" s="13">
        <f t="shared" si="12"/>
        <v>603570.02</v>
      </c>
      <c r="J125" s="13">
        <f t="shared" si="12"/>
        <v>0</v>
      </c>
      <c r="K125" s="13">
        <f t="shared" si="12"/>
        <v>129268.19</v>
      </c>
      <c r="L125" s="13">
        <f t="shared" si="12"/>
        <v>0</v>
      </c>
      <c r="M125" s="13">
        <f t="shared" si="12"/>
        <v>0</v>
      </c>
      <c r="N125" s="13">
        <f t="shared" si="12"/>
        <v>1373353.63</v>
      </c>
    </row>
    <row r="126" spans="1:14" x14ac:dyDescent="0.2">
      <c r="A126" s="3">
        <v>46</v>
      </c>
      <c r="B126" s="13">
        <f t="shared" si="12"/>
        <v>240182.22999999998</v>
      </c>
      <c r="C126" s="13">
        <f t="shared" si="12"/>
        <v>23145</v>
      </c>
      <c r="D126" s="13">
        <f t="shared" si="12"/>
        <v>0</v>
      </c>
      <c r="E126" s="13">
        <f t="shared" si="12"/>
        <v>53372</v>
      </c>
      <c r="F126" s="13">
        <f t="shared" si="12"/>
        <v>5600</v>
      </c>
      <c r="G126" s="13">
        <f t="shared" si="12"/>
        <v>0</v>
      </c>
      <c r="H126" s="13">
        <f t="shared" si="12"/>
        <v>0</v>
      </c>
      <c r="I126" s="13">
        <f t="shared" si="12"/>
        <v>598479.1</v>
      </c>
      <c r="J126" s="13">
        <f t="shared" si="12"/>
        <v>0</v>
      </c>
      <c r="K126" s="13">
        <f t="shared" si="12"/>
        <v>127103.56</v>
      </c>
      <c r="L126" s="13">
        <f t="shared" si="12"/>
        <v>0</v>
      </c>
      <c r="M126" s="13">
        <f t="shared" si="12"/>
        <v>0</v>
      </c>
      <c r="N126" s="13">
        <f t="shared" si="12"/>
        <v>1354879.22</v>
      </c>
    </row>
    <row r="127" spans="1:14" x14ac:dyDescent="0.2">
      <c r="A127" s="3">
        <v>47</v>
      </c>
      <c r="B127" s="13">
        <f t="shared" si="12"/>
        <v>219807.47</v>
      </c>
      <c r="C127" s="13">
        <f t="shared" si="12"/>
        <v>21652</v>
      </c>
      <c r="D127" s="13">
        <f t="shared" si="12"/>
        <v>0</v>
      </c>
      <c r="E127" s="13">
        <f t="shared" si="12"/>
        <v>49491.3</v>
      </c>
      <c r="F127" s="13">
        <f t="shared" si="12"/>
        <v>5000</v>
      </c>
      <c r="G127" s="13">
        <f t="shared" si="12"/>
        <v>0</v>
      </c>
      <c r="H127" s="13">
        <f t="shared" si="12"/>
        <v>0</v>
      </c>
      <c r="I127" s="13">
        <f t="shared" si="12"/>
        <v>592846.75</v>
      </c>
      <c r="J127" s="13">
        <f t="shared" si="12"/>
        <v>0</v>
      </c>
      <c r="K127" s="13">
        <f t="shared" si="12"/>
        <v>123409</v>
      </c>
      <c r="L127" s="13">
        <f t="shared" si="12"/>
        <v>0</v>
      </c>
      <c r="M127" s="13">
        <f t="shared" si="12"/>
        <v>0</v>
      </c>
      <c r="N127" s="13">
        <f t="shared" si="12"/>
        <v>1351721.95</v>
      </c>
    </row>
    <row r="128" spans="1:14" x14ac:dyDescent="0.2">
      <c r="A128" s="3">
        <v>48</v>
      </c>
      <c r="B128" s="13">
        <f t="shared" si="12"/>
        <v>214533.22</v>
      </c>
      <c r="C128" s="13">
        <f t="shared" si="12"/>
        <v>15205.59</v>
      </c>
      <c r="D128" s="13">
        <f t="shared" si="12"/>
        <v>0</v>
      </c>
      <c r="E128" s="13">
        <f t="shared" si="12"/>
        <v>45666.53</v>
      </c>
      <c r="F128" s="13">
        <f t="shared" si="12"/>
        <v>1675</v>
      </c>
      <c r="G128" s="13">
        <f t="shared" si="12"/>
        <v>0</v>
      </c>
      <c r="H128" s="13">
        <f t="shared" si="12"/>
        <v>0</v>
      </c>
      <c r="I128" s="13">
        <f t="shared" si="12"/>
        <v>562624.51</v>
      </c>
      <c r="J128" s="13">
        <f t="shared" si="12"/>
        <v>0</v>
      </c>
      <c r="K128" s="13">
        <f t="shared" si="12"/>
        <v>122832</v>
      </c>
      <c r="L128" s="13">
        <f t="shared" si="12"/>
        <v>0</v>
      </c>
      <c r="M128" s="13">
        <f t="shared" si="12"/>
        <v>0</v>
      </c>
      <c r="N128" s="13">
        <f t="shared" si="12"/>
        <v>1347409.56</v>
      </c>
    </row>
    <row r="129" spans="1:20" x14ac:dyDescent="0.2">
      <c r="A129" s="3">
        <v>49</v>
      </c>
      <c r="B129" s="13">
        <f t="shared" si="12"/>
        <v>203574.33000000002</v>
      </c>
      <c r="C129" s="13">
        <f t="shared" si="12"/>
        <v>14699.44</v>
      </c>
      <c r="D129" s="13">
        <f t="shared" si="12"/>
        <v>0</v>
      </c>
      <c r="E129" s="13">
        <f t="shared" si="12"/>
        <v>44098.94</v>
      </c>
      <c r="F129" s="13">
        <f t="shared" si="12"/>
        <v>857.15</v>
      </c>
      <c r="G129" s="13">
        <f t="shared" si="12"/>
        <v>0</v>
      </c>
      <c r="H129" s="13">
        <f t="shared" si="12"/>
        <v>0</v>
      </c>
      <c r="I129" s="13">
        <f t="shared" si="12"/>
        <v>424291.66</v>
      </c>
      <c r="J129" s="13">
        <f t="shared" si="12"/>
        <v>0</v>
      </c>
      <c r="K129" s="13">
        <f t="shared" si="12"/>
        <v>116895.59</v>
      </c>
      <c r="L129" s="13">
        <f t="shared" si="12"/>
        <v>0</v>
      </c>
      <c r="M129" s="13">
        <f t="shared" si="12"/>
        <v>0</v>
      </c>
      <c r="N129" s="13">
        <f t="shared" si="12"/>
        <v>1166480.27</v>
      </c>
    </row>
    <row r="130" spans="1:20" x14ac:dyDescent="0.2">
      <c r="A130" s="3">
        <v>50</v>
      </c>
      <c r="B130" s="13">
        <f t="shared" si="12"/>
        <v>203215</v>
      </c>
      <c r="C130" s="13">
        <f t="shared" si="12"/>
        <v>13984.99</v>
      </c>
      <c r="D130" s="13">
        <f t="shared" si="12"/>
        <v>0</v>
      </c>
      <c r="E130" s="13">
        <f t="shared" si="12"/>
        <v>33912.26</v>
      </c>
      <c r="F130" s="13">
        <f t="shared" si="12"/>
        <v>0</v>
      </c>
      <c r="G130" s="13">
        <f t="shared" si="12"/>
        <v>0</v>
      </c>
      <c r="H130" s="13">
        <f t="shared" si="12"/>
        <v>0</v>
      </c>
      <c r="I130" s="13">
        <f t="shared" si="12"/>
        <v>376000</v>
      </c>
      <c r="J130" s="13">
        <f t="shared" si="12"/>
        <v>0</v>
      </c>
      <c r="K130" s="13">
        <f t="shared" si="12"/>
        <v>108884.22</v>
      </c>
      <c r="L130" s="13">
        <f t="shared" si="12"/>
        <v>0</v>
      </c>
      <c r="M130" s="13">
        <f t="shared" si="12"/>
        <v>0</v>
      </c>
      <c r="N130" s="13">
        <f t="shared" si="12"/>
        <v>1158011.21</v>
      </c>
    </row>
    <row r="131" spans="1:20" x14ac:dyDescent="0.2">
      <c r="R131" s="3" t="s">
        <v>261</v>
      </c>
      <c r="S131" s="3" t="s">
        <v>262</v>
      </c>
      <c r="T131" s="3" t="s">
        <v>231</v>
      </c>
    </row>
    <row r="132" spans="1:20" x14ac:dyDescent="0.2">
      <c r="A132" s="3">
        <v>1</v>
      </c>
      <c r="B132" s="76">
        <f>+SUM(B$81:B81)/B$79</f>
        <v>0.17478597436070004</v>
      </c>
      <c r="C132" s="76">
        <f>+SUM(C$81:C81)/C$79</f>
        <v>0.30110128336625164</v>
      </c>
      <c r="D132" s="77">
        <f>+SUM(D$81:D81)/D$79</f>
        <v>0.44336869597990058</v>
      </c>
      <c r="E132" s="76">
        <f>+SUM(E$81:E81)/E$79</f>
        <v>0.28644576517134729</v>
      </c>
      <c r="F132" s="76">
        <f>+SUM(F$81:F81)/F$79</f>
        <v>0.31046589205975972</v>
      </c>
      <c r="G132" s="76">
        <f>+SUM(G$81:G81)/G$79</f>
        <v>0.61970570716804096</v>
      </c>
      <c r="H132" s="76">
        <f>+SUM(H$81:H81)/H$79</f>
        <v>0.49895742447449054</v>
      </c>
      <c r="I132" s="76">
        <f>+SUM(I$81:I81)/I$79</f>
        <v>0.21557339679969517</v>
      </c>
      <c r="J132" s="76">
        <f>+SUM(J$81:J81)/J$79</f>
        <v>7.2086405598405803E-2</v>
      </c>
      <c r="K132" s="76">
        <f>+SUM(K$81:K81)/K$79</f>
        <v>0.11863763880414076</v>
      </c>
      <c r="L132" s="76">
        <f>+SUM(L$81:L81)/L$79</f>
        <v>0.51552921622901571</v>
      </c>
      <c r="M132" s="76">
        <f>+SUM(M$81:M81)/M$79</f>
        <v>0.56042100360664049</v>
      </c>
      <c r="N132" s="76">
        <f>+SUM(N$81:N81)/N$79</f>
        <v>0.14071616238977161</v>
      </c>
      <c r="O132" s="3">
        <f t="shared" ref="O132:O181" si="13">A132</f>
        <v>1</v>
      </c>
      <c r="Q132" s="76">
        <v>0.25</v>
      </c>
      <c r="R132" s="78">
        <v>2</v>
      </c>
    </row>
    <row r="133" spans="1:20" x14ac:dyDescent="0.2">
      <c r="A133" s="3">
        <v>2</v>
      </c>
      <c r="B133" s="76">
        <f>+SUM(B$81:B82)/B$79</f>
        <v>0.31128263464445494</v>
      </c>
      <c r="C133" s="76">
        <f>+SUM(C$81:C82)/C$79</f>
        <v>0.41059073512998417</v>
      </c>
      <c r="D133" s="77">
        <f>+SUM(D$81:D82)/D$79</f>
        <v>0.84221158191566625</v>
      </c>
      <c r="E133" s="76">
        <f>+SUM(E$81:E82)/E$79</f>
        <v>0.54545945276816221</v>
      </c>
      <c r="F133" s="76">
        <f>+SUM(F$81:F82)/F$79</f>
        <v>0.48336486975821036</v>
      </c>
      <c r="G133" s="76">
        <f>+SUM(G$81:G82)/G$79</f>
        <v>0.83513016460730016</v>
      </c>
      <c r="H133" s="76">
        <f>+SUM(H$81:H82)/H$79</f>
        <v>0.88655682616436693</v>
      </c>
      <c r="I133" s="76">
        <f>+SUM(I$81:I82)/I$79</f>
        <v>0.31191836742970652</v>
      </c>
      <c r="J133" s="76">
        <f>+SUM(J$81:J82)/J$79</f>
        <v>0.13904738676280362</v>
      </c>
      <c r="K133" s="76">
        <f>+SUM(K$81:K82)/K$79</f>
        <v>0.1931079418368252</v>
      </c>
      <c r="L133" s="76">
        <f>+SUM(L$81:L82)/L$79</f>
        <v>0.67213527380267957</v>
      </c>
      <c r="M133" s="76">
        <f>+SUM(M$81:M82)/M$79</f>
        <v>0.95604182012726735</v>
      </c>
      <c r="N133" s="76">
        <f>+SUM(N$81:N82)/N$79</f>
        <v>0.27191087119512847</v>
      </c>
      <c r="O133" s="3">
        <f t="shared" si="13"/>
        <v>2</v>
      </c>
      <c r="Q133" s="76">
        <v>0.5</v>
      </c>
      <c r="R133" s="78">
        <v>4</v>
      </c>
    </row>
    <row r="134" spans="1:20" x14ac:dyDescent="0.2">
      <c r="A134" s="3">
        <v>3</v>
      </c>
      <c r="B134" s="76">
        <f>+SUM(B$81:B83)/B$79</f>
        <v>0.41101249609425766</v>
      </c>
      <c r="C134" s="76">
        <f>+SUM(C$81:C83)/C$79</f>
        <v>0.50892744185964645</v>
      </c>
      <c r="D134" s="77">
        <f>+SUM(D$81:D83)/D$79</f>
        <v>0.98660663258605175</v>
      </c>
      <c r="E134" s="76">
        <f>+SUM(E$81:E83)/E$79</f>
        <v>0.62881896707529028</v>
      </c>
      <c r="F134" s="76">
        <f>+SUM(F$81:F83)/F$79</f>
        <v>0.590418424317671</v>
      </c>
      <c r="G134" s="76">
        <f>+SUM(G$81:G83)/G$79</f>
        <v>0.91385923029127136</v>
      </c>
      <c r="H134" s="76">
        <f>+SUM(H$81:H83)/H$79</f>
        <v>0.91391649026018518</v>
      </c>
      <c r="I134" s="76">
        <f>+SUM(I$81:I83)/I$79</f>
        <v>0.372965589084858</v>
      </c>
      <c r="J134" s="76">
        <f>+SUM(J$81:J83)/J$79</f>
        <v>0.19862168528496738</v>
      </c>
      <c r="K134" s="76">
        <f>+SUM(K$81:K83)/K$79</f>
        <v>0.26136882243961385</v>
      </c>
      <c r="L134" s="76">
        <f>+SUM(L$81:L83)/L$79</f>
        <v>0.76344959190936201</v>
      </c>
      <c r="M134" s="76">
        <f>+SUM(M$81:M83)/M$79</f>
        <v>1</v>
      </c>
      <c r="N134" s="76">
        <f>+SUM(N$81:N83)/N$79</f>
        <v>0.33786443906016211</v>
      </c>
      <c r="O134" s="3">
        <f t="shared" si="13"/>
        <v>3</v>
      </c>
      <c r="Q134" s="76">
        <v>0.75</v>
      </c>
      <c r="R134" s="78">
        <v>6</v>
      </c>
    </row>
    <row r="135" spans="1:20" x14ac:dyDescent="0.2">
      <c r="A135" s="3">
        <v>4</v>
      </c>
      <c r="B135" s="76">
        <f>+SUM(B$81:B84)/B$79</f>
        <v>0.5056080621631015</v>
      </c>
      <c r="C135" s="76">
        <f>+SUM(C$81:C84)/C$79</f>
        <v>0.58807477019275234</v>
      </c>
      <c r="D135" s="77">
        <f>+SUM(D$81:D84)/D$79</f>
        <v>0.99373098592800435</v>
      </c>
      <c r="E135" s="76">
        <f>+SUM(E$81:E84)/E$79</f>
        <v>0.69021576717601807</v>
      </c>
      <c r="F135" s="76">
        <f>+SUM(F$81:F84)/F$79</f>
        <v>0.65670096621003382</v>
      </c>
      <c r="G135" s="76">
        <f>+SUM(G$81:G84)/G$79</f>
        <v>0.93934029318226819</v>
      </c>
      <c r="H135" s="76">
        <f>+SUM(H$81:H84)/H$79</f>
        <v>0.93306808568432886</v>
      </c>
      <c r="I135" s="76">
        <f>+SUM(I$81:I84)/I$79</f>
        <v>0.42382581509064854</v>
      </c>
      <c r="J135" s="76">
        <f>+SUM(J$81:J84)/J$79</f>
        <v>0.25279644960089576</v>
      </c>
      <c r="K135" s="76">
        <f>+SUM(K$81:K84)/K$79</f>
        <v>0.32854330481486455</v>
      </c>
      <c r="L135" s="76">
        <f>+SUM(L$81:L84)/L$79</f>
        <v>0.85027958576542706</v>
      </c>
      <c r="M135" s="76">
        <f>+SUM(M$81:M84)/M$79</f>
        <v>1</v>
      </c>
      <c r="N135" s="76">
        <f>+SUM(N$81:N84)/N$79</f>
        <v>0.39504646958462752</v>
      </c>
      <c r="O135" s="3">
        <f t="shared" si="13"/>
        <v>4</v>
      </c>
      <c r="Q135" s="76"/>
    </row>
    <row r="136" spans="1:20" x14ac:dyDescent="0.2">
      <c r="A136" s="3">
        <v>5</v>
      </c>
      <c r="B136" s="76">
        <f>+SUM(B$81:B85)/B$79</f>
        <v>0.58001541032203663</v>
      </c>
      <c r="C136" s="76">
        <f>+SUM(C$81:C85)/C$79</f>
        <v>0.66387340689304497</v>
      </c>
      <c r="D136" s="77">
        <f>+SUM(D$81:D85)/D$79</f>
        <v>0.99829894523669005</v>
      </c>
      <c r="E136" s="76">
        <f>+SUM(E$81:E85)/E$79</f>
        <v>0.72328263720579278</v>
      </c>
      <c r="F136" s="76">
        <f>+SUM(F$81:F85)/F$79</f>
        <v>0.70873863677771554</v>
      </c>
      <c r="G136" s="76">
        <f>+SUM(G$81:G85)/G$79</f>
        <v>0.95541467137788205</v>
      </c>
      <c r="H136" s="76">
        <f>+SUM(H$81:H85)/H$79</f>
        <v>0.94889957350987553</v>
      </c>
      <c r="I136" s="76">
        <f>+SUM(I$81:I85)/I$79</f>
        <v>0.47441622628931424</v>
      </c>
      <c r="J136" s="76">
        <f>+SUM(J$81:J85)/J$79</f>
        <v>0.30489305193897959</v>
      </c>
      <c r="K136" s="76">
        <f>+SUM(K$81:K85)/K$79</f>
        <v>0.38487830538883883</v>
      </c>
      <c r="L136" s="76">
        <f>+SUM(L$81:L85)/L$79</f>
        <v>0.91413051693946312</v>
      </c>
      <c r="M136" s="76">
        <f>+SUM(M$81:M85)/M$79</f>
        <v>1</v>
      </c>
      <c r="N136" s="76">
        <f>+SUM(N$81:N85)/N$79</f>
        <v>0.45091464182226626</v>
      </c>
      <c r="O136" s="3">
        <f t="shared" si="13"/>
        <v>5</v>
      </c>
    </row>
    <row r="137" spans="1:20" x14ac:dyDescent="0.2">
      <c r="A137" s="3">
        <v>6</v>
      </c>
      <c r="B137" s="76">
        <f>+SUM(B$81:B86)/B$79</f>
        <v>0.64214769602247923</v>
      </c>
      <c r="C137" s="76">
        <f>+SUM(C$81:C86)/C$79</f>
        <v>0.73823025495039807</v>
      </c>
      <c r="D137" s="77">
        <f>+SUM(D$81:D86)/D$79</f>
        <v>0.99937090478585</v>
      </c>
      <c r="E137" s="76">
        <f>+SUM(E$81:E86)/E$79</f>
        <v>0.74986214541232887</v>
      </c>
      <c r="F137" s="76">
        <f>+SUM(F$81:F86)/F$79</f>
        <v>0.73918316243756232</v>
      </c>
      <c r="G137" s="76">
        <f>+SUM(G$81:G86)/G$79</f>
        <v>0.96746484737359795</v>
      </c>
      <c r="H137" s="76">
        <f>+SUM(H$81:H86)/H$79</f>
        <v>0.95901966605596778</v>
      </c>
      <c r="I137" s="76">
        <f>+SUM(I$81:I86)/I$79</f>
        <v>0.52150690831137259</v>
      </c>
      <c r="J137" s="76">
        <f>+SUM(J$81:J86)/J$79</f>
        <v>0.35530493828105575</v>
      </c>
      <c r="K137" s="76">
        <f>+SUM(K$81:K86)/K$79</f>
        <v>0.43952536624423172</v>
      </c>
      <c r="L137" s="76">
        <f>+SUM(L$81:L86)/L$79</f>
        <v>0.93229213105019793</v>
      </c>
      <c r="M137" s="76">
        <f>+SUM(M$81:M86)/M$79</f>
        <v>1</v>
      </c>
      <c r="N137" s="76">
        <f>+SUM(N$81:N86)/N$79</f>
        <v>0.50222464492334895</v>
      </c>
      <c r="O137" s="3">
        <f t="shared" si="13"/>
        <v>6</v>
      </c>
    </row>
    <row r="138" spans="1:20" x14ac:dyDescent="0.2">
      <c r="A138" s="3">
        <v>7</v>
      </c>
      <c r="B138" s="76">
        <f>+SUM(B$81:B87)/B$79</f>
        <v>0.68922982399043597</v>
      </c>
      <c r="C138" s="76">
        <f>+SUM(C$81:C87)/C$79</f>
        <v>0.8087771347782664</v>
      </c>
      <c r="D138" s="77">
        <f>+SUM(D$81:D87)/D$79</f>
        <v>0.99981504914530062</v>
      </c>
      <c r="E138" s="76">
        <f>+SUM(E$81:E87)/E$79</f>
        <v>0.77523676122523499</v>
      </c>
      <c r="F138" s="76">
        <f>+SUM(F$81:F87)/F$79</f>
        <v>0.76803041809585804</v>
      </c>
      <c r="G138" s="76">
        <f>+SUM(G$81:G87)/G$79</f>
        <v>0.97728201056780906</v>
      </c>
      <c r="H138" s="76">
        <f>+SUM(H$81:H87)/H$79</f>
        <v>0.96851121232913251</v>
      </c>
      <c r="I138" s="76">
        <f>+SUM(I$81:I87)/I$79</f>
        <v>0.55808484225990285</v>
      </c>
      <c r="J138" s="76">
        <f>+SUM(J$81:J87)/J$79</f>
        <v>0.40499108137043632</v>
      </c>
      <c r="K138" s="76">
        <f>+SUM(K$81:K87)/K$79</f>
        <v>0.48959813074081604</v>
      </c>
      <c r="L138" s="76">
        <f>+SUM(L$81:L87)/L$79</f>
        <v>0.9413135458455324</v>
      </c>
      <c r="M138" s="76">
        <f>+SUM(M$81:M87)/M$79</f>
        <v>1</v>
      </c>
      <c r="N138" s="76">
        <f>+SUM(N$81:N87)/N$79</f>
        <v>0.54880800996355739</v>
      </c>
      <c r="O138" s="3">
        <f t="shared" si="13"/>
        <v>7</v>
      </c>
    </row>
    <row r="139" spans="1:20" x14ac:dyDescent="0.2">
      <c r="A139" s="3">
        <v>8</v>
      </c>
      <c r="B139" s="76">
        <f>+SUM(B$81:B88)/B$79</f>
        <v>0.73207544870970231</v>
      </c>
      <c r="C139" s="76">
        <f>+SUM(C$81:C88)/C$79</f>
        <v>0.87727479571589673</v>
      </c>
      <c r="D139" s="77">
        <f>+SUM(D$81:D88)/D$79</f>
        <v>0.99996478612267403</v>
      </c>
      <c r="E139" s="76">
        <f>+SUM(E$81:E88)/E$79</f>
        <v>0.79925929542848506</v>
      </c>
      <c r="F139" s="76">
        <f>+SUM(F$81:F88)/F$79</f>
        <v>0.78941972143279004</v>
      </c>
      <c r="G139" s="76">
        <f>+SUM(G$81:G88)/G$79</f>
        <v>0.98561164998684814</v>
      </c>
      <c r="H139" s="76">
        <f>+SUM(H$81:H88)/H$79</f>
        <v>0.97511141497443588</v>
      </c>
      <c r="I139" s="76">
        <f>+SUM(I$81:I88)/I$79</f>
        <v>0.5904816752970885</v>
      </c>
      <c r="J139" s="76">
        <f>+SUM(J$81:J88)/J$79</f>
        <v>0.44853451019032731</v>
      </c>
      <c r="K139" s="76">
        <f>+SUM(K$81:K88)/K$79</f>
        <v>0.539064154459858</v>
      </c>
      <c r="L139" s="76">
        <f>+SUM(L$81:L88)/L$79</f>
        <v>0.94977658402589316</v>
      </c>
      <c r="M139" s="76">
        <f>+SUM(M$81:M88)/M$79</f>
        <v>1</v>
      </c>
      <c r="N139" s="76">
        <f>+SUM(N$81:N88)/N$79</f>
        <v>0.59083856895886522</v>
      </c>
      <c r="O139" s="3">
        <f t="shared" si="13"/>
        <v>8</v>
      </c>
    </row>
    <row r="140" spans="1:20" x14ac:dyDescent="0.2">
      <c r="A140" s="3">
        <v>9</v>
      </c>
      <c r="B140" s="76">
        <f>+SUM(B$81:B89)/B$79</f>
        <v>0.77120579991138838</v>
      </c>
      <c r="C140" s="76">
        <f>+SUM(C$81:C89)/C$79</f>
        <v>0.91020936614424974</v>
      </c>
      <c r="D140" s="77">
        <f>+SUM(D$81:D89)/D$79</f>
        <v>1</v>
      </c>
      <c r="E140" s="76">
        <f>+SUM(E$81:E89)/E$79</f>
        <v>0.81975083056485742</v>
      </c>
      <c r="F140" s="76">
        <f>+SUM(F$81:F89)/F$79</f>
        <v>0.80987355702010089</v>
      </c>
      <c r="G140" s="76">
        <f>+SUM(G$81:G89)/G$79</f>
        <v>0.98949069039304494</v>
      </c>
      <c r="H140" s="76">
        <f>+SUM(H$81:H89)/H$79</f>
        <v>0.97990100176769557</v>
      </c>
      <c r="I140" s="76">
        <f>+SUM(I$81:I89)/I$79</f>
        <v>0.61875482383556846</v>
      </c>
      <c r="J140" s="76">
        <f>+SUM(J$81:J89)/J$79</f>
        <v>0.48601944110149831</v>
      </c>
      <c r="K140" s="76">
        <f>+SUM(K$81:K89)/K$79</f>
        <v>0.5824677918371437</v>
      </c>
      <c r="L140" s="76">
        <f>+SUM(L$81:L89)/L$79</f>
        <v>0.9574963733769436</v>
      </c>
      <c r="M140" s="76">
        <f>+SUM(M$81:M89)/M$79</f>
        <v>1</v>
      </c>
      <c r="N140" s="76">
        <f>+SUM(N$81:N89)/N$79</f>
        <v>0.63194365100191208</v>
      </c>
      <c r="O140" s="3">
        <f t="shared" si="13"/>
        <v>9</v>
      </c>
    </row>
    <row r="141" spans="1:20" x14ac:dyDescent="0.2">
      <c r="A141" s="3">
        <v>10</v>
      </c>
      <c r="B141" s="76">
        <f>+SUM(B$81:B90)/B$79</f>
        <v>0.80747773022502334</v>
      </c>
      <c r="C141" s="76">
        <f>+SUM(C$81:C90)/C$79</f>
        <v>0.92503864345596476</v>
      </c>
      <c r="D141" s="77">
        <f>+SUM(D$81:D90)/D$79</f>
        <v>1</v>
      </c>
      <c r="E141" s="76">
        <f>+SUM(E$81:E90)/E$79</f>
        <v>0.839188741339014</v>
      </c>
      <c r="F141" s="76">
        <f>+SUM(F$81:F90)/F$79</f>
        <v>0.82754327343203615</v>
      </c>
      <c r="G141" s="76">
        <f>+SUM(G$81:G90)/G$79</f>
        <v>0.99280529608493251</v>
      </c>
      <c r="H141" s="76">
        <f>+SUM(H$81:H90)/H$79</f>
        <v>0.98432308502572496</v>
      </c>
      <c r="I141" s="76">
        <f>+SUM(I$81:I90)/I$79</f>
        <v>0.64309385817489861</v>
      </c>
      <c r="J141" s="76">
        <f>+SUM(J$81:J90)/J$79</f>
        <v>0.52312268664441997</v>
      </c>
      <c r="K141" s="76">
        <f>+SUM(K$81:K90)/K$79</f>
        <v>0.61702044362277098</v>
      </c>
      <c r="L141" s="76">
        <f>+SUM(L$81:L90)/L$79</f>
        <v>0.96287609313001354</v>
      </c>
      <c r="M141" s="76">
        <f>+SUM(M$81:M90)/M$79</f>
        <v>1</v>
      </c>
      <c r="N141" s="76">
        <f>+SUM(N$81:N90)/N$79</f>
        <v>0.66196556350208968</v>
      </c>
      <c r="O141" s="3">
        <f t="shared" si="13"/>
        <v>10</v>
      </c>
    </row>
    <row r="142" spans="1:20" x14ac:dyDescent="0.2">
      <c r="A142" s="3">
        <v>11</v>
      </c>
      <c r="B142" s="76">
        <f>+SUM(B$81:B91)/B$79</f>
        <v>0.83671823239599141</v>
      </c>
      <c r="C142" s="76">
        <f>+SUM(C$81:C91)/C$79</f>
        <v>0.93287389627081541</v>
      </c>
      <c r="D142" s="77">
        <f>+SUM(D$81:D91)/D$79</f>
        <v>1</v>
      </c>
      <c r="E142" s="76">
        <f>+SUM(E$81:E91)/E$79</f>
        <v>0.85843989942574794</v>
      </c>
      <c r="F142" s="76">
        <f>+SUM(F$81:F91)/F$79</f>
        <v>0.84291048583404748</v>
      </c>
      <c r="G142" s="76">
        <f>+SUM(G$81:G91)/G$79</f>
        <v>0.99445955201837044</v>
      </c>
      <c r="H142" s="76">
        <f>+SUM(H$81:H91)/H$79</f>
        <v>0.98792836572304721</v>
      </c>
      <c r="I142" s="76">
        <f>+SUM(I$81:I91)/I$79</f>
        <v>0.66685625728501885</v>
      </c>
      <c r="J142" s="76">
        <f>+SUM(J$81:J91)/J$79</f>
        <v>0.5576267445730887</v>
      </c>
      <c r="K142" s="76">
        <f>+SUM(K$81:K91)/K$79</f>
        <v>0.65050208676970556</v>
      </c>
      <c r="L142" s="76">
        <f>+SUM(L$81:L91)/L$79</f>
        <v>0.96810604518923282</v>
      </c>
      <c r="M142" s="76">
        <f>+SUM(M$81:M91)/M$79</f>
        <v>1</v>
      </c>
      <c r="N142" s="76">
        <f>+SUM(N$81:N91)/N$79</f>
        <v>0.68607410582993267</v>
      </c>
      <c r="O142" s="3">
        <f t="shared" si="13"/>
        <v>11</v>
      </c>
    </row>
    <row r="143" spans="1:20" x14ac:dyDescent="0.2">
      <c r="A143" s="3">
        <v>12</v>
      </c>
      <c r="B143" s="76">
        <f>+SUM(B$81:B92)/B$79</f>
        <v>0.86368333900453498</v>
      </c>
      <c r="C143" s="76">
        <f>+SUM(C$81:C92)/C$79</f>
        <v>0.94069059133700006</v>
      </c>
      <c r="D143" s="77">
        <f>+SUM(D$81:D92)/D$79</f>
        <v>1</v>
      </c>
      <c r="E143" s="76">
        <f>+SUM(E$81:E92)/E$79</f>
        <v>0.87332343096035403</v>
      </c>
      <c r="F143" s="76">
        <f>+SUM(F$81:F92)/F$79</f>
        <v>0.85565741647046045</v>
      </c>
      <c r="G143" s="76">
        <f>+SUM(G$81:G92)/G$79</f>
        <v>0.99604472351193163</v>
      </c>
      <c r="H143" s="76">
        <f>+SUM(H$81:H92)/H$79</f>
        <v>0.99006425551780763</v>
      </c>
      <c r="I143" s="76">
        <f>+SUM(I$81:I92)/I$79</f>
        <v>0.6900227402270368</v>
      </c>
      <c r="J143" s="76">
        <f>+SUM(J$81:J92)/J$79</f>
        <v>0.59102664741358624</v>
      </c>
      <c r="K143" s="76">
        <f>+SUM(K$81:K92)/K$79</f>
        <v>0.68066448247765732</v>
      </c>
      <c r="L143" s="76">
        <f>+SUM(L$81:L92)/L$79</f>
        <v>0.97246268483603415</v>
      </c>
      <c r="M143" s="76">
        <f>+SUM(M$81:M92)/M$79</f>
        <v>1</v>
      </c>
      <c r="N143" s="76">
        <f>+SUM(N$81:N92)/N$79</f>
        <v>0.70953884517311183</v>
      </c>
      <c r="O143" s="3">
        <f t="shared" si="13"/>
        <v>12</v>
      </c>
    </row>
    <row r="144" spans="1:20" x14ac:dyDescent="0.2">
      <c r="A144" s="3">
        <v>13</v>
      </c>
      <c r="B144" s="76">
        <f>+SUM(B$81:B93)/B$79</f>
        <v>0.88583333980106416</v>
      </c>
      <c r="C144" s="76">
        <f>+SUM(C$81:C93)/C$79</f>
        <v>0.94743171489989064</v>
      </c>
      <c r="D144" s="77">
        <f>+SUM(D$81:D93)/D$79</f>
        <v>1</v>
      </c>
      <c r="E144" s="76">
        <f>+SUM(E$81:E93)/E$79</f>
        <v>0.88687921961439942</v>
      </c>
      <c r="F144" s="76">
        <f>+SUM(F$81:F93)/F$79</f>
        <v>0.86443786199276496</v>
      </c>
      <c r="G144" s="76">
        <f>+SUM(G$81:G93)/G$79</f>
        <v>0.99710120851128148</v>
      </c>
      <c r="H144" s="76">
        <f>+SUM(H$81:H93)/H$79</f>
        <v>0.99213874919287792</v>
      </c>
      <c r="I144" s="76">
        <f>+SUM(I$81:I93)/I$79</f>
        <v>0.70829720190624068</v>
      </c>
      <c r="J144" s="76">
        <f>+SUM(J$81:J93)/J$79</f>
        <v>0.62403202216620335</v>
      </c>
      <c r="K144" s="76">
        <f>+SUM(K$81:K93)/K$79</f>
        <v>0.70985927800317461</v>
      </c>
      <c r="L144" s="76">
        <f>+SUM(L$81:L93)/L$79</f>
        <v>0.97661391221215776</v>
      </c>
      <c r="M144" s="76">
        <f>+SUM(M$81:M93)/M$79</f>
        <v>1</v>
      </c>
      <c r="N144" s="76">
        <f>+SUM(N$81:N93)/N$79</f>
        <v>0.73284688189198677</v>
      </c>
      <c r="O144" s="3">
        <f t="shared" si="13"/>
        <v>13</v>
      </c>
    </row>
    <row r="145" spans="1:15" x14ac:dyDescent="0.2">
      <c r="A145" s="3">
        <v>14</v>
      </c>
      <c r="B145" s="76">
        <f>+SUM(B$81:B94)/B$79</f>
        <v>0.89875135058041744</v>
      </c>
      <c r="C145" s="76">
        <f>+SUM(C$81:C94)/C$79</f>
        <v>0.95193194784328017</v>
      </c>
      <c r="D145" s="76">
        <f>+SUM(D$81:D94)/D$79</f>
        <v>1</v>
      </c>
      <c r="E145" s="76">
        <f>+SUM(E$81:E94)/E$79</f>
        <v>0.8975079055004086</v>
      </c>
      <c r="F145" s="76">
        <f>+SUM(F$81:F94)/F$79</f>
        <v>0.87310092883920976</v>
      </c>
      <c r="G145" s="76">
        <f>+SUM(G$81:G94)/G$79</f>
        <v>0.99778713789052942</v>
      </c>
      <c r="H145" s="76">
        <f>+SUM(H$81:H94)/H$79</f>
        <v>0.99412225461189818</v>
      </c>
      <c r="I145" s="76">
        <f>+SUM(I$81:I94)/I$79</f>
        <v>0.72594616647657428</v>
      </c>
      <c r="J145" s="76">
        <f>+SUM(J$81:J94)/J$79</f>
        <v>0.65627171844539101</v>
      </c>
      <c r="K145" s="76">
        <f>+SUM(K$81:K94)/K$79</f>
        <v>0.73212969352228963</v>
      </c>
      <c r="L145" s="76">
        <f>+SUM(L$81:L94)/L$79</f>
        <v>0.98040240711655946</v>
      </c>
      <c r="M145" s="76">
        <f>+SUM(M$81:M94)/M$79</f>
        <v>1</v>
      </c>
      <c r="N145" s="76">
        <f>+SUM(N$81:N94)/N$79</f>
        <v>0.75198984010411529</v>
      </c>
      <c r="O145" s="3">
        <f t="shared" si="13"/>
        <v>14</v>
      </c>
    </row>
    <row r="146" spans="1:15" x14ac:dyDescent="0.2">
      <c r="A146" s="3">
        <v>15</v>
      </c>
      <c r="B146" s="76">
        <f>+SUM(B$81:B95)/B$79</f>
        <v>0.90742305203488849</v>
      </c>
      <c r="C146" s="76">
        <f>+SUM(C$81:C95)/C$79</f>
        <v>0.95623959530734437</v>
      </c>
      <c r="D146" s="76">
        <f>+SUM(D$81:D95)/D$79</f>
        <v>1</v>
      </c>
      <c r="E146" s="76">
        <f>+SUM(E$81:E95)/E$79</f>
        <v>0.90569952108858565</v>
      </c>
      <c r="F146" s="76">
        <f>+SUM(F$81:F95)/F$79</f>
        <v>0.88175266157186272</v>
      </c>
      <c r="G146" s="76">
        <f>+SUM(G$81:G95)/G$79</f>
        <v>0.9984692500267508</v>
      </c>
      <c r="H146" s="76">
        <f>+SUM(H$81:H95)/H$79</f>
        <v>0.99564897565306043</v>
      </c>
      <c r="I146" s="76">
        <f>+SUM(I$81:I95)/I$79</f>
        <v>0.74290528355449637</v>
      </c>
      <c r="J146" s="76">
        <f>+SUM(J$81:J95)/J$79</f>
        <v>0.6848692497620853</v>
      </c>
      <c r="K146" s="76">
        <f>+SUM(K$81:K95)/K$79</f>
        <v>0.75059567093477064</v>
      </c>
      <c r="L146" s="76">
        <f>+SUM(L$81:L95)/L$79</f>
        <v>0.98383997171791504</v>
      </c>
      <c r="M146" s="76">
        <f>+SUM(M$81:M95)/M$79</f>
        <v>1</v>
      </c>
      <c r="N146" s="76">
        <f>+SUM(N$81:N95)/N$79</f>
        <v>0.7691359043977517</v>
      </c>
      <c r="O146" s="3">
        <f t="shared" si="13"/>
        <v>15</v>
      </c>
    </row>
    <row r="147" spans="1:15" x14ac:dyDescent="0.2">
      <c r="A147" s="3">
        <v>16</v>
      </c>
      <c r="B147" s="76">
        <f>+SUM(B$81:B96)/B$79</f>
        <v>0.91550482286752533</v>
      </c>
      <c r="C147" s="76">
        <f>+SUM(C$81:C96)/C$79</f>
        <v>0.96034212032768362</v>
      </c>
      <c r="D147" s="76">
        <f>+SUM(D$81:D96)/D$79</f>
        <v>1</v>
      </c>
      <c r="E147" s="76">
        <f>+SUM(E$81:E96)/E$79</f>
        <v>0.91357806905336836</v>
      </c>
      <c r="F147" s="76">
        <f>+SUM(F$81:F96)/F$79</f>
        <v>0.89019611928175624</v>
      </c>
      <c r="G147" s="76">
        <f>+SUM(G$81:G96)/G$79</f>
        <v>0.99893000535689391</v>
      </c>
      <c r="H147" s="76">
        <f>+SUM(H$81:H96)/H$79</f>
        <v>0.99714900456385447</v>
      </c>
      <c r="I147" s="76">
        <f>+SUM(I$81:I96)/I$79</f>
        <v>0.75972134026098592</v>
      </c>
      <c r="J147" s="76">
        <f>+SUM(J$81:J96)/J$79</f>
        <v>0.71240787661990324</v>
      </c>
      <c r="K147" s="76">
        <f>+SUM(K$81:K96)/K$79</f>
        <v>0.76814144328479916</v>
      </c>
      <c r="L147" s="76">
        <f>+SUM(L$81:L96)/L$79</f>
        <v>0.98694123529677857</v>
      </c>
      <c r="M147" s="76">
        <f>+SUM(M$81:M96)/M$79</f>
        <v>1</v>
      </c>
      <c r="N147" s="76">
        <f>+SUM(N$81:N96)/N$79</f>
        <v>0.78520294424425918</v>
      </c>
      <c r="O147" s="3">
        <f t="shared" si="13"/>
        <v>16</v>
      </c>
    </row>
    <row r="148" spans="1:15" x14ac:dyDescent="0.2">
      <c r="A148" s="3">
        <v>17</v>
      </c>
      <c r="B148" s="76">
        <f>+SUM(B$81:B97)/B$79</f>
        <v>0.92256712195578305</v>
      </c>
      <c r="C148" s="76">
        <f>+SUM(C$81:C97)/C$79</f>
        <v>0.9640229436472888</v>
      </c>
      <c r="D148" s="76">
        <f>+SUM(D$81:D97)/D$79</f>
        <v>1</v>
      </c>
      <c r="E148" s="76">
        <f>+SUM(E$81:E97)/E$79</f>
        <v>0.92126878520269551</v>
      </c>
      <c r="F148" s="76">
        <f>+SUM(F$81:F97)/F$79</f>
        <v>0.89851909215553249</v>
      </c>
      <c r="G148" s="76">
        <f>+SUM(G$81:G97)/G$79</f>
        <v>0.999379549824993</v>
      </c>
      <c r="H148" s="76">
        <f>+SUM(H$81:H97)/H$79</f>
        <v>0.99772369784886272</v>
      </c>
      <c r="I148" s="76">
        <f>+SUM(I$81:I97)/I$79</f>
        <v>0.77644511742468103</v>
      </c>
      <c r="J148" s="76">
        <f>+SUM(J$81:J97)/J$79</f>
        <v>0.73663214873942151</v>
      </c>
      <c r="K148" s="76">
        <f>+SUM(K$81:K97)/K$79</f>
        <v>0.78496051013085377</v>
      </c>
      <c r="L148" s="76">
        <f>+SUM(L$81:L97)/L$79</f>
        <v>0.98991772054345728</v>
      </c>
      <c r="M148" s="76">
        <f>+SUM(M$81:M97)/M$79</f>
        <v>1</v>
      </c>
      <c r="N148" s="76">
        <f>+SUM(N$81:N97)/N$79</f>
        <v>0.80036668021095292</v>
      </c>
      <c r="O148" s="3">
        <f t="shared" si="13"/>
        <v>17</v>
      </c>
    </row>
    <row r="149" spans="1:15" x14ac:dyDescent="0.2">
      <c r="A149" s="3">
        <v>18</v>
      </c>
      <c r="B149" s="76">
        <f>+SUM(B$81:B98)/B$79</f>
        <v>0.92936098647119991</v>
      </c>
      <c r="C149" s="76">
        <f>+SUM(C$81:C98)/C$79</f>
        <v>0.96726233072835088</v>
      </c>
      <c r="D149" s="76">
        <f>+SUM(D$81:D98)/D$79</f>
        <v>1</v>
      </c>
      <c r="E149" s="76">
        <f>+SUM(E$81:E98)/E$79</f>
        <v>0.92830231605031599</v>
      </c>
      <c r="F149" s="76">
        <f>+SUM(F$81:F98)/F$79</f>
        <v>0.90683546855469821</v>
      </c>
      <c r="G149" s="76">
        <f>+SUM(G$81:G98)/G$79</f>
        <v>0.99965840281354812</v>
      </c>
      <c r="H149" s="76">
        <f>+SUM(H$81:H98)/H$79</f>
        <v>0.99819983832223147</v>
      </c>
      <c r="I149" s="76">
        <f>+SUM(I$81:I98)/I$79</f>
        <v>0.79258717466033946</v>
      </c>
      <c r="J149" s="76">
        <f>+SUM(J$81:J98)/J$79</f>
        <v>0.75965444079255728</v>
      </c>
      <c r="K149" s="76">
        <f>+SUM(K$81:K98)/K$79</f>
        <v>0.79960081962629459</v>
      </c>
      <c r="L149" s="76">
        <f>+SUM(L$81:L98)/L$79</f>
        <v>0.99262042523348315</v>
      </c>
      <c r="M149" s="76">
        <f>+SUM(M$81:M98)/M$79</f>
        <v>1</v>
      </c>
      <c r="N149" s="76">
        <f>+SUM(N$81:N98)/N$79</f>
        <v>0.81390020131025842</v>
      </c>
      <c r="O149" s="3">
        <f t="shared" si="13"/>
        <v>18</v>
      </c>
    </row>
    <row r="150" spans="1:15" x14ac:dyDescent="0.2">
      <c r="A150" s="3">
        <v>19</v>
      </c>
      <c r="B150" s="76">
        <f>+SUM(B$81:B99)/B$79</f>
        <v>0.93453761215127773</v>
      </c>
      <c r="C150" s="76">
        <f>+SUM(C$81:C99)/C$79</f>
        <v>0.9698459256603672</v>
      </c>
      <c r="D150" s="76">
        <f>+SUM(D$81:D99)/D$79</f>
        <v>1</v>
      </c>
      <c r="E150" s="76">
        <f>+SUM(E$81:E99)/E$79</f>
        <v>0.93514626754310082</v>
      </c>
      <c r="F150" s="76">
        <f>+SUM(F$81:F99)/F$79</f>
        <v>0.91501795470779135</v>
      </c>
      <c r="G150" s="76">
        <f>+SUM(G$81:G99)/G$79</f>
        <v>0.99985433760245868</v>
      </c>
      <c r="H150" s="76">
        <f>+SUM(H$81:H99)/H$79</f>
        <v>0.99865525676935141</v>
      </c>
      <c r="I150" s="76">
        <f>+SUM(I$81:I99)/I$79</f>
        <v>0.8071293248785304</v>
      </c>
      <c r="J150" s="76">
        <f>+SUM(J$81:J99)/J$79</f>
        <v>0.78264239055808216</v>
      </c>
      <c r="K150" s="76">
        <f>+SUM(K$81:K99)/K$79</f>
        <v>0.81387070189940558</v>
      </c>
      <c r="L150" s="76">
        <f>+SUM(L$81:L99)/L$79</f>
        <v>0.99521660151957514</v>
      </c>
      <c r="M150" s="76">
        <f>+SUM(M$81:M99)/M$79</f>
        <v>1</v>
      </c>
      <c r="N150" s="76">
        <f>+SUM(N$81:N99)/N$79</f>
        <v>0.82648763451453122</v>
      </c>
      <c r="O150" s="3">
        <f t="shared" si="13"/>
        <v>19</v>
      </c>
    </row>
    <row r="151" spans="1:15" x14ac:dyDescent="0.2">
      <c r="A151" s="3">
        <v>20</v>
      </c>
      <c r="B151" s="76">
        <f>+SUM(B$81:B100)/B$79</f>
        <v>0.93874920952409191</v>
      </c>
      <c r="C151" s="76">
        <f>+SUM(C$81:C100)/C$79</f>
        <v>0.97204382243578002</v>
      </c>
      <c r="D151" s="76">
        <f>+SUM(D$81:D100)/D$79</f>
        <v>1</v>
      </c>
      <c r="E151" s="76">
        <f>+SUM(E$81:E100)/E$79</f>
        <v>0.94123596537020893</v>
      </c>
      <c r="F151" s="76">
        <f>+SUM(F$81:F100)/F$79</f>
        <v>0.92315653087179228</v>
      </c>
      <c r="G151" s="76">
        <f>+SUM(G$81:G100)/G$79</f>
        <v>0.99999999999999978</v>
      </c>
      <c r="H151" s="76">
        <f>+SUM(H$81:H100)/H$79</f>
        <v>0.99908298850155419</v>
      </c>
      <c r="I151" s="76">
        <f>+SUM(I$81:I100)/I$79</f>
        <v>0.82036324274270378</v>
      </c>
      <c r="J151" s="76">
        <f>+SUM(J$81:J100)/J$79</f>
        <v>0.804790736188289</v>
      </c>
      <c r="K151" s="76">
        <f>+SUM(K$81:K100)/K$79</f>
        <v>0.82695935714253177</v>
      </c>
      <c r="L151" s="76">
        <f>+SUM(L$81:L100)/L$79</f>
        <v>0.99721631961223489</v>
      </c>
      <c r="M151" s="76">
        <f>+SUM(M$81:M100)/M$79</f>
        <v>1</v>
      </c>
      <c r="N151" s="76">
        <f>+SUM(N$81:N100)/N$79</f>
        <v>0.83795244532652813</v>
      </c>
      <c r="O151" s="3">
        <f t="shared" si="13"/>
        <v>20</v>
      </c>
    </row>
    <row r="152" spans="1:15" x14ac:dyDescent="0.2">
      <c r="A152" s="3">
        <v>21</v>
      </c>
      <c r="B152" s="76">
        <f>+SUM(B$81:B101)/B$79</f>
        <v>0.94232076931859798</v>
      </c>
      <c r="C152" s="76">
        <f>+SUM(C$81:C101)/C$79</f>
        <v>0.97397212666149346</v>
      </c>
      <c r="D152" s="76">
        <f>+SUM(D$81:D101)/D$79</f>
        <v>1</v>
      </c>
      <c r="E152" s="76">
        <f>+SUM(E$81:E101)/E$79</f>
        <v>0.94663094117499968</v>
      </c>
      <c r="F152" s="76">
        <f>+SUM(F$81:F101)/F$79</f>
        <v>0.93092915322059699</v>
      </c>
      <c r="G152" s="76">
        <f>+SUM(G$81:G101)/G$79</f>
        <v>0.99999999999999978</v>
      </c>
      <c r="H152" s="76">
        <f>+SUM(H$81:H101)/H$79</f>
        <v>0.99938645754137234</v>
      </c>
      <c r="I152" s="76">
        <f>+SUM(I$81:I101)/I$79</f>
        <v>0.83350882953814798</v>
      </c>
      <c r="J152" s="76">
        <f>+SUM(J$81:J101)/J$79</f>
        <v>0.82494766327541491</v>
      </c>
      <c r="K152" s="76">
        <f>+SUM(K$81:K101)/K$79</f>
        <v>0.83862326726484637</v>
      </c>
      <c r="L152" s="76">
        <f>+SUM(L$81:L101)/L$79</f>
        <v>0.99795043250670001</v>
      </c>
      <c r="M152" s="76">
        <f>+SUM(M$81:M101)/M$79</f>
        <v>1</v>
      </c>
      <c r="N152" s="76">
        <f>+SUM(N$81:N101)/N$79</f>
        <v>0.84883296054886503</v>
      </c>
      <c r="O152" s="3">
        <f t="shared" si="13"/>
        <v>21</v>
      </c>
    </row>
    <row r="153" spans="1:15" x14ac:dyDescent="0.2">
      <c r="A153" s="3">
        <v>22</v>
      </c>
      <c r="B153" s="76">
        <f>+SUM(B$81:B102)/B$79</f>
        <v>0.94526783179635943</v>
      </c>
      <c r="C153" s="76">
        <f>+SUM(C$81:C102)/C$79</f>
        <v>0.97588179710468159</v>
      </c>
      <c r="D153" s="76">
        <f>+SUM(D$81:D102)/D$79</f>
        <v>1</v>
      </c>
      <c r="E153" s="76">
        <f>+SUM(E$81:E102)/E$79</f>
        <v>0.95175940032736184</v>
      </c>
      <c r="F153" s="76">
        <f>+SUM(F$81:F102)/F$79</f>
        <v>0.93811401705940045</v>
      </c>
      <c r="G153" s="76">
        <f>+SUM(G$81:G102)/G$79</f>
        <v>0.99999999999999978</v>
      </c>
      <c r="H153" s="76">
        <f>+SUM(H$81:H102)/H$79</f>
        <v>0.999688793066424</v>
      </c>
      <c r="I153" s="76">
        <f>+SUM(I$81:I102)/I$79</f>
        <v>0.84645267306935701</v>
      </c>
      <c r="J153" s="76">
        <f>+SUM(J$81:J102)/J$79</f>
        <v>0.84380352307688555</v>
      </c>
      <c r="K153" s="76">
        <f>+SUM(K$81:K102)/K$79</f>
        <v>0.84974263440410347</v>
      </c>
      <c r="L153" s="76">
        <f>+SUM(L$81:L102)/L$79</f>
        <v>0.99866164838450433</v>
      </c>
      <c r="M153" s="76">
        <f>+SUM(M$81:M102)/M$79</f>
        <v>1</v>
      </c>
      <c r="N153" s="76">
        <f>+SUM(N$81:N102)/N$79</f>
        <v>0.85883706852296493</v>
      </c>
      <c r="O153" s="3">
        <f t="shared" si="13"/>
        <v>22</v>
      </c>
    </row>
    <row r="154" spans="1:15" x14ac:dyDescent="0.2">
      <c r="A154" s="3">
        <v>23</v>
      </c>
      <c r="B154" s="76">
        <f>+SUM(B$81:B103)/B$79</f>
        <v>0.94813696949934689</v>
      </c>
      <c r="C154" s="76">
        <f>+SUM(C$81:C103)/C$79</f>
        <v>0.97770463105755201</v>
      </c>
      <c r="D154" s="76">
        <f>+SUM(D$81:D103)/D$79</f>
        <v>1</v>
      </c>
      <c r="E154" s="76">
        <f>+SUM(E$81:E103)/E$79</f>
        <v>0.95678393385577454</v>
      </c>
      <c r="F154" s="76">
        <f>+SUM(F$81:F103)/F$79</f>
        <v>0.94503017177233195</v>
      </c>
      <c r="G154" s="76">
        <f>+SUM(G$81:G103)/G$79</f>
        <v>0.99999999999999978</v>
      </c>
      <c r="H154" s="76">
        <f>+SUM(H$81:H103)/H$79</f>
        <v>0.99984830832772831</v>
      </c>
      <c r="I154" s="76">
        <f>+SUM(I$81:I103)/I$79</f>
        <v>0.85819841252924833</v>
      </c>
      <c r="J154" s="76">
        <f>+SUM(J$81:J103)/J$79</f>
        <v>0.861849423264891</v>
      </c>
      <c r="K154" s="76">
        <f>+SUM(K$81:K103)/K$79</f>
        <v>0.85943471545411187</v>
      </c>
      <c r="L154" s="76">
        <f>+SUM(L$81:L103)/L$79</f>
        <v>0.99911930727804854</v>
      </c>
      <c r="M154" s="76">
        <f>+SUM(M$81:M103)/M$79</f>
        <v>1</v>
      </c>
      <c r="N154" s="76">
        <f>+SUM(N$81:N103)/N$79</f>
        <v>0.86826394035141219</v>
      </c>
      <c r="O154" s="3">
        <f t="shared" si="13"/>
        <v>23</v>
      </c>
    </row>
    <row r="155" spans="1:15" x14ac:dyDescent="0.2">
      <c r="A155" s="3">
        <v>24</v>
      </c>
      <c r="B155" s="76">
        <f>+SUM(B$81:B104)/B$79</f>
        <v>0.95096087772305993</v>
      </c>
      <c r="C155" s="76">
        <f>+SUM(C$81:C104)/C$79</f>
        <v>0.97947349978277098</v>
      </c>
      <c r="D155" s="76">
        <f>+SUM(D$81:D104)/D$79</f>
        <v>1</v>
      </c>
      <c r="E155" s="76">
        <f>+SUM(E$81:E104)/E$79</f>
        <v>0.96123894623674044</v>
      </c>
      <c r="F155" s="76">
        <f>+SUM(F$81:F104)/F$79</f>
        <v>0.95144097961257434</v>
      </c>
      <c r="G155" s="76">
        <f>+SUM(G$81:G104)/G$79</f>
        <v>0.99999999999999978</v>
      </c>
      <c r="H155" s="76">
        <f>+SUM(H$81:H104)/H$79</f>
        <v>0.9999288099491721</v>
      </c>
      <c r="I155" s="76">
        <f>+SUM(I$81:I104)/I$79</f>
        <v>0.86910723704938053</v>
      </c>
      <c r="J155" s="76">
        <f>+SUM(J$81:J104)/J$79</f>
        <v>0.87957393147827334</v>
      </c>
      <c r="K155" s="76">
        <f>+SUM(K$81:K104)/K$79</f>
        <v>0.86878652497726694</v>
      </c>
      <c r="L155" s="76">
        <f>+SUM(L$81:L104)/L$79</f>
        <v>0.9992780459195223</v>
      </c>
      <c r="M155" s="76">
        <f>+SUM(M$81:M104)/M$79</f>
        <v>1</v>
      </c>
      <c r="N155" s="76">
        <f>+SUM(N$81:N104)/N$79</f>
        <v>0.87725922167583015</v>
      </c>
      <c r="O155" s="3">
        <f t="shared" si="13"/>
        <v>24</v>
      </c>
    </row>
    <row r="156" spans="1:15" x14ac:dyDescent="0.2">
      <c r="A156" s="3">
        <v>25</v>
      </c>
      <c r="B156" s="76">
        <f>+SUM(B$81:B105)/B$79</f>
        <v>0.95369261837136476</v>
      </c>
      <c r="C156" s="76">
        <f>+SUM(C$81:C105)/C$79</f>
        <v>0.98117887273281135</v>
      </c>
      <c r="D156" s="76">
        <f>+SUM(D$81:D105)/D$79</f>
        <v>1</v>
      </c>
      <c r="E156" s="76">
        <f>+SUM(E$81:E105)/E$79</f>
        <v>0.96512621741132587</v>
      </c>
      <c r="F156" s="76">
        <f>+SUM(F$81:F105)/F$79</f>
        <v>0.95703469443574551</v>
      </c>
      <c r="G156" s="76">
        <f>+SUM(G$81:G105)/G$79</f>
        <v>0.99999999999999978</v>
      </c>
      <c r="H156" s="76">
        <f>+SUM(H$81:H105)/H$79</f>
        <v>0.99999601192370557</v>
      </c>
      <c r="I156" s="76">
        <f>+SUM(I$81:I105)/I$79</f>
        <v>0.87968787728483722</v>
      </c>
      <c r="J156" s="76">
        <f>+SUM(J$81:J105)/J$79</f>
        <v>0.89726344943635405</v>
      </c>
      <c r="K156" s="76">
        <f>+SUM(K$81:K105)/K$79</f>
        <v>0.87804253482097894</v>
      </c>
      <c r="L156" s="76">
        <f>+SUM(L$81:L105)/L$79</f>
        <v>0.99943141766930954</v>
      </c>
      <c r="M156" s="76">
        <f>+SUM(M$81:M105)/M$79</f>
        <v>1</v>
      </c>
      <c r="N156" s="76">
        <f>+SUM(N$81:N105)/N$79</f>
        <v>0.886150841546262</v>
      </c>
      <c r="O156" s="3">
        <f t="shared" si="13"/>
        <v>25</v>
      </c>
    </row>
    <row r="157" spans="1:15" x14ac:dyDescent="0.2">
      <c r="A157" s="3">
        <v>26</v>
      </c>
      <c r="B157" s="76">
        <f>+SUM(B$81:B106)/B$79</f>
        <v>0.956415709983095</v>
      </c>
      <c r="C157" s="76">
        <f>+SUM(C$81:C106)/C$79</f>
        <v>0.98283827778387256</v>
      </c>
      <c r="D157" s="76">
        <f>+SUM(D$81:D106)/D$79</f>
        <v>1</v>
      </c>
      <c r="E157" s="76">
        <f>+SUM(E$81:E106)/E$79</f>
        <v>0.96852861747649321</v>
      </c>
      <c r="F157" s="76">
        <f>+SUM(F$81:F106)/F$79</f>
        <v>0.96251147745618848</v>
      </c>
      <c r="G157" s="76">
        <f>+SUM(G$81:G106)/G$79</f>
        <v>0.99999999999999978</v>
      </c>
      <c r="H157" s="76">
        <f>+SUM(H$81:H106)/H$79</f>
        <v>1.0000000000000002</v>
      </c>
      <c r="I157" s="76">
        <f>+SUM(I$81:I106)/I$79</f>
        <v>0.89000046576843506</v>
      </c>
      <c r="J157" s="76">
        <f>+SUM(J$81:J106)/J$79</f>
        <v>0.91346264170565872</v>
      </c>
      <c r="K157" s="76">
        <f>+SUM(K$81:K106)/K$79</f>
        <v>0.88713796134357426</v>
      </c>
      <c r="L157" s="76">
        <f>+SUM(L$81:L106)/L$79</f>
        <v>0.9995722248823018</v>
      </c>
      <c r="M157" s="76">
        <f>+SUM(M$81:M106)/M$79</f>
        <v>1</v>
      </c>
      <c r="N157" s="76">
        <f>+SUM(N$81:N106)/N$79</f>
        <v>0.8949780577290094</v>
      </c>
      <c r="O157" s="3">
        <f t="shared" si="13"/>
        <v>26</v>
      </c>
    </row>
    <row r="158" spans="1:15" x14ac:dyDescent="0.2">
      <c r="A158" s="3">
        <v>27</v>
      </c>
      <c r="B158" s="76">
        <f>+SUM(B$81:B107)/B$79</f>
        <v>0.95911428840413127</v>
      </c>
      <c r="C158" s="76">
        <f>+SUM(C$81:C107)/C$79</f>
        <v>0.98418062410490259</v>
      </c>
      <c r="D158" s="76">
        <f>+SUM(D$81:D107)/D$79</f>
        <v>1</v>
      </c>
      <c r="E158" s="76">
        <f>+SUM(E$81:E107)/E$79</f>
        <v>0.97141281167874105</v>
      </c>
      <c r="F158" s="76">
        <f>+SUM(F$81:F107)/F$79</f>
        <v>0.96760309111678311</v>
      </c>
      <c r="G158" s="76">
        <f>+SUM(G$81:G107)/G$79</f>
        <v>0.99999999999999978</v>
      </c>
      <c r="H158" s="76">
        <f>+SUM(H$81:H107)/H$79</f>
        <v>1.0000000000000002</v>
      </c>
      <c r="I158" s="76">
        <f>+SUM(I$81:I107)/I$79</f>
        <v>0.89955722409944716</v>
      </c>
      <c r="J158" s="76">
        <f>+SUM(J$81:J107)/J$79</f>
        <v>0.92966183397496349</v>
      </c>
      <c r="K158" s="76">
        <f>+SUM(K$81:K107)/K$79</f>
        <v>0.89527008274649511</v>
      </c>
      <c r="L158" s="76">
        <f>+SUM(L$81:L107)/L$79</f>
        <v>0.99971178174335062</v>
      </c>
      <c r="M158" s="76">
        <f>+SUM(M$81:M107)/M$79</f>
        <v>1</v>
      </c>
      <c r="N158" s="76">
        <f>+SUM(N$81:N107)/N$79</f>
        <v>0.90288890494297658</v>
      </c>
      <c r="O158" s="3">
        <f t="shared" si="13"/>
        <v>27</v>
      </c>
    </row>
    <row r="159" spans="1:15" x14ac:dyDescent="0.2">
      <c r="A159" s="3">
        <v>28</v>
      </c>
      <c r="B159" s="76">
        <f>+SUM(B$81:B108)/B$79</f>
        <v>0.96177009082836673</v>
      </c>
      <c r="C159" s="76">
        <f>+SUM(C$81:C108)/C$79</f>
        <v>0.98548673788439045</v>
      </c>
      <c r="D159" s="76">
        <f>+SUM(D$81:D108)/D$79</f>
        <v>1</v>
      </c>
      <c r="E159" s="76">
        <f>+SUM(E$81:E108)/E$79</f>
        <v>0.97412813905091467</v>
      </c>
      <c r="F159" s="76">
        <f>+SUM(F$81:F108)/F$79</f>
        <v>0.97258520988434227</v>
      </c>
      <c r="G159" s="76">
        <f>+SUM(G$81:G108)/G$79</f>
        <v>0.99999999999999978</v>
      </c>
      <c r="H159" s="76">
        <f>+SUM(H$81:H108)/H$79</f>
        <v>1.0000000000000002</v>
      </c>
      <c r="I159" s="76">
        <f>+SUM(I$81:I108)/I$79</f>
        <v>0.9087083069949845</v>
      </c>
      <c r="J159" s="76">
        <f>+SUM(J$81:J108)/J$79</f>
        <v>0.94586102624426815</v>
      </c>
      <c r="K159" s="76">
        <f>+SUM(K$81:K108)/K$79</f>
        <v>0.90311191109646938</v>
      </c>
      <c r="L159" s="76">
        <f>+SUM(L$81:L108)/L$79</f>
        <v>0.99984745962144661</v>
      </c>
      <c r="M159" s="76">
        <f>+SUM(M$81:M108)/M$79</f>
        <v>1</v>
      </c>
      <c r="N159" s="76">
        <f>+SUM(N$81:N108)/N$79</f>
        <v>0.90938589632850353</v>
      </c>
      <c r="O159" s="3">
        <f t="shared" si="13"/>
        <v>28</v>
      </c>
    </row>
    <row r="160" spans="1:15" x14ac:dyDescent="0.2">
      <c r="A160" s="3">
        <v>29</v>
      </c>
      <c r="B160" s="76">
        <f>+SUM(B$81:B109)/B$79</f>
        <v>0.96434286698827643</v>
      </c>
      <c r="C160" s="76">
        <f>+SUM(C$81:C109)/C$79</f>
        <v>0.98675451010656701</v>
      </c>
      <c r="D160" s="76">
        <f>+SUM(D$81:D109)/D$79</f>
        <v>1</v>
      </c>
      <c r="E160" s="76">
        <f>+SUM(E$81:E109)/E$79</f>
        <v>0.97675697202032796</v>
      </c>
      <c r="F160" s="76">
        <f>+SUM(F$81:F109)/F$79</f>
        <v>0.97756174704969201</v>
      </c>
      <c r="G160" s="76">
        <f>+SUM(G$81:G109)/G$79</f>
        <v>0.99999999999999978</v>
      </c>
      <c r="H160" s="76">
        <f>+SUM(H$81:H109)/H$79</f>
        <v>1.0000000000000002</v>
      </c>
      <c r="I160" s="76">
        <f>+SUM(I$81:I109)/I$79</f>
        <v>0.9178371875214979</v>
      </c>
      <c r="J160" s="76">
        <f>+SUM(J$81:J109)/J$79</f>
        <v>0.95949241975019628</v>
      </c>
      <c r="K160" s="76">
        <f>+SUM(K$81:K109)/K$79</f>
        <v>0.91044734306993813</v>
      </c>
      <c r="L160" s="76">
        <f>+SUM(L$81:L109)/L$79</f>
        <v>0.99992427520668947</v>
      </c>
      <c r="M160" s="76">
        <f>+SUM(M$81:M109)/M$79</f>
        <v>1</v>
      </c>
      <c r="N160" s="76">
        <f>+SUM(N$81:N109)/N$79</f>
        <v>0.91538009465671732</v>
      </c>
      <c r="O160" s="3">
        <f t="shared" si="13"/>
        <v>29</v>
      </c>
    </row>
    <row r="161" spans="1:15" x14ac:dyDescent="0.2">
      <c r="A161" s="3">
        <v>30</v>
      </c>
      <c r="B161" s="76">
        <f>+SUM(B$81:B110)/B$79</f>
        <v>0.96690741722989504</v>
      </c>
      <c r="C161" s="76">
        <f>+SUM(C$81:C110)/C$79</f>
        <v>0.98800704252301297</v>
      </c>
      <c r="D161" s="76">
        <f>+SUM(D$81:D110)/D$79</f>
        <v>1</v>
      </c>
      <c r="E161" s="76">
        <f>+SUM(E$81:E110)/E$79</f>
        <v>0.97873623585625791</v>
      </c>
      <c r="F161" s="76">
        <f>+SUM(F$81:F110)/F$79</f>
        <v>0.9812951498023359</v>
      </c>
      <c r="G161" s="76">
        <f>+SUM(G$81:G110)/G$79</f>
        <v>0.99999999999999978</v>
      </c>
      <c r="H161" s="76">
        <f>+SUM(H$81:H110)/H$79</f>
        <v>1.0000000000000002</v>
      </c>
      <c r="I161" s="76">
        <f>+SUM(I$81:I110)/I$79</f>
        <v>0.92638711316223221</v>
      </c>
      <c r="J161" s="76">
        <f>+SUM(J$81:J110)/J$79</f>
        <v>0.9675920178287517</v>
      </c>
      <c r="K161" s="76">
        <f>+SUM(K$81:K110)/K$79</f>
        <v>0.91757307159606494</v>
      </c>
      <c r="L161" s="76">
        <f>+SUM(L$81:L110)/L$79</f>
        <v>1</v>
      </c>
      <c r="M161" s="76">
        <f>+SUM(M$81:M110)/M$79</f>
        <v>1</v>
      </c>
      <c r="N161" s="76">
        <f>+SUM(N$81:N110)/N$79</f>
        <v>0.92133548163139412</v>
      </c>
      <c r="O161" s="3">
        <f t="shared" si="13"/>
        <v>30</v>
      </c>
    </row>
    <row r="162" spans="1:15" x14ac:dyDescent="0.2">
      <c r="A162" s="3">
        <v>31</v>
      </c>
      <c r="B162" s="76">
        <f>+SUM(B$81:B111)/B$79</f>
        <v>0.96907595282810388</v>
      </c>
      <c r="C162" s="76">
        <f>+SUM(C$81:C111)/C$79</f>
        <v>0.98917068284743825</v>
      </c>
      <c r="D162" s="76">
        <f>+SUM(D$81:D111)/D$79</f>
        <v>1</v>
      </c>
      <c r="E162" s="76">
        <f>+SUM(E$81:E111)/E$79</f>
        <v>0.98055569533529052</v>
      </c>
      <c r="F162" s="76">
        <f>+SUM(F$81:F111)/F$79</f>
        <v>0.98482309557690617</v>
      </c>
      <c r="G162" s="76">
        <f>+SUM(G$81:G111)/G$79</f>
        <v>0.99999999999999978</v>
      </c>
      <c r="H162" s="76">
        <f>+SUM(H$81:H111)/H$79</f>
        <v>1.0000000000000002</v>
      </c>
      <c r="I162" s="76">
        <f>+SUM(I$81:I111)/I$79</f>
        <v>0.93484601117707833</v>
      </c>
      <c r="J162" s="76">
        <f>+SUM(J$81:J111)/J$79</f>
        <v>0.97546829189877937</v>
      </c>
      <c r="K162" s="76">
        <f>+SUM(K$81:K111)/K$79</f>
        <v>0.92462554569923416</v>
      </c>
      <c r="L162" s="76">
        <f>+SUM(L$81:L111)/L$79</f>
        <v>1</v>
      </c>
      <c r="M162" s="76">
        <f>+SUM(M$81:M111)/M$79</f>
        <v>1</v>
      </c>
      <c r="N162" s="76">
        <f>+SUM(N$81:N111)/N$79</f>
        <v>0.92723795039916768</v>
      </c>
      <c r="O162" s="3">
        <f t="shared" si="13"/>
        <v>31</v>
      </c>
    </row>
    <row r="163" spans="1:15" x14ac:dyDescent="0.2">
      <c r="A163" s="3">
        <v>32</v>
      </c>
      <c r="B163" s="76">
        <f>+SUM(B$81:B112)/B$79</f>
        <v>0.97103476865093585</v>
      </c>
      <c r="C163" s="76">
        <f>+SUM(C$81:C112)/C$79</f>
        <v>0.99019776423283068</v>
      </c>
      <c r="D163" s="76">
        <f>+SUM(D$81:D112)/D$79</f>
        <v>1</v>
      </c>
      <c r="E163" s="76">
        <f>+SUM(E$81:E112)/E$79</f>
        <v>0.98233460296492858</v>
      </c>
      <c r="F163" s="76">
        <f>+SUM(F$81:F112)/F$79</f>
        <v>0.98815504436400037</v>
      </c>
      <c r="G163" s="76">
        <f>+SUM(G$81:G112)/G$79</f>
        <v>0.99999999999999978</v>
      </c>
      <c r="H163" s="76">
        <f>+SUM(H$81:H112)/H$79</f>
        <v>1.0000000000000002</v>
      </c>
      <c r="I163" s="76">
        <f>+SUM(I$81:I112)/I$79</f>
        <v>0.94248886735332893</v>
      </c>
      <c r="J163" s="76">
        <f>+SUM(J$81:J112)/J$79</f>
        <v>0.98045764311772521</v>
      </c>
      <c r="K163" s="76">
        <f>+SUM(K$81:K112)/K$79</f>
        <v>0.93075295985631712</v>
      </c>
      <c r="L163" s="76">
        <f>+SUM(L$81:L112)/L$79</f>
        <v>1</v>
      </c>
      <c r="M163" s="76">
        <f>+SUM(M$81:M112)/M$79</f>
        <v>1</v>
      </c>
      <c r="N163" s="76">
        <f>+SUM(N$81:N112)/N$79</f>
        <v>0.93305554378302158</v>
      </c>
      <c r="O163" s="3">
        <f t="shared" si="13"/>
        <v>32</v>
      </c>
    </row>
    <row r="164" spans="1:15" x14ac:dyDescent="0.2">
      <c r="A164" s="3">
        <v>33</v>
      </c>
      <c r="B164" s="76">
        <f>+SUM(B$81:B113)/B$79</f>
        <v>0.97291260806245239</v>
      </c>
      <c r="C164" s="76">
        <f>+SUM(C$81:C113)/C$79</f>
        <v>0.99118627159214578</v>
      </c>
      <c r="D164" s="76">
        <f>+SUM(D$81:D113)/D$79</f>
        <v>1</v>
      </c>
      <c r="E164" s="76">
        <f>+SUM(E$81:E113)/E$79</f>
        <v>0.98382746534461329</v>
      </c>
      <c r="F164" s="76">
        <f>+SUM(F$81:F113)/F$79</f>
        <v>0.99026850143962408</v>
      </c>
      <c r="G164" s="76">
        <f>+SUM(G$81:G113)/G$79</f>
        <v>0.99999999999999978</v>
      </c>
      <c r="H164" s="76">
        <f>+SUM(H$81:H113)/H$79</f>
        <v>1.0000000000000002</v>
      </c>
      <c r="I164" s="76">
        <f>+SUM(I$81:I113)/I$79</f>
        <v>0.94868273432774874</v>
      </c>
      <c r="J164" s="76">
        <f>+SUM(J$81:J113)/J$79</f>
        <v>0.98357397892972498</v>
      </c>
      <c r="K164" s="76">
        <f>+SUM(K$81:K113)/K$79</f>
        <v>0.93678870284668281</v>
      </c>
      <c r="L164" s="76">
        <f>+SUM(L$81:L113)/L$79</f>
        <v>1</v>
      </c>
      <c r="M164" s="76">
        <f>+SUM(M$81:M113)/M$79</f>
        <v>1</v>
      </c>
      <c r="N164" s="76">
        <f>+SUM(N$81:N113)/N$79</f>
        <v>0.93781895779107216</v>
      </c>
      <c r="O164" s="3">
        <f t="shared" si="13"/>
        <v>33</v>
      </c>
    </row>
    <row r="165" spans="1:15" x14ac:dyDescent="0.2">
      <c r="A165" s="3">
        <v>34</v>
      </c>
      <c r="B165" s="76">
        <f>+SUM(B$81:B114)/B$79</f>
        <v>0.97478011156365907</v>
      </c>
      <c r="C165" s="76">
        <f>+SUM(C$81:C114)/C$79</f>
        <v>0.99215479805946838</v>
      </c>
      <c r="D165" s="76">
        <f>+SUM(D$81:D114)/D$79</f>
        <v>1</v>
      </c>
      <c r="E165" s="76">
        <f>+SUM(E$81:E114)/E$79</f>
        <v>0.98513048510576195</v>
      </c>
      <c r="F165" s="76">
        <f>+SUM(F$81:F114)/F$79</f>
        <v>0.99183647733943303</v>
      </c>
      <c r="G165" s="76">
        <f>+SUM(G$81:G114)/G$79</f>
        <v>0.99999999999999978</v>
      </c>
      <c r="H165" s="76">
        <f>+SUM(H$81:H114)/H$79</f>
        <v>1.0000000000000002</v>
      </c>
      <c r="I165" s="76">
        <f>+SUM(I$81:I114)/I$79</f>
        <v>0.95478285546317976</v>
      </c>
      <c r="J165" s="76">
        <f>+SUM(J$81:J114)/J$79</f>
        <v>0.98643771749683107</v>
      </c>
      <c r="K165" s="76">
        <f>+SUM(K$81:K114)/K$79</f>
        <v>0.94253050696728391</v>
      </c>
      <c r="L165" s="76">
        <f>+SUM(L$81:L114)/L$79</f>
        <v>1</v>
      </c>
      <c r="M165" s="76">
        <f>+SUM(M$81:M114)/M$79</f>
        <v>1</v>
      </c>
      <c r="N165" s="76">
        <f>+SUM(N$81:N114)/N$79</f>
        <v>0.9423951005862321</v>
      </c>
      <c r="O165" s="3">
        <f t="shared" si="13"/>
        <v>34</v>
      </c>
    </row>
    <row r="166" spans="1:15" x14ac:dyDescent="0.2">
      <c r="A166" s="3">
        <v>35</v>
      </c>
      <c r="B166" s="76">
        <f>+SUM(B$81:B115)/B$79</f>
        <v>0.9766038513921127</v>
      </c>
      <c r="C166" s="76">
        <f>+SUM(C$81:C115)/C$79</f>
        <v>0.99311882565148324</v>
      </c>
      <c r="D166" s="76">
        <f>+SUM(D$81:D115)/D$79</f>
        <v>1</v>
      </c>
      <c r="E166" s="76">
        <f>+SUM(E$81:E115)/E$79</f>
        <v>0.9863938497594954</v>
      </c>
      <c r="F166" s="76">
        <f>+SUM(F$81:F115)/F$79</f>
        <v>0.99328038714616973</v>
      </c>
      <c r="G166" s="76">
        <f>+SUM(G$81:G115)/G$79</f>
        <v>0.99999999999999978</v>
      </c>
      <c r="H166" s="76">
        <f>+SUM(H$81:H115)/H$79</f>
        <v>1.0000000000000002</v>
      </c>
      <c r="I166" s="76">
        <f>+SUM(I$81:I115)/I$79</f>
        <v>0.96044150973432729</v>
      </c>
      <c r="J166" s="76">
        <f>+SUM(J$81:J115)/J$79</f>
        <v>0.98924963841169</v>
      </c>
      <c r="K166" s="76">
        <f>+SUM(K$81:K115)/K$79</f>
        <v>0.94763694032620793</v>
      </c>
      <c r="L166" s="76">
        <f>+SUM(L$81:L115)/L$79</f>
        <v>1</v>
      </c>
      <c r="M166" s="76">
        <f>+SUM(M$81:M115)/M$79</f>
        <v>1</v>
      </c>
      <c r="N166" s="76">
        <f>+SUM(N$81:N115)/N$79</f>
        <v>0.94643623534712362</v>
      </c>
      <c r="O166" s="3">
        <f t="shared" si="13"/>
        <v>35</v>
      </c>
    </row>
    <row r="167" spans="1:15" x14ac:dyDescent="0.2">
      <c r="A167" s="3">
        <v>36</v>
      </c>
      <c r="B167" s="76">
        <f>+SUM(B$81:B116)/B$79</f>
        <v>0.97830407900488647</v>
      </c>
      <c r="C167" s="76">
        <f>+SUM(C$81:C116)/C$79</f>
        <v>0.99390633039287601</v>
      </c>
      <c r="D167" s="76">
        <f>+SUM(D$81:D116)/D$79</f>
        <v>1</v>
      </c>
      <c r="E167" s="76">
        <f>+SUM(E$81:E116)/E$79</f>
        <v>0.98759318906101567</v>
      </c>
      <c r="F167" s="76">
        <f>+SUM(F$81:F116)/F$79</f>
        <v>0.9946523660585026</v>
      </c>
      <c r="G167" s="76">
        <f>+SUM(G$81:G116)/G$79</f>
        <v>0.99999999999999978</v>
      </c>
      <c r="H167" s="76">
        <f>+SUM(H$81:H116)/H$79</f>
        <v>1.0000000000000002</v>
      </c>
      <c r="I167" s="76">
        <f>+SUM(I$81:I116)/I$79</f>
        <v>0.96444214409702989</v>
      </c>
      <c r="J167" s="76">
        <f>+SUM(J$81:J116)/J$79</f>
        <v>0.99165616345976193</v>
      </c>
      <c r="K167" s="76">
        <f>+SUM(K$81:K116)/K$79</f>
        <v>0.95254003470965853</v>
      </c>
      <c r="L167" s="76">
        <f>+SUM(L$81:L116)/L$79</f>
        <v>1</v>
      </c>
      <c r="M167" s="76">
        <f>+SUM(M$81:M116)/M$79</f>
        <v>1</v>
      </c>
      <c r="N167" s="76">
        <f>+SUM(N$81:N116)/N$79</f>
        <v>0.95009739496731027</v>
      </c>
      <c r="O167" s="3">
        <f t="shared" si="13"/>
        <v>36</v>
      </c>
    </row>
    <row r="168" spans="1:15" x14ac:dyDescent="0.2">
      <c r="A168" s="3">
        <v>37</v>
      </c>
      <c r="B168" s="76">
        <f>+SUM(B$81:B117)/B$79</f>
        <v>0.97995202767581246</v>
      </c>
      <c r="C168" s="76">
        <f>+SUM(C$81:C117)/C$79</f>
        <v>0.99466002279862165</v>
      </c>
      <c r="D168" s="76">
        <f>+SUM(D$81:D117)/D$79</f>
        <v>1</v>
      </c>
      <c r="E168" s="76">
        <f>+SUM(E$81:E117)/E$79</f>
        <v>0.98862982899091845</v>
      </c>
      <c r="F168" s="76">
        <f>+SUM(F$81:F117)/F$79</f>
        <v>0.99600446421240774</v>
      </c>
      <c r="G168" s="76">
        <f>+SUM(G$81:G117)/G$79</f>
        <v>0.99999999999999978</v>
      </c>
      <c r="H168" s="76">
        <f>+SUM(H$81:H117)/H$79</f>
        <v>1.0000000000000002</v>
      </c>
      <c r="I168" s="76">
        <f>+SUM(I$81:I117)/I$79</f>
        <v>0.96832251380105683</v>
      </c>
      <c r="J168" s="76">
        <f>+SUM(J$81:J117)/J$79</f>
        <v>0.99382636108368783</v>
      </c>
      <c r="K168" s="76">
        <f>+SUM(K$81:K117)/K$79</f>
        <v>0.95741734109748355</v>
      </c>
      <c r="L168" s="76">
        <f>+SUM(L$81:L117)/L$79</f>
        <v>1</v>
      </c>
      <c r="M168" s="76">
        <f>+SUM(M$81:M117)/M$79</f>
        <v>1</v>
      </c>
      <c r="N168" s="76">
        <f>+SUM(N$81:N117)/N$79</f>
        <v>0.95371382150846251</v>
      </c>
      <c r="O168" s="3">
        <f t="shared" si="13"/>
        <v>37</v>
      </c>
    </row>
    <row r="169" spans="1:15" x14ac:dyDescent="0.2">
      <c r="A169" s="3">
        <v>38</v>
      </c>
      <c r="B169" s="76">
        <f>+SUM(B$81:B118)/B$79</f>
        <v>0.9815216552508087</v>
      </c>
      <c r="C169" s="76">
        <f>+SUM(C$81:C118)/C$79</f>
        <v>0.99528583353155298</v>
      </c>
      <c r="D169" s="76">
        <f>+SUM(D$81:D118)/D$79</f>
        <v>1</v>
      </c>
      <c r="E169" s="76">
        <f>+SUM(E$81:E118)/E$79</f>
        <v>0.98948809396781612</v>
      </c>
      <c r="F169" s="76">
        <f>+SUM(F$81:F118)/F$79</f>
        <v>0.99713283258909702</v>
      </c>
      <c r="G169" s="76">
        <f>+SUM(G$81:G118)/G$79</f>
        <v>0.99999999999999978</v>
      </c>
      <c r="H169" s="76">
        <f>+SUM(H$81:H118)/H$79</f>
        <v>1.0000000000000002</v>
      </c>
      <c r="I169" s="76">
        <f>+SUM(I$81:I118)/I$79</f>
        <v>0.97185587689331665</v>
      </c>
      <c r="J169" s="76">
        <f>+SUM(J$81:J118)/J$79</f>
        <v>0.99528942677171306</v>
      </c>
      <c r="K169" s="76">
        <f>+SUM(K$81:K118)/K$79</f>
        <v>0.96186989386911537</v>
      </c>
      <c r="L169" s="76">
        <f>+SUM(L$81:L118)/L$79</f>
        <v>1</v>
      </c>
      <c r="M169" s="76">
        <f>+SUM(M$81:M118)/M$79</f>
        <v>1</v>
      </c>
      <c r="N169" s="76">
        <f>+SUM(N$81:N118)/N$79</f>
        <v>0.95703405178289436</v>
      </c>
      <c r="O169" s="3">
        <f t="shared" si="13"/>
        <v>38</v>
      </c>
    </row>
    <row r="170" spans="1:15" x14ac:dyDescent="0.2">
      <c r="A170" s="3">
        <v>39</v>
      </c>
      <c r="B170" s="76">
        <f>+SUM(B$81:B119)/B$79</f>
        <v>0.98298733818546857</v>
      </c>
      <c r="C170" s="76">
        <f>+SUM(C$81:C119)/C$79</f>
        <v>0.99581992458633251</v>
      </c>
      <c r="D170" s="76">
        <f>+SUM(D$81:D119)/D$79</f>
        <v>1</v>
      </c>
      <c r="E170" s="76">
        <f>+SUM(E$81:E119)/E$79</f>
        <v>0.99028918427088719</v>
      </c>
      <c r="F170" s="76">
        <f>+SUM(F$81:F119)/F$79</f>
        <v>0.99772082355152536</v>
      </c>
      <c r="G170" s="76">
        <f>+SUM(G$81:G119)/G$79</f>
        <v>0.99999999999999978</v>
      </c>
      <c r="H170" s="76">
        <f>+SUM(H$81:H119)/H$79</f>
        <v>1.0000000000000002</v>
      </c>
      <c r="I170" s="76">
        <f>+SUM(I$81:I119)/I$79</f>
        <v>0.97495160235687117</v>
      </c>
      <c r="J170" s="76">
        <f>+SUM(J$81:J119)/J$79</f>
        <v>0.99674605814056894</v>
      </c>
      <c r="K170" s="76">
        <f>+SUM(K$81:K119)/K$79</f>
        <v>0.96551955114479848</v>
      </c>
      <c r="L170" s="76">
        <f>+SUM(L$81:L119)/L$79</f>
        <v>1</v>
      </c>
      <c r="M170" s="76">
        <f>+SUM(M$81:M119)/M$79</f>
        <v>1</v>
      </c>
      <c r="N170" s="76">
        <f>+SUM(N$81:N119)/N$79</f>
        <v>0.96027969838167759</v>
      </c>
      <c r="O170" s="3">
        <f t="shared" si="13"/>
        <v>39</v>
      </c>
    </row>
    <row r="171" spans="1:15" x14ac:dyDescent="0.2">
      <c r="A171" s="3">
        <v>40</v>
      </c>
      <c r="B171" s="76">
        <f>+SUM(B$81:B120)/B$79</f>
        <v>0.98424109968983087</v>
      </c>
      <c r="C171" s="76">
        <f>+SUM(C$81:C120)/C$79</f>
        <v>0.9963224647248905</v>
      </c>
      <c r="D171" s="76">
        <f>+SUM(D$81:D120)/D$79</f>
        <v>1</v>
      </c>
      <c r="E171" s="76">
        <f>+SUM(E$81:E120)/E$79</f>
        <v>0.99107913624119048</v>
      </c>
      <c r="F171" s="76">
        <f>+SUM(F$81:F120)/F$79</f>
        <v>0.99811281752647762</v>
      </c>
      <c r="G171" s="76">
        <f>+SUM(G$81:G120)/G$79</f>
        <v>0.99999999999999978</v>
      </c>
      <c r="H171" s="76">
        <f>+SUM(H$81:H120)/H$79</f>
        <v>1.0000000000000002</v>
      </c>
      <c r="I171" s="76">
        <f>+SUM(I$81:I120)/I$79</f>
        <v>0.97802003281690797</v>
      </c>
      <c r="J171" s="76">
        <f>+SUM(J$81:J120)/J$79</f>
        <v>0.99797881582990511</v>
      </c>
      <c r="K171" s="76">
        <f>+SUM(K$81:K120)/K$79</f>
        <v>0.96879584961835696</v>
      </c>
      <c r="L171" s="76">
        <f>+SUM(L$81:L120)/L$79</f>
        <v>1</v>
      </c>
      <c r="M171" s="76">
        <f>+SUM(M$81:M120)/M$79</f>
        <v>1</v>
      </c>
      <c r="N171" s="76">
        <f>+SUM(N$81:N120)/N$79</f>
        <v>0.9629747052624833</v>
      </c>
      <c r="O171" s="3">
        <f t="shared" si="13"/>
        <v>40</v>
      </c>
    </row>
    <row r="172" spans="1:15" x14ac:dyDescent="0.2">
      <c r="A172" s="3">
        <v>41</v>
      </c>
      <c r="B172" s="76">
        <f>+SUM(B$81:B121)/B$79</f>
        <v>0.98549366484969791</v>
      </c>
      <c r="C172" s="76">
        <f>+SUM(C$81:C121)/C$79</f>
        <v>0.99679523094474431</v>
      </c>
      <c r="D172" s="76">
        <f>+SUM(D$81:D121)/D$79</f>
        <v>1</v>
      </c>
      <c r="E172" s="76">
        <f>+SUM(E$81:E121)/E$79</f>
        <v>0.99185383663654669</v>
      </c>
      <c r="F172" s="76">
        <f>+SUM(F$81:F121)/F$79</f>
        <v>0.99845926180154043</v>
      </c>
      <c r="G172" s="76">
        <f>+SUM(G$81:G121)/G$79</f>
        <v>0.99999999999999978</v>
      </c>
      <c r="H172" s="76">
        <f>+SUM(H$81:H121)/H$79</f>
        <v>1.0000000000000002</v>
      </c>
      <c r="I172" s="76">
        <f>+SUM(I$81:I121)/I$79</f>
        <v>0.98065287476541418</v>
      </c>
      <c r="J172" s="76">
        <f>+SUM(J$81:J121)/J$79</f>
        <v>0.99906740155040241</v>
      </c>
      <c r="K172" s="76">
        <f>+SUM(K$81:K121)/K$79</f>
        <v>0.97200431468973392</v>
      </c>
      <c r="L172" s="76">
        <f>+SUM(L$81:L121)/L$79</f>
        <v>1</v>
      </c>
      <c r="M172" s="76">
        <f>+SUM(M$81:M121)/M$79</f>
        <v>1</v>
      </c>
      <c r="N172" s="76">
        <f>+SUM(N$81:N121)/N$79</f>
        <v>0.96564075257912252</v>
      </c>
      <c r="O172" s="3">
        <f t="shared" si="13"/>
        <v>41</v>
      </c>
    </row>
    <row r="173" spans="1:15" x14ac:dyDescent="0.2">
      <c r="A173" s="3">
        <v>42</v>
      </c>
      <c r="B173" s="76">
        <f>+SUM(B$81:B122)/B$79</f>
        <v>0.98664079545620065</v>
      </c>
      <c r="C173" s="76">
        <f>+SUM(C$81:C122)/C$79</f>
        <v>0.9972326841960355</v>
      </c>
      <c r="D173" s="76">
        <f>+SUM(D$81:D122)/D$79</f>
        <v>1</v>
      </c>
      <c r="E173" s="76">
        <f>+SUM(E$81:E122)/E$79</f>
        <v>0.99258682808791809</v>
      </c>
      <c r="F173" s="76">
        <f>+SUM(F$81:F122)/F$79</f>
        <v>0.99875157170866236</v>
      </c>
      <c r="G173" s="76">
        <f>+SUM(G$81:G122)/G$79</f>
        <v>0.99999999999999978</v>
      </c>
      <c r="H173" s="76">
        <f>+SUM(H$81:H122)/H$79</f>
        <v>1.0000000000000002</v>
      </c>
      <c r="I173" s="76">
        <f>+SUM(I$81:I122)/I$79</f>
        <v>0.98300914327634992</v>
      </c>
      <c r="J173" s="76">
        <f>+SUM(J$81:J122)/J$79</f>
        <v>0.999775199921073</v>
      </c>
      <c r="K173" s="76">
        <f>+SUM(K$81:K122)/K$79</f>
        <v>0.97516244907211169</v>
      </c>
      <c r="L173" s="76">
        <f>+SUM(L$81:L122)/L$79</f>
        <v>1</v>
      </c>
      <c r="M173" s="76">
        <f>+SUM(M$81:M122)/M$79</f>
        <v>1</v>
      </c>
      <c r="N173" s="76">
        <f>+SUM(N$81:N122)/N$79</f>
        <v>0.96830166803089535</v>
      </c>
      <c r="O173" s="3">
        <f t="shared" si="13"/>
        <v>42</v>
      </c>
    </row>
    <row r="174" spans="1:15" x14ac:dyDescent="0.2">
      <c r="A174" s="3">
        <v>43</v>
      </c>
      <c r="B174" s="76">
        <f>+SUM(B$81:B123)/B$79</f>
        <v>0.98775185796508691</v>
      </c>
      <c r="C174" s="76">
        <f>+SUM(C$81:C123)/C$79</f>
        <v>0.99762048442569951</v>
      </c>
      <c r="D174" s="76">
        <f>+SUM(D$81:D123)/D$79</f>
        <v>1</v>
      </c>
      <c r="E174" s="76">
        <f>+SUM(E$81:E123)/E$79</f>
        <v>0.99331048684111267</v>
      </c>
      <c r="F174" s="76">
        <f>+SUM(F$81:F123)/F$79</f>
        <v>0.99900699498274126</v>
      </c>
      <c r="G174" s="76">
        <f>+SUM(G$81:G123)/G$79</f>
        <v>0.99999999999999978</v>
      </c>
      <c r="H174" s="76">
        <f>+SUM(H$81:H123)/H$79</f>
        <v>1.0000000000000002</v>
      </c>
      <c r="I174" s="76">
        <f>+SUM(I$81:I123)/I$79</f>
        <v>0.98498175131700139</v>
      </c>
      <c r="J174" s="76">
        <f>+SUM(J$81:J123)/J$79</f>
        <v>0.99999427779732297</v>
      </c>
      <c r="K174" s="76">
        <f>+SUM(K$81:K123)/K$79</f>
        <v>0.97826842437190054</v>
      </c>
      <c r="L174" s="76">
        <f>+SUM(L$81:L123)/L$79</f>
        <v>1</v>
      </c>
      <c r="M174" s="76">
        <f>+SUM(M$81:M123)/M$79</f>
        <v>1</v>
      </c>
      <c r="N174" s="76">
        <f>+SUM(N$81:N123)/N$79</f>
        <v>0.97083655113569134</v>
      </c>
      <c r="O174" s="3">
        <f t="shared" si="13"/>
        <v>43</v>
      </c>
    </row>
    <row r="175" spans="1:15" x14ac:dyDescent="0.2">
      <c r="A175" s="3">
        <v>44</v>
      </c>
      <c r="B175" s="76">
        <f>+SUM(B$81:B124)/B$79</f>
        <v>0.98881374054540694</v>
      </c>
      <c r="C175" s="76">
        <f>+SUM(C$81:C124)/C$79</f>
        <v>0.99798370522659807</v>
      </c>
      <c r="D175" s="76">
        <f>+SUM(D$81:D124)/D$79</f>
        <v>1</v>
      </c>
      <c r="E175" s="76">
        <f>+SUM(E$81:E124)/E$79</f>
        <v>0.9940114974485027</v>
      </c>
      <c r="F175" s="76">
        <f>+SUM(F$81:F124)/F$79</f>
        <v>0.99925003124721168</v>
      </c>
      <c r="G175" s="76">
        <f>+SUM(G$81:G124)/G$79</f>
        <v>0.99999999999999978</v>
      </c>
      <c r="H175" s="76">
        <f>+SUM(H$81:H124)/H$79</f>
        <v>1.0000000000000002</v>
      </c>
      <c r="I175" s="76">
        <f>+SUM(I$81:I124)/I$79</f>
        <v>0.98692632258726376</v>
      </c>
      <c r="J175" s="76">
        <f>+SUM(J$81:J124)/J$79</f>
        <v>1.0000000000000002</v>
      </c>
      <c r="K175" s="76">
        <f>+SUM(K$81:K124)/K$79</f>
        <v>0.98085789510433152</v>
      </c>
      <c r="L175" s="76">
        <f>+SUM(L$81:L124)/L$79</f>
        <v>1</v>
      </c>
      <c r="M175" s="76">
        <f>+SUM(M$81:M124)/M$79</f>
        <v>1</v>
      </c>
      <c r="N175" s="76">
        <f>+SUM(N$81:N124)/N$79</f>
        <v>0.97306237062457479</v>
      </c>
      <c r="O175" s="3">
        <f t="shared" si="13"/>
        <v>44</v>
      </c>
    </row>
    <row r="176" spans="1:15" x14ac:dyDescent="0.2">
      <c r="A176" s="3">
        <v>45</v>
      </c>
      <c r="B176" s="76">
        <f>+SUM(B$81:B125)/B$79</f>
        <v>0.98979225747959654</v>
      </c>
      <c r="C176" s="76">
        <f>+SUM(C$81:C125)/C$79</f>
        <v>0.99830908311344868</v>
      </c>
      <c r="D176" s="76">
        <f>+SUM(D$81:D125)/D$79</f>
        <v>1</v>
      </c>
      <c r="E176" s="76">
        <f>+SUM(E$81:E125)/E$79</f>
        <v>0.99469884568239819</v>
      </c>
      <c r="F176" s="76">
        <f>+SUM(F$81:F125)/F$79</f>
        <v>0.99948522763218295</v>
      </c>
      <c r="G176" s="76">
        <f>+SUM(G$81:G125)/G$79</f>
        <v>0.99999999999999978</v>
      </c>
      <c r="H176" s="76">
        <f>+SUM(H$81:H125)/H$79</f>
        <v>1.0000000000000002</v>
      </c>
      <c r="I176" s="76">
        <f>+SUM(I$81:I125)/I$79</f>
        <v>0.9886808027398406</v>
      </c>
      <c r="J176" s="76">
        <f>+SUM(J$81:J125)/J$79</f>
        <v>1.0000000000000002</v>
      </c>
      <c r="K176" s="76">
        <f>+SUM(K$81:K125)/K$79</f>
        <v>0.98300655992215646</v>
      </c>
      <c r="L176" s="76">
        <f>+SUM(L$81:L125)/L$79</f>
        <v>1</v>
      </c>
      <c r="M176" s="76">
        <f>+SUM(M$81:M125)/M$79</f>
        <v>1</v>
      </c>
      <c r="N176" s="76">
        <f>+SUM(N$81:N125)/N$79</f>
        <v>0.97528087104412198</v>
      </c>
      <c r="O176" s="3">
        <f t="shared" si="13"/>
        <v>45</v>
      </c>
    </row>
    <row r="177" spans="1:15" x14ac:dyDescent="0.2">
      <c r="A177" s="3">
        <v>46</v>
      </c>
      <c r="B177" s="76">
        <f>+SUM(B$81:B126)/B$79</f>
        <v>0.99066555380112653</v>
      </c>
      <c r="C177" s="76">
        <f>+SUM(C$81:C126)/C$79</f>
        <v>0.99856825891243528</v>
      </c>
      <c r="D177" s="76">
        <f>+SUM(D$81:D126)/D$79</f>
        <v>1</v>
      </c>
      <c r="E177" s="76">
        <f>+SUM(E$81:E126)/E$79</f>
        <v>0.99537437021192166</v>
      </c>
      <c r="F177" s="76">
        <f>+SUM(F$81:F126)/F$79</f>
        <v>0.99970474425815625</v>
      </c>
      <c r="G177" s="76">
        <f>+SUM(G$81:G126)/G$79</f>
        <v>0.99999999999999978</v>
      </c>
      <c r="H177" s="76">
        <f>+SUM(H$81:H126)/H$79</f>
        <v>1.0000000000000002</v>
      </c>
      <c r="I177" s="76">
        <f>+SUM(I$81:I126)/I$79</f>
        <v>0.99042048441369523</v>
      </c>
      <c r="J177" s="76">
        <f>+SUM(J$81:J126)/J$79</f>
        <v>1.0000000000000002</v>
      </c>
      <c r="K177" s="76">
        <f>+SUM(K$81:K126)/K$79</f>
        <v>0.98511924477983337</v>
      </c>
      <c r="L177" s="76">
        <f>+SUM(L$81:L126)/L$79</f>
        <v>1</v>
      </c>
      <c r="M177" s="76">
        <f>+SUM(M$81:M126)/M$79</f>
        <v>1</v>
      </c>
      <c r="N177" s="76">
        <f>+SUM(N$81:N126)/N$79</f>
        <v>0.97746952810399801</v>
      </c>
      <c r="O177" s="3">
        <f t="shared" si="13"/>
        <v>46</v>
      </c>
    </row>
    <row r="178" spans="1:15" x14ac:dyDescent="0.2">
      <c r="A178" s="3">
        <v>47</v>
      </c>
      <c r="B178" s="76">
        <f>+SUM(B$81:B127)/B$79</f>
        <v>0.99146476802690753</v>
      </c>
      <c r="C178" s="76">
        <f>+SUM(C$81:C127)/C$79</f>
        <v>0.99881071622069451</v>
      </c>
      <c r="D178" s="76">
        <f>+SUM(D$81:D127)/D$79</f>
        <v>1</v>
      </c>
      <c r="E178" s="76">
        <f>+SUM(E$81:E127)/E$79</f>
        <v>0.99600077707597023</v>
      </c>
      <c r="F178" s="76">
        <f>+SUM(F$81:F127)/F$79</f>
        <v>0.99990074124563233</v>
      </c>
      <c r="G178" s="76">
        <f>+SUM(G$81:G127)/G$79</f>
        <v>0.99999999999999978</v>
      </c>
      <c r="H178" s="76">
        <f>+SUM(H$81:H127)/H$79</f>
        <v>1.0000000000000002</v>
      </c>
      <c r="I178" s="76">
        <f>+SUM(I$81:I127)/I$79</f>
        <v>0.99214379375963446</v>
      </c>
      <c r="J178" s="76">
        <f>+SUM(J$81:J127)/J$79</f>
        <v>1.0000000000000002</v>
      </c>
      <c r="K178" s="76">
        <f>+SUM(K$81:K127)/K$79</f>
        <v>0.98717051954822743</v>
      </c>
      <c r="L178" s="76">
        <f>+SUM(L$81:L127)/L$79</f>
        <v>1</v>
      </c>
      <c r="M178" s="76">
        <f>+SUM(M$81:M127)/M$79</f>
        <v>1</v>
      </c>
      <c r="N178" s="76">
        <f>+SUM(N$81:N127)/N$79</f>
        <v>0.97965308494447934</v>
      </c>
      <c r="O178" s="3">
        <f t="shared" si="13"/>
        <v>47</v>
      </c>
    </row>
    <row r="179" spans="1:15" x14ac:dyDescent="0.2">
      <c r="A179" s="3">
        <v>48</v>
      </c>
      <c r="B179" s="76">
        <f>+SUM(B$81:B128)/B$79</f>
        <v>0.99224480521730241</v>
      </c>
      <c r="C179" s="76">
        <f>+SUM(C$81:C128)/C$79</f>
        <v>0.99898098716203454</v>
      </c>
      <c r="D179" s="76">
        <f>+SUM(D$81:D128)/D$79</f>
        <v>1</v>
      </c>
      <c r="E179" s="76">
        <f>+SUM(E$81:E128)/E$79</f>
        <v>0.99657877417544605</v>
      </c>
      <c r="F179" s="76">
        <f>+SUM(F$81:F128)/F$79</f>
        <v>0.9999664002364369</v>
      </c>
      <c r="G179" s="76">
        <f>+SUM(G$81:G128)/G$79</f>
        <v>0.99999999999999978</v>
      </c>
      <c r="H179" s="76">
        <f>+SUM(H$81:H128)/H$79</f>
        <v>1.0000000000000002</v>
      </c>
      <c r="I179" s="76">
        <f>+SUM(I$81:I128)/I$79</f>
        <v>0.99377925195576589</v>
      </c>
      <c r="J179" s="76">
        <f>+SUM(J$81:J128)/J$79</f>
        <v>1.0000000000000002</v>
      </c>
      <c r="K179" s="76">
        <f>+SUM(K$81:K128)/K$79</f>
        <v>0.98921220356115491</v>
      </c>
      <c r="L179" s="76">
        <f>+SUM(L$81:L128)/L$79</f>
        <v>1</v>
      </c>
      <c r="M179" s="76">
        <f>+SUM(M$81:M128)/M$79</f>
        <v>1</v>
      </c>
      <c r="N179" s="76">
        <f>+SUM(N$81:N128)/N$79</f>
        <v>0.98182967559736301</v>
      </c>
      <c r="O179" s="3">
        <f t="shared" si="13"/>
        <v>48</v>
      </c>
    </row>
    <row r="180" spans="1:15" x14ac:dyDescent="0.2">
      <c r="A180" s="3">
        <v>49</v>
      </c>
      <c r="B180" s="76">
        <f>+SUM(B$81:B129)/B$79</f>
        <v>0.99298499616959257</v>
      </c>
      <c r="C180" s="76">
        <f>+SUM(C$81:C129)/C$79</f>
        <v>0.99914559027746574</v>
      </c>
      <c r="D180" s="76">
        <f>+SUM(D$81:D129)/D$79</f>
        <v>1</v>
      </c>
      <c r="E180" s="76">
        <f>+SUM(E$81:E129)/E$79</f>
        <v>0.99713693043146001</v>
      </c>
      <c r="F180" s="76">
        <f>+SUM(F$81:F129)/F$79</f>
        <v>0.99999999999999989</v>
      </c>
      <c r="G180" s="76">
        <f>+SUM(G$81:G129)/G$79</f>
        <v>0.99999999999999978</v>
      </c>
      <c r="H180" s="76">
        <f>+SUM(H$81:H129)/H$79</f>
        <v>1.0000000000000002</v>
      </c>
      <c r="I180" s="76">
        <f>+SUM(I$81:I129)/I$79</f>
        <v>0.99501259899373495</v>
      </c>
      <c r="J180" s="76">
        <f>+SUM(J$81:J129)/J$79</f>
        <v>1.0000000000000002</v>
      </c>
      <c r="K180" s="76">
        <f>+SUM(K$81:K129)/K$79</f>
        <v>0.99115521399235151</v>
      </c>
      <c r="L180" s="76">
        <f>+SUM(L$81:L129)/L$79</f>
        <v>1</v>
      </c>
      <c r="M180" s="76">
        <f>+SUM(M$81:M129)/M$79</f>
        <v>1</v>
      </c>
      <c r="N180" s="76">
        <f>+SUM(N$81:N129)/N$79</f>
        <v>0.98371399505584689</v>
      </c>
      <c r="O180" s="3">
        <f t="shared" si="13"/>
        <v>49</v>
      </c>
    </row>
    <row r="181" spans="1:15" x14ac:dyDescent="0.2">
      <c r="A181" s="3">
        <v>50</v>
      </c>
      <c r="B181" s="76">
        <f>+SUM(B$81:B130)/B$79</f>
        <v>0.99372388060737837</v>
      </c>
      <c r="C181" s="76">
        <f>+SUM(C$81:C130)/C$79</f>
        <v>0.99930219304078693</v>
      </c>
      <c r="D181" s="76">
        <f>+SUM(D$81:D130)/D$79</f>
        <v>1</v>
      </c>
      <c r="E181" s="76">
        <f>+SUM(E$81:E130)/E$79</f>
        <v>0.99756615480906596</v>
      </c>
      <c r="F181" s="76">
        <f>+SUM(F$81:F130)/F$79</f>
        <v>0.99999999999999989</v>
      </c>
      <c r="G181" s="76">
        <f>+SUM(G$81:G130)/G$79</f>
        <v>0.99999999999999978</v>
      </c>
      <c r="H181" s="76">
        <f>+SUM(H$81:H130)/H$79</f>
        <v>1.0000000000000002</v>
      </c>
      <c r="I181" s="76">
        <f>+SUM(I$81:I130)/I$79</f>
        <v>0.99610557000871169</v>
      </c>
      <c r="J181" s="76">
        <f>+SUM(J$81:J130)/J$79</f>
        <v>1.0000000000000002</v>
      </c>
      <c r="K181" s="76">
        <f>+SUM(K$81:K130)/K$79</f>
        <v>0.99296506135487994</v>
      </c>
      <c r="L181" s="76">
        <f>+SUM(L$81:L130)/L$79</f>
        <v>1</v>
      </c>
      <c r="M181" s="76">
        <f>+SUM(M$81:M130)/M$79</f>
        <v>1</v>
      </c>
      <c r="N181" s="76">
        <f>+SUM(N$81:N130)/N$79</f>
        <v>0.98558463368751936</v>
      </c>
      <c r="O181" s="3">
        <f t="shared" si="13"/>
        <v>50</v>
      </c>
    </row>
  </sheetData>
  <dataConsolidate>
    <dataRefs count="1">
      <dataRef ref="B4:AP95" sheet="Fondos2014"/>
    </dataRefs>
  </dataConsolidate>
  <phoneticPr fontId="0" type="noConversion"/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workbookViewId="0">
      <selection activeCell="A18" sqref="A18"/>
    </sheetView>
  </sheetViews>
  <sheetFormatPr baseColWidth="10" defaultColWidth="11.42578125" defaultRowHeight="14.25" x14ac:dyDescent="0.2"/>
  <cols>
    <col min="1" max="1" width="39.42578125" style="3" customWidth="1"/>
    <col min="2" max="2" width="15.7109375" style="11" customWidth="1"/>
    <col min="3" max="3" width="14.85546875" style="13" customWidth="1"/>
    <col min="4" max="4" width="14.42578125" style="13" bestFit="1" customWidth="1"/>
    <col min="5" max="5" width="14.28515625" style="13" bestFit="1" customWidth="1"/>
    <col min="6" max="6" width="14.42578125" style="13" customWidth="1"/>
    <col min="7" max="8" width="13" style="13" bestFit="1" customWidth="1"/>
    <col min="9" max="9" width="14.28515625" style="11" bestFit="1" customWidth="1"/>
    <col min="10" max="10" width="13" style="13" bestFit="1" customWidth="1"/>
    <col min="11" max="11" width="13.85546875" style="13" customWidth="1"/>
    <col min="12" max="12" width="13" style="13" bestFit="1" customWidth="1"/>
    <col min="13" max="13" width="11.7109375" style="13" customWidth="1"/>
    <col min="14" max="14" width="12.42578125" style="74" bestFit="1" customWidth="1"/>
    <col min="15" max="16384" width="11.42578125" style="3"/>
  </cols>
  <sheetData>
    <row r="1" spans="1:18" ht="51" x14ac:dyDescent="0.2">
      <c r="A1" s="63" t="s">
        <v>249</v>
      </c>
      <c r="B1" s="64" t="s">
        <v>250</v>
      </c>
      <c r="C1" s="65" t="s">
        <v>251</v>
      </c>
      <c r="D1" s="65" t="s">
        <v>252</v>
      </c>
      <c r="E1" s="65" t="s">
        <v>253</v>
      </c>
      <c r="F1" s="65" t="s">
        <v>254</v>
      </c>
      <c r="G1" s="65" t="s">
        <v>216</v>
      </c>
      <c r="H1" s="65" t="s">
        <v>218</v>
      </c>
      <c r="I1" s="64" t="s">
        <v>255</v>
      </c>
      <c r="J1" s="65" t="s">
        <v>256</v>
      </c>
      <c r="K1" s="65" t="s">
        <v>257</v>
      </c>
      <c r="L1" s="65" t="s">
        <v>258</v>
      </c>
      <c r="M1" s="66" t="s">
        <v>259</v>
      </c>
      <c r="N1" s="67" t="s">
        <v>177</v>
      </c>
    </row>
    <row r="2" spans="1:18" ht="12.75" x14ac:dyDescent="0.2">
      <c r="A2" s="18" t="s">
        <v>58</v>
      </c>
      <c r="B2" s="68">
        <f t="shared" ref="B2:B65" si="0">SUM(C2:H2)</f>
        <v>13410507</v>
      </c>
      <c r="C2" s="69">
        <f>+VLOOKUP($A2,Fondos2015!$B$8:$AS$83,3,FALSE)</f>
        <v>7872111</v>
      </c>
      <c r="D2" s="69">
        <f>+VLOOKUP($A2,Fondos2015!$B$8:$AS$83,4,FALSE)</f>
        <v>0</v>
      </c>
      <c r="E2" s="69">
        <f>+VLOOKUP($A2,Fondos2015!$B$8:$AS$83,11,FALSE)</f>
        <v>2629702</v>
      </c>
      <c r="F2" s="69">
        <f>+VLOOKUP($A2,Fondos2015!$B$8:$AS$83,15,FALSE)</f>
        <v>2908694</v>
      </c>
      <c r="G2" s="69">
        <f>+VLOOKUP($A2,Fondos2015!$B$8:$AS$83,20,FALSE)</f>
        <v>0</v>
      </c>
      <c r="H2" s="69">
        <f>+VLOOKUP($A2,Fondos2015!$B$8:$AS$83,23,FALSE)</f>
        <v>0</v>
      </c>
      <c r="I2" s="68">
        <f t="shared" ref="I2:I65" si="1">SUM(J2:M2)</f>
        <v>77606219</v>
      </c>
      <c r="J2" s="69">
        <f>+VLOOKUP($A2,Fondos2015!$B$8:$BE$83,30,FALSE)</f>
        <v>9996633</v>
      </c>
      <c r="K2" s="69">
        <f>+VLOOKUP($A2,Fondos2015!$B$8:$BE$84,35,FALSE)</f>
        <v>0</v>
      </c>
      <c r="L2" s="69">
        <f>+VLOOKUP($A2,Fondos2015!$B$8:$BE$84,40,FALSE)</f>
        <v>67609586</v>
      </c>
      <c r="M2" s="69">
        <f>+VLOOKUP($A2,Fondos2015!$B$8:$BE$84,41,FALSE)</f>
        <v>0</v>
      </c>
      <c r="N2" s="68">
        <f>+B2+I2</f>
        <v>91016726</v>
      </c>
      <c r="O2" s="13" t="str">
        <f t="shared" ref="O2:O65" si="2">+A2</f>
        <v>Accion Contra el Hambre</v>
      </c>
      <c r="P2" s="13"/>
      <c r="R2" s="13"/>
    </row>
    <row r="3" spans="1:18" ht="12.75" x14ac:dyDescent="0.2">
      <c r="A3" s="18" t="s">
        <v>59</v>
      </c>
      <c r="B3" s="68">
        <f t="shared" si="0"/>
        <v>596990.89</v>
      </c>
      <c r="C3" s="69">
        <f>+VLOOKUP($A3,Fondos2015!$B$8:$AS$83,3,FALSE)</f>
        <v>89507.86</v>
      </c>
      <c r="D3" s="69">
        <f>+VLOOKUP($A3,Fondos2015!$B$8:$AS$83,4,FALSE)</f>
        <v>21509.35</v>
      </c>
      <c r="E3" s="69">
        <f>+VLOOKUP($A3,Fondos2015!$B$8:$AS$83,11,FALSE)</f>
        <v>485973.68000000005</v>
      </c>
      <c r="F3" s="69">
        <f>+VLOOKUP($A3,Fondos2015!$B$8:$AS$83,15,FALSE)</f>
        <v>0</v>
      </c>
      <c r="G3" s="69">
        <f>+VLOOKUP($A3,Fondos2015!$B$8:$AS$83,20,FALSE)</f>
        <v>0</v>
      </c>
      <c r="H3" s="69">
        <f>+VLOOKUP($A3,Fondos2015!$B$8:$AS$83,23,FALSE)</f>
        <v>0</v>
      </c>
      <c r="I3" s="68">
        <f t="shared" si="1"/>
        <v>49584</v>
      </c>
      <c r="J3" s="69">
        <f>+VLOOKUP($A3,Fondos2015!$B$8:$BE$83,30,FALSE)</f>
        <v>0</v>
      </c>
      <c r="K3" s="69">
        <f>+VLOOKUP($A3,Fondos2015!$B$8:$BE$84,35,FALSE)</f>
        <v>49584</v>
      </c>
      <c r="L3" s="69">
        <f>+VLOOKUP($A3,Fondos2015!$B$8:$BE$84,40,FALSE)</f>
        <v>0</v>
      </c>
      <c r="M3" s="69">
        <f>+VLOOKUP($A3,Fondos2015!$B$8:$BE$84,41,FALSE)</f>
        <v>0</v>
      </c>
      <c r="N3" s="68">
        <f t="shared" ref="N3:N67" si="3">+B3+I3</f>
        <v>646574.89</v>
      </c>
      <c r="O3" s="13" t="str">
        <f t="shared" si="2"/>
        <v>Accion Verapaz</v>
      </c>
    </row>
    <row r="4" spans="1:18" ht="12.75" x14ac:dyDescent="0.2">
      <c r="A4" s="18" t="s">
        <v>60</v>
      </c>
      <c r="B4" s="68">
        <f t="shared" si="0"/>
        <v>198516.27</v>
      </c>
      <c r="C4" s="69">
        <f>+VLOOKUP($A4,Fondos2015!$B$8:$AS$83,3,FALSE)</f>
        <v>146880.51999999999</v>
      </c>
      <c r="D4" s="69">
        <f>+VLOOKUP($A4,Fondos2015!$B$8:$AS$83,4,FALSE)</f>
        <v>0</v>
      </c>
      <c r="E4" s="69">
        <f>+VLOOKUP($A4,Fondos2015!$B$8:$AS$83,11,FALSE)</f>
        <v>51635.75</v>
      </c>
      <c r="F4" s="69">
        <f>+VLOOKUP($A4,Fondos2015!$B$8:$AS$83,15,FALSE)</f>
        <v>0</v>
      </c>
      <c r="G4" s="69">
        <f>+VLOOKUP($A4,Fondos2015!$B$8:$AS$83,20,FALSE)</f>
        <v>0</v>
      </c>
      <c r="H4" s="69">
        <f>+VLOOKUP($A4,Fondos2015!$B$8:$AS$83,23,FALSE)</f>
        <v>0</v>
      </c>
      <c r="I4" s="68">
        <f t="shared" si="1"/>
        <v>9957</v>
      </c>
      <c r="J4" s="69">
        <f>+VLOOKUP($A4,Fondos2015!$B$8:$BE$83,30,FALSE)</f>
        <v>0</v>
      </c>
      <c r="K4" s="69">
        <f>+VLOOKUP($A4,Fondos2015!$B$8:$BE$84,35,FALSE)</f>
        <v>9957</v>
      </c>
      <c r="L4" s="69">
        <f>+VLOOKUP($A4,Fondos2015!$B$8:$BE$84,40,FALSE)</f>
        <v>0</v>
      </c>
      <c r="M4" s="69">
        <f>+VLOOKUP($A4,Fondos2015!$B$8:$BE$84,41,FALSE)</f>
        <v>0</v>
      </c>
      <c r="N4" s="68">
        <f t="shared" si="3"/>
        <v>208473.27</v>
      </c>
      <c r="O4" s="13" t="str">
        <f t="shared" si="2"/>
        <v>ADRA</v>
      </c>
    </row>
    <row r="5" spans="1:18" ht="12.75" x14ac:dyDescent="0.2">
      <c r="A5" s="18" t="s">
        <v>61</v>
      </c>
      <c r="B5" s="68">
        <f t="shared" si="0"/>
        <v>235558.06999999998</v>
      </c>
      <c r="C5" s="69">
        <f>+VLOOKUP($A5,Fondos2015!$B$8:$AS$83,3,FALSE)</f>
        <v>37803.24</v>
      </c>
      <c r="D5" s="69">
        <f>+VLOOKUP($A5,Fondos2015!$B$8:$AS$83,4,FALSE)</f>
        <v>0</v>
      </c>
      <c r="E5" s="69">
        <f>+VLOOKUP($A5,Fondos2015!$B$8:$AS$83,11,FALSE)</f>
        <v>57917.25</v>
      </c>
      <c r="F5" s="69">
        <f>+VLOOKUP($A5,Fondos2015!$B$8:$AS$83,15,FALSE)</f>
        <v>0</v>
      </c>
      <c r="G5" s="69">
        <f>+VLOOKUP($A5,Fondos2015!$B$8:$AS$83,20,FALSE)</f>
        <v>139837.57999999999</v>
      </c>
      <c r="H5" s="69">
        <f>+VLOOKUP($A5,Fondos2015!$B$8:$AS$83,23,FALSE)</f>
        <v>0</v>
      </c>
      <c r="I5" s="68">
        <f t="shared" si="1"/>
        <v>920059</v>
      </c>
      <c r="J5" s="69">
        <f>+VLOOKUP($A5,Fondos2015!$B$8:$BE$83,30,FALSE)</f>
        <v>577059</v>
      </c>
      <c r="K5" s="69">
        <f>+VLOOKUP($A5,Fondos2015!$B$8:$BE$84,35,FALSE)</f>
        <v>343000</v>
      </c>
      <c r="L5" s="69">
        <f>+VLOOKUP($A5,Fondos2015!$B$8:$BE$84,40,FALSE)</f>
        <v>0</v>
      </c>
      <c r="M5" s="69">
        <f>+VLOOKUP($A5,Fondos2015!$B$8:$BE$84,41,FALSE)</f>
        <v>0</v>
      </c>
      <c r="N5" s="68">
        <f t="shared" si="3"/>
        <v>1155617.07</v>
      </c>
      <c r="O5" s="13" t="str">
        <f t="shared" si="2"/>
        <v>AIDA</v>
      </c>
    </row>
    <row r="6" spans="1:18" ht="12.75" x14ac:dyDescent="0.2">
      <c r="A6" s="18" t="s">
        <v>62</v>
      </c>
      <c r="B6" s="68">
        <f t="shared" si="0"/>
        <v>22820.670000000002</v>
      </c>
      <c r="C6" s="69">
        <f>+VLOOKUP($A6,Fondos2015!$B$8:$AS$83,3,FALSE)</f>
        <v>0</v>
      </c>
      <c r="D6" s="69">
        <f>+VLOOKUP($A6,Fondos2015!$B$8:$AS$83,4,FALSE)</f>
        <v>0</v>
      </c>
      <c r="E6" s="69">
        <f>+VLOOKUP($A6,Fondos2015!$B$8:$AS$83,11,FALSE)</f>
        <v>7412.88</v>
      </c>
      <c r="F6" s="69">
        <f>+VLOOKUP($A6,Fondos2015!$B$8:$AS$83,15,FALSE)</f>
        <v>0</v>
      </c>
      <c r="G6" s="69">
        <f>+VLOOKUP($A6,Fondos2015!$B$8:$AS$83,20,FALSE)</f>
        <v>0</v>
      </c>
      <c r="H6" s="69">
        <f>+VLOOKUP($A6,Fondos2015!$B$8:$AS$83,23,FALSE)</f>
        <v>15407.79</v>
      </c>
      <c r="I6" s="68">
        <f t="shared" si="1"/>
        <v>540723</v>
      </c>
      <c r="J6" s="69">
        <f>+VLOOKUP($A6,Fondos2015!$B$8:$BE$83,30,FALSE)</f>
        <v>0</v>
      </c>
      <c r="K6" s="69">
        <f>+VLOOKUP($A6,Fondos2015!$B$8:$BE$84,35,FALSE)</f>
        <v>540723</v>
      </c>
      <c r="L6" s="69">
        <f>+VLOOKUP($A6,Fondos2015!$B$8:$BE$84,40,FALSE)</f>
        <v>0</v>
      </c>
      <c r="M6" s="69">
        <f>+VLOOKUP($A6,Fondos2015!$B$8:$BE$84,41,FALSE)</f>
        <v>0</v>
      </c>
      <c r="N6" s="68">
        <f t="shared" si="3"/>
        <v>563543.67000000004</v>
      </c>
      <c r="O6" s="13" t="str">
        <f t="shared" si="2"/>
        <v>AIETI</v>
      </c>
    </row>
    <row r="7" spans="1:18" ht="12.75" x14ac:dyDescent="0.2">
      <c r="A7" s="18" t="s">
        <v>63</v>
      </c>
      <c r="B7" s="68">
        <f t="shared" si="0"/>
        <v>3952288.33</v>
      </c>
      <c r="C7" s="69">
        <f>+VLOOKUP($A7,Fondos2015!$B$8:$AS$83,3,FALSE)</f>
        <v>712051.39</v>
      </c>
      <c r="D7" s="69">
        <f>+VLOOKUP($A7,Fondos2015!$B$8:$AS$83,4,FALSE)</f>
        <v>61512.11</v>
      </c>
      <c r="E7" s="69">
        <f>+VLOOKUP($A7,Fondos2015!$B$8:$AS$83,11,FALSE)</f>
        <v>3089688.37</v>
      </c>
      <c r="F7" s="69">
        <f>+VLOOKUP($A7,Fondos2015!$B$8:$AS$83,15,FALSE)</f>
        <v>38283</v>
      </c>
      <c r="G7" s="69">
        <f>+VLOOKUP($A7,Fondos2015!$B$8:$AS$83,20,FALSE)</f>
        <v>6465</v>
      </c>
      <c r="H7" s="69">
        <f>+VLOOKUP($A7,Fondos2015!$B$8:$AS$83,23,FALSE)</f>
        <v>44288.46</v>
      </c>
      <c r="I7" s="68">
        <f t="shared" si="1"/>
        <v>2851461</v>
      </c>
      <c r="J7" s="69">
        <f>+VLOOKUP($A7,Fondos2015!$B$8:$BE$83,30,FALSE)</f>
        <v>313401</v>
      </c>
      <c r="K7" s="69">
        <f>+VLOOKUP($A7,Fondos2015!$B$8:$BE$84,35,FALSE)</f>
        <v>2538060</v>
      </c>
      <c r="L7" s="69">
        <f>+VLOOKUP($A7,Fondos2015!$B$8:$BE$84,40,FALSE)</f>
        <v>0</v>
      </c>
      <c r="M7" s="69">
        <f>+VLOOKUP($A7,Fondos2015!$B$8:$BE$84,41,FALSE)</f>
        <v>0</v>
      </c>
      <c r="N7" s="68">
        <f t="shared" si="3"/>
        <v>6803749.3300000001</v>
      </c>
      <c r="O7" s="13" t="str">
        <f t="shared" si="2"/>
        <v>ALBOAN</v>
      </c>
    </row>
    <row r="8" spans="1:18" ht="12.75" x14ac:dyDescent="0.2">
      <c r="A8" s="18" t="s">
        <v>64</v>
      </c>
      <c r="B8" s="68">
        <f t="shared" si="0"/>
        <v>972325.35</v>
      </c>
      <c r="C8" s="69">
        <f>+VLOOKUP($A8,Fondos2015!$B$8:$AS$83,3,FALSE)</f>
        <v>280290.49</v>
      </c>
      <c r="D8" s="69">
        <f>+VLOOKUP($A8,Fondos2015!$B$8:$AS$83,4,FALSE)</f>
        <v>0</v>
      </c>
      <c r="E8" s="69">
        <f>+VLOOKUP($A8,Fondos2015!$B$8:$AS$83,11,FALSE)</f>
        <v>355111.71</v>
      </c>
      <c r="F8" s="69">
        <f>+VLOOKUP($A8,Fondos2015!$B$8:$AS$83,15,FALSE)</f>
        <v>193359.87</v>
      </c>
      <c r="G8" s="69">
        <f>+VLOOKUP($A8,Fondos2015!$B$8:$AS$83,20,FALSE)</f>
        <v>82875.73</v>
      </c>
      <c r="H8" s="69">
        <f>+VLOOKUP($A8,Fondos2015!$B$8:$AS$83,23,FALSE)</f>
        <v>60687.55</v>
      </c>
      <c r="I8" s="68">
        <f t="shared" si="1"/>
        <v>3807905.29</v>
      </c>
      <c r="J8" s="69">
        <f>+VLOOKUP($A8,Fondos2015!$B$8:$BE$83,30,FALSE)</f>
        <v>1033075.96</v>
      </c>
      <c r="K8" s="69">
        <f>+VLOOKUP($A8,Fondos2015!$B$8:$BE$84,35,FALSE)</f>
        <v>404299.98</v>
      </c>
      <c r="L8" s="69">
        <f>+VLOOKUP($A8,Fondos2015!$B$8:$BE$84,40,FALSE)</f>
        <v>2370529.35</v>
      </c>
      <c r="M8" s="69">
        <f>+VLOOKUP($A8,Fondos2015!$B$8:$BE$84,41,FALSE)</f>
        <v>0</v>
      </c>
      <c r="N8" s="68">
        <f t="shared" si="3"/>
        <v>4780230.6399999997</v>
      </c>
      <c r="O8" s="13" t="str">
        <f t="shared" si="2"/>
        <v>Alianza por la Solidaridad</v>
      </c>
    </row>
    <row r="9" spans="1:18" ht="12.75" x14ac:dyDescent="0.2">
      <c r="A9" s="18" t="s">
        <v>66</v>
      </c>
      <c r="B9" s="68">
        <f t="shared" si="0"/>
        <v>0</v>
      </c>
      <c r="C9" s="69">
        <f>+VLOOKUP($A9,Fondos2015!$B$8:$AS$83,3,FALSE)</f>
        <v>0</v>
      </c>
      <c r="D9" s="69">
        <f>+VLOOKUP($A9,Fondos2015!$B$8:$AS$83,4,FALSE)</f>
        <v>0</v>
      </c>
      <c r="E9" s="69">
        <f>+VLOOKUP($A9,Fondos2015!$B$8:$AS$83,11,FALSE)</f>
        <v>0</v>
      </c>
      <c r="F9" s="69">
        <f>+VLOOKUP($A9,Fondos2015!$B$8:$AS$83,15,FALSE)</f>
        <v>0</v>
      </c>
      <c r="G9" s="69">
        <f>+VLOOKUP($A9,Fondos2015!$B$8:$AS$83,20,FALSE)</f>
        <v>0</v>
      </c>
      <c r="H9" s="69">
        <f>+VLOOKUP($A9,Fondos2015!$B$8:$AS$83,23,FALSE)</f>
        <v>0</v>
      </c>
      <c r="I9" s="68">
        <f t="shared" si="1"/>
        <v>523031.87</v>
      </c>
      <c r="J9" s="69">
        <f>+VLOOKUP($A9,Fondos2015!$B$8:$BE$83,30,FALSE)</f>
        <v>523031.87</v>
      </c>
      <c r="K9" s="69">
        <f>+VLOOKUP($A9,Fondos2015!$B$8:$BE$84,35,FALSE)</f>
        <v>0</v>
      </c>
      <c r="L9" s="69">
        <f>+VLOOKUP($A9,Fondos2015!$B$8:$BE$84,40,FALSE)</f>
        <v>0</v>
      </c>
      <c r="M9" s="69">
        <f>+VLOOKUP($A9,Fondos2015!$B$8:$BE$84,41,FALSE)</f>
        <v>0</v>
      </c>
      <c r="N9" s="68">
        <f t="shared" si="3"/>
        <v>523031.87</v>
      </c>
      <c r="O9" s="13" t="str">
        <f t="shared" si="2"/>
        <v>Amigos de la Tierra España - AdTE</v>
      </c>
    </row>
    <row r="10" spans="1:18" ht="12.75" x14ac:dyDescent="0.2">
      <c r="A10" s="18" t="s">
        <v>67</v>
      </c>
      <c r="B10" s="68">
        <f t="shared" si="0"/>
        <v>537919.66999999993</v>
      </c>
      <c r="C10" s="69">
        <f>+VLOOKUP($A10,Fondos2015!$B$8:$AS$83,3,FALSE)</f>
        <v>44051</v>
      </c>
      <c r="D10" s="69">
        <f>+VLOOKUP($A10,Fondos2015!$B$8:$AS$83,4,FALSE)</f>
        <v>0</v>
      </c>
      <c r="E10" s="69">
        <f>+VLOOKUP($A10,Fondos2015!$B$8:$AS$83,11,FALSE)</f>
        <v>175373.11</v>
      </c>
      <c r="F10" s="69">
        <f>+VLOOKUP($A10,Fondos2015!$B$8:$AS$83,15,FALSE)</f>
        <v>318495.56</v>
      </c>
      <c r="G10" s="69">
        <f>+VLOOKUP($A10,Fondos2015!$B$8:$AS$83,20,FALSE)</f>
        <v>0</v>
      </c>
      <c r="H10" s="69">
        <f>+VLOOKUP($A10,Fondos2015!$B$8:$AS$83,23,FALSE)</f>
        <v>0</v>
      </c>
      <c r="I10" s="68">
        <f t="shared" si="1"/>
        <v>528121.96</v>
      </c>
      <c r="J10" s="69">
        <f>+VLOOKUP($A10,Fondos2015!$B$8:$BE$83,30,FALSE)</f>
        <v>298461.78999999998</v>
      </c>
      <c r="K10" s="69">
        <f>+VLOOKUP($A10,Fondos2015!$B$8:$BE$84,35,FALSE)</f>
        <v>229660.17</v>
      </c>
      <c r="L10" s="69">
        <f>+VLOOKUP($A10,Fondos2015!$B$8:$BE$84,40,FALSE)</f>
        <v>0</v>
      </c>
      <c r="M10" s="69">
        <f>+VLOOKUP($A10,Fondos2015!$B$8:$BE$84,41,FALSE)</f>
        <v>0</v>
      </c>
      <c r="N10" s="68">
        <f t="shared" si="3"/>
        <v>1066041.6299999999</v>
      </c>
      <c r="O10" s="13" t="str">
        <f t="shared" si="2"/>
        <v>AMREF</v>
      </c>
    </row>
    <row r="11" spans="1:18" ht="12.75" x14ac:dyDescent="0.2">
      <c r="A11" s="18" t="s">
        <v>68</v>
      </c>
      <c r="B11" s="68">
        <f t="shared" si="0"/>
        <v>7627692.3500000006</v>
      </c>
      <c r="C11" s="69">
        <f>+VLOOKUP($A11,Fondos2015!$B$8:$AS$83,3,FALSE)</f>
        <v>6685419.4500000002</v>
      </c>
      <c r="D11" s="69">
        <f>+VLOOKUP($A11,Fondos2015!$B$8:$AS$83,4,FALSE)</f>
        <v>0</v>
      </c>
      <c r="E11" s="69">
        <f>+VLOOKUP($A11,Fondos2015!$B$8:$AS$83,11,FALSE)</f>
        <v>879272.9</v>
      </c>
      <c r="F11" s="69">
        <f>+VLOOKUP($A11,Fondos2015!$B$8:$AS$83,15,FALSE)</f>
        <v>63000</v>
      </c>
      <c r="G11" s="69">
        <f>+VLOOKUP($A11,Fondos2015!$B$8:$AS$83,20,FALSE)</f>
        <v>0</v>
      </c>
      <c r="H11" s="69">
        <f>+VLOOKUP($A11,Fondos2015!$B$8:$AS$83,23,FALSE)</f>
        <v>0</v>
      </c>
      <c r="I11" s="68">
        <f t="shared" si="1"/>
        <v>275000</v>
      </c>
      <c r="J11" s="69">
        <f>+VLOOKUP($A11,Fondos2015!$B$8:$BE$83,30,FALSE)</f>
        <v>115000</v>
      </c>
      <c r="K11" s="69">
        <f>+VLOOKUP($A11,Fondos2015!$B$8:$BE$84,35,FALSE)</f>
        <v>108000</v>
      </c>
      <c r="L11" s="69">
        <f>+VLOOKUP($A11,Fondos2015!$B$8:$BE$84,40,FALSE)</f>
        <v>52000</v>
      </c>
      <c r="M11" s="69">
        <f>+VLOOKUP($A11,Fondos2015!$B$8:$BE$84,41,FALSE)</f>
        <v>0</v>
      </c>
      <c r="N11" s="68">
        <f t="shared" si="3"/>
        <v>7902692.3500000006</v>
      </c>
      <c r="O11" s="13" t="str">
        <f t="shared" si="2"/>
        <v>Anesvad</v>
      </c>
    </row>
    <row r="12" spans="1:18" ht="12.75" x14ac:dyDescent="0.2">
      <c r="A12" s="18" t="s">
        <v>69</v>
      </c>
      <c r="B12" s="68">
        <f t="shared" si="0"/>
        <v>513533.13999999996</v>
      </c>
      <c r="C12" s="69">
        <f>+VLOOKUP($A12,Fondos2015!$B$8:$AS$83,3,FALSE)</f>
        <v>82989</v>
      </c>
      <c r="D12" s="69">
        <f>+VLOOKUP($A12,Fondos2015!$B$8:$AS$83,4,FALSE)</f>
        <v>0</v>
      </c>
      <c r="E12" s="69">
        <f>+VLOOKUP($A12,Fondos2015!$B$8:$AS$83,11,FALSE)</f>
        <v>90415.61</v>
      </c>
      <c r="F12" s="69">
        <f>+VLOOKUP($A12,Fondos2015!$B$8:$AS$83,15,FALSE)</f>
        <v>320562.98</v>
      </c>
      <c r="G12" s="69">
        <f>+VLOOKUP($A12,Fondos2015!$B$8:$AS$83,20,FALSE)</f>
        <v>19565.55</v>
      </c>
      <c r="H12" s="69">
        <f>+VLOOKUP($A12,Fondos2015!$B$8:$AS$83,23,FALSE)</f>
        <v>0</v>
      </c>
      <c r="I12" s="68">
        <f t="shared" si="1"/>
        <v>723616.12</v>
      </c>
      <c r="J12" s="69">
        <f>+VLOOKUP($A12,Fondos2015!$B$8:$BE$83,30,FALSE)</f>
        <v>0</v>
      </c>
      <c r="K12" s="69">
        <f>+VLOOKUP($A12,Fondos2015!$B$8:$BE$84,35,FALSE)</f>
        <v>723616.12</v>
      </c>
      <c r="L12" s="69">
        <f>+VLOOKUP($A12,Fondos2015!$B$8:$BE$84,40,FALSE)</f>
        <v>0</v>
      </c>
      <c r="M12" s="69">
        <f>+VLOOKUP($A12,Fondos2015!$B$8:$BE$84,41,FALSE)</f>
        <v>0</v>
      </c>
      <c r="N12" s="68">
        <f t="shared" si="3"/>
        <v>1237149.26</v>
      </c>
      <c r="O12" s="13" t="str">
        <f t="shared" si="2"/>
        <v>Arquitectura Sin Fronteras</v>
      </c>
    </row>
    <row r="13" spans="1:18" ht="12.75" x14ac:dyDescent="0.2">
      <c r="A13" s="18" t="s">
        <v>70</v>
      </c>
      <c r="B13" s="68">
        <f t="shared" si="0"/>
        <v>262983.23</v>
      </c>
      <c r="C13" s="69">
        <f>+VLOOKUP($A13,Fondos2015!$B$8:$AS$83,3,FALSE)</f>
        <v>191189.93</v>
      </c>
      <c r="D13" s="69">
        <f>+VLOOKUP($A13,Fondos2015!$B$8:$AS$83,4,FALSE)</f>
        <v>0</v>
      </c>
      <c r="E13" s="69">
        <f>+VLOOKUP($A13,Fondos2015!$B$8:$AS$83,11,FALSE)</f>
        <v>0</v>
      </c>
      <c r="F13" s="69">
        <f>+VLOOKUP($A13,Fondos2015!$B$8:$AS$83,15,FALSE)</f>
        <v>71793.3</v>
      </c>
      <c r="G13" s="69">
        <f>+VLOOKUP($A13,Fondos2015!$B$8:$AS$83,20,FALSE)</f>
        <v>0</v>
      </c>
      <c r="H13" s="69">
        <f>+VLOOKUP($A13,Fondos2015!$B$8:$AS$83,23,FALSE)</f>
        <v>0</v>
      </c>
      <c r="I13" s="68">
        <f t="shared" si="1"/>
        <v>4729880.1899999995</v>
      </c>
      <c r="J13" s="69">
        <f>+VLOOKUP($A13,Fondos2015!$B$8:$BE$83,30,FALSE)</f>
        <v>43735</v>
      </c>
      <c r="K13" s="69">
        <f>+VLOOKUP($A13,Fondos2015!$B$8:$BE$84,35,FALSE)</f>
        <v>4554814.34</v>
      </c>
      <c r="L13" s="69">
        <f>+VLOOKUP($A13,Fondos2015!$B$8:$BE$84,40,FALSE)</f>
        <v>131330.85</v>
      </c>
      <c r="M13" s="69">
        <f>+VLOOKUP($A13,Fondos2015!$B$8:$BE$84,41,FALSE)</f>
        <v>0</v>
      </c>
      <c r="N13" s="68">
        <f t="shared" si="3"/>
        <v>4992863.42</v>
      </c>
      <c r="O13" s="13" t="str">
        <f t="shared" si="2"/>
        <v>Asamblea de Cooperacion Por la Paz (ACPP)</v>
      </c>
    </row>
    <row r="14" spans="1:18" ht="12.75" x14ac:dyDescent="0.2">
      <c r="A14" s="18" t="s">
        <v>71</v>
      </c>
      <c r="B14" s="68">
        <f t="shared" si="0"/>
        <v>105474.15999999999</v>
      </c>
      <c r="C14" s="69">
        <f>+VLOOKUP($A14,Fondos2015!$B$8:$AS$83,3,FALSE)</f>
        <v>83859.929999999993</v>
      </c>
      <c r="D14" s="69">
        <f>+VLOOKUP($A14,Fondos2015!$B$8:$AS$83,4,FALSE)</f>
        <v>0</v>
      </c>
      <c r="E14" s="69">
        <f>+VLOOKUP($A14,Fondos2015!$B$8:$AS$83,11,FALSE)</f>
        <v>21614.23</v>
      </c>
      <c r="F14" s="69">
        <f>+VLOOKUP($A14,Fondos2015!$B$8:$AS$83,15,FALSE)</f>
        <v>0</v>
      </c>
      <c r="G14" s="69">
        <f>+VLOOKUP($A14,Fondos2015!$B$8:$AS$83,20,FALSE)</f>
        <v>0</v>
      </c>
      <c r="H14" s="69">
        <f>+VLOOKUP($A14,Fondos2015!$B$8:$AS$83,23,FALSE)</f>
        <v>0</v>
      </c>
      <c r="I14" s="68">
        <f t="shared" si="1"/>
        <v>2040771.84</v>
      </c>
      <c r="J14" s="69">
        <f>+VLOOKUP($A14,Fondos2015!$B$8:$BE$83,30,FALSE)</f>
        <v>625000</v>
      </c>
      <c r="K14" s="69">
        <f>+VLOOKUP($A14,Fondos2015!$B$8:$BE$84,35,FALSE)</f>
        <v>1415771.84</v>
      </c>
      <c r="L14" s="69">
        <f>+VLOOKUP($A14,Fondos2015!$B$8:$BE$84,40,FALSE)</f>
        <v>0</v>
      </c>
      <c r="M14" s="69">
        <f>+VLOOKUP($A14,Fondos2015!$B$8:$BE$84,41,FALSE)</f>
        <v>0</v>
      </c>
      <c r="N14" s="68">
        <f t="shared" si="3"/>
        <v>2146246</v>
      </c>
      <c r="O14" s="13" t="str">
        <f t="shared" si="2"/>
        <v>Asociacion Entrepueblos</v>
      </c>
    </row>
    <row r="15" spans="1:18" ht="12.75" x14ac:dyDescent="0.2">
      <c r="A15" s="18" t="s">
        <v>72</v>
      </c>
      <c r="B15" s="68">
        <f t="shared" si="0"/>
        <v>622371.67999999993</v>
      </c>
      <c r="C15" s="69">
        <f>+VLOOKUP($A15,Fondos2015!$B$8:$AS$83,3,FALSE)</f>
        <v>319661.88</v>
      </c>
      <c r="D15" s="69">
        <f>+VLOOKUP($A15,Fondos2015!$B$8:$AS$83,4,FALSE)</f>
        <v>0</v>
      </c>
      <c r="E15" s="69">
        <f>+VLOOKUP($A15,Fondos2015!$B$8:$AS$83,11,FALSE)</f>
        <v>225955.8</v>
      </c>
      <c r="F15" s="69">
        <f>+VLOOKUP($A15,Fondos2015!$B$8:$AS$83,15,FALSE)</f>
        <v>76754</v>
      </c>
      <c r="G15" s="69">
        <f>+VLOOKUP($A15,Fondos2015!$B$8:$AS$83,20,FALSE)</f>
        <v>0</v>
      </c>
      <c r="H15" s="69">
        <f>+VLOOKUP($A15,Fondos2015!$B$8:$AS$83,23,FALSE)</f>
        <v>0</v>
      </c>
      <c r="I15" s="68">
        <f t="shared" si="1"/>
        <v>107448.04000000001</v>
      </c>
      <c r="J15" s="69">
        <f>+VLOOKUP($A15,Fondos2015!$B$8:$BE$83,30,FALSE)</f>
        <v>0</v>
      </c>
      <c r="K15" s="69">
        <f>+VLOOKUP($A15,Fondos2015!$B$8:$BE$84,35,FALSE)</f>
        <v>107448.04000000001</v>
      </c>
      <c r="L15" s="69">
        <f>+VLOOKUP($A15,Fondos2015!$B$8:$BE$84,40,FALSE)</f>
        <v>0</v>
      </c>
      <c r="M15" s="69">
        <f>+VLOOKUP($A15,Fondos2015!$B$8:$BE$84,41,FALSE)</f>
        <v>0</v>
      </c>
      <c r="N15" s="68">
        <f t="shared" si="3"/>
        <v>729819.72</v>
      </c>
      <c r="O15" s="13" t="str">
        <f t="shared" si="2"/>
        <v>Asociacion Nuevos Caminos (ANC)</v>
      </c>
    </row>
    <row r="16" spans="1:18" ht="12.75" x14ac:dyDescent="0.2">
      <c r="A16" s="18" t="s">
        <v>73</v>
      </c>
      <c r="B16" s="68">
        <f t="shared" si="0"/>
        <v>27863252.09</v>
      </c>
      <c r="C16" s="69">
        <f>+VLOOKUP($A16,Fondos2015!$B$8:$AS$83,3,FALSE)</f>
        <v>1389074.22</v>
      </c>
      <c r="D16" s="69">
        <f>+VLOOKUP($A16,Fondos2015!$B$8:$AS$83,4,FALSE)</f>
        <v>24909140.260000002</v>
      </c>
      <c r="E16" s="69">
        <f>+VLOOKUP($A16,Fondos2015!$B$8:$AS$83,11,FALSE)</f>
        <v>1037320.49</v>
      </c>
      <c r="F16" s="69">
        <f>+VLOOKUP($A16,Fondos2015!$B$8:$AS$83,15,FALSE)</f>
        <v>396695.62</v>
      </c>
      <c r="G16" s="69">
        <f>+VLOOKUP($A16,Fondos2015!$B$8:$AS$83,20,FALSE)</f>
        <v>11364.96</v>
      </c>
      <c r="H16" s="69">
        <f>+VLOOKUP($A16,Fondos2015!$B$8:$AS$83,23,FALSE)</f>
        <v>119656.54</v>
      </c>
      <c r="I16" s="68">
        <f t="shared" si="1"/>
        <v>5100320.879999999</v>
      </c>
      <c r="J16" s="69">
        <f>+VLOOKUP($A16,Fondos2015!$B$8:$BE$83,30,FALSE)</f>
        <v>2628097.6800000002</v>
      </c>
      <c r="K16" s="69">
        <f>+VLOOKUP($A16,Fondos2015!$B$8:$BE$84,35,FALSE)</f>
        <v>2460407.6799999997</v>
      </c>
      <c r="L16" s="69">
        <f>+VLOOKUP($A16,Fondos2015!$B$8:$BE$84,40,FALSE)</f>
        <v>11815.52</v>
      </c>
      <c r="M16" s="69">
        <f>+VLOOKUP($A16,Fondos2015!$B$8:$BE$84,41,FALSE)</f>
        <v>0</v>
      </c>
      <c r="N16" s="68">
        <f t="shared" si="3"/>
        <v>32963572.969999999</v>
      </c>
      <c r="O16" s="13" t="str">
        <f t="shared" si="2"/>
        <v>Ayuda en Accion</v>
      </c>
    </row>
    <row r="17" spans="1:15" ht="12.75" x14ac:dyDescent="0.2">
      <c r="A17" s="18" t="s">
        <v>74</v>
      </c>
      <c r="B17" s="68">
        <f t="shared" si="0"/>
        <v>25206399</v>
      </c>
      <c r="C17" s="69">
        <f>+VLOOKUP($A17,Fondos2015!$B$8:$AS$83,3,FALSE)</f>
        <v>0</v>
      </c>
      <c r="D17" s="69">
        <f>+VLOOKUP($A17,Fondos2015!$B$8:$AS$83,4,FALSE)</f>
        <v>0</v>
      </c>
      <c r="E17" s="69">
        <f>+VLOOKUP($A17,Fondos2015!$B$8:$AS$83,11,FALSE)</f>
        <v>23459374</v>
      </c>
      <c r="F17" s="69">
        <f>+VLOOKUP($A17,Fondos2015!$B$8:$AS$83,15,FALSE)</f>
        <v>1747025</v>
      </c>
      <c r="G17" s="69">
        <f>+VLOOKUP($A17,Fondos2015!$B$8:$AS$83,20,FALSE)</f>
        <v>0</v>
      </c>
      <c r="H17" s="69">
        <f>+VLOOKUP($A17,Fondos2015!$B$8:$AS$83,23,FALSE)</f>
        <v>0</v>
      </c>
      <c r="I17" s="68">
        <f t="shared" si="1"/>
        <v>569048</v>
      </c>
      <c r="J17" s="69">
        <f>+VLOOKUP($A17,Fondos2015!$B$8:$BE$83,30,FALSE)</f>
        <v>200000</v>
      </c>
      <c r="K17" s="69">
        <f>+VLOOKUP($A17,Fondos2015!$B$8:$BE$84,35,FALSE)</f>
        <v>163693</v>
      </c>
      <c r="L17" s="69">
        <f>+VLOOKUP($A17,Fondos2015!$B$8:$BE$84,40,FALSE)</f>
        <v>205355</v>
      </c>
      <c r="M17" s="69">
        <f>+VLOOKUP($A17,Fondos2015!$B$8:$BE$84,41,FALSE)</f>
        <v>0</v>
      </c>
      <c r="N17" s="68">
        <f t="shared" si="3"/>
        <v>25775447</v>
      </c>
      <c r="O17" s="13" t="str">
        <f t="shared" si="2"/>
        <v>Caritas Española</v>
      </c>
    </row>
    <row r="18" spans="1:15" ht="12.75" x14ac:dyDescent="0.2">
      <c r="A18" s="18" t="s">
        <v>75</v>
      </c>
      <c r="B18" s="68">
        <f t="shared" si="0"/>
        <v>26884.04</v>
      </c>
      <c r="C18" s="69">
        <f>+VLOOKUP($A18,Fondos2015!$B$8:$AS$83,3,FALSE)</f>
        <v>19436</v>
      </c>
      <c r="D18" s="69">
        <f>+VLOOKUP($A18,Fondos2015!$B$8:$AS$83,4,FALSE)</f>
        <v>0</v>
      </c>
      <c r="E18" s="69">
        <f>+VLOOKUP($A18,Fondos2015!$B$8:$AS$83,11,FALSE)</f>
        <v>7448.04</v>
      </c>
      <c r="F18" s="69">
        <f>+VLOOKUP($A18,Fondos2015!$B$8:$AS$83,15,FALSE)</f>
        <v>0</v>
      </c>
      <c r="G18" s="69">
        <f>+VLOOKUP($A18,Fondos2015!$B$8:$AS$83,20,FALSE)</f>
        <v>0</v>
      </c>
      <c r="H18" s="69">
        <f>+VLOOKUP($A18,Fondos2015!$B$8:$AS$83,23,FALSE)</f>
        <v>0</v>
      </c>
      <c r="I18" s="68">
        <f t="shared" si="1"/>
        <v>1274325.31</v>
      </c>
      <c r="J18" s="69">
        <f>+VLOOKUP($A18,Fondos2015!$B$8:$BE$83,30,FALSE)</f>
        <v>752950</v>
      </c>
      <c r="K18" s="69">
        <f>+VLOOKUP($A18,Fondos2015!$B$8:$BE$84,35,FALSE)</f>
        <v>276864.99</v>
      </c>
      <c r="L18" s="69">
        <f>+VLOOKUP($A18,Fondos2015!$B$8:$BE$84,40,FALSE)</f>
        <v>244510.32</v>
      </c>
      <c r="M18" s="69">
        <f>+VLOOKUP($A18,Fondos2015!$B$8:$BE$84,41,FALSE)</f>
        <v>0</v>
      </c>
      <c r="N18" s="68">
        <f t="shared" si="3"/>
        <v>1301209.3500000001</v>
      </c>
      <c r="O18" s="13" t="str">
        <f t="shared" si="2"/>
        <v>CERAI</v>
      </c>
    </row>
    <row r="19" spans="1:15" ht="12.75" x14ac:dyDescent="0.2">
      <c r="A19" s="18" t="s">
        <v>76</v>
      </c>
      <c r="B19" s="68">
        <f t="shared" si="0"/>
        <v>935726.71</v>
      </c>
      <c r="C19" s="69">
        <f>+VLOOKUP($A19,Fondos2015!$B$8:$AS$83,3,FALSE)</f>
        <v>99195.54</v>
      </c>
      <c r="D19" s="69">
        <f>+VLOOKUP($A19,Fondos2015!$B$8:$AS$83,4,FALSE)</f>
        <v>3100</v>
      </c>
      <c r="E19" s="69">
        <f>+VLOOKUP($A19,Fondos2015!$B$8:$AS$83,11,FALSE)</f>
        <v>175069.60000000003</v>
      </c>
      <c r="F19" s="69">
        <f>+VLOOKUP($A19,Fondos2015!$B$8:$AS$83,15,FALSE)</f>
        <v>656815.06999999995</v>
      </c>
      <c r="G19" s="69">
        <f>+VLOOKUP($A19,Fondos2015!$B$8:$AS$83,20,FALSE)</f>
        <v>1546.5</v>
      </c>
      <c r="H19" s="69">
        <f>+VLOOKUP($A19,Fondos2015!$B$8:$AS$83,23,FALSE)</f>
        <v>0</v>
      </c>
      <c r="I19" s="68">
        <f t="shared" si="1"/>
        <v>929910.24999999988</v>
      </c>
      <c r="J19" s="69">
        <f>+VLOOKUP($A19,Fondos2015!$B$8:$BE$83,30,FALSE)</f>
        <v>0</v>
      </c>
      <c r="K19" s="69">
        <f>+VLOOKUP($A19,Fondos2015!$B$8:$BE$84,35,FALSE)</f>
        <v>423735.88999999996</v>
      </c>
      <c r="L19" s="69">
        <f>+VLOOKUP($A19,Fondos2015!$B$8:$BE$84,40,FALSE)</f>
        <v>409679.70999999996</v>
      </c>
      <c r="M19" s="69">
        <f>+VLOOKUP($A19,Fondos2015!$B$8:$BE$84,41,FALSE)</f>
        <v>96494.65</v>
      </c>
      <c r="N19" s="68">
        <f t="shared" si="3"/>
        <v>1865636.96</v>
      </c>
      <c r="O19" s="13" t="str">
        <f t="shared" si="2"/>
        <v>CESAL</v>
      </c>
    </row>
    <row r="20" spans="1:15" ht="12.75" x14ac:dyDescent="0.2">
      <c r="A20" s="18" t="s">
        <v>77</v>
      </c>
      <c r="B20" s="68">
        <f t="shared" si="0"/>
        <v>1874874.3900000001</v>
      </c>
      <c r="C20" s="69">
        <f>+VLOOKUP($A20,Fondos2015!$B$8:$AS$83,3,FALSE)</f>
        <v>184931.71</v>
      </c>
      <c r="D20" s="69">
        <f>+VLOOKUP($A20,Fondos2015!$B$8:$AS$83,4,FALSE)</f>
        <v>0</v>
      </c>
      <c r="E20" s="69">
        <f>+VLOOKUP($A20,Fondos2015!$B$8:$AS$83,11,FALSE)</f>
        <v>202588.6</v>
      </c>
      <c r="F20" s="69">
        <f>+VLOOKUP($A20,Fondos2015!$B$8:$AS$83,15,FALSE)</f>
        <v>1430451.83</v>
      </c>
      <c r="G20" s="69">
        <f>+VLOOKUP($A20,Fondos2015!$B$8:$AS$83,20,FALSE)</f>
        <v>0</v>
      </c>
      <c r="H20" s="69">
        <f>+VLOOKUP($A20,Fondos2015!$B$8:$AS$83,23,FALSE)</f>
        <v>56902.25</v>
      </c>
      <c r="I20" s="68">
        <f t="shared" si="1"/>
        <v>1029461.44</v>
      </c>
      <c r="J20" s="69">
        <f>+VLOOKUP($A20,Fondos2015!$B$8:$BE$83,30,FALSE)</f>
        <v>349859.86</v>
      </c>
      <c r="K20" s="69">
        <f>+VLOOKUP($A20,Fondos2015!$B$8:$BE$84,35,FALSE)</f>
        <v>90988.25</v>
      </c>
      <c r="L20" s="69">
        <f>+VLOOKUP($A20,Fondos2015!$B$8:$BE$84,40,FALSE)</f>
        <v>588613.32999999996</v>
      </c>
      <c r="M20" s="69">
        <f>+VLOOKUP($A20,Fondos2015!$B$8:$BE$84,41,FALSE)</f>
        <v>0</v>
      </c>
      <c r="N20" s="68">
        <f t="shared" si="3"/>
        <v>2904335.83</v>
      </c>
      <c r="O20" s="13" t="str">
        <f t="shared" si="2"/>
        <v>CODESPA</v>
      </c>
    </row>
    <row r="21" spans="1:15" ht="12.75" x14ac:dyDescent="0.2">
      <c r="A21" s="18" t="s">
        <v>78</v>
      </c>
      <c r="B21" s="68">
        <f t="shared" si="0"/>
        <v>4926.34</v>
      </c>
      <c r="C21" s="69">
        <f>+VLOOKUP($A21,Fondos2015!$B$8:$AS$83,3,FALSE)</f>
        <v>2631.77</v>
      </c>
      <c r="D21" s="69">
        <f>+VLOOKUP($A21,Fondos2015!$B$8:$AS$83,4,FALSE)</f>
        <v>0</v>
      </c>
      <c r="E21" s="69">
        <f>+VLOOKUP($A21,Fondos2015!$B$8:$AS$83,11,FALSE)</f>
        <v>619.57000000000005</v>
      </c>
      <c r="F21" s="69">
        <f>+VLOOKUP($A21,Fondos2015!$B$8:$AS$83,15,FALSE)</f>
        <v>1675</v>
      </c>
      <c r="G21" s="69">
        <f>+VLOOKUP($A21,Fondos2015!$B$8:$AS$83,20,FALSE)</f>
        <v>0</v>
      </c>
      <c r="H21" s="69">
        <f>+VLOOKUP($A21,Fondos2015!$B$8:$AS$83,23,FALSE)</f>
        <v>0</v>
      </c>
      <c r="I21" s="68">
        <f t="shared" si="1"/>
        <v>1000</v>
      </c>
      <c r="J21" s="69">
        <f>+VLOOKUP($A21,Fondos2015!$B$8:$BE$83,30,FALSE)</f>
        <v>1000</v>
      </c>
      <c r="K21" s="69">
        <f>+VLOOKUP($A21,Fondos2015!$B$8:$BE$84,35,FALSE)</f>
        <v>0</v>
      </c>
      <c r="L21" s="69">
        <f>+VLOOKUP($A21,Fondos2015!$B$8:$BE$84,40,FALSE)</f>
        <v>0</v>
      </c>
      <c r="M21" s="69">
        <f>+VLOOKUP($A21,Fondos2015!$B$8:$BE$84,41,FALSE)</f>
        <v>0</v>
      </c>
      <c r="N21" s="68">
        <f t="shared" si="3"/>
        <v>5926.34</v>
      </c>
      <c r="O21" s="13" t="str">
        <f t="shared" si="2"/>
        <v>Comision General Justicia y Paz</v>
      </c>
    </row>
    <row r="22" spans="1:15" ht="12.75" x14ac:dyDescent="0.2">
      <c r="A22" s="18" t="s">
        <v>79</v>
      </c>
      <c r="B22" s="68">
        <f t="shared" si="0"/>
        <v>51726.66</v>
      </c>
      <c r="C22" s="69">
        <f>+VLOOKUP($A22,Fondos2015!$B$8:$AS$83,3,FALSE)</f>
        <v>12353.85</v>
      </c>
      <c r="D22" s="69">
        <f>+VLOOKUP($A22,Fondos2015!$B$8:$AS$83,4,FALSE)</f>
        <v>0</v>
      </c>
      <c r="E22" s="69">
        <f>+VLOOKUP($A22,Fondos2015!$B$8:$AS$83,11,FALSE)</f>
        <v>13991.27</v>
      </c>
      <c r="F22" s="69">
        <f>+VLOOKUP($A22,Fondos2015!$B$8:$AS$83,15,FALSE)</f>
        <v>25381.54</v>
      </c>
      <c r="G22" s="69">
        <f>+VLOOKUP($A22,Fondos2015!$B$8:$AS$83,20,FALSE)</f>
        <v>0</v>
      </c>
      <c r="H22" s="69">
        <f>+VLOOKUP($A22,Fondos2015!$B$8:$AS$83,23,FALSE)</f>
        <v>0</v>
      </c>
      <c r="I22" s="68">
        <f t="shared" si="1"/>
        <v>467646</v>
      </c>
      <c r="J22" s="69">
        <f>+VLOOKUP($A22,Fondos2015!$B$8:$BE$83,30,FALSE)</f>
        <v>0</v>
      </c>
      <c r="K22" s="69">
        <f>+VLOOKUP($A22,Fondos2015!$B$8:$BE$84,35,FALSE)</f>
        <v>467646</v>
      </c>
      <c r="L22" s="69">
        <f>+VLOOKUP($A22,Fondos2015!$B$8:$BE$84,40,FALSE)</f>
        <v>0</v>
      </c>
      <c r="M22" s="69">
        <f>+VLOOKUP($A22,Fondos2015!$B$8:$BE$84,41,FALSE)</f>
        <v>0</v>
      </c>
      <c r="N22" s="68">
        <f t="shared" si="3"/>
        <v>519372.66000000003</v>
      </c>
      <c r="O22" s="13" t="str">
        <f t="shared" si="2"/>
        <v>COOPERACCIO</v>
      </c>
    </row>
    <row r="23" spans="1:15" ht="12.75" x14ac:dyDescent="0.2">
      <c r="A23" s="18" t="s">
        <v>80</v>
      </c>
      <c r="B23" s="68">
        <f t="shared" si="0"/>
        <v>37000</v>
      </c>
      <c r="C23" s="69">
        <f>+VLOOKUP($A23,Fondos2015!$B$8:$AS$83,3,FALSE)</f>
        <v>0</v>
      </c>
      <c r="D23" s="69">
        <f>+VLOOKUP($A23,Fondos2015!$B$8:$AS$83,4,FALSE)</f>
        <v>0</v>
      </c>
      <c r="E23" s="69">
        <f>+VLOOKUP($A23,Fondos2015!$B$8:$AS$83,11,FALSE)</f>
        <v>4000</v>
      </c>
      <c r="F23" s="69">
        <f>+VLOOKUP($A23,Fondos2015!$B$8:$AS$83,15,FALSE)</f>
        <v>33000</v>
      </c>
      <c r="G23" s="69">
        <f>+VLOOKUP($A23,Fondos2015!$B$8:$AS$83,20,FALSE)</f>
        <v>0</v>
      </c>
      <c r="H23" s="69">
        <f>+VLOOKUP($A23,Fondos2015!$B$8:$AS$83,23,FALSE)</f>
        <v>0</v>
      </c>
      <c r="I23" s="68">
        <f t="shared" si="1"/>
        <v>56032</v>
      </c>
      <c r="J23" s="69">
        <f>+VLOOKUP($A23,Fondos2015!$B$8:$BE$83,30,FALSE)</f>
        <v>0</v>
      </c>
      <c r="K23" s="69">
        <f>+VLOOKUP($A23,Fondos2015!$B$8:$BE$84,35,FALSE)</f>
        <v>56032</v>
      </c>
      <c r="L23" s="69">
        <f>+VLOOKUP($A23,Fondos2015!$B$8:$BE$84,40,FALSE)</f>
        <v>0</v>
      </c>
      <c r="M23" s="69">
        <f>+VLOOKUP($A23,Fondos2015!$B$8:$BE$84,41,FALSE)</f>
        <v>0</v>
      </c>
      <c r="N23" s="68">
        <f t="shared" si="3"/>
        <v>93032</v>
      </c>
      <c r="O23" s="13" t="str">
        <f t="shared" si="2"/>
        <v>Cooperacion Internacional</v>
      </c>
    </row>
    <row r="24" spans="1:15" ht="12.75" x14ac:dyDescent="0.2">
      <c r="A24" s="18" t="s">
        <v>81</v>
      </c>
      <c r="B24" s="68">
        <f t="shared" si="0"/>
        <v>17901652</v>
      </c>
      <c r="C24" s="69">
        <f>+VLOOKUP($A24,Fondos2015!$B$8:$AS$83,3,FALSE)</f>
        <v>9000880</v>
      </c>
      <c r="D24" s="69">
        <f>+VLOOKUP($A24,Fondos2015!$B$8:$AS$83,4,FALSE)</f>
        <v>0</v>
      </c>
      <c r="E24" s="69">
        <f>+VLOOKUP($A24,Fondos2015!$B$8:$AS$83,11,FALSE)</f>
        <v>6131285</v>
      </c>
      <c r="F24" s="69">
        <f>+VLOOKUP($A24,Fondos2015!$B$8:$AS$83,15,FALSE)</f>
        <v>0</v>
      </c>
      <c r="G24" s="69">
        <f>+VLOOKUP($A24,Fondos2015!$B$8:$AS$83,20,FALSE)</f>
        <v>0</v>
      </c>
      <c r="H24" s="69">
        <f>+VLOOKUP($A24,Fondos2015!$B$8:$AS$83,23,FALSE)</f>
        <v>2769487</v>
      </c>
      <c r="I24" s="68">
        <f t="shared" si="1"/>
        <v>9536102</v>
      </c>
      <c r="J24" s="69">
        <f>+VLOOKUP($A24,Fondos2015!$B$8:$BE$83,30,FALSE)</f>
        <v>4296040</v>
      </c>
      <c r="K24" s="69">
        <f>+VLOOKUP($A24,Fondos2015!$B$8:$BE$84,35,FALSE)</f>
        <v>3059520</v>
      </c>
      <c r="L24" s="69">
        <f>+VLOOKUP($A24,Fondos2015!$B$8:$BE$84,40,FALSE)</f>
        <v>2180542</v>
      </c>
      <c r="M24" s="69">
        <f>+VLOOKUP($A24,Fondos2015!$B$8:$BE$84,41,FALSE)</f>
        <v>0</v>
      </c>
      <c r="N24" s="68">
        <f t="shared" si="3"/>
        <v>27437754</v>
      </c>
      <c r="O24" s="13" t="str">
        <f t="shared" si="2"/>
        <v>Cruz Roja Española</v>
      </c>
    </row>
    <row r="25" spans="1:15" ht="12.75" x14ac:dyDescent="0.2">
      <c r="A25" s="18" t="s">
        <v>82</v>
      </c>
      <c r="B25" s="68">
        <f t="shared" si="0"/>
        <v>15797.61</v>
      </c>
      <c r="C25" s="69">
        <f>+VLOOKUP($A25,Fondos2015!$B$8:$AS$83,3,FALSE)</f>
        <v>0</v>
      </c>
      <c r="D25" s="69">
        <f>+VLOOKUP($A25,Fondos2015!$B$8:$AS$83,4,FALSE)</f>
        <v>0</v>
      </c>
      <c r="E25" s="69">
        <f>+VLOOKUP($A25,Fondos2015!$B$8:$AS$83,11,FALSE)</f>
        <v>0</v>
      </c>
      <c r="F25" s="69">
        <f>+VLOOKUP($A25,Fondos2015!$B$8:$AS$83,15,FALSE)</f>
        <v>14997.61</v>
      </c>
      <c r="G25" s="69">
        <f>+VLOOKUP($A25,Fondos2015!$B$8:$AS$83,20,FALSE)</f>
        <v>0</v>
      </c>
      <c r="H25" s="69">
        <f>+VLOOKUP($A25,Fondos2015!$B$8:$AS$83,23,FALSE)</f>
        <v>800</v>
      </c>
      <c r="I25" s="68">
        <f t="shared" si="1"/>
        <v>34866.93</v>
      </c>
      <c r="J25" s="69">
        <f>+VLOOKUP($A25,Fondos2015!$B$8:$BE$83,30,FALSE)</f>
        <v>0</v>
      </c>
      <c r="K25" s="69">
        <f>+VLOOKUP($A25,Fondos2015!$B$8:$BE$84,35,FALSE)</f>
        <v>34866.93</v>
      </c>
      <c r="L25" s="69">
        <f>+VLOOKUP($A25,Fondos2015!$B$8:$BE$84,40,FALSE)</f>
        <v>0</v>
      </c>
      <c r="M25" s="69">
        <f>+VLOOKUP($A25,Fondos2015!$B$8:$BE$84,41,FALSE)</f>
        <v>0</v>
      </c>
      <c r="N25" s="68">
        <f t="shared" si="3"/>
        <v>50664.54</v>
      </c>
      <c r="O25" s="13" t="str">
        <f t="shared" si="2"/>
        <v>Economistas sin Fronteras</v>
      </c>
    </row>
    <row r="26" spans="1:15" ht="12.75" x14ac:dyDescent="0.2">
      <c r="A26" s="18" t="s">
        <v>83</v>
      </c>
      <c r="B26" s="68">
        <f t="shared" si="0"/>
        <v>128796.23000000001</v>
      </c>
      <c r="C26" s="69">
        <f>+VLOOKUP($A26,Fondos2015!$B$8:$AS$83,3,FALSE)</f>
        <v>31321.46</v>
      </c>
      <c r="D26" s="69">
        <f>+VLOOKUP($A26,Fondos2015!$B$8:$AS$83,4,FALSE)</f>
        <v>0</v>
      </c>
      <c r="E26" s="69">
        <f>+VLOOKUP($A26,Fondos2015!$B$8:$AS$83,11,FALSE)</f>
        <v>97474.77</v>
      </c>
      <c r="F26" s="69">
        <f>+VLOOKUP($A26,Fondos2015!$B$8:$AS$83,15,FALSE)</f>
        <v>0</v>
      </c>
      <c r="G26" s="69">
        <f>+VLOOKUP($A26,Fondos2015!$B$8:$AS$83,20,FALSE)</f>
        <v>0</v>
      </c>
      <c r="H26" s="69">
        <f>+VLOOKUP($A26,Fondos2015!$B$8:$AS$83,23,FALSE)</f>
        <v>0</v>
      </c>
      <c r="I26" s="68">
        <f t="shared" si="1"/>
        <v>0</v>
      </c>
      <c r="J26" s="69">
        <f>+VLOOKUP($A26,Fondos2015!$B$8:$BE$83,30,FALSE)</f>
        <v>0</v>
      </c>
      <c r="K26" s="69">
        <f>+VLOOKUP($A26,Fondos2015!$B$8:$BE$84,35,FALSE)</f>
        <v>0</v>
      </c>
      <c r="L26" s="69">
        <f>+VLOOKUP($A26,Fondos2015!$B$8:$BE$84,40,FALSE)</f>
        <v>0</v>
      </c>
      <c r="M26" s="69">
        <f>+VLOOKUP($A26,Fondos2015!$B$8:$BE$84,41,FALSE)</f>
        <v>0</v>
      </c>
      <c r="N26" s="68">
        <f t="shared" si="3"/>
        <v>128796.23000000001</v>
      </c>
      <c r="O26" s="13" t="str">
        <f t="shared" si="2"/>
        <v>Edificando Comunidad de Nazaret</v>
      </c>
    </row>
    <row r="27" spans="1:15" ht="12.75" x14ac:dyDescent="0.2">
      <c r="A27" s="18" t="s">
        <v>84</v>
      </c>
      <c r="B27" s="68">
        <f t="shared" si="0"/>
        <v>22875068</v>
      </c>
      <c r="C27" s="69">
        <f>+VLOOKUP($A27,Fondos2015!$B$8:$AS$83,3,FALSE)</f>
        <v>632710</v>
      </c>
      <c r="D27" s="69">
        <f>+VLOOKUP($A27,Fondos2015!$B$8:$AS$83,4,FALSE)</f>
        <v>21783886</v>
      </c>
      <c r="E27" s="69">
        <f>+VLOOKUP($A27,Fondos2015!$B$8:$AS$83,11,FALSE)</f>
        <v>436986</v>
      </c>
      <c r="F27" s="69">
        <f>+VLOOKUP($A27,Fondos2015!$B$8:$AS$83,15,FALSE)</f>
        <v>386</v>
      </c>
      <c r="G27" s="69">
        <f>+VLOOKUP($A27,Fondos2015!$B$8:$AS$83,20,FALSE)</f>
        <v>0</v>
      </c>
      <c r="H27" s="69">
        <f>+VLOOKUP($A27,Fondos2015!$B$8:$AS$83,23,FALSE)</f>
        <v>21100</v>
      </c>
      <c r="I27" s="68">
        <f t="shared" si="1"/>
        <v>224919</v>
      </c>
      <c r="J27" s="69">
        <f>+VLOOKUP($A27,Fondos2015!$B$8:$BE$83,30,FALSE)</f>
        <v>0</v>
      </c>
      <c r="K27" s="69">
        <f>+VLOOKUP($A27,Fondos2015!$B$8:$BE$84,35,FALSE)</f>
        <v>224919</v>
      </c>
      <c r="L27" s="69">
        <f>+VLOOKUP($A27,Fondos2015!$B$8:$BE$84,40,FALSE)</f>
        <v>0</v>
      </c>
      <c r="M27" s="69">
        <f>+VLOOKUP($A27,Fondos2015!$B$8:$BE$84,41,FALSE)</f>
        <v>0</v>
      </c>
      <c r="N27" s="68">
        <f t="shared" si="3"/>
        <v>23099987</v>
      </c>
      <c r="O27" s="13" t="str">
        <f t="shared" si="2"/>
        <v>Educo</v>
      </c>
    </row>
    <row r="28" spans="1:15" ht="12.75" x14ac:dyDescent="0.2">
      <c r="A28" s="18" t="s">
        <v>85</v>
      </c>
      <c r="B28" s="68">
        <f t="shared" si="0"/>
        <v>10298</v>
      </c>
      <c r="C28" s="69">
        <f>+VLOOKUP($A28,Fondos2015!$B$8:$AS$83,3,FALSE)</f>
        <v>0</v>
      </c>
      <c r="D28" s="69">
        <f>+VLOOKUP($A28,Fondos2015!$B$8:$AS$83,4,FALSE)</f>
        <v>0</v>
      </c>
      <c r="E28" s="69">
        <f>+VLOOKUP($A28,Fondos2015!$B$8:$AS$83,11,FALSE)</f>
        <v>0</v>
      </c>
      <c r="F28" s="69">
        <f>+VLOOKUP($A28,Fondos2015!$B$8:$AS$83,15,FALSE)</f>
        <v>598</v>
      </c>
      <c r="G28" s="69">
        <f>+VLOOKUP($A28,Fondos2015!$B$8:$AS$83,20,FALSE)</f>
        <v>0</v>
      </c>
      <c r="H28" s="69">
        <f>+VLOOKUP($A28,Fondos2015!$B$8:$AS$83,23,FALSE)</f>
        <v>9700</v>
      </c>
      <c r="I28" s="68">
        <f t="shared" si="1"/>
        <v>371795</v>
      </c>
      <c r="J28" s="69">
        <f>+VLOOKUP($A28,Fondos2015!$B$8:$BE$83,30,FALSE)</f>
        <v>0</v>
      </c>
      <c r="K28" s="69">
        <f>+VLOOKUP($A28,Fondos2015!$B$8:$BE$84,35,FALSE)</f>
        <v>371795</v>
      </c>
      <c r="L28" s="69">
        <f>+VLOOKUP($A28,Fondos2015!$B$8:$BE$84,40,FALSE)</f>
        <v>0</v>
      </c>
      <c r="M28" s="69">
        <f>+VLOOKUP($A28,Fondos2015!$B$8:$BE$84,41,FALSE)</f>
        <v>0</v>
      </c>
      <c r="N28" s="68">
        <f t="shared" si="3"/>
        <v>382093</v>
      </c>
      <c r="O28" s="13" t="str">
        <f t="shared" si="2"/>
        <v>FAD</v>
      </c>
    </row>
    <row r="29" spans="1:15" ht="12.75" x14ac:dyDescent="0.2">
      <c r="A29" s="18" t="s">
        <v>86</v>
      </c>
      <c r="B29" s="68">
        <f t="shared" si="0"/>
        <v>323516.98</v>
      </c>
      <c r="C29" s="69">
        <f>+VLOOKUP($A29,Fondos2015!$B$8:$AS$83,3,FALSE)</f>
        <v>61883.14</v>
      </c>
      <c r="D29" s="69">
        <f>+VLOOKUP($A29,Fondos2015!$B$8:$AS$83,4,FALSE)</f>
        <v>0</v>
      </c>
      <c r="E29" s="69">
        <f>+VLOOKUP($A29,Fondos2015!$B$8:$AS$83,11,FALSE)</f>
        <v>220464.24</v>
      </c>
      <c r="F29" s="69">
        <f>+VLOOKUP($A29,Fondos2015!$B$8:$AS$83,15,FALSE)</f>
        <v>10000</v>
      </c>
      <c r="G29" s="69">
        <f>+VLOOKUP($A29,Fondos2015!$B$8:$AS$83,20,FALSE)</f>
        <v>0</v>
      </c>
      <c r="H29" s="69">
        <f>+VLOOKUP($A29,Fondos2015!$B$8:$AS$83,23,FALSE)</f>
        <v>31169.599999999999</v>
      </c>
      <c r="I29" s="68">
        <f t="shared" si="1"/>
        <v>80400</v>
      </c>
      <c r="J29" s="69">
        <f>+VLOOKUP($A29,Fondos2015!$B$8:$BE$83,30,FALSE)</f>
        <v>0</v>
      </c>
      <c r="K29" s="69">
        <f>+VLOOKUP($A29,Fondos2015!$B$8:$BE$84,35,FALSE)</f>
        <v>80400</v>
      </c>
      <c r="L29" s="69">
        <f>+VLOOKUP($A29,Fondos2015!$B$8:$BE$84,40,FALSE)</f>
        <v>0</v>
      </c>
      <c r="M29" s="69">
        <f>+VLOOKUP($A29,Fondos2015!$B$8:$BE$84,41,FALSE)</f>
        <v>0</v>
      </c>
      <c r="N29" s="68">
        <f t="shared" si="3"/>
        <v>403916.98</v>
      </c>
      <c r="O29" s="13" t="str">
        <f t="shared" si="2"/>
        <v>Farmaceuticos Sin Fronteras de España</v>
      </c>
    </row>
    <row r="30" spans="1:15" ht="12.75" x14ac:dyDescent="0.2">
      <c r="A30" s="18" t="s">
        <v>87</v>
      </c>
      <c r="B30" s="68">
        <f t="shared" si="0"/>
        <v>3627851.1399999997</v>
      </c>
      <c r="C30" s="69">
        <f>+VLOOKUP($A30,Fondos2015!$B$8:$AS$83,3,FALSE)</f>
        <v>310552.5</v>
      </c>
      <c r="D30" s="69">
        <f>+VLOOKUP($A30,Fondos2015!$B$8:$AS$83,4,FALSE)</f>
        <v>0</v>
      </c>
      <c r="E30" s="69">
        <f>+VLOOKUP($A30,Fondos2015!$B$8:$AS$83,11,FALSE)</f>
        <v>1122861.26</v>
      </c>
      <c r="F30" s="69">
        <f>+VLOOKUP($A30,Fondos2015!$B$8:$AS$83,15,FALSE)</f>
        <v>251821.42</v>
      </c>
      <c r="G30" s="69">
        <f>+VLOOKUP($A30,Fondos2015!$B$8:$AS$83,20,FALSE)</f>
        <v>1942615.96</v>
      </c>
      <c r="H30" s="69">
        <f>+VLOOKUP($A30,Fondos2015!$B$8:$AS$83,23,FALSE)</f>
        <v>0</v>
      </c>
      <c r="I30" s="68">
        <f t="shared" si="1"/>
        <v>3364210.9099999997</v>
      </c>
      <c r="J30" s="69">
        <f>+VLOOKUP($A30,Fondos2015!$B$8:$BE$83,30,FALSE)</f>
        <v>233286</v>
      </c>
      <c r="K30" s="69">
        <f>+VLOOKUP($A30,Fondos2015!$B$8:$BE$84,35,FALSE)</f>
        <v>3120910.9499999997</v>
      </c>
      <c r="L30" s="69">
        <f>+VLOOKUP($A30,Fondos2015!$B$8:$BE$84,40,FALSE)</f>
        <v>10013.959999999999</v>
      </c>
      <c r="M30" s="69">
        <f>+VLOOKUP($A30,Fondos2015!$B$8:$BE$84,41,FALSE)</f>
        <v>0</v>
      </c>
      <c r="N30" s="68">
        <f t="shared" si="3"/>
        <v>6992062.0499999989</v>
      </c>
      <c r="O30" s="13" t="str">
        <f t="shared" si="2"/>
        <v>Farmamundi</v>
      </c>
    </row>
    <row r="31" spans="1:15" ht="12.75" x14ac:dyDescent="0.2">
      <c r="A31" s="18" t="s">
        <v>88</v>
      </c>
      <c r="B31" s="68">
        <f t="shared" si="0"/>
        <v>36900</v>
      </c>
      <c r="C31" s="69">
        <f>+VLOOKUP($A31,Fondos2015!$B$8:$AS$83,3,FALSE)</f>
        <v>0</v>
      </c>
      <c r="D31" s="69">
        <f>+VLOOKUP($A31,Fondos2015!$B$8:$AS$83,4,FALSE)</f>
        <v>0</v>
      </c>
      <c r="E31" s="69">
        <f>+VLOOKUP($A31,Fondos2015!$B$8:$AS$83,11,FALSE)</f>
        <v>10200</v>
      </c>
      <c r="F31" s="69">
        <f>+VLOOKUP($A31,Fondos2015!$B$8:$AS$83,15,FALSE)</f>
        <v>26700</v>
      </c>
      <c r="G31" s="69">
        <f>+VLOOKUP($A31,Fondos2015!$B$8:$AS$83,20,FALSE)</f>
        <v>0</v>
      </c>
      <c r="H31" s="69">
        <f>+VLOOKUP($A31,Fondos2015!$B$8:$AS$83,23,FALSE)</f>
        <v>0</v>
      </c>
      <c r="I31" s="68">
        <f t="shared" si="1"/>
        <v>86945</v>
      </c>
      <c r="J31" s="69">
        <f>+VLOOKUP($A31,Fondos2015!$B$8:$BE$83,30,FALSE)</f>
        <v>0</v>
      </c>
      <c r="K31" s="69">
        <f>+VLOOKUP($A31,Fondos2015!$B$8:$BE$84,35,FALSE)</f>
        <v>86945</v>
      </c>
      <c r="L31" s="69">
        <f>+VLOOKUP($A31,Fondos2015!$B$8:$BE$84,40,FALSE)</f>
        <v>0</v>
      </c>
      <c r="M31" s="69">
        <f>+VLOOKUP($A31,Fondos2015!$B$8:$BE$84,41,FALSE)</f>
        <v>0</v>
      </c>
      <c r="N31" s="68">
        <f t="shared" si="3"/>
        <v>123845</v>
      </c>
      <c r="O31" s="13" t="str">
        <f t="shared" si="2"/>
        <v>FERE-CECA</v>
      </c>
    </row>
    <row r="32" spans="1:15" ht="12.75" x14ac:dyDescent="0.2">
      <c r="A32" s="18" t="s">
        <v>89</v>
      </c>
      <c r="B32" s="68">
        <f t="shared" si="0"/>
        <v>555918.42000000004</v>
      </c>
      <c r="C32" s="69">
        <f>+VLOOKUP($A32,Fondos2015!$B$8:$AS$83,3,FALSE)</f>
        <v>128377.42</v>
      </c>
      <c r="D32" s="69">
        <f>+VLOOKUP($A32,Fondos2015!$B$8:$AS$83,4,FALSE)</f>
        <v>0</v>
      </c>
      <c r="E32" s="69">
        <f>+VLOOKUP($A32,Fondos2015!$B$8:$AS$83,11,FALSE)</f>
        <v>427541</v>
      </c>
      <c r="F32" s="69">
        <f>+VLOOKUP($A32,Fondos2015!$B$8:$AS$83,15,FALSE)</f>
        <v>0</v>
      </c>
      <c r="G32" s="69">
        <f>+VLOOKUP($A32,Fondos2015!$B$8:$AS$83,20,FALSE)</f>
        <v>0</v>
      </c>
      <c r="H32" s="69">
        <f>+VLOOKUP($A32,Fondos2015!$B$8:$AS$83,23,FALSE)</f>
        <v>0</v>
      </c>
      <c r="I32" s="68">
        <f t="shared" si="1"/>
        <v>553063.56999999995</v>
      </c>
      <c r="J32" s="69">
        <f>+VLOOKUP($A32,Fondos2015!$B$8:$BE$83,30,FALSE)</f>
        <v>0</v>
      </c>
      <c r="K32" s="69">
        <f>+VLOOKUP($A32,Fondos2015!$B$8:$BE$84,35,FALSE)</f>
        <v>553063.56999999995</v>
      </c>
      <c r="L32" s="69">
        <f>+VLOOKUP($A32,Fondos2015!$B$8:$BE$84,40,FALSE)</f>
        <v>0</v>
      </c>
      <c r="M32" s="69">
        <f>+VLOOKUP($A32,Fondos2015!$B$8:$BE$84,41,FALSE)</f>
        <v>0</v>
      </c>
      <c r="N32" s="68">
        <f t="shared" si="3"/>
        <v>1108981.99</v>
      </c>
      <c r="O32" s="13" t="str">
        <f t="shared" si="2"/>
        <v>FISC-COMPAÑIA DE MARIA</v>
      </c>
    </row>
    <row r="33" spans="1:15" ht="12.75" x14ac:dyDescent="0.2">
      <c r="A33" s="18" t="s">
        <v>90</v>
      </c>
      <c r="B33" s="68">
        <f t="shared" si="0"/>
        <v>571275.46</v>
      </c>
      <c r="C33" s="69">
        <f>+VLOOKUP($A33,Fondos2015!$B$8:$AS$83,3,FALSE)</f>
        <v>168869.86</v>
      </c>
      <c r="D33" s="69">
        <f>+VLOOKUP($A33,Fondos2015!$B$8:$AS$83,4,FALSE)</f>
        <v>0</v>
      </c>
      <c r="E33" s="69">
        <f>+VLOOKUP($A33,Fondos2015!$B$8:$AS$83,11,FALSE)</f>
        <v>366493.97</v>
      </c>
      <c r="F33" s="69">
        <f>+VLOOKUP($A33,Fondos2015!$B$8:$AS$83,15,FALSE)</f>
        <v>35911.629999999997</v>
      </c>
      <c r="G33" s="69">
        <f>+VLOOKUP($A33,Fondos2015!$B$8:$AS$83,20,FALSE)</f>
        <v>0</v>
      </c>
      <c r="H33" s="69">
        <f>+VLOOKUP($A33,Fondos2015!$B$8:$AS$83,23,FALSE)</f>
        <v>0</v>
      </c>
      <c r="I33" s="68">
        <f t="shared" si="1"/>
        <v>246624.33</v>
      </c>
      <c r="J33" s="69">
        <f>+VLOOKUP($A33,Fondos2015!$B$8:$BE$83,30,FALSE)</f>
        <v>0</v>
      </c>
      <c r="K33" s="69">
        <f>+VLOOKUP($A33,Fondos2015!$B$8:$BE$84,35,FALSE)</f>
        <v>246624.33</v>
      </c>
      <c r="L33" s="69">
        <f>+VLOOKUP($A33,Fondos2015!$B$8:$BE$84,40,FALSE)</f>
        <v>0</v>
      </c>
      <c r="M33" s="69">
        <f>+VLOOKUP($A33,Fondos2015!$B$8:$BE$84,41,FALSE)</f>
        <v>0</v>
      </c>
      <c r="N33" s="68">
        <f t="shared" si="3"/>
        <v>817899.78999999992</v>
      </c>
      <c r="O33" s="13" t="str">
        <f t="shared" si="2"/>
        <v>FONTILLES</v>
      </c>
    </row>
    <row r="34" spans="1:15" ht="12.75" x14ac:dyDescent="0.2">
      <c r="A34" s="18" t="s">
        <v>91</v>
      </c>
      <c r="B34" s="68">
        <f t="shared" si="0"/>
        <v>70131.789999999994</v>
      </c>
      <c r="C34" s="69">
        <f>+VLOOKUP($A34,Fondos2015!$B$8:$AS$83,3,FALSE)</f>
        <v>0</v>
      </c>
      <c r="D34" s="69">
        <f>+VLOOKUP($A34,Fondos2015!$B$8:$AS$83,4,FALSE)</f>
        <v>0</v>
      </c>
      <c r="E34" s="69">
        <f>+VLOOKUP($A34,Fondos2015!$B$8:$AS$83,11,FALSE)</f>
        <v>70131.789999999994</v>
      </c>
      <c r="F34" s="69">
        <f>+VLOOKUP($A34,Fondos2015!$B$8:$AS$83,15,FALSE)</f>
        <v>0</v>
      </c>
      <c r="G34" s="69">
        <f>+VLOOKUP($A34,Fondos2015!$B$8:$AS$83,20,FALSE)</f>
        <v>0</v>
      </c>
      <c r="H34" s="69">
        <f>+VLOOKUP($A34,Fondos2015!$B$8:$AS$83,23,FALSE)</f>
        <v>0</v>
      </c>
      <c r="I34" s="68">
        <f t="shared" si="1"/>
        <v>2738.38</v>
      </c>
      <c r="J34" s="69">
        <f>+VLOOKUP($A34,Fondos2015!$B$8:$BE$83,30,FALSE)</f>
        <v>0</v>
      </c>
      <c r="K34" s="69">
        <f>+VLOOKUP($A34,Fondos2015!$B$8:$BE$84,35,FALSE)</f>
        <v>0</v>
      </c>
      <c r="L34" s="69">
        <f>+VLOOKUP($A34,Fondos2015!$B$8:$BE$84,40,FALSE)</f>
        <v>2738.38</v>
      </c>
      <c r="M34" s="69">
        <f>+VLOOKUP($A34,Fondos2015!$B$8:$BE$84,41,FALSE)</f>
        <v>0</v>
      </c>
      <c r="N34" s="68">
        <f t="shared" si="3"/>
        <v>72870.17</v>
      </c>
      <c r="O34" s="13" t="str">
        <f t="shared" si="2"/>
        <v>Instituto Paz y Solidaridad de la Fundacion 1º de Mayo</v>
      </c>
    </row>
    <row r="35" spans="1:15" ht="12.75" x14ac:dyDescent="0.2">
      <c r="A35" s="18" t="s">
        <v>92</v>
      </c>
      <c r="B35" s="68">
        <f t="shared" si="0"/>
        <v>979674.62</v>
      </c>
      <c r="C35" s="69">
        <f>+VLOOKUP($A35,Fondos2015!$B$8:$AS$83,3,FALSE)</f>
        <v>61843.28</v>
      </c>
      <c r="D35" s="69">
        <f>+VLOOKUP($A35,Fondos2015!$B$8:$AS$83,4,FALSE)</f>
        <v>0</v>
      </c>
      <c r="E35" s="69">
        <f>+VLOOKUP($A35,Fondos2015!$B$8:$AS$83,11,FALSE)</f>
        <v>39500</v>
      </c>
      <c r="F35" s="69">
        <f>+VLOOKUP($A35,Fondos2015!$B$8:$AS$83,15,FALSE)</f>
        <v>0</v>
      </c>
      <c r="G35" s="69">
        <f>+VLOOKUP($A35,Fondos2015!$B$8:$AS$83,20,FALSE)</f>
        <v>878331.34</v>
      </c>
      <c r="H35" s="69">
        <f>+VLOOKUP($A35,Fondos2015!$B$8:$AS$83,23,FALSE)</f>
        <v>0</v>
      </c>
      <c r="I35" s="68">
        <f t="shared" si="1"/>
        <v>384251.22</v>
      </c>
      <c r="J35" s="69">
        <f>+VLOOKUP($A35,Fondos2015!$B$8:$BE$83,30,FALSE)</f>
        <v>0</v>
      </c>
      <c r="K35" s="69">
        <f>+VLOOKUP($A35,Fondos2015!$B$8:$BE$84,35,FALSE)</f>
        <v>384251.22</v>
      </c>
      <c r="L35" s="69">
        <f>+VLOOKUP($A35,Fondos2015!$B$8:$BE$84,40,FALSE)</f>
        <v>0</v>
      </c>
      <c r="M35" s="69">
        <f>+VLOOKUP($A35,Fondos2015!$B$8:$BE$84,41,FALSE)</f>
        <v>0</v>
      </c>
      <c r="N35" s="68">
        <f t="shared" si="3"/>
        <v>1363925.8399999999</v>
      </c>
      <c r="O35" s="13" t="str">
        <f t="shared" si="2"/>
        <v>Fundacion Adsis</v>
      </c>
    </row>
    <row r="36" spans="1:15" ht="12.75" x14ac:dyDescent="0.2">
      <c r="A36" s="18" t="s">
        <v>93</v>
      </c>
      <c r="B36" s="68">
        <f t="shared" si="0"/>
        <v>656873</v>
      </c>
      <c r="C36" s="69">
        <f>+VLOOKUP($A36,Fondos2015!$B$8:$AS$83,3,FALSE)</f>
        <v>0</v>
      </c>
      <c r="D36" s="69">
        <f>+VLOOKUP($A36,Fondos2015!$B$8:$AS$83,4,FALSE)</f>
        <v>0</v>
      </c>
      <c r="E36" s="69">
        <f>+VLOOKUP($A36,Fondos2015!$B$8:$AS$83,11,FALSE)</f>
        <v>7650</v>
      </c>
      <c r="F36" s="69">
        <f>+VLOOKUP($A36,Fondos2015!$B$8:$AS$83,15,FALSE)</f>
        <v>26380</v>
      </c>
      <c r="G36" s="69">
        <f>+VLOOKUP($A36,Fondos2015!$B$8:$AS$83,20,FALSE)</f>
        <v>1097</v>
      </c>
      <c r="H36" s="69">
        <f>+VLOOKUP($A36,Fondos2015!$B$8:$AS$83,23,FALSE)</f>
        <v>621746</v>
      </c>
      <c r="I36" s="68">
        <f t="shared" si="1"/>
        <v>971253</v>
      </c>
      <c r="J36" s="69">
        <f>+VLOOKUP($A36,Fondos2015!$B$8:$BE$83,30,FALSE)</f>
        <v>361240</v>
      </c>
      <c r="K36" s="69">
        <f>+VLOOKUP($A36,Fondos2015!$B$8:$BE$84,35,FALSE)</f>
        <v>232766</v>
      </c>
      <c r="L36" s="69">
        <f>+VLOOKUP($A36,Fondos2015!$B$8:$BE$84,40,FALSE)</f>
        <v>377247</v>
      </c>
      <c r="M36" s="69">
        <f>+VLOOKUP($A36,Fondos2015!$B$8:$BE$84,41,FALSE)</f>
        <v>0</v>
      </c>
      <c r="N36" s="68">
        <f t="shared" si="3"/>
        <v>1628126</v>
      </c>
      <c r="O36" s="13" t="str">
        <f t="shared" si="2"/>
        <v>Fundacion CIDEAL</v>
      </c>
    </row>
    <row r="37" spans="1:15" ht="12.75" customHeight="1" x14ac:dyDescent="0.2">
      <c r="A37" s="18" t="s">
        <v>94</v>
      </c>
      <c r="B37" s="68">
        <f t="shared" si="0"/>
        <v>59113.93</v>
      </c>
      <c r="C37" s="69">
        <f>+VLOOKUP($A37,Fondos2015!$B$8:$AS$83,3,FALSE)</f>
        <v>5638.54</v>
      </c>
      <c r="D37" s="69">
        <f>+VLOOKUP($A37,Fondos2015!$B$8:$AS$83,4,FALSE)</f>
        <v>0</v>
      </c>
      <c r="E37" s="69">
        <f>+VLOOKUP($A37,Fondos2015!$B$8:$AS$83,11,FALSE)</f>
        <v>36340.79</v>
      </c>
      <c r="F37" s="69">
        <f>+VLOOKUP($A37,Fondos2015!$B$8:$AS$83,15,FALSE)</f>
        <v>17134.599999999999</v>
      </c>
      <c r="G37" s="69">
        <f>+VLOOKUP($A37,Fondos2015!$B$8:$AS$83,20,FALSE)</f>
        <v>0</v>
      </c>
      <c r="H37" s="69">
        <f>+VLOOKUP($A37,Fondos2015!$B$8:$AS$83,23,FALSE)</f>
        <v>0</v>
      </c>
      <c r="I37" s="68">
        <f t="shared" si="1"/>
        <v>25000</v>
      </c>
      <c r="J37" s="69">
        <f>+VLOOKUP($A37,Fondos2015!$B$8:$BE$83,30,FALSE)</f>
        <v>0</v>
      </c>
      <c r="K37" s="69">
        <f>+VLOOKUP($A37,Fondos2015!$B$8:$BE$84,35,FALSE)</f>
        <v>25000</v>
      </c>
      <c r="L37" s="69">
        <f>+VLOOKUP($A37,Fondos2015!$B$8:$BE$84,40,FALSE)</f>
        <v>0</v>
      </c>
      <c r="M37" s="69">
        <f>+VLOOKUP($A37,Fondos2015!$B$8:$BE$84,41,FALSE)</f>
        <v>0</v>
      </c>
      <c r="N37" s="68">
        <f t="shared" si="3"/>
        <v>84113.93</v>
      </c>
      <c r="O37" s="13" t="str">
        <f t="shared" si="2"/>
        <v>Fundacion de Religiosos para la Salud (FRS)</v>
      </c>
    </row>
    <row r="38" spans="1:15" ht="12.75" customHeight="1" x14ac:dyDescent="0.2">
      <c r="A38" s="18" t="s">
        <v>95</v>
      </c>
      <c r="B38" s="68">
        <f t="shared" si="0"/>
        <v>169639.67</v>
      </c>
      <c r="C38" s="69">
        <f>+VLOOKUP($A38,Fondos2015!$B$8:$AS$83,3,FALSE)</f>
        <v>0</v>
      </c>
      <c r="D38" s="69">
        <f>+VLOOKUP($A38,Fondos2015!$B$8:$AS$83,4,FALSE)</f>
        <v>0</v>
      </c>
      <c r="E38" s="69">
        <f>+VLOOKUP($A38,Fondos2015!$B$8:$AS$83,11,FALSE)</f>
        <v>143621.70000000001</v>
      </c>
      <c r="F38" s="69">
        <f>+VLOOKUP($A38,Fondos2015!$B$8:$AS$83,15,FALSE)</f>
        <v>26017.97</v>
      </c>
      <c r="G38" s="69">
        <f>+VLOOKUP($A38,Fondos2015!$B$8:$AS$83,20,FALSE)</f>
        <v>0</v>
      </c>
      <c r="H38" s="69">
        <f>+VLOOKUP($A38,Fondos2015!$B$8:$AS$83,23,FALSE)</f>
        <v>0</v>
      </c>
      <c r="I38" s="68">
        <f t="shared" si="1"/>
        <v>0</v>
      </c>
      <c r="J38" s="69">
        <f>+VLOOKUP($A38,Fondos2015!$B$8:$BE$83,30,FALSE)</f>
        <v>0</v>
      </c>
      <c r="K38" s="69">
        <f>+VLOOKUP($A38,Fondos2015!$B$8:$BE$84,35,FALSE)</f>
        <v>0</v>
      </c>
      <c r="L38" s="69">
        <f>+VLOOKUP($A38,Fondos2015!$B$8:$BE$84,40,FALSE)</f>
        <v>0</v>
      </c>
      <c r="M38" s="69">
        <f>+VLOOKUP($A38,Fondos2015!$B$8:$BE$84,41,FALSE)</f>
        <v>0</v>
      </c>
      <c r="N38" s="68">
        <f t="shared" si="3"/>
        <v>169639.67</v>
      </c>
      <c r="O38" s="13" t="str">
        <f t="shared" si="2"/>
        <v>Fundacion del Valle</v>
      </c>
    </row>
    <row r="39" spans="1:15" ht="12.75" customHeight="1" x14ac:dyDescent="0.2">
      <c r="A39" s="18" t="s">
        <v>96</v>
      </c>
      <c r="B39" s="68">
        <f t="shared" si="0"/>
        <v>5640931</v>
      </c>
      <c r="C39" s="69">
        <f>+VLOOKUP($A39,Fondos2015!$B$8:$AS$83,3,FALSE)</f>
        <v>3447227</v>
      </c>
      <c r="D39" s="69">
        <f>+VLOOKUP($A39,Fondos2015!$B$8:$AS$83,4,FALSE)</f>
        <v>0</v>
      </c>
      <c r="E39" s="69">
        <f>+VLOOKUP($A39,Fondos2015!$B$8:$AS$83,11,FALSE)</f>
        <v>0</v>
      </c>
      <c r="F39" s="69">
        <f>+VLOOKUP($A39,Fondos2015!$B$8:$AS$83,15,FALSE)</f>
        <v>2088270</v>
      </c>
      <c r="G39" s="69">
        <f>+VLOOKUP($A39,Fondos2015!$B$8:$AS$83,20,FALSE)</f>
        <v>0</v>
      </c>
      <c r="H39" s="69">
        <f>+VLOOKUP($A39,Fondos2015!$B$8:$AS$83,23,FALSE)</f>
        <v>105434</v>
      </c>
      <c r="I39" s="68">
        <f t="shared" si="1"/>
        <v>4192812</v>
      </c>
      <c r="J39" s="69">
        <f>+VLOOKUP($A39,Fondos2015!$B$8:$BE$83,30,FALSE)</f>
        <v>1682044</v>
      </c>
      <c r="K39" s="69">
        <f>+VLOOKUP($A39,Fondos2015!$B$8:$BE$84,35,FALSE)</f>
        <v>2403651</v>
      </c>
      <c r="L39" s="69">
        <f>+VLOOKUP($A39,Fondos2015!$B$8:$BE$84,40,FALSE)</f>
        <v>107117</v>
      </c>
      <c r="M39" s="69">
        <f>+VLOOKUP($A39,Fondos2015!$B$8:$BE$84,41,FALSE)</f>
        <v>0</v>
      </c>
      <c r="N39" s="68">
        <f t="shared" si="3"/>
        <v>9833743</v>
      </c>
      <c r="O39" s="13" t="str">
        <f t="shared" si="2"/>
        <v>Fundacion Entreculturas</v>
      </c>
    </row>
    <row r="40" spans="1:15" ht="12.75" x14ac:dyDescent="0.2">
      <c r="A40" s="18" t="s">
        <v>97</v>
      </c>
      <c r="B40" s="68">
        <f t="shared" si="0"/>
        <v>0</v>
      </c>
      <c r="C40" s="69">
        <f>+VLOOKUP($A40,Fondos2015!$B$8:$AS$83,3,FALSE)</f>
        <v>0</v>
      </c>
      <c r="D40" s="69">
        <f>+VLOOKUP($A40,Fondos2015!$B$8:$AS$83,4,FALSE)</f>
        <v>0</v>
      </c>
      <c r="E40" s="69">
        <f>+VLOOKUP($A40,Fondos2015!$B$8:$AS$83,11,FALSE)</f>
        <v>0</v>
      </c>
      <c r="F40" s="69">
        <f>+VLOOKUP($A40,Fondos2015!$B$8:$AS$83,15,FALSE)</f>
        <v>0</v>
      </c>
      <c r="G40" s="69">
        <f>+VLOOKUP($A40,Fondos2015!$B$8:$AS$83,20,FALSE)</f>
        <v>0</v>
      </c>
      <c r="H40" s="69">
        <f>+VLOOKUP($A40,Fondos2015!$B$8:$AS$83,23,FALSE)</f>
        <v>0</v>
      </c>
      <c r="I40" s="68">
        <f t="shared" si="1"/>
        <v>0</v>
      </c>
      <c r="J40" s="69">
        <f>+VLOOKUP($A40,Fondos2015!$B$8:$BE$83,30,FALSE)</f>
        <v>0</v>
      </c>
      <c r="K40" s="69">
        <f>+VLOOKUP($A40,Fondos2015!$B$8:$BE$84,35,FALSE)</f>
        <v>0</v>
      </c>
      <c r="L40" s="69">
        <f>+VLOOKUP($A40,Fondos2015!$B$8:$BE$84,40,FALSE)</f>
        <v>0</v>
      </c>
      <c r="M40" s="69">
        <f>+VLOOKUP($A40,Fondos2015!$B$8:$BE$84,41,FALSE)</f>
        <v>0</v>
      </c>
      <c r="N40" s="68">
        <f t="shared" si="3"/>
        <v>0</v>
      </c>
      <c r="O40" s="13" t="str">
        <f t="shared" si="2"/>
        <v>Fundacion Iberoamerica-Europa</v>
      </c>
    </row>
    <row r="41" spans="1:15" ht="12.75" x14ac:dyDescent="0.2">
      <c r="A41" s="18" t="s">
        <v>98</v>
      </c>
      <c r="B41" s="68">
        <f t="shared" si="0"/>
        <v>562595.36</v>
      </c>
      <c r="C41" s="69">
        <f>+VLOOKUP($A41,Fondos2015!$B$8:$AS$83,3,FALSE)</f>
        <v>0</v>
      </c>
      <c r="D41" s="69">
        <f>+VLOOKUP($A41,Fondos2015!$B$8:$AS$83,4,FALSE)</f>
        <v>378232.01</v>
      </c>
      <c r="E41" s="69">
        <f>+VLOOKUP($A41,Fondos2015!$B$8:$AS$83,11,FALSE)</f>
        <v>184363.35</v>
      </c>
      <c r="F41" s="69">
        <f>+VLOOKUP($A41,Fondos2015!$B$8:$AS$83,15,FALSE)</f>
        <v>0</v>
      </c>
      <c r="G41" s="69">
        <f>+VLOOKUP($A41,Fondos2015!$B$8:$AS$83,20,FALSE)</f>
        <v>0</v>
      </c>
      <c r="H41" s="69">
        <f>+VLOOKUP($A41,Fondos2015!$B$8:$AS$83,23,FALSE)</f>
        <v>0</v>
      </c>
      <c r="I41" s="68">
        <f t="shared" si="1"/>
        <v>97564.32</v>
      </c>
      <c r="J41" s="69">
        <f>+VLOOKUP($A41,Fondos2015!$B$8:$BE$83,30,FALSE)</f>
        <v>57000</v>
      </c>
      <c r="K41" s="69">
        <f>+VLOOKUP($A41,Fondos2015!$B$8:$BE$84,35,FALSE)</f>
        <v>40564.32</v>
      </c>
      <c r="L41" s="69">
        <f>+VLOOKUP($A41,Fondos2015!$B$8:$BE$84,40,FALSE)</f>
        <v>0</v>
      </c>
      <c r="M41" s="69">
        <f>+VLOOKUP($A41,Fondos2015!$B$8:$BE$84,41,FALSE)</f>
        <v>0</v>
      </c>
      <c r="N41" s="68">
        <f t="shared" si="3"/>
        <v>660159.67999999993</v>
      </c>
      <c r="O41" s="13" t="str">
        <f t="shared" si="2"/>
        <v>Fundacion Madreselva</v>
      </c>
    </row>
    <row r="42" spans="1:15" ht="12.75" x14ac:dyDescent="0.2">
      <c r="A42" s="18" t="s">
        <v>99</v>
      </c>
      <c r="B42" s="68">
        <f t="shared" si="0"/>
        <v>467938</v>
      </c>
      <c r="C42" s="69">
        <f>+VLOOKUP($A42,Fondos2015!$B$8:$AS$83,3,FALSE)</f>
        <v>13000</v>
      </c>
      <c r="D42" s="69">
        <f>+VLOOKUP($A42,Fondos2015!$B$8:$AS$83,4,FALSE)</f>
        <v>0</v>
      </c>
      <c r="E42" s="69">
        <f>+VLOOKUP($A42,Fondos2015!$B$8:$AS$83,11,FALSE)</f>
        <v>6738</v>
      </c>
      <c r="F42" s="69">
        <f>+VLOOKUP($A42,Fondos2015!$B$8:$AS$83,15,FALSE)</f>
        <v>448200</v>
      </c>
      <c r="G42" s="69">
        <f>+VLOOKUP($A42,Fondos2015!$B$8:$AS$83,20,FALSE)</f>
        <v>0</v>
      </c>
      <c r="H42" s="69">
        <f>+VLOOKUP($A42,Fondos2015!$B$8:$AS$83,23,FALSE)</f>
        <v>0</v>
      </c>
      <c r="I42" s="68">
        <f t="shared" si="1"/>
        <v>88622</v>
      </c>
      <c r="J42" s="69">
        <f>+VLOOKUP($A42,Fondos2015!$B$8:$BE$83,30,FALSE)</f>
        <v>0</v>
      </c>
      <c r="K42" s="69">
        <f>+VLOOKUP($A42,Fondos2015!$B$8:$BE$84,35,FALSE)</f>
        <v>88622</v>
      </c>
      <c r="L42" s="69">
        <f>+VLOOKUP($A42,Fondos2015!$B$8:$BE$84,40,FALSE)</f>
        <v>0</v>
      </c>
      <c r="M42" s="69">
        <f>+VLOOKUP($A42,Fondos2015!$B$8:$BE$84,41,FALSE)</f>
        <v>0</v>
      </c>
      <c r="N42" s="68">
        <f t="shared" si="3"/>
        <v>556560</v>
      </c>
      <c r="O42" s="13" t="str">
        <f t="shared" si="2"/>
        <v>Fundacion Mainel</v>
      </c>
    </row>
    <row r="43" spans="1:15" ht="12.75" x14ac:dyDescent="0.2">
      <c r="A43" s="18" t="s">
        <v>100</v>
      </c>
      <c r="B43" s="68">
        <f t="shared" si="0"/>
        <v>284697.31</v>
      </c>
      <c r="C43" s="69">
        <f>+VLOOKUP($A43,Fondos2015!$B$8:$AS$83,3,FALSE)</f>
        <v>0</v>
      </c>
      <c r="D43" s="69">
        <f>+VLOOKUP($A43,Fondos2015!$B$8:$AS$83,4,FALSE)</f>
        <v>0</v>
      </c>
      <c r="E43" s="69">
        <f>+VLOOKUP($A43,Fondos2015!$B$8:$AS$83,11,FALSE)</f>
        <v>68302.98</v>
      </c>
      <c r="F43" s="69">
        <f>+VLOOKUP($A43,Fondos2015!$B$8:$AS$83,15,FALSE)</f>
        <v>216394.33</v>
      </c>
      <c r="G43" s="69">
        <f>+VLOOKUP($A43,Fondos2015!$B$8:$AS$83,20,FALSE)</f>
        <v>0</v>
      </c>
      <c r="H43" s="69">
        <f>+VLOOKUP($A43,Fondos2015!$B$8:$AS$83,23,FALSE)</f>
        <v>0</v>
      </c>
      <c r="I43" s="68">
        <f t="shared" si="1"/>
        <v>483274.08</v>
      </c>
      <c r="J43" s="69">
        <f>+VLOOKUP($A43,Fondos2015!$B$8:$BE$83,30,FALSE)</f>
        <v>320000</v>
      </c>
      <c r="K43" s="69">
        <f>+VLOOKUP($A43,Fondos2015!$B$8:$BE$84,35,FALSE)</f>
        <v>163274.08000000002</v>
      </c>
      <c r="L43" s="69">
        <f>+VLOOKUP($A43,Fondos2015!$B$8:$BE$84,40,FALSE)</f>
        <v>0</v>
      </c>
      <c r="M43" s="69">
        <f>+VLOOKUP($A43,Fondos2015!$B$8:$BE$84,41,FALSE)</f>
        <v>0</v>
      </c>
      <c r="N43" s="68">
        <f t="shared" si="3"/>
        <v>767971.39</v>
      </c>
      <c r="O43" s="13" t="str">
        <f t="shared" si="2"/>
        <v>Fundacion para el Desarrollo de la Enfermeria - FUDEN</v>
      </c>
    </row>
    <row r="44" spans="1:15" ht="12.75" x14ac:dyDescent="0.2">
      <c r="A44" s="18" t="s">
        <v>101</v>
      </c>
      <c r="B44" s="68">
        <f t="shared" si="0"/>
        <v>642202.34</v>
      </c>
      <c r="C44" s="69">
        <f>+VLOOKUP($A44,Fondos2015!$B$8:$AS$83,3,FALSE)</f>
        <v>39128.620000000003</v>
      </c>
      <c r="D44" s="69">
        <f>+VLOOKUP($A44,Fondos2015!$B$8:$AS$83,4,FALSE)</f>
        <v>221578.6</v>
      </c>
      <c r="E44" s="69">
        <f>+VLOOKUP($A44,Fondos2015!$B$8:$AS$83,11,FALSE)</f>
        <v>335927.43000000005</v>
      </c>
      <c r="F44" s="69">
        <f>+VLOOKUP($A44,Fondos2015!$B$8:$AS$83,15,FALSE)</f>
        <v>12398.1</v>
      </c>
      <c r="G44" s="69">
        <f>+VLOOKUP($A44,Fondos2015!$B$8:$AS$83,20,FALSE)</f>
        <v>33169.589999999997</v>
      </c>
      <c r="H44" s="69">
        <f>+VLOOKUP($A44,Fondos2015!$B$8:$AS$83,23,FALSE)</f>
        <v>0</v>
      </c>
      <c r="I44" s="68">
        <f t="shared" si="1"/>
        <v>574182.66</v>
      </c>
      <c r="J44" s="69">
        <f>+VLOOKUP($A44,Fondos2015!$B$8:$BE$83,30,FALSE)</f>
        <v>0</v>
      </c>
      <c r="K44" s="69">
        <f>+VLOOKUP($A44,Fondos2015!$B$8:$BE$84,35,FALSE)</f>
        <v>574182.66</v>
      </c>
      <c r="L44" s="69">
        <f>+VLOOKUP($A44,Fondos2015!$B$8:$BE$84,40,FALSE)</f>
        <v>0</v>
      </c>
      <c r="M44" s="69">
        <f>+VLOOKUP($A44,Fondos2015!$B$8:$BE$84,41,FALSE)</f>
        <v>0</v>
      </c>
      <c r="N44" s="68">
        <f t="shared" si="3"/>
        <v>1216385</v>
      </c>
      <c r="O44" s="13" t="str">
        <f t="shared" si="2"/>
        <v>Fundacion PROCLADE</v>
      </c>
    </row>
    <row r="45" spans="1:15" ht="12.75" x14ac:dyDescent="0.2">
      <c r="A45" s="18" t="s">
        <v>102</v>
      </c>
      <c r="B45" s="68">
        <f t="shared" si="0"/>
        <v>935538</v>
      </c>
      <c r="C45" s="69">
        <f>+VLOOKUP($A45,Fondos2015!$B$8:$AS$83,3,FALSE)</f>
        <v>0</v>
      </c>
      <c r="D45" s="69">
        <f>+VLOOKUP($A45,Fondos2015!$B$8:$AS$83,4,FALSE)</f>
        <v>0</v>
      </c>
      <c r="E45" s="69">
        <f>+VLOOKUP($A45,Fondos2015!$B$8:$AS$83,11,FALSE)</f>
        <v>0</v>
      </c>
      <c r="F45" s="69">
        <f>+VLOOKUP($A45,Fondos2015!$B$8:$AS$83,15,FALSE)</f>
        <v>935538</v>
      </c>
      <c r="G45" s="69">
        <f>+VLOOKUP($A45,Fondos2015!$B$8:$AS$83,20,FALSE)</f>
        <v>0</v>
      </c>
      <c r="H45" s="69">
        <f>+VLOOKUP($A45,Fondos2015!$B$8:$AS$83,23,FALSE)</f>
        <v>0</v>
      </c>
      <c r="I45" s="68">
        <f t="shared" si="1"/>
        <v>329620</v>
      </c>
      <c r="J45" s="69">
        <f>+VLOOKUP($A45,Fondos2015!$B$8:$BE$83,30,FALSE)</f>
        <v>329620</v>
      </c>
      <c r="K45" s="69">
        <f>+VLOOKUP($A45,Fondos2015!$B$8:$BE$84,35,FALSE)</f>
        <v>0</v>
      </c>
      <c r="L45" s="69">
        <f>+VLOOKUP($A45,Fondos2015!$B$8:$BE$84,40,FALSE)</f>
        <v>0</v>
      </c>
      <c r="M45" s="69">
        <f>+VLOOKUP($A45,Fondos2015!$B$8:$BE$84,41,FALSE)</f>
        <v>0</v>
      </c>
      <c r="N45" s="68">
        <f t="shared" si="3"/>
        <v>1265158</v>
      </c>
      <c r="O45" s="13" t="str">
        <f t="shared" si="2"/>
        <v>Fundacion Promocion Social de la Cultura</v>
      </c>
    </row>
    <row r="46" spans="1:15" ht="12.75" x14ac:dyDescent="0.2">
      <c r="A46" s="18" t="s">
        <v>103</v>
      </c>
      <c r="B46" s="68">
        <f t="shared" si="0"/>
        <v>86212</v>
      </c>
      <c r="C46" s="69">
        <f>+VLOOKUP($A46,Fondos2015!$B$8:$AS$83,3,FALSE)</f>
        <v>20526</v>
      </c>
      <c r="D46" s="69">
        <f>+VLOOKUP($A46,Fondos2015!$B$8:$AS$83,4,FALSE)</f>
        <v>0</v>
      </c>
      <c r="E46" s="69">
        <f>+VLOOKUP($A46,Fondos2015!$B$8:$AS$83,11,FALSE)</f>
        <v>63125</v>
      </c>
      <c r="F46" s="69">
        <f>+VLOOKUP($A46,Fondos2015!$B$8:$AS$83,15,FALSE)</f>
        <v>0</v>
      </c>
      <c r="G46" s="69">
        <f>+VLOOKUP($A46,Fondos2015!$B$8:$AS$83,20,FALSE)</f>
        <v>2561</v>
      </c>
      <c r="H46" s="69">
        <f>+VLOOKUP($A46,Fondos2015!$B$8:$AS$83,23,FALSE)</f>
        <v>0</v>
      </c>
      <c r="I46" s="68">
        <f t="shared" si="1"/>
        <v>29453</v>
      </c>
      <c r="J46" s="69">
        <f>+VLOOKUP($A46,Fondos2015!$B$8:$BE$83,30,FALSE)</f>
        <v>0</v>
      </c>
      <c r="K46" s="69">
        <f>+VLOOKUP($A46,Fondos2015!$B$8:$BE$84,35,FALSE)</f>
        <v>29453</v>
      </c>
      <c r="L46" s="69">
        <f>+VLOOKUP($A46,Fondos2015!$B$8:$BE$84,40,FALSE)</f>
        <v>0</v>
      </c>
      <c r="M46" s="69">
        <f>+VLOOKUP($A46,Fondos2015!$B$8:$BE$84,41,FALSE)</f>
        <v>0</v>
      </c>
      <c r="N46" s="68">
        <f t="shared" si="3"/>
        <v>115665</v>
      </c>
      <c r="O46" s="13" t="str">
        <f t="shared" si="2"/>
        <v>Humanismo y Democracia, H+D</v>
      </c>
    </row>
    <row r="47" spans="1:15" ht="12.75" x14ac:dyDescent="0.2">
      <c r="A47" s="18" t="s">
        <v>104</v>
      </c>
      <c r="B47" s="68">
        <f t="shared" si="0"/>
        <v>207465.09000000003</v>
      </c>
      <c r="C47" s="69">
        <f>+VLOOKUP($A47,Fondos2015!$B$8:$AS$83,3,FALSE)</f>
        <v>206588.7</v>
      </c>
      <c r="D47" s="69">
        <f>+VLOOKUP($A47,Fondos2015!$B$8:$AS$83,4,FALSE)</f>
        <v>0</v>
      </c>
      <c r="E47" s="69">
        <f>+VLOOKUP($A47,Fondos2015!$B$8:$AS$83,11,FALSE)</f>
        <v>876.39</v>
      </c>
      <c r="F47" s="69">
        <f>+VLOOKUP($A47,Fondos2015!$B$8:$AS$83,15,FALSE)</f>
        <v>0</v>
      </c>
      <c r="G47" s="69">
        <f>+VLOOKUP($A47,Fondos2015!$B$8:$AS$83,20,FALSE)</f>
        <v>0</v>
      </c>
      <c r="H47" s="69">
        <f>+VLOOKUP($A47,Fondos2015!$B$8:$AS$83,23,FALSE)</f>
        <v>0</v>
      </c>
      <c r="I47" s="68">
        <f t="shared" si="1"/>
        <v>-3069.6</v>
      </c>
      <c r="J47" s="69">
        <f>+VLOOKUP($A47,Fondos2015!$B$8:$BE$83,30,FALSE)</f>
        <v>800</v>
      </c>
      <c r="K47" s="69">
        <f>+VLOOKUP($A47,Fondos2015!$B$8:$BE$84,35,FALSE)</f>
        <v>0</v>
      </c>
      <c r="L47" s="69">
        <f>+VLOOKUP($A47,Fondos2015!$B$8:$BE$84,40,FALSE)</f>
        <v>-3869.6</v>
      </c>
      <c r="M47" s="69">
        <f>+VLOOKUP($A47,Fondos2015!$B$8:$BE$84,41,FALSE)</f>
        <v>0</v>
      </c>
      <c r="N47" s="68">
        <f t="shared" si="3"/>
        <v>204395.49000000002</v>
      </c>
      <c r="O47" s="13" t="str">
        <f t="shared" si="2"/>
        <v>InspirAction</v>
      </c>
    </row>
    <row r="48" spans="1:15" ht="12.75" x14ac:dyDescent="0.2">
      <c r="A48" s="18" t="s">
        <v>105</v>
      </c>
      <c r="B48" s="68">
        <f t="shared" si="0"/>
        <v>1020545.65</v>
      </c>
      <c r="C48" s="69">
        <f>+VLOOKUP($A48,Fondos2015!$B$8:$AS$83,3,FALSE)</f>
        <v>410320.88</v>
      </c>
      <c r="D48" s="69">
        <f>+VLOOKUP($A48,Fondos2015!$B$8:$AS$83,4,FALSE)</f>
        <v>0</v>
      </c>
      <c r="E48" s="69">
        <f>+VLOOKUP($A48,Fondos2015!$B$8:$AS$83,11,FALSE)</f>
        <v>554890.28</v>
      </c>
      <c r="F48" s="69">
        <f>+VLOOKUP($A48,Fondos2015!$B$8:$AS$83,15,FALSE)</f>
        <v>40750</v>
      </c>
      <c r="G48" s="69">
        <f>+VLOOKUP($A48,Fondos2015!$B$8:$AS$83,20,FALSE)</f>
        <v>0</v>
      </c>
      <c r="H48" s="69">
        <f>+VLOOKUP($A48,Fondos2015!$B$8:$AS$83,23,FALSE)</f>
        <v>14584.49</v>
      </c>
      <c r="I48" s="68">
        <f t="shared" si="1"/>
        <v>1994532.57</v>
      </c>
      <c r="J48" s="69">
        <f>+VLOOKUP($A48,Fondos2015!$B$8:$BE$83,30,FALSE)</f>
        <v>292159.03000000003</v>
      </c>
      <c r="K48" s="69">
        <f>+VLOOKUP($A48,Fondos2015!$B$8:$BE$84,35,FALSE)</f>
        <v>1301873.54</v>
      </c>
      <c r="L48" s="69">
        <f>+VLOOKUP($A48,Fondos2015!$B$8:$BE$84,40,FALSE)</f>
        <v>400500</v>
      </c>
      <c r="M48" s="69">
        <f>+VLOOKUP($A48,Fondos2015!$B$8:$BE$84,41,FALSE)</f>
        <v>0</v>
      </c>
      <c r="N48" s="68">
        <f t="shared" si="3"/>
        <v>3015078.22</v>
      </c>
      <c r="O48" s="13" t="str">
        <f t="shared" si="2"/>
        <v>InteRed</v>
      </c>
    </row>
    <row r="49" spans="1:15" ht="12.75" x14ac:dyDescent="0.2">
      <c r="A49" s="18" t="s">
        <v>106</v>
      </c>
      <c r="B49" s="68">
        <f t="shared" si="0"/>
        <v>591159.51</v>
      </c>
      <c r="C49" s="69">
        <f>+VLOOKUP($A49,Fondos2015!$B$8:$AS$83,3,FALSE)</f>
        <v>4750.1000000000004</v>
      </c>
      <c r="D49" s="69">
        <f>+VLOOKUP($A49,Fondos2015!$B$8:$AS$83,4,FALSE)</f>
        <v>0</v>
      </c>
      <c r="E49" s="69">
        <f>+VLOOKUP($A49,Fondos2015!$B$8:$AS$83,11,FALSE)</f>
        <v>39056.74</v>
      </c>
      <c r="F49" s="69">
        <f>+VLOOKUP($A49,Fondos2015!$B$8:$AS$83,15,FALSE)</f>
        <v>547352.67000000004</v>
      </c>
      <c r="G49" s="69">
        <f>+VLOOKUP($A49,Fondos2015!$B$8:$AS$83,20,FALSE)</f>
        <v>0</v>
      </c>
      <c r="H49" s="69">
        <f>+VLOOKUP($A49,Fondos2015!$B$8:$AS$83,23,FALSE)</f>
        <v>0</v>
      </c>
      <c r="I49" s="68">
        <f t="shared" si="1"/>
        <v>435493.55000000005</v>
      </c>
      <c r="J49" s="69">
        <f>+VLOOKUP($A49,Fondos2015!$B$8:$BE$83,30,FALSE)</f>
        <v>187461.82</v>
      </c>
      <c r="K49" s="69">
        <f>+VLOOKUP($A49,Fondos2015!$B$8:$BE$84,35,FALSE)</f>
        <v>248031.73</v>
      </c>
      <c r="L49" s="69">
        <f>+VLOOKUP($A49,Fondos2015!$B$8:$BE$84,40,FALSE)</f>
        <v>0</v>
      </c>
      <c r="M49" s="69">
        <f>+VLOOKUP($A49,Fondos2015!$B$8:$BE$84,41,FALSE)</f>
        <v>0</v>
      </c>
      <c r="N49" s="68">
        <f t="shared" si="3"/>
        <v>1026653.06</v>
      </c>
      <c r="O49" s="13" t="str">
        <f t="shared" si="2"/>
        <v>ISCOD</v>
      </c>
    </row>
    <row r="50" spans="1:15" ht="12.75" x14ac:dyDescent="0.2">
      <c r="A50" s="18" t="s">
        <v>107</v>
      </c>
      <c r="B50" s="68">
        <f t="shared" si="0"/>
        <v>785443.60999999987</v>
      </c>
      <c r="C50" s="69">
        <f>+VLOOKUP($A50,Fondos2015!$B$8:$AS$83,3,FALSE)</f>
        <v>109366.7</v>
      </c>
      <c r="D50" s="69">
        <f>+VLOOKUP($A50,Fondos2015!$B$8:$AS$83,4,FALSE)</f>
        <v>0</v>
      </c>
      <c r="E50" s="69">
        <f>+VLOOKUP($A50,Fondos2015!$B$8:$AS$83,11,FALSE)</f>
        <v>619257.43999999994</v>
      </c>
      <c r="F50" s="69">
        <f>+VLOOKUP($A50,Fondos2015!$B$8:$AS$83,15,FALSE)</f>
        <v>56819.47</v>
      </c>
      <c r="G50" s="69">
        <f>+VLOOKUP($A50,Fondos2015!$B$8:$AS$83,20,FALSE)</f>
        <v>0</v>
      </c>
      <c r="H50" s="69">
        <f>+VLOOKUP($A50,Fondos2015!$B$8:$AS$83,23,FALSE)</f>
        <v>0</v>
      </c>
      <c r="I50" s="68">
        <f t="shared" si="1"/>
        <v>465592.47</v>
      </c>
      <c r="J50" s="69">
        <f>+VLOOKUP($A50,Fondos2015!$B$8:$BE$83,30,FALSE)</f>
        <v>55680</v>
      </c>
      <c r="K50" s="69">
        <f>+VLOOKUP($A50,Fondos2015!$B$8:$BE$84,35,FALSE)</f>
        <v>369770.69</v>
      </c>
      <c r="L50" s="69">
        <f>+VLOOKUP($A50,Fondos2015!$B$8:$BE$84,40,FALSE)</f>
        <v>40141.78</v>
      </c>
      <c r="M50" s="69">
        <f>+VLOOKUP($A50,Fondos2015!$B$8:$BE$84,41,FALSE)</f>
        <v>0</v>
      </c>
      <c r="N50" s="68">
        <f t="shared" si="3"/>
        <v>1251036.0799999998</v>
      </c>
      <c r="O50" s="13" t="str">
        <f t="shared" si="2"/>
        <v>JOVENES Y DESARROLLO</v>
      </c>
    </row>
    <row r="51" spans="1:15" ht="12.75" x14ac:dyDescent="0.2">
      <c r="A51" s="18" t="s">
        <v>108</v>
      </c>
      <c r="B51" s="68">
        <f t="shared" si="0"/>
        <v>1443374.32</v>
      </c>
      <c r="C51" s="69">
        <f>+VLOOKUP($A51,Fondos2015!$B$8:$AS$83,3,FALSE)</f>
        <v>38616.129999999997</v>
      </c>
      <c r="D51" s="69">
        <f>+VLOOKUP($A51,Fondos2015!$B$8:$AS$83,4,FALSE)</f>
        <v>0</v>
      </c>
      <c r="E51" s="69">
        <f>+VLOOKUP($A51,Fondos2015!$B$8:$AS$83,11,FALSE)</f>
        <v>484352.18</v>
      </c>
      <c r="F51" s="69">
        <f>+VLOOKUP($A51,Fondos2015!$B$8:$AS$83,15,FALSE)</f>
        <v>920406.01</v>
      </c>
      <c r="G51" s="69">
        <f>+VLOOKUP($A51,Fondos2015!$B$8:$AS$83,20,FALSE)</f>
        <v>0</v>
      </c>
      <c r="H51" s="69">
        <f>+VLOOKUP($A51,Fondos2015!$B$8:$AS$83,23,FALSE)</f>
        <v>0</v>
      </c>
      <c r="I51" s="68">
        <f t="shared" si="1"/>
        <v>79142.7</v>
      </c>
      <c r="J51" s="69">
        <f>+VLOOKUP($A51,Fondos2015!$B$8:$BE$83,30,FALSE)</f>
        <v>0</v>
      </c>
      <c r="K51" s="69">
        <f>+VLOOKUP($A51,Fondos2015!$B$8:$BE$84,35,FALSE)</f>
        <v>79142.7</v>
      </c>
      <c r="L51" s="69">
        <f>+VLOOKUP($A51,Fondos2015!$B$8:$BE$84,40,FALSE)</f>
        <v>0</v>
      </c>
      <c r="M51" s="69">
        <f>+VLOOKUP($A51,Fondos2015!$B$8:$BE$84,41,FALSE)</f>
        <v>0</v>
      </c>
      <c r="N51" s="68">
        <f t="shared" si="3"/>
        <v>1522517.02</v>
      </c>
      <c r="O51" s="13" t="str">
        <f t="shared" si="2"/>
        <v>Juan Ciudad ONGD</v>
      </c>
    </row>
    <row r="52" spans="1:15" ht="12.75" x14ac:dyDescent="0.2">
      <c r="A52" s="18" t="s">
        <v>109</v>
      </c>
      <c r="B52" s="68">
        <f t="shared" si="0"/>
        <v>37921735</v>
      </c>
      <c r="C52" s="69">
        <f>+VLOOKUP($A52,Fondos2015!$B$8:$AS$83,3,FALSE)</f>
        <v>9018717</v>
      </c>
      <c r="D52" s="69">
        <f>+VLOOKUP($A52,Fondos2015!$B$8:$AS$83,4,FALSE)</f>
        <v>0</v>
      </c>
      <c r="E52" s="69">
        <f>+VLOOKUP($A52,Fondos2015!$B$8:$AS$83,11,FALSE)</f>
        <v>23103010</v>
      </c>
      <c r="F52" s="69">
        <f>+VLOOKUP($A52,Fondos2015!$B$8:$AS$83,15,FALSE)</f>
        <v>420719</v>
      </c>
      <c r="G52" s="69">
        <f>+VLOOKUP($A52,Fondos2015!$B$8:$AS$83,20,FALSE)</f>
        <v>14160</v>
      </c>
      <c r="H52" s="69">
        <f>+VLOOKUP($A52,Fondos2015!$B$8:$AS$83,23,FALSE)</f>
        <v>5365129</v>
      </c>
      <c r="I52" s="68">
        <f t="shared" si="1"/>
        <v>5460686</v>
      </c>
      <c r="J52" s="69">
        <f>+VLOOKUP($A52,Fondos2015!$B$8:$BE$83,30,FALSE)</f>
        <v>2393950</v>
      </c>
      <c r="K52" s="69">
        <f>+VLOOKUP($A52,Fondos2015!$B$8:$BE$84,35,FALSE)</f>
        <v>3066736</v>
      </c>
      <c r="L52" s="69">
        <f>+VLOOKUP($A52,Fondos2015!$B$8:$BE$84,40,FALSE)</f>
        <v>0</v>
      </c>
      <c r="M52" s="69">
        <f>+VLOOKUP($A52,Fondos2015!$B$8:$BE$84,41,FALSE)</f>
        <v>0</v>
      </c>
      <c r="N52" s="68">
        <f t="shared" si="3"/>
        <v>43382421</v>
      </c>
      <c r="O52" s="13" t="str">
        <f t="shared" si="2"/>
        <v>Manos Unidas</v>
      </c>
    </row>
    <row r="53" spans="1:15" ht="12.75" x14ac:dyDescent="0.2">
      <c r="A53" s="18" t="s">
        <v>110</v>
      </c>
      <c r="B53" s="68">
        <f t="shared" si="0"/>
        <v>10220000</v>
      </c>
      <c r="C53" s="69">
        <f>+VLOOKUP($A53,Fondos2015!$B$8:$AS$83,3,FALSE)</f>
        <v>7000000</v>
      </c>
      <c r="D53" s="69">
        <f>+VLOOKUP($A53,Fondos2015!$B$8:$AS$83,4,FALSE)</f>
        <v>0</v>
      </c>
      <c r="E53" s="69">
        <f>+VLOOKUP($A53,Fondos2015!$B$8:$AS$83,11,FALSE)</f>
        <v>2560000</v>
      </c>
      <c r="F53" s="69">
        <f>+VLOOKUP($A53,Fondos2015!$B$8:$AS$83,15,FALSE)</f>
        <v>660000</v>
      </c>
      <c r="G53" s="69">
        <f>+VLOOKUP($A53,Fondos2015!$B$8:$AS$83,20,FALSE)</f>
        <v>0</v>
      </c>
      <c r="H53" s="69">
        <f>+VLOOKUP($A53,Fondos2015!$B$8:$AS$83,23,FALSE)</f>
        <v>0</v>
      </c>
      <c r="I53" s="68">
        <f t="shared" si="1"/>
        <v>16484691</v>
      </c>
      <c r="J53" s="69">
        <f>+VLOOKUP($A53,Fondos2015!$B$8:$BE$83,30,FALSE)</f>
        <v>674345</v>
      </c>
      <c r="K53" s="69">
        <f>+VLOOKUP($A53,Fondos2015!$B$8:$BE$84,35,FALSE)</f>
        <v>1830606</v>
      </c>
      <c r="L53" s="69">
        <f>+VLOOKUP($A53,Fondos2015!$B$8:$BE$84,40,FALSE)</f>
        <v>13979740</v>
      </c>
      <c r="M53" s="69">
        <f>+VLOOKUP($A53,Fondos2015!$B$8:$BE$84,41,FALSE)</f>
        <v>0</v>
      </c>
      <c r="N53" s="68">
        <f t="shared" si="3"/>
        <v>26704691</v>
      </c>
      <c r="O53" s="13" t="str">
        <f t="shared" si="2"/>
        <v>Medicos del Mundo</v>
      </c>
    </row>
    <row r="54" spans="1:15" ht="12.75" x14ac:dyDescent="0.2">
      <c r="A54" s="18" t="s">
        <v>111</v>
      </c>
      <c r="B54" s="68">
        <f t="shared" si="0"/>
        <v>2256585.4099999997</v>
      </c>
      <c r="C54" s="69">
        <f>+VLOOKUP($A54,Fondos2015!$B$8:$AS$83,3,FALSE)</f>
        <v>581012.97</v>
      </c>
      <c r="D54" s="69">
        <f>+VLOOKUP($A54,Fondos2015!$B$8:$AS$83,4,FALSE)</f>
        <v>0</v>
      </c>
      <c r="E54" s="69">
        <f>+VLOOKUP($A54,Fondos2015!$B$8:$AS$83,11,FALSE)</f>
        <v>696546.90999999992</v>
      </c>
      <c r="F54" s="69">
        <f>+VLOOKUP($A54,Fondos2015!$B$8:$AS$83,15,FALSE)</f>
        <v>658977.76</v>
      </c>
      <c r="G54" s="69">
        <f>+VLOOKUP($A54,Fondos2015!$B$8:$AS$83,20,FALSE)</f>
        <v>0</v>
      </c>
      <c r="H54" s="69">
        <f>+VLOOKUP($A54,Fondos2015!$B$8:$AS$83,23,FALSE)</f>
        <v>320047.76999999996</v>
      </c>
      <c r="I54" s="68">
        <f t="shared" si="1"/>
        <v>8357298.8199999994</v>
      </c>
      <c r="J54" s="69">
        <f>+VLOOKUP($A54,Fondos2015!$B$8:$BE$83,30,FALSE)</f>
        <v>566613</v>
      </c>
      <c r="K54" s="69">
        <f>+VLOOKUP($A54,Fondos2015!$B$8:$BE$84,35,FALSE)</f>
        <v>4942914.7699999996</v>
      </c>
      <c r="L54" s="69">
        <f>+VLOOKUP($A54,Fondos2015!$B$8:$BE$84,40,FALSE)</f>
        <v>2847771.05</v>
      </c>
      <c r="M54" s="69">
        <f>+VLOOKUP($A54,Fondos2015!$B$8:$BE$84,41,FALSE)</f>
        <v>0</v>
      </c>
      <c r="N54" s="68">
        <f t="shared" si="3"/>
        <v>10613884.229999999</v>
      </c>
      <c r="O54" s="13" t="str">
        <f t="shared" si="2"/>
        <v>Medicus Mundi</v>
      </c>
    </row>
    <row r="55" spans="1:15" ht="12.75" x14ac:dyDescent="0.2">
      <c r="A55" s="18" t="s">
        <v>112</v>
      </c>
      <c r="B55" s="68">
        <f t="shared" si="0"/>
        <v>1229335.1900000002</v>
      </c>
      <c r="C55" s="69">
        <f>+VLOOKUP($A55,Fondos2015!$B$8:$AS$83,3,FALSE)</f>
        <v>110023.34</v>
      </c>
      <c r="D55" s="69">
        <f>+VLOOKUP($A55,Fondos2015!$B$8:$AS$83,4,FALSE)</f>
        <v>0</v>
      </c>
      <c r="E55" s="69">
        <f>+VLOOKUP($A55,Fondos2015!$B$8:$AS$83,11,FALSE)</f>
        <v>1119311.8500000001</v>
      </c>
      <c r="F55" s="69">
        <f>+VLOOKUP($A55,Fondos2015!$B$8:$AS$83,15,FALSE)</f>
        <v>0</v>
      </c>
      <c r="G55" s="69">
        <f>+VLOOKUP($A55,Fondos2015!$B$8:$AS$83,20,FALSE)</f>
        <v>0</v>
      </c>
      <c r="H55" s="69">
        <f>+VLOOKUP($A55,Fondos2015!$B$8:$AS$83,23,FALSE)</f>
        <v>0</v>
      </c>
      <c r="I55" s="68">
        <f t="shared" si="1"/>
        <v>0</v>
      </c>
      <c r="J55" s="69">
        <f>+VLOOKUP($A55,Fondos2015!$B$8:$BE$83,30,FALSE)</f>
        <v>0</v>
      </c>
      <c r="K55" s="69">
        <f>+VLOOKUP($A55,Fondos2015!$B$8:$BE$84,35,FALSE)</f>
        <v>0</v>
      </c>
      <c r="L55" s="69">
        <f>+VLOOKUP($A55,Fondos2015!$B$8:$BE$84,40,FALSE)</f>
        <v>0</v>
      </c>
      <c r="M55" s="69">
        <f>+VLOOKUP($A55,Fondos2015!$B$8:$BE$84,41,FALSE)</f>
        <v>0</v>
      </c>
      <c r="N55" s="68">
        <f t="shared" si="3"/>
        <v>1229335.1900000002</v>
      </c>
      <c r="O55" s="13" t="str">
        <f t="shared" si="2"/>
        <v>FUNDACION MENSAJEROS DE LA PAZ</v>
      </c>
    </row>
    <row r="56" spans="1:15" ht="12.75" x14ac:dyDescent="0.2">
      <c r="A56" s="18" t="s">
        <v>113</v>
      </c>
      <c r="B56" s="68">
        <f t="shared" si="0"/>
        <v>98749.860000000015</v>
      </c>
      <c r="C56" s="69">
        <f>+VLOOKUP($A56,Fondos2015!$B$8:$AS$83,3,FALSE)</f>
        <v>12985.47</v>
      </c>
      <c r="D56" s="69">
        <f>+VLOOKUP($A56,Fondos2015!$B$8:$AS$83,4,FALSE)</f>
        <v>6669.99</v>
      </c>
      <c r="E56" s="69">
        <f>+VLOOKUP($A56,Fondos2015!$B$8:$AS$83,11,FALSE)</f>
        <v>26710.5</v>
      </c>
      <c r="F56" s="69">
        <f>+VLOOKUP($A56,Fondos2015!$B$8:$AS$83,15,FALSE)</f>
        <v>52349.8</v>
      </c>
      <c r="G56" s="69">
        <f>+VLOOKUP($A56,Fondos2015!$B$8:$AS$83,20,FALSE)</f>
        <v>0</v>
      </c>
      <c r="H56" s="69">
        <f>+VLOOKUP($A56,Fondos2015!$B$8:$AS$83,23,FALSE)</f>
        <v>34.1</v>
      </c>
      <c r="I56" s="68">
        <f t="shared" si="1"/>
        <v>58963.15</v>
      </c>
      <c r="J56" s="69">
        <f>+VLOOKUP($A56,Fondos2015!$B$8:$BE$83,30,FALSE)</f>
        <v>0</v>
      </c>
      <c r="K56" s="69">
        <f>+VLOOKUP($A56,Fondos2015!$B$8:$BE$84,35,FALSE)</f>
        <v>58963.15</v>
      </c>
      <c r="L56" s="69">
        <f>+VLOOKUP($A56,Fondos2015!$B$8:$BE$84,40,FALSE)</f>
        <v>0</v>
      </c>
      <c r="M56" s="69">
        <f>+VLOOKUP($A56,Fondos2015!$B$8:$BE$84,41,FALSE)</f>
        <v>0</v>
      </c>
      <c r="N56" s="68">
        <f t="shared" si="3"/>
        <v>157713.01</v>
      </c>
      <c r="O56" s="13" t="str">
        <f t="shared" si="2"/>
        <v>Mision America</v>
      </c>
    </row>
    <row r="57" spans="1:15" ht="12.75" x14ac:dyDescent="0.2">
      <c r="A57" s="18" t="s">
        <v>114</v>
      </c>
      <c r="B57" s="68">
        <f t="shared" si="0"/>
        <v>130952.68</v>
      </c>
      <c r="C57" s="69">
        <f>+VLOOKUP($A57,Fondos2015!$B$8:$AS$83,3,FALSE)</f>
        <v>30</v>
      </c>
      <c r="D57" s="69">
        <f>+VLOOKUP($A57,Fondos2015!$B$8:$AS$83,4,FALSE)</f>
        <v>0</v>
      </c>
      <c r="E57" s="69">
        <f>+VLOOKUP($A57,Fondos2015!$B$8:$AS$83,11,FALSE)</f>
        <v>15920</v>
      </c>
      <c r="F57" s="69">
        <f>+VLOOKUP($A57,Fondos2015!$B$8:$AS$83,15,FALSE)</f>
        <v>86502.68</v>
      </c>
      <c r="G57" s="69">
        <f>+VLOOKUP($A57,Fondos2015!$B$8:$AS$83,20,FALSE)</f>
        <v>0</v>
      </c>
      <c r="H57" s="69">
        <f>+VLOOKUP($A57,Fondos2015!$B$8:$AS$83,23,FALSE)</f>
        <v>28500</v>
      </c>
      <c r="I57" s="68">
        <f t="shared" si="1"/>
        <v>2601274.87</v>
      </c>
      <c r="J57" s="69">
        <f>+VLOOKUP($A57,Fondos2015!$B$8:$BE$83,30,FALSE)</f>
        <v>300705</v>
      </c>
      <c r="K57" s="69">
        <f>+VLOOKUP($A57,Fondos2015!$B$8:$BE$84,35,FALSE)</f>
        <v>964192.26</v>
      </c>
      <c r="L57" s="69">
        <f>+VLOOKUP($A57,Fondos2015!$B$8:$BE$84,40,FALSE)</f>
        <v>1336377.6100000001</v>
      </c>
      <c r="M57" s="69">
        <f>+VLOOKUP($A57,Fondos2015!$B$8:$BE$84,41,FALSE)</f>
        <v>0</v>
      </c>
      <c r="N57" s="68">
        <f t="shared" si="3"/>
        <v>2732227.5500000003</v>
      </c>
      <c r="O57" s="13" t="str">
        <f t="shared" si="2"/>
        <v>Movimiento por la Paz -MPDL-</v>
      </c>
    </row>
    <row r="58" spans="1:15" ht="12.75" x14ac:dyDescent="0.2">
      <c r="A58" s="18" t="s">
        <v>115</v>
      </c>
      <c r="B58" s="68">
        <f t="shared" si="0"/>
        <v>103992.95000000001</v>
      </c>
      <c r="C58" s="69">
        <f>+VLOOKUP($A58,Fondos2015!$B$8:$AS$83,3,FALSE)</f>
        <v>9608.58</v>
      </c>
      <c r="D58" s="69">
        <f>+VLOOKUP($A58,Fondos2015!$B$8:$AS$83,4,FALSE)</f>
        <v>0</v>
      </c>
      <c r="E58" s="69">
        <f>+VLOOKUP($A58,Fondos2015!$B$8:$AS$83,11,FALSE)</f>
        <v>66219.460000000006</v>
      </c>
      <c r="F58" s="69">
        <f>+VLOOKUP($A58,Fondos2015!$B$8:$AS$83,15,FALSE)</f>
        <v>9994.48</v>
      </c>
      <c r="G58" s="69">
        <f>+VLOOKUP($A58,Fondos2015!$B$8:$AS$83,20,FALSE)</f>
        <v>0</v>
      </c>
      <c r="H58" s="69">
        <f>+VLOOKUP($A58,Fondos2015!$B$8:$AS$83,23,FALSE)</f>
        <v>18170.43</v>
      </c>
      <c r="I58" s="68">
        <f t="shared" si="1"/>
        <v>1539078.1400000001</v>
      </c>
      <c r="J58" s="69">
        <f>+VLOOKUP($A58,Fondos2015!$B$8:$BE$83,30,FALSE)</f>
        <v>132067.54999999999</v>
      </c>
      <c r="K58" s="69">
        <f>+VLOOKUP($A58,Fondos2015!$B$8:$BE$84,35,FALSE)</f>
        <v>1407010.59</v>
      </c>
      <c r="L58" s="69">
        <f>+VLOOKUP($A58,Fondos2015!$B$8:$BE$84,40,FALSE)</f>
        <v>0</v>
      </c>
      <c r="M58" s="69">
        <f>+VLOOKUP($A58,Fondos2015!$B$8:$BE$84,41,FALSE)</f>
        <v>0</v>
      </c>
      <c r="N58" s="68">
        <f t="shared" si="3"/>
        <v>1643071.09</v>
      </c>
      <c r="O58" s="13" t="str">
        <f t="shared" si="2"/>
        <v>Mujeres en Zona de Conflicto (MZC)</v>
      </c>
    </row>
    <row r="59" spans="1:15" ht="12.75" x14ac:dyDescent="0.2">
      <c r="A59" s="18" t="s">
        <v>116</v>
      </c>
      <c r="B59" s="68">
        <f t="shared" si="0"/>
        <v>624318</v>
      </c>
      <c r="C59" s="69">
        <f>+VLOOKUP($A59,Fondos2015!$B$8:$AS$83,3,FALSE)</f>
        <v>105563</v>
      </c>
      <c r="D59" s="69">
        <f>+VLOOKUP($A59,Fondos2015!$B$8:$AS$83,4,FALSE)</f>
        <v>0</v>
      </c>
      <c r="E59" s="69">
        <f>+VLOOKUP($A59,Fondos2015!$B$8:$AS$83,11,FALSE)</f>
        <v>0</v>
      </c>
      <c r="F59" s="69">
        <f>+VLOOKUP($A59,Fondos2015!$B$8:$AS$83,15,FALSE)</f>
        <v>518755</v>
      </c>
      <c r="G59" s="69">
        <f>+VLOOKUP($A59,Fondos2015!$B$8:$AS$83,20,FALSE)</f>
        <v>0</v>
      </c>
      <c r="H59" s="69">
        <f>+VLOOKUP($A59,Fondos2015!$B$8:$AS$83,23,FALSE)</f>
        <v>0</v>
      </c>
      <c r="I59" s="68">
        <f t="shared" si="1"/>
        <v>2700807</v>
      </c>
      <c r="J59" s="69">
        <f>+VLOOKUP($A59,Fondos2015!$B$8:$BE$83,30,FALSE)</f>
        <v>0</v>
      </c>
      <c r="K59" s="69">
        <f>+VLOOKUP($A59,Fondos2015!$B$8:$BE$84,35,FALSE)</f>
        <v>2700807</v>
      </c>
      <c r="L59" s="69">
        <f>+VLOOKUP($A59,Fondos2015!$B$8:$BE$84,40,FALSE)</f>
        <v>0</v>
      </c>
      <c r="M59" s="69">
        <f>+VLOOKUP($A59,Fondos2015!$B$8:$BE$84,41,FALSE)</f>
        <v>0</v>
      </c>
      <c r="N59" s="68">
        <f t="shared" si="3"/>
        <v>3325125</v>
      </c>
      <c r="O59" s="13" t="str">
        <f t="shared" si="2"/>
        <v>MUNDUBAT</v>
      </c>
    </row>
    <row r="60" spans="1:15" ht="12.75" x14ac:dyDescent="0.2">
      <c r="A60" s="18" t="s">
        <v>117</v>
      </c>
      <c r="B60" s="68">
        <f t="shared" si="0"/>
        <v>148258</v>
      </c>
      <c r="C60" s="69">
        <f>+VLOOKUP($A60,Fondos2015!$B$8:$AS$83,3,FALSE)</f>
        <v>66402</v>
      </c>
      <c r="D60" s="69">
        <f>+VLOOKUP($A60,Fondos2015!$B$8:$AS$83,4,FALSE)</f>
        <v>0</v>
      </c>
      <c r="E60" s="69">
        <f>+VLOOKUP($A60,Fondos2015!$B$8:$AS$83,11,FALSE)</f>
        <v>78972</v>
      </c>
      <c r="F60" s="69">
        <f>+VLOOKUP($A60,Fondos2015!$B$8:$AS$83,15,FALSE)</f>
        <v>0</v>
      </c>
      <c r="G60" s="69">
        <f>+VLOOKUP($A60,Fondos2015!$B$8:$AS$83,20,FALSE)</f>
        <v>0</v>
      </c>
      <c r="H60" s="69">
        <f>+VLOOKUP($A60,Fondos2015!$B$8:$AS$83,23,FALSE)</f>
        <v>2884</v>
      </c>
      <c r="I60" s="68">
        <f t="shared" si="1"/>
        <v>0</v>
      </c>
      <c r="J60" s="69">
        <f>+VLOOKUP($A60,Fondos2015!$B$8:$BE$83,30,FALSE)</f>
        <v>0</v>
      </c>
      <c r="K60" s="69">
        <f>+VLOOKUP($A60,Fondos2015!$B$8:$BE$84,35,FALSE)</f>
        <v>0</v>
      </c>
      <c r="L60" s="69">
        <f>+VLOOKUP($A60,Fondos2015!$B$8:$BE$84,40,FALSE)</f>
        <v>0</v>
      </c>
      <c r="M60" s="69">
        <f>+VLOOKUP($A60,Fondos2015!$B$8:$BE$84,41,FALSE)</f>
        <v>0</v>
      </c>
      <c r="N60" s="68">
        <f t="shared" si="3"/>
        <v>148258</v>
      </c>
      <c r="O60" s="13" t="str">
        <f t="shared" si="2"/>
        <v>OCASHA-Cristianos con el Sur</v>
      </c>
    </row>
    <row r="61" spans="1:15" ht="12.75" x14ac:dyDescent="0.2">
      <c r="A61" s="18" t="s">
        <v>118</v>
      </c>
      <c r="B61" s="68">
        <f t="shared" si="0"/>
        <v>765123.87000000011</v>
      </c>
      <c r="C61" s="69">
        <f>+VLOOKUP($A61,Fondos2015!$B$8:$AS$83,3,FALSE)</f>
        <v>170162.99</v>
      </c>
      <c r="D61" s="69">
        <f>+VLOOKUP($A61,Fondos2015!$B$8:$AS$83,4,FALSE)</f>
        <v>0</v>
      </c>
      <c r="E61" s="69">
        <f>+VLOOKUP($A61,Fondos2015!$B$8:$AS$83,11,FALSE)</f>
        <v>9206.57</v>
      </c>
      <c r="F61" s="69">
        <f>+VLOOKUP($A61,Fondos2015!$B$8:$AS$83,15,FALSE)</f>
        <v>480844.04000000004</v>
      </c>
      <c r="G61" s="69">
        <f>+VLOOKUP($A61,Fondos2015!$B$8:$AS$83,20,FALSE)</f>
        <v>1667.29</v>
      </c>
      <c r="H61" s="69">
        <f>+VLOOKUP($A61,Fondos2015!$B$8:$AS$83,23,FALSE)</f>
        <v>103242.98000000001</v>
      </c>
      <c r="I61" s="68">
        <f t="shared" si="1"/>
        <v>1661744.2</v>
      </c>
      <c r="J61" s="69">
        <f>+VLOOKUP($A61,Fondos2015!$B$8:$BE$83,30,FALSE)</f>
        <v>197450</v>
      </c>
      <c r="K61" s="69">
        <f>+VLOOKUP($A61,Fondos2015!$B$8:$BE$84,35,FALSE)</f>
        <v>696290.07</v>
      </c>
      <c r="L61" s="69">
        <f>+VLOOKUP($A61,Fondos2015!$B$8:$BE$84,40,FALSE)</f>
        <v>746504.13</v>
      </c>
      <c r="M61" s="69">
        <f>+VLOOKUP($A61,Fondos2015!$B$8:$BE$84,41,FALSE)</f>
        <v>21500</v>
      </c>
      <c r="N61" s="68">
        <f t="shared" si="3"/>
        <v>2426868.0700000003</v>
      </c>
      <c r="O61" s="13" t="str">
        <f t="shared" si="2"/>
        <v>ONGAWA</v>
      </c>
    </row>
    <row r="62" spans="1:15" ht="12.75" x14ac:dyDescent="0.2">
      <c r="A62" s="18" t="s">
        <v>119</v>
      </c>
      <c r="B62" s="68">
        <f t="shared" si="0"/>
        <v>60149056</v>
      </c>
      <c r="C62" s="69">
        <f>+VLOOKUP($A62,Fondos2015!$B$8:$AS$83,3,FALSE)</f>
        <v>28950494</v>
      </c>
      <c r="D62" s="69">
        <f>+VLOOKUP($A62,Fondos2015!$B$8:$AS$83,4,FALSE)</f>
        <v>0</v>
      </c>
      <c r="E62" s="69">
        <f>+VLOOKUP($A62,Fondos2015!$B$8:$AS$83,11,FALSE)</f>
        <v>10288629</v>
      </c>
      <c r="F62" s="69">
        <f>+VLOOKUP($A62,Fondos2015!$B$8:$AS$83,15,FALSE)</f>
        <v>6829923</v>
      </c>
      <c r="G62" s="69">
        <f>+VLOOKUP($A62,Fondos2015!$B$8:$AS$83,20,FALSE)</f>
        <v>5946923</v>
      </c>
      <c r="H62" s="69">
        <f>+VLOOKUP($A62,Fondos2015!$B$8:$AS$83,23,FALSE)</f>
        <v>8133087</v>
      </c>
      <c r="I62" s="68">
        <f t="shared" si="1"/>
        <v>18383372.5</v>
      </c>
      <c r="J62" s="69">
        <f>+VLOOKUP($A62,Fondos2015!$B$8:$BE$83,30,FALSE)</f>
        <v>0</v>
      </c>
      <c r="K62" s="69">
        <f>+VLOOKUP($A62,Fondos2015!$B$8:$BE$84,35,FALSE)</f>
        <v>2432705.79</v>
      </c>
      <c r="L62" s="69">
        <f>+VLOOKUP($A62,Fondos2015!$B$8:$BE$84,40,FALSE)</f>
        <v>15950666.710000001</v>
      </c>
      <c r="M62" s="69">
        <f>+VLOOKUP($A62,Fondos2015!$B$8:$BE$84,41,FALSE)</f>
        <v>0</v>
      </c>
      <c r="N62" s="68">
        <f t="shared" si="3"/>
        <v>78532428.5</v>
      </c>
      <c r="O62" s="13" t="str">
        <f t="shared" si="2"/>
        <v>Oxfam Intermon</v>
      </c>
    </row>
    <row r="63" spans="1:15" ht="12.75" x14ac:dyDescent="0.2">
      <c r="A63" s="18" t="s">
        <v>120</v>
      </c>
      <c r="B63" s="68">
        <f t="shared" si="0"/>
        <v>46148.93</v>
      </c>
      <c r="C63" s="69">
        <f>+VLOOKUP($A63,Fondos2015!$B$8:$AS$83,3,FALSE)</f>
        <v>6112.5</v>
      </c>
      <c r="D63" s="69">
        <f>+VLOOKUP($A63,Fondos2015!$B$8:$AS$83,4,FALSE)</f>
        <v>0</v>
      </c>
      <c r="E63" s="69">
        <f>+VLOOKUP($A63,Fondos2015!$B$8:$AS$83,11,FALSE)</f>
        <v>25306.57</v>
      </c>
      <c r="F63" s="69">
        <f>+VLOOKUP($A63,Fondos2015!$B$8:$AS$83,15,FALSE)</f>
        <v>0</v>
      </c>
      <c r="G63" s="69">
        <f>+VLOOKUP($A63,Fondos2015!$B$8:$AS$83,20,FALSE)</f>
        <v>5340.36</v>
      </c>
      <c r="H63" s="69">
        <f>+VLOOKUP($A63,Fondos2015!$B$8:$AS$83,23,FALSE)</f>
        <v>9389.5</v>
      </c>
      <c r="I63" s="68">
        <f t="shared" si="1"/>
        <v>849175.12</v>
      </c>
      <c r="J63" s="69">
        <f>+VLOOKUP($A63,Fondos2015!$B$8:$BE$83,30,FALSE)</f>
        <v>30570.65</v>
      </c>
      <c r="K63" s="69">
        <f>+VLOOKUP($A63,Fondos2015!$B$8:$BE$84,35,FALSE)</f>
        <v>818604.47</v>
      </c>
      <c r="L63" s="69">
        <f>+VLOOKUP($A63,Fondos2015!$B$8:$BE$84,40,FALSE)</f>
        <v>0</v>
      </c>
      <c r="M63" s="69">
        <f>+VLOOKUP($A63,Fondos2015!$B$8:$BE$84,41,FALSE)</f>
        <v>0</v>
      </c>
      <c r="N63" s="68">
        <f t="shared" si="3"/>
        <v>895324.05</v>
      </c>
      <c r="O63" s="13" t="str">
        <f t="shared" si="2"/>
        <v>Paz con Dignidad</v>
      </c>
    </row>
    <row r="64" spans="1:15" ht="12.75" x14ac:dyDescent="0.2">
      <c r="A64" s="18" t="s">
        <v>121</v>
      </c>
      <c r="B64" s="68">
        <f t="shared" si="0"/>
        <v>12783365.51</v>
      </c>
      <c r="C64" s="69">
        <f>+VLOOKUP($A64,Fondos2015!$B$8:$AS$83,3,FALSE)</f>
        <v>3119712.57</v>
      </c>
      <c r="D64" s="69">
        <f>+VLOOKUP($A64,Fondos2015!$B$8:$AS$83,4,FALSE)</f>
        <v>8526925.9199999999</v>
      </c>
      <c r="E64" s="69">
        <f>+VLOOKUP($A64,Fondos2015!$B$8:$AS$83,11,FALSE)</f>
        <v>1004728.9099999999</v>
      </c>
      <c r="F64" s="69">
        <f>+VLOOKUP($A64,Fondos2015!$B$8:$AS$83,15,FALSE)</f>
        <v>131998.10999999999</v>
      </c>
      <c r="G64" s="69">
        <f>+VLOOKUP($A64,Fondos2015!$B$8:$AS$83,20,FALSE)</f>
        <v>0</v>
      </c>
      <c r="H64" s="69">
        <f>+VLOOKUP($A64,Fondos2015!$B$8:$AS$83,23,FALSE)</f>
        <v>0</v>
      </c>
      <c r="I64" s="68">
        <f t="shared" si="1"/>
        <v>266889</v>
      </c>
      <c r="J64" s="69">
        <f>+VLOOKUP($A64,Fondos2015!$B$8:$BE$83,30,FALSE)</f>
        <v>4000</v>
      </c>
      <c r="K64" s="69">
        <f>+VLOOKUP($A64,Fondos2015!$B$8:$BE$84,35,FALSE)</f>
        <v>262889</v>
      </c>
      <c r="L64" s="69">
        <f>+VLOOKUP($A64,Fondos2015!$B$8:$BE$84,40,FALSE)</f>
        <v>0</v>
      </c>
      <c r="M64" s="69">
        <f>+VLOOKUP($A64,Fondos2015!$B$8:$BE$84,41,FALSE)</f>
        <v>0</v>
      </c>
      <c r="N64" s="68">
        <f t="shared" si="3"/>
        <v>13050254.51</v>
      </c>
      <c r="O64" s="13" t="str">
        <f t="shared" si="2"/>
        <v>Plan International en España</v>
      </c>
    </row>
    <row r="65" spans="1:16" ht="12.75" x14ac:dyDescent="0.2">
      <c r="A65" s="18" t="s">
        <v>122</v>
      </c>
      <c r="B65" s="68">
        <f t="shared" si="0"/>
        <v>113029.89</v>
      </c>
      <c r="C65" s="69">
        <f>+VLOOKUP($A65,Fondos2015!$B$8:$AS$83,3,FALSE)</f>
        <v>67895.59</v>
      </c>
      <c r="D65" s="69">
        <f>+VLOOKUP($A65,Fondos2015!$B$8:$AS$83,4,FALSE)</f>
        <v>0</v>
      </c>
      <c r="E65" s="69">
        <f>+VLOOKUP($A65,Fondos2015!$B$8:$AS$83,11,FALSE)</f>
        <v>35134.300000000003</v>
      </c>
      <c r="F65" s="69">
        <f>+VLOOKUP($A65,Fondos2015!$B$8:$AS$83,15,FALSE)</f>
        <v>10000</v>
      </c>
      <c r="G65" s="69">
        <f>+VLOOKUP($A65,Fondos2015!$B$8:$AS$83,20,FALSE)</f>
        <v>0</v>
      </c>
      <c r="H65" s="69">
        <f>+VLOOKUP($A65,Fondos2015!$B$8:$AS$83,23,FALSE)</f>
        <v>0</v>
      </c>
      <c r="I65" s="68">
        <f t="shared" si="1"/>
        <v>424631.14</v>
      </c>
      <c r="J65" s="69">
        <f>+VLOOKUP($A65,Fondos2015!$B$8:$BE$83,30,FALSE)</f>
        <v>228431</v>
      </c>
      <c r="K65" s="69">
        <f>+VLOOKUP($A65,Fondos2015!$B$8:$BE$84,35,FALSE)</f>
        <v>196200.14</v>
      </c>
      <c r="L65" s="69">
        <f>+VLOOKUP($A65,Fondos2015!$B$8:$BE$84,40,FALSE)</f>
        <v>0</v>
      </c>
      <c r="M65" s="69">
        <f>+VLOOKUP($A65,Fondos2015!$B$8:$BE$84,41,FALSE)</f>
        <v>0</v>
      </c>
      <c r="N65" s="68">
        <f t="shared" si="3"/>
        <v>537661.03</v>
      </c>
      <c r="O65" s="13" t="str">
        <f t="shared" si="2"/>
        <v>Prosalus</v>
      </c>
    </row>
    <row r="66" spans="1:16" ht="12.75" x14ac:dyDescent="0.2">
      <c r="A66" s="18" t="s">
        <v>123</v>
      </c>
      <c r="B66" s="68">
        <f t="shared" ref="B66:B77" si="4">SUM(C66:H66)</f>
        <v>2507315</v>
      </c>
      <c r="C66" s="69">
        <f>+VLOOKUP($A66,Fondos2015!$B$8:$AS$83,3,FALSE)</f>
        <v>176601</v>
      </c>
      <c r="D66" s="69">
        <f>+VLOOKUP($A66,Fondos2015!$B$8:$AS$83,4,FALSE)</f>
        <v>0</v>
      </c>
      <c r="E66" s="69">
        <f>+VLOOKUP($A66,Fondos2015!$B$8:$AS$83,11,FALSE)</f>
        <v>2174979</v>
      </c>
      <c r="F66" s="69">
        <f>+VLOOKUP($A66,Fondos2015!$B$8:$AS$83,15,FALSE)</f>
        <v>0</v>
      </c>
      <c r="G66" s="69">
        <f>+VLOOKUP($A66,Fondos2015!$B$8:$AS$83,20,FALSE)</f>
        <v>90022</v>
      </c>
      <c r="H66" s="69">
        <f>+VLOOKUP($A66,Fondos2015!$B$8:$AS$83,23,FALSE)</f>
        <v>65713</v>
      </c>
      <c r="I66" s="68">
        <f t="shared" ref="I66:I77" si="5">SUM(J66:M66)</f>
        <v>373136</v>
      </c>
      <c r="J66" s="69">
        <f>+VLOOKUP($A66,Fondos2015!$B$8:$BE$83,30,FALSE)</f>
        <v>11650</v>
      </c>
      <c r="K66" s="69">
        <f>+VLOOKUP($A66,Fondos2015!$B$8:$BE$84,35,FALSE)</f>
        <v>361486</v>
      </c>
      <c r="L66" s="69">
        <f>+VLOOKUP($A66,Fondos2015!$B$8:$BE$84,40,FALSE)</f>
        <v>0</v>
      </c>
      <c r="M66" s="69">
        <f>+VLOOKUP($A66,Fondos2015!$B$8:$BE$84,41,FALSE)</f>
        <v>0</v>
      </c>
      <c r="N66" s="68">
        <f t="shared" si="3"/>
        <v>2880451</v>
      </c>
      <c r="O66" s="13" t="str">
        <f t="shared" ref="O66:O77" si="6">+A66</f>
        <v>PROYDE</v>
      </c>
    </row>
    <row r="67" spans="1:16" ht="12.75" x14ac:dyDescent="0.2">
      <c r="A67" s="18" t="s">
        <v>124</v>
      </c>
      <c r="B67" s="68">
        <f t="shared" si="4"/>
        <v>0</v>
      </c>
      <c r="C67" s="69">
        <f>+VLOOKUP($A67,Fondos2015!$B$8:$AS$83,3,FALSE)</f>
        <v>0</v>
      </c>
      <c r="D67" s="69">
        <f>+VLOOKUP($A67,Fondos2015!$B$8:$AS$83,4,FALSE)</f>
        <v>0</v>
      </c>
      <c r="E67" s="69">
        <f>+VLOOKUP($A67,Fondos2015!$B$8:$AS$83,11,FALSE)</f>
        <v>0</v>
      </c>
      <c r="F67" s="69">
        <f>+VLOOKUP($A67,Fondos2015!$B$8:$AS$83,15,FALSE)</f>
        <v>0</v>
      </c>
      <c r="G67" s="69">
        <f>+VLOOKUP($A67,Fondos2015!$B$8:$AS$83,20,FALSE)</f>
        <v>0</v>
      </c>
      <c r="H67" s="69">
        <f>+VLOOKUP($A67,Fondos2015!$B$8:$AS$83,23,FALSE)</f>
        <v>0</v>
      </c>
      <c r="I67" s="68">
        <f t="shared" si="5"/>
        <v>0</v>
      </c>
      <c r="J67" s="69">
        <f>+VLOOKUP($A67,Fondos2015!$B$8:$BE$83,30,FALSE)</f>
        <v>0</v>
      </c>
      <c r="K67" s="69">
        <f>+VLOOKUP($A67,Fondos2015!$B$8:$BE$84,35,FALSE)</f>
        <v>0</v>
      </c>
      <c r="L67" s="69">
        <f>+VLOOKUP($A67,Fondos2015!$B$8:$BE$84,40,FALSE)</f>
        <v>0</v>
      </c>
      <c r="M67" s="69">
        <f>+VLOOKUP($A67,Fondos2015!$B$8:$BE$84,41,FALSE)</f>
        <v>0</v>
      </c>
      <c r="N67" s="68">
        <f t="shared" si="3"/>
        <v>0</v>
      </c>
      <c r="O67" s="13" t="str">
        <f t="shared" si="6"/>
        <v>Proyecto Cultura y Solidaridad</v>
      </c>
    </row>
    <row r="68" spans="1:16" ht="12.75" x14ac:dyDescent="0.2">
      <c r="A68" s="18" t="s">
        <v>125</v>
      </c>
      <c r="B68" s="68">
        <f t="shared" si="4"/>
        <v>0</v>
      </c>
      <c r="C68" s="69">
        <f>+VLOOKUP($A68,Fondos2015!$B$8:$AS$83,3,FALSE)</f>
        <v>0</v>
      </c>
      <c r="D68" s="69">
        <f>+VLOOKUP($A68,Fondos2015!$B$8:$AS$83,4,FALSE)</f>
        <v>0</v>
      </c>
      <c r="E68" s="69">
        <f>+VLOOKUP($A68,Fondos2015!$B$8:$AS$83,11,FALSE)</f>
        <v>0</v>
      </c>
      <c r="F68" s="69">
        <f>+VLOOKUP($A68,Fondos2015!$B$8:$AS$83,15,FALSE)</f>
        <v>0</v>
      </c>
      <c r="G68" s="69">
        <f>+VLOOKUP($A68,Fondos2015!$B$8:$AS$83,20,FALSE)</f>
        <v>0</v>
      </c>
      <c r="H68" s="69">
        <f>+VLOOKUP($A68,Fondos2015!$B$8:$AS$83,23,FALSE)</f>
        <v>0</v>
      </c>
      <c r="I68" s="68">
        <f t="shared" si="5"/>
        <v>116640</v>
      </c>
      <c r="J68" s="69">
        <f>+VLOOKUP($A68,Fondos2015!$B$8:$BE$83,30,FALSE)</f>
        <v>0</v>
      </c>
      <c r="K68" s="69">
        <f>+VLOOKUP($A68,Fondos2015!$B$8:$BE$84,35,FALSE)</f>
        <v>116640</v>
      </c>
      <c r="L68" s="69">
        <f>+VLOOKUP($A68,Fondos2015!$B$8:$BE$84,40,FALSE)</f>
        <v>0</v>
      </c>
      <c r="M68" s="69">
        <f>+VLOOKUP($A68,Fondos2015!$B$8:$BE$84,41,FALSE)</f>
        <v>0</v>
      </c>
      <c r="N68" s="68">
        <f>+B68+I68</f>
        <v>116640</v>
      </c>
      <c r="O68" s="13" t="str">
        <f t="shared" si="6"/>
        <v>PROYECTO SOLIDARIO POR LA INFANCIA</v>
      </c>
    </row>
    <row r="69" spans="1:16" ht="12.75" x14ac:dyDescent="0.2">
      <c r="A69" s="18" t="s">
        <v>126</v>
      </c>
      <c r="B69" s="68">
        <f t="shared" si="4"/>
        <v>260619.30999999997</v>
      </c>
      <c r="C69" s="69">
        <f>+VLOOKUP($A69,Fondos2015!$B$8:$AS$83,3,FALSE)</f>
        <v>104209.03</v>
      </c>
      <c r="D69" s="69">
        <f>+VLOOKUP($A69,Fondos2015!$B$8:$AS$83,4,FALSE)</f>
        <v>0</v>
      </c>
      <c r="E69" s="69">
        <f>+VLOOKUP($A69,Fondos2015!$B$8:$AS$83,11,FALSE)</f>
        <v>154809.66999999998</v>
      </c>
      <c r="F69" s="69">
        <f>+VLOOKUP($A69,Fondos2015!$B$8:$AS$83,15,FALSE)</f>
        <v>0</v>
      </c>
      <c r="G69" s="69">
        <f>+VLOOKUP($A69,Fondos2015!$B$8:$AS$83,20,FALSE)</f>
        <v>1600.61</v>
      </c>
      <c r="H69" s="69">
        <f>+VLOOKUP($A69,Fondos2015!$B$8:$AS$83,23,FALSE)</f>
        <v>0</v>
      </c>
      <c r="I69" s="68">
        <f t="shared" si="5"/>
        <v>0</v>
      </c>
      <c r="J69" s="69">
        <f>+VLOOKUP($A69,Fondos2015!$B$8:$BE$83,30,FALSE)</f>
        <v>0</v>
      </c>
      <c r="K69" s="69">
        <f>+VLOOKUP($A69,Fondos2015!$B$8:$BE$84,35,FALSE)</f>
        <v>0</v>
      </c>
      <c r="L69" s="69">
        <f>+VLOOKUP($A69,Fondos2015!$B$8:$BE$84,40,FALSE)</f>
        <v>0</v>
      </c>
      <c r="M69" s="69">
        <f>+VLOOKUP($A69,Fondos2015!$B$8:$BE$84,41,FALSE)</f>
        <v>0</v>
      </c>
      <c r="N69" s="68">
        <f t="shared" ref="N69:N77" si="7">+B69+I69</f>
        <v>260619.30999999997</v>
      </c>
      <c r="O69" s="13" t="str">
        <f t="shared" si="6"/>
        <v>FUNDACION PUEBLOS HERMANOS</v>
      </c>
    </row>
    <row r="70" spans="1:16" ht="12.75" x14ac:dyDescent="0.2">
      <c r="A70" s="18" t="s">
        <v>127</v>
      </c>
      <c r="B70" s="68">
        <f t="shared" si="4"/>
        <v>111118</v>
      </c>
      <c r="C70" s="69">
        <f>+VLOOKUP($A70,Fondos2015!$B$8:$AS$83,3,FALSE)</f>
        <v>15261</v>
      </c>
      <c r="D70" s="69">
        <f>+VLOOKUP($A70,Fondos2015!$B$8:$AS$83,4,FALSE)</f>
        <v>0</v>
      </c>
      <c r="E70" s="69">
        <f>+VLOOKUP($A70,Fondos2015!$B$8:$AS$83,11,FALSE)</f>
        <v>0</v>
      </c>
      <c r="F70" s="69">
        <f>+VLOOKUP($A70,Fondos2015!$B$8:$AS$83,15,FALSE)</f>
        <v>95857</v>
      </c>
      <c r="G70" s="69">
        <f>+VLOOKUP($A70,Fondos2015!$B$8:$AS$83,20,FALSE)</f>
        <v>0</v>
      </c>
      <c r="H70" s="69">
        <f>+VLOOKUP($A70,Fondos2015!$B$8:$AS$83,23,FALSE)</f>
        <v>0</v>
      </c>
      <c r="I70" s="68">
        <f t="shared" si="5"/>
        <v>360774</v>
      </c>
      <c r="J70" s="69">
        <f>+VLOOKUP($A70,Fondos2015!$B$8:$BE$83,30,FALSE)</f>
        <v>221700</v>
      </c>
      <c r="K70" s="69">
        <f>+VLOOKUP($A70,Fondos2015!$B$8:$BE$84,35,FALSE)</f>
        <v>66528</v>
      </c>
      <c r="L70" s="69">
        <f>+VLOOKUP($A70,Fondos2015!$B$8:$BE$84,40,FALSE)</f>
        <v>72546</v>
      </c>
      <c r="M70" s="69">
        <f>+VLOOKUP($A70,Fondos2015!$B$8:$BE$84,41,FALSE)</f>
        <v>0</v>
      </c>
      <c r="N70" s="68">
        <f t="shared" si="7"/>
        <v>471892</v>
      </c>
      <c r="O70" s="13" t="str">
        <f t="shared" si="6"/>
        <v>Rescate</v>
      </c>
    </row>
    <row r="71" spans="1:16" ht="13.5" customHeight="1" x14ac:dyDescent="0.2">
      <c r="A71" s="18" t="s">
        <v>128</v>
      </c>
      <c r="B71" s="68">
        <f t="shared" si="4"/>
        <v>15312000</v>
      </c>
      <c r="C71" s="69">
        <f>+VLOOKUP($A71,Fondos2015!$B$8:$AS$83,3,FALSE)</f>
        <v>9152000</v>
      </c>
      <c r="D71" s="69">
        <f>+VLOOKUP($A71,Fondos2015!$B$8:$AS$83,4,FALSE)</f>
        <v>0</v>
      </c>
      <c r="E71" s="69">
        <f>+VLOOKUP($A71,Fondos2015!$B$8:$AS$83,11,FALSE)</f>
        <v>3648000</v>
      </c>
      <c r="F71" s="69">
        <f>+VLOOKUP($A71,Fondos2015!$B$8:$AS$83,15,FALSE)</f>
        <v>2412000</v>
      </c>
      <c r="G71" s="69">
        <f>+VLOOKUP($A71,Fondos2015!$B$8:$AS$83,20,FALSE)</f>
        <v>100000</v>
      </c>
      <c r="H71" s="69">
        <f>+VLOOKUP($A71,Fondos2015!$B$8:$AS$83,23,FALSE)</f>
        <v>0</v>
      </c>
      <c r="I71" s="68">
        <f t="shared" si="5"/>
        <v>5709026.8300000001</v>
      </c>
      <c r="J71" s="69">
        <f>+VLOOKUP($A71,Fondos2015!$B$8:$BE$83,30,FALSE)</f>
        <v>1281350</v>
      </c>
      <c r="K71" s="69">
        <f>+VLOOKUP($A71,Fondos2015!$B$8:$BE$84,35,FALSE)</f>
        <v>923565.83</v>
      </c>
      <c r="L71" s="69">
        <f>+VLOOKUP($A71,Fondos2015!$B$8:$BE$84,40,FALSE)</f>
        <v>2458674</v>
      </c>
      <c r="M71" s="69">
        <f>+VLOOKUP($A71,Fondos2015!$B$8:$BE$84,41,FALSE)</f>
        <v>1045437</v>
      </c>
      <c r="N71" s="68">
        <f t="shared" si="7"/>
        <v>21021026.829999998</v>
      </c>
      <c r="O71" s="13" t="str">
        <f t="shared" si="6"/>
        <v>Save the Children</v>
      </c>
    </row>
    <row r="72" spans="1:16" ht="13.5" customHeight="1" x14ac:dyDescent="0.2">
      <c r="A72" s="18" t="s">
        <v>129</v>
      </c>
      <c r="B72" s="68">
        <f t="shared" si="4"/>
        <v>1238452.1300000001</v>
      </c>
      <c r="C72" s="69">
        <f>+VLOOKUP($A72,Fondos2015!$B$8:$AS$83,3,FALSE)</f>
        <v>158065.56</v>
      </c>
      <c r="D72" s="69">
        <f>+VLOOKUP($A72,Fondos2015!$B$8:$AS$83,4,FALSE)</f>
        <v>0</v>
      </c>
      <c r="E72" s="69">
        <f>+VLOOKUP($A72,Fondos2015!$B$8:$AS$83,11,FALSE)</f>
        <v>929384.13</v>
      </c>
      <c r="F72" s="69">
        <f>+VLOOKUP($A72,Fondos2015!$B$8:$AS$83,15,FALSE)</f>
        <v>147281.87</v>
      </c>
      <c r="G72" s="69">
        <f>+VLOOKUP($A72,Fondos2015!$B$8:$AS$83,20,FALSE)</f>
        <v>0</v>
      </c>
      <c r="H72" s="69">
        <f>+VLOOKUP($A72,Fondos2015!$B$8:$AS$83,23,FALSE)</f>
        <v>3720.57</v>
      </c>
      <c r="I72" s="68">
        <f t="shared" si="5"/>
        <v>355688.94</v>
      </c>
      <c r="J72" s="69">
        <f>+VLOOKUP($A72,Fondos2015!$B$8:$BE$83,30,FALSE)</f>
        <v>0</v>
      </c>
      <c r="K72" s="69">
        <f>+VLOOKUP($A72,Fondos2015!$B$8:$BE$84,35,FALSE)</f>
        <v>355688.94</v>
      </c>
      <c r="L72" s="69">
        <f>+VLOOKUP($A72,Fondos2015!$B$8:$BE$84,40,FALSE)</f>
        <v>0</v>
      </c>
      <c r="M72" s="69">
        <f>+VLOOKUP($A72,Fondos2015!$B$8:$BE$84,41,FALSE)</f>
        <v>0</v>
      </c>
      <c r="N72" s="68">
        <f t="shared" si="7"/>
        <v>1594141.07</v>
      </c>
      <c r="O72" s="13" t="str">
        <f t="shared" si="6"/>
        <v>SED</v>
      </c>
    </row>
    <row r="73" spans="1:16" ht="13.5" customHeight="1" x14ac:dyDescent="0.2">
      <c r="A73" s="18" t="s">
        <v>130</v>
      </c>
      <c r="B73" s="68">
        <f t="shared" si="4"/>
        <v>426663.79</v>
      </c>
      <c r="C73" s="69">
        <f>+VLOOKUP($A73,Fondos2015!$B$8:$AS$83,3,FALSE)</f>
        <v>109977.37</v>
      </c>
      <c r="D73" s="69">
        <f>+VLOOKUP($A73,Fondos2015!$B$8:$AS$83,4,FALSE)</f>
        <v>0</v>
      </c>
      <c r="E73" s="69">
        <f>+VLOOKUP($A73,Fondos2015!$B$8:$AS$83,11,FALSE)</f>
        <v>43243.680000000008</v>
      </c>
      <c r="F73" s="69">
        <f>+VLOOKUP($A73,Fondos2015!$B$8:$AS$83,15,FALSE)</f>
        <v>1000</v>
      </c>
      <c r="G73" s="69">
        <f>+VLOOKUP($A73,Fondos2015!$B$8:$AS$83,20,FALSE)</f>
        <v>235863.82</v>
      </c>
      <c r="H73" s="69">
        <f>+VLOOKUP($A73,Fondos2015!$B$8:$AS$83,23,FALSE)</f>
        <v>36578.92</v>
      </c>
      <c r="I73" s="68">
        <f t="shared" si="5"/>
        <v>1496140.43</v>
      </c>
      <c r="J73" s="69">
        <f>+VLOOKUP($A73,Fondos2015!$B$8:$BE$83,30,FALSE)</f>
        <v>0</v>
      </c>
      <c r="K73" s="69">
        <f>+VLOOKUP($A73,Fondos2015!$B$8:$BE$84,35,FALSE)</f>
        <v>1427953.4</v>
      </c>
      <c r="L73" s="69">
        <f>+VLOOKUP($A73,Fondos2015!$B$8:$BE$84,40,FALSE)</f>
        <v>68187.03</v>
      </c>
      <c r="M73" s="69">
        <f>+VLOOKUP($A73,Fondos2015!$B$8:$BE$84,41,FALSE)</f>
        <v>0</v>
      </c>
      <c r="N73" s="68">
        <f t="shared" si="7"/>
        <v>1922804.22</v>
      </c>
      <c r="O73" s="13" t="str">
        <f t="shared" si="6"/>
        <v>SETEM</v>
      </c>
    </row>
    <row r="74" spans="1:16" ht="13.5" customHeight="1" x14ac:dyDescent="0.2">
      <c r="A74" s="18" t="s">
        <v>131</v>
      </c>
      <c r="B74" s="68">
        <f t="shared" si="4"/>
        <v>6389.3</v>
      </c>
      <c r="C74" s="69">
        <f>+VLOOKUP($A74,Fondos2015!$B$8:$AS$83,3,FALSE)</f>
        <v>3284.28</v>
      </c>
      <c r="D74" s="69">
        <f>+VLOOKUP($A74,Fondos2015!$B$8:$AS$83,4,FALSE)</f>
        <v>0</v>
      </c>
      <c r="E74" s="69">
        <f>+VLOOKUP($A74,Fondos2015!$B$8:$AS$83,11,FALSE)</f>
        <v>0</v>
      </c>
      <c r="F74" s="69">
        <f>+VLOOKUP($A74,Fondos2015!$B$8:$AS$83,15,FALSE)</f>
        <v>0</v>
      </c>
      <c r="G74" s="69">
        <f>+VLOOKUP($A74,Fondos2015!$B$8:$AS$83,20,FALSE)</f>
        <v>0</v>
      </c>
      <c r="H74" s="69">
        <f>+VLOOKUP($A74,Fondos2015!$B$8:$AS$83,23,FALSE)</f>
        <v>3105.02</v>
      </c>
      <c r="I74" s="68">
        <f t="shared" si="5"/>
        <v>0</v>
      </c>
      <c r="J74" s="69">
        <f>+VLOOKUP($A74,Fondos2015!$B$8:$BE$83,30,FALSE)</f>
        <v>0</v>
      </c>
      <c r="K74" s="69">
        <f>+VLOOKUP($A74,Fondos2015!$B$8:$BE$84,35,FALSE)</f>
        <v>0</v>
      </c>
      <c r="L74" s="69">
        <f>+VLOOKUP($A74,Fondos2015!$B$8:$BE$84,40,FALSE)</f>
        <v>0</v>
      </c>
      <c r="M74" s="69">
        <f>+VLOOKUP($A74,Fondos2015!$B$8:$BE$84,41,FALSE)</f>
        <v>0</v>
      </c>
      <c r="N74" s="68">
        <f t="shared" si="7"/>
        <v>6389.3</v>
      </c>
      <c r="O74" s="13" t="str">
        <f t="shared" si="6"/>
        <v>SOLIDARIOS</v>
      </c>
    </row>
    <row r="75" spans="1:16" ht="13.5" customHeight="1" x14ac:dyDescent="0.2">
      <c r="A75" s="18" t="s">
        <v>132</v>
      </c>
      <c r="B75" s="68">
        <f t="shared" si="4"/>
        <v>18977.03</v>
      </c>
      <c r="C75" s="69">
        <f>+VLOOKUP($A75,Fondos2015!$B$8:$AS$83,3,FALSE)</f>
        <v>14192.77</v>
      </c>
      <c r="D75" s="69">
        <f>+VLOOKUP($A75,Fondos2015!$B$8:$AS$83,4,FALSE)</f>
        <v>0</v>
      </c>
      <c r="E75" s="69">
        <f>+VLOOKUP($A75,Fondos2015!$B$8:$AS$83,11,FALSE)</f>
        <v>4784.26</v>
      </c>
      <c r="F75" s="69">
        <f>+VLOOKUP($A75,Fondos2015!$B$8:$AS$83,15,FALSE)</f>
        <v>0</v>
      </c>
      <c r="G75" s="69">
        <f>+VLOOKUP($A75,Fondos2015!$B$8:$AS$83,20,FALSE)</f>
        <v>0</v>
      </c>
      <c r="H75" s="69">
        <f>+VLOOKUP($A75,Fondos2015!$B$8:$AS$83,23,FALSE)</f>
        <v>0</v>
      </c>
      <c r="I75" s="68">
        <f t="shared" si="5"/>
        <v>39676.49</v>
      </c>
      <c r="J75" s="69">
        <f>+VLOOKUP($A75,Fondos2015!$B$8:$BE$83,30,FALSE)</f>
        <v>0</v>
      </c>
      <c r="K75" s="69">
        <f>+VLOOKUP($A75,Fondos2015!$B$8:$BE$84,35,FALSE)</f>
        <v>39676.49</v>
      </c>
      <c r="L75" s="69">
        <f>+VLOOKUP($A75,Fondos2015!$B$8:$BE$84,40,FALSE)</f>
        <v>0</v>
      </c>
      <c r="M75" s="69">
        <f>+VLOOKUP($A75,Fondos2015!$B$8:$BE$84,41,FALSE)</f>
        <v>0</v>
      </c>
      <c r="N75" s="68">
        <f t="shared" si="7"/>
        <v>58653.52</v>
      </c>
      <c r="O75" s="13" t="str">
        <f t="shared" si="6"/>
        <v>SOTERMUN-USO</v>
      </c>
    </row>
    <row r="76" spans="1:16" ht="13.5" customHeight="1" x14ac:dyDescent="0.2">
      <c r="A76" s="18" t="s">
        <v>133</v>
      </c>
      <c r="B76" s="68">
        <f t="shared" si="4"/>
        <v>563627.14</v>
      </c>
      <c r="C76" s="69">
        <f>+VLOOKUP($A76,Fondos2015!$B$8:$AS$83,3,FALSE)</f>
        <v>52770.38</v>
      </c>
      <c r="D76" s="69">
        <f>+VLOOKUP($A76,Fondos2015!$B$8:$AS$83,4,FALSE)</f>
        <v>0</v>
      </c>
      <c r="E76" s="69">
        <f>+VLOOKUP($A76,Fondos2015!$B$8:$AS$83,11,FALSE)</f>
        <v>462733.76</v>
      </c>
      <c r="F76" s="69">
        <f>+VLOOKUP($A76,Fondos2015!$B$8:$AS$83,15,FALSE)</f>
        <v>48123</v>
      </c>
      <c r="G76" s="69">
        <f>+VLOOKUP($A76,Fondos2015!$B$8:$AS$83,20,FALSE)</f>
        <v>0</v>
      </c>
      <c r="H76" s="69">
        <f>+VLOOKUP($A76,Fondos2015!$B$8:$AS$83,23,FALSE)</f>
        <v>0</v>
      </c>
      <c r="I76" s="68">
        <f t="shared" si="5"/>
        <v>626991</v>
      </c>
      <c r="J76" s="69">
        <f>+VLOOKUP($A76,Fondos2015!$B$8:$BE$83,30,FALSE)</f>
        <v>200000</v>
      </c>
      <c r="K76" s="69">
        <f>+VLOOKUP($A76,Fondos2015!$B$8:$BE$84,35,FALSE)</f>
        <v>426991</v>
      </c>
      <c r="L76" s="69">
        <f>+VLOOKUP($A76,Fondos2015!$B$8:$BE$84,40,FALSE)</f>
        <v>0</v>
      </c>
      <c r="M76" s="69">
        <f>+VLOOKUP($A76,Fondos2015!$B$8:$BE$84,41,FALSE)</f>
        <v>0</v>
      </c>
      <c r="N76" s="68">
        <f t="shared" si="7"/>
        <v>1190618.1400000001</v>
      </c>
      <c r="O76" s="13" t="str">
        <f t="shared" si="6"/>
        <v>Tierra de Hombres</v>
      </c>
    </row>
    <row r="77" spans="1:16" ht="13.5" customHeight="1" x14ac:dyDescent="0.2">
      <c r="A77" s="18" t="s">
        <v>134</v>
      </c>
      <c r="B77" s="68">
        <f t="shared" si="4"/>
        <v>39745.14</v>
      </c>
      <c r="C77" s="69">
        <f>+VLOOKUP($A77,Fondos2015!$B$8:$AS$83,3,FALSE)</f>
        <v>0</v>
      </c>
      <c r="D77" s="69">
        <f>+VLOOKUP($A77,Fondos2015!$B$8:$AS$83,4,FALSE)</f>
        <v>0</v>
      </c>
      <c r="E77" s="69">
        <f>+VLOOKUP($A77,Fondos2015!$B$8:$AS$83,11,FALSE)</f>
        <v>39745.14</v>
      </c>
      <c r="F77" s="69">
        <f>+VLOOKUP($A77,Fondos2015!$B$8:$AS$83,15,FALSE)</f>
        <v>0</v>
      </c>
      <c r="G77" s="69">
        <f>+VLOOKUP($A77,Fondos2015!$B$8:$AS$83,20,FALSE)</f>
        <v>0</v>
      </c>
      <c r="H77" s="69">
        <f>+VLOOKUP($A77,Fondos2015!$B$8:$AS$83,23,FALSE)</f>
        <v>0</v>
      </c>
      <c r="I77" s="68">
        <f t="shared" si="5"/>
        <v>2180969.94</v>
      </c>
      <c r="J77" s="69">
        <f>+VLOOKUP($A77,Fondos2015!$B$8:$BE$83,30,FALSE)</f>
        <v>0</v>
      </c>
      <c r="K77" s="69">
        <f>+VLOOKUP($A77,Fondos2015!$B$8:$BE$84,35,FALSE)</f>
        <v>2025048.46</v>
      </c>
      <c r="L77" s="69">
        <f>+VLOOKUP($A77,Fondos2015!$B$8:$BE$84,40,FALSE)</f>
        <v>155921.48000000001</v>
      </c>
      <c r="M77" s="69">
        <f>+VLOOKUP($A77,Fondos2015!$B$8:$BE$84,41,FALSE)</f>
        <v>0</v>
      </c>
      <c r="N77" s="68">
        <f t="shared" si="7"/>
        <v>2220715.08</v>
      </c>
      <c r="O77" s="13" t="str">
        <f t="shared" si="6"/>
        <v>VSF - JUSTICIA ALIMENTARIA GLOBAL</v>
      </c>
    </row>
    <row r="78" spans="1:16" ht="8.25" customHeight="1" x14ac:dyDescent="0.2">
      <c r="A78" s="70"/>
      <c r="B78" s="71"/>
      <c r="C78" s="72"/>
      <c r="D78" s="72"/>
      <c r="E78" s="73" t="s">
        <v>65</v>
      </c>
      <c r="F78" s="72"/>
      <c r="G78" s="72"/>
      <c r="H78" s="72"/>
      <c r="I78" s="68" t="s">
        <v>65</v>
      </c>
      <c r="J78" s="72"/>
      <c r="K78" s="72"/>
      <c r="L78" s="72"/>
      <c r="M78" s="72"/>
    </row>
    <row r="79" spans="1:16" s="75" customFormat="1" ht="12.75" x14ac:dyDescent="0.2">
      <c r="A79" s="79" t="s">
        <v>260</v>
      </c>
      <c r="B79" s="80">
        <f t="shared" ref="B79:N79" si="8">SUM(B2:B77)</f>
        <v>292785937.21000004</v>
      </c>
      <c r="C79" s="80">
        <f t="shared" si="8"/>
        <v>91950120.510000005</v>
      </c>
      <c r="D79" s="80">
        <f t="shared" si="8"/>
        <v>55912554.240000002</v>
      </c>
      <c r="E79" s="80">
        <f t="shared" si="8"/>
        <v>90925300.87999998</v>
      </c>
      <c r="F79" s="80">
        <f t="shared" si="8"/>
        <v>26522388.320000004</v>
      </c>
      <c r="G79" s="80">
        <f t="shared" si="8"/>
        <v>9515007.2899999991</v>
      </c>
      <c r="H79" s="80">
        <f t="shared" si="8"/>
        <v>17960565.970000003</v>
      </c>
      <c r="I79" s="80">
        <f t="shared" si="8"/>
        <v>198838565.84999996</v>
      </c>
      <c r="J79" s="80">
        <f t="shared" si="8"/>
        <v>31515468.209999997</v>
      </c>
      <c r="K79" s="80">
        <f t="shared" si="8"/>
        <v>53805427.379999988</v>
      </c>
      <c r="L79" s="80">
        <f t="shared" si="8"/>
        <v>112354238.60999997</v>
      </c>
      <c r="M79" s="80">
        <f t="shared" si="8"/>
        <v>1163431.6499999999</v>
      </c>
      <c r="N79" s="80">
        <f t="shared" si="8"/>
        <v>491624503.05999988</v>
      </c>
      <c r="O79" s="81"/>
      <c r="P79" s="82"/>
    </row>
    <row r="80" spans="1:16" ht="12.75" x14ac:dyDescent="0.2">
      <c r="B80" s="13">
        <f t="shared" ref="B80:N80" si="9">+COUNTA(B2:B77)-COUNTIF(B2:B77,0)</f>
        <v>72</v>
      </c>
      <c r="C80" s="13">
        <f t="shared" si="9"/>
        <v>59</v>
      </c>
      <c r="D80" s="13">
        <f t="shared" si="9"/>
        <v>9</v>
      </c>
      <c r="E80" s="13">
        <f t="shared" si="9"/>
        <v>64</v>
      </c>
      <c r="F80" s="13">
        <f t="shared" si="9"/>
        <v>50</v>
      </c>
      <c r="G80" s="13">
        <f t="shared" si="9"/>
        <v>19</v>
      </c>
      <c r="H80" s="13">
        <f t="shared" si="9"/>
        <v>26</v>
      </c>
      <c r="I80" s="13">
        <f t="shared" si="9"/>
        <v>68</v>
      </c>
      <c r="J80" s="13">
        <f t="shared" si="9"/>
        <v>38</v>
      </c>
      <c r="K80" s="13">
        <f t="shared" si="9"/>
        <v>62</v>
      </c>
      <c r="L80" s="13">
        <f t="shared" si="9"/>
        <v>26</v>
      </c>
      <c r="M80" s="13">
        <f t="shared" si="9"/>
        <v>3</v>
      </c>
      <c r="N80" s="13">
        <f t="shared" si="9"/>
        <v>74</v>
      </c>
    </row>
    <row r="81" spans="1:14" ht="12.75" x14ac:dyDescent="0.2">
      <c r="A81" s="3">
        <v>1</v>
      </c>
      <c r="B81" s="13">
        <f t="shared" ref="B81:N90" si="10">LARGE(B$2:B$77,$A81)</f>
        <v>60149056</v>
      </c>
      <c r="C81" s="13">
        <f t="shared" si="10"/>
        <v>28950494</v>
      </c>
      <c r="D81" s="13">
        <f t="shared" si="10"/>
        <v>24909140.260000002</v>
      </c>
      <c r="E81" s="13">
        <f t="shared" si="10"/>
        <v>23459374</v>
      </c>
      <c r="F81" s="13">
        <f t="shared" si="10"/>
        <v>6829923</v>
      </c>
      <c r="G81" s="13">
        <f t="shared" si="10"/>
        <v>5946923</v>
      </c>
      <c r="H81" s="13">
        <f t="shared" si="10"/>
        <v>8133087</v>
      </c>
      <c r="I81" s="13">
        <f t="shared" si="10"/>
        <v>77606219</v>
      </c>
      <c r="J81" s="13">
        <f t="shared" si="10"/>
        <v>9996633</v>
      </c>
      <c r="K81" s="13">
        <f t="shared" si="10"/>
        <v>4942914.7699999996</v>
      </c>
      <c r="L81" s="13">
        <f t="shared" si="10"/>
        <v>67609586</v>
      </c>
      <c r="M81" s="13">
        <f t="shared" si="10"/>
        <v>1045437</v>
      </c>
      <c r="N81" s="13">
        <f t="shared" si="10"/>
        <v>91016726</v>
      </c>
    </row>
    <row r="82" spans="1:14" ht="12.75" x14ac:dyDescent="0.2">
      <c r="A82" s="3">
        <v>2</v>
      </c>
      <c r="B82" s="13">
        <f t="shared" si="10"/>
        <v>37921735</v>
      </c>
      <c r="C82" s="13">
        <f t="shared" si="10"/>
        <v>9152000</v>
      </c>
      <c r="D82" s="13">
        <f t="shared" si="10"/>
        <v>21783886</v>
      </c>
      <c r="E82" s="13">
        <f t="shared" si="10"/>
        <v>23103010</v>
      </c>
      <c r="F82" s="13">
        <f t="shared" si="10"/>
        <v>2908694</v>
      </c>
      <c r="G82" s="13">
        <f t="shared" si="10"/>
        <v>1942615.96</v>
      </c>
      <c r="H82" s="13">
        <f t="shared" si="10"/>
        <v>5365129</v>
      </c>
      <c r="I82" s="13">
        <f t="shared" si="10"/>
        <v>18383372.5</v>
      </c>
      <c r="J82" s="13">
        <f t="shared" si="10"/>
        <v>4296040</v>
      </c>
      <c r="K82" s="13">
        <f t="shared" si="10"/>
        <v>4554814.34</v>
      </c>
      <c r="L82" s="13">
        <f t="shared" si="10"/>
        <v>15950666.710000001</v>
      </c>
      <c r="M82" s="13">
        <f t="shared" si="10"/>
        <v>96494.65</v>
      </c>
      <c r="N82" s="13">
        <f t="shared" si="10"/>
        <v>78532428.5</v>
      </c>
    </row>
    <row r="83" spans="1:14" ht="12.75" x14ac:dyDescent="0.2">
      <c r="A83" s="3">
        <v>3</v>
      </c>
      <c r="B83" s="13">
        <f t="shared" si="10"/>
        <v>27863252.09</v>
      </c>
      <c r="C83" s="13">
        <f t="shared" si="10"/>
        <v>9018717</v>
      </c>
      <c r="D83" s="13">
        <f t="shared" si="10"/>
        <v>8526925.9199999999</v>
      </c>
      <c r="E83" s="13">
        <f t="shared" si="10"/>
        <v>10288629</v>
      </c>
      <c r="F83" s="13">
        <f t="shared" si="10"/>
        <v>2412000</v>
      </c>
      <c r="G83" s="13">
        <f t="shared" si="10"/>
        <v>878331.34</v>
      </c>
      <c r="H83" s="13">
        <f t="shared" si="10"/>
        <v>2769487</v>
      </c>
      <c r="I83" s="13">
        <f t="shared" si="10"/>
        <v>16484691</v>
      </c>
      <c r="J83" s="13">
        <f t="shared" si="10"/>
        <v>2628097.6800000002</v>
      </c>
      <c r="K83" s="13">
        <f t="shared" si="10"/>
        <v>3120910.9499999997</v>
      </c>
      <c r="L83" s="13">
        <f t="shared" si="10"/>
        <v>13979740</v>
      </c>
      <c r="M83" s="13">
        <f t="shared" si="10"/>
        <v>21500</v>
      </c>
      <c r="N83" s="13">
        <f t="shared" si="10"/>
        <v>43382421</v>
      </c>
    </row>
    <row r="84" spans="1:14" ht="12.75" x14ac:dyDescent="0.2">
      <c r="A84" s="3">
        <v>4</v>
      </c>
      <c r="B84" s="13">
        <f t="shared" si="10"/>
        <v>25206399</v>
      </c>
      <c r="C84" s="13">
        <f t="shared" si="10"/>
        <v>9000880</v>
      </c>
      <c r="D84" s="13">
        <f t="shared" si="10"/>
        <v>378232.01</v>
      </c>
      <c r="E84" s="13">
        <f t="shared" si="10"/>
        <v>6131285</v>
      </c>
      <c r="F84" s="13">
        <f t="shared" si="10"/>
        <v>2088270</v>
      </c>
      <c r="G84" s="13">
        <f t="shared" si="10"/>
        <v>235863.82</v>
      </c>
      <c r="H84" s="13">
        <f t="shared" si="10"/>
        <v>621746</v>
      </c>
      <c r="I84" s="13">
        <f t="shared" si="10"/>
        <v>9536102</v>
      </c>
      <c r="J84" s="13">
        <f t="shared" si="10"/>
        <v>2393950</v>
      </c>
      <c r="K84" s="13">
        <f t="shared" si="10"/>
        <v>3066736</v>
      </c>
      <c r="L84" s="13">
        <f t="shared" si="10"/>
        <v>2847771.05</v>
      </c>
      <c r="M84" s="13">
        <f t="shared" si="10"/>
        <v>0</v>
      </c>
      <c r="N84" s="13">
        <f t="shared" si="10"/>
        <v>32963572.969999999</v>
      </c>
    </row>
    <row r="85" spans="1:14" ht="12.75" x14ac:dyDescent="0.2">
      <c r="A85" s="3">
        <v>5</v>
      </c>
      <c r="B85" s="13">
        <f t="shared" si="10"/>
        <v>22875068</v>
      </c>
      <c r="C85" s="13">
        <f t="shared" si="10"/>
        <v>7872111</v>
      </c>
      <c r="D85" s="13">
        <f t="shared" si="10"/>
        <v>221578.6</v>
      </c>
      <c r="E85" s="13">
        <f t="shared" si="10"/>
        <v>3648000</v>
      </c>
      <c r="F85" s="13">
        <f t="shared" si="10"/>
        <v>1747025</v>
      </c>
      <c r="G85" s="13">
        <f t="shared" si="10"/>
        <v>139837.57999999999</v>
      </c>
      <c r="H85" s="13">
        <f t="shared" si="10"/>
        <v>320047.76999999996</v>
      </c>
      <c r="I85" s="13">
        <f t="shared" si="10"/>
        <v>8357298.8199999994</v>
      </c>
      <c r="J85" s="13">
        <f t="shared" si="10"/>
        <v>1682044</v>
      </c>
      <c r="K85" s="13">
        <f t="shared" si="10"/>
        <v>3059520</v>
      </c>
      <c r="L85" s="13">
        <f t="shared" si="10"/>
        <v>2458674</v>
      </c>
      <c r="M85" s="13">
        <f t="shared" si="10"/>
        <v>0</v>
      </c>
      <c r="N85" s="13">
        <f t="shared" si="10"/>
        <v>27437754</v>
      </c>
    </row>
    <row r="86" spans="1:14" ht="12.75" x14ac:dyDescent="0.2">
      <c r="A86" s="3">
        <v>6</v>
      </c>
      <c r="B86" s="13">
        <f t="shared" si="10"/>
        <v>17901652</v>
      </c>
      <c r="C86" s="13">
        <f t="shared" si="10"/>
        <v>7000000</v>
      </c>
      <c r="D86" s="13">
        <f t="shared" si="10"/>
        <v>61512.11</v>
      </c>
      <c r="E86" s="13">
        <f t="shared" si="10"/>
        <v>3089688.37</v>
      </c>
      <c r="F86" s="13">
        <f t="shared" si="10"/>
        <v>1430451.83</v>
      </c>
      <c r="G86" s="13">
        <f t="shared" si="10"/>
        <v>100000</v>
      </c>
      <c r="H86" s="13">
        <f t="shared" si="10"/>
        <v>119656.54</v>
      </c>
      <c r="I86" s="13">
        <f t="shared" si="10"/>
        <v>5709026.8300000001</v>
      </c>
      <c r="J86" s="13">
        <f t="shared" si="10"/>
        <v>1281350</v>
      </c>
      <c r="K86" s="13">
        <f t="shared" si="10"/>
        <v>2700807</v>
      </c>
      <c r="L86" s="13">
        <f t="shared" si="10"/>
        <v>2370529.35</v>
      </c>
      <c r="M86" s="13">
        <f t="shared" si="10"/>
        <v>0</v>
      </c>
      <c r="N86" s="13">
        <f t="shared" si="10"/>
        <v>26704691</v>
      </c>
    </row>
    <row r="87" spans="1:14" ht="12.75" x14ac:dyDescent="0.2">
      <c r="A87" s="3">
        <v>7</v>
      </c>
      <c r="B87" s="13">
        <f t="shared" si="10"/>
        <v>15312000</v>
      </c>
      <c r="C87" s="13">
        <f t="shared" si="10"/>
        <v>6685419.4500000002</v>
      </c>
      <c r="D87" s="13">
        <f t="shared" si="10"/>
        <v>21509.35</v>
      </c>
      <c r="E87" s="13">
        <f t="shared" si="10"/>
        <v>2629702</v>
      </c>
      <c r="F87" s="13">
        <f t="shared" si="10"/>
        <v>935538</v>
      </c>
      <c r="G87" s="13">
        <f t="shared" si="10"/>
        <v>90022</v>
      </c>
      <c r="H87" s="13">
        <f t="shared" si="10"/>
        <v>105434</v>
      </c>
      <c r="I87" s="13">
        <f t="shared" si="10"/>
        <v>5460686</v>
      </c>
      <c r="J87" s="13">
        <f t="shared" si="10"/>
        <v>1033075.96</v>
      </c>
      <c r="K87" s="13">
        <f t="shared" si="10"/>
        <v>2538060</v>
      </c>
      <c r="L87" s="13">
        <f t="shared" si="10"/>
        <v>2180542</v>
      </c>
      <c r="M87" s="13">
        <f t="shared" si="10"/>
        <v>0</v>
      </c>
      <c r="N87" s="13">
        <f t="shared" si="10"/>
        <v>25775447</v>
      </c>
    </row>
    <row r="88" spans="1:14" ht="12.75" x14ac:dyDescent="0.2">
      <c r="A88" s="3">
        <v>8</v>
      </c>
      <c r="B88" s="13">
        <f t="shared" si="10"/>
        <v>13410507</v>
      </c>
      <c r="C88" s="13">
        <f t="shared" si="10"/>
        <v>3447227</v>
      </c>
      <c r="D88" s="13">
        <f t="shared" si="10"/>
        <v>6669.99</v>
      </c>
      <c r="E88" s="13">
        <f t="shared" si="10"/>
        <v>2560000</v>
      </c>
      <c r="F88" s="13">
        <f t="shared" si="10"/>
        <v>920406.01</v>
      </c>
      <c r="G88" s="13">
        <f t="shared" si="10"/>
        <v>82875.73</v>
      </c>
      <c r="H88" s="13">
        <f t="shared" si="10"/>
        <v>103242.98000000001</v>
      </c>
      <c r="I88" s="13">
        <f t="shared" si="10"/>
        <v>5100320.879999999</v>
      </c>
      <c r="J88" s="13">
        <f t="shared" si="10"/>
        <v>752950</v>
      </c>
      <c r="K88" s="13">
        <f t="shared" si="10"/>
        <v>2460407.6799999997</v>
      </c>
      <c r="L88" s="13">
        <f t="shared" si="10"/>
        <v>1336377.6100000001</v>
      </c>
      <c r="M88" s="13">
        <f t="shared" si="10"/>
        <v>0</v>
      </c>
      <c r="N88" s="13">
        <f t="shared" si="10"/>
        <v>23099987</v>
      </c>
    </row>
    <row r="89" spans="1:14" ht="12.75" x14ac:dyDescent="0.2">
      <c r="A89" s="3">
        <v>9</v>
      </c>
      <c r="B89" s="13">
        <f t="shared" si="10"/>
        <v>12783365.51</v>
      </c>
      <c r="C89" s="13">
        <f t="shared" si="10"/>
        <v>3119712.57</v>
      </c>
      <c r="D89" s="13">
        <f t="shared" si="10"/>
        <v>3100</v>
      </c>
      <c r="E89" s="13">
        <f t="shared" si="10"/>
        <v>2174979</v>
      </c>
      <c r="F89" s="13">
        <f t="shared" si="10"/>
        <v>660000</v>
      </c>
      <c r="G89" s="13">
        <f t="shared" si="10"/>
        <v>33169.589999999997</v>
      </c>
      <c r="H89" s="13">
        <f t="shared" si="10"/>
        <v>65713</v>
      </c>
      <c r="I89" s="13">
        <f t="shared" si="10"/>
        <v>4729880.1899999995</v>
      </c>
      <c r="J89" s="13">
        <f t="shared" si="10"/>
        <v>674345</v>
      </c>
      <c r="K89" s="13">
        <f t="shared" si="10"/>
        <v>2432705.79</v>
      </c>
      <c r="L89" s="13">
        <f t="shared" si="10"/>
        <v>746504.13</v>
      </c>
      <c r="M89" s="13">
        <f t="shared" si="10"/>
        <v>0</v>
      </c>
      <c r="N89" s="13">
        <f t="shared" si="10"/>
        <v>21021026.829999998</v>
      </c>
    </row>
    <row r="90" spans="1:14" ht="12.75" x14ac:dyDescent="0.2">
      <c r="A90" s="3">
        <v>10</v>
      </c>
      <c r="B90" s="13">
        <f t="shared" si="10"/>
        <v>10220000</v>
      </c>
      <c r="C90" s="13">
        <f t="shared" si="10"/>
        <v>1389074.22</v>
      </c>
      <c r="D90" s="13">
        <f t="shared" si="10"/>
        <v>0</v>
      </c>
      <c r="E90" s="13">
        <f t="shared" si="10"/>
        <v>1122861.26</v>
      </c>
      <c r="F90" s="13">
        <f t="shared" si="10"/>
        <v>658977.76</v>
      </c>
      <c r="G90" s="13">
        <f t="shared" si="10"/>
        <v>19565.55</v>
      </c>
      <c r="H90" s="13">
        <f t="shared" si="10"/>
        <v>60687.55</v>
      </c>
      <c r="I90" s="13">
        <f t="shared" si="10"/>
        <v>4192812</v>
      </c>
      <c r="J90" s="13">
        <f t="shared" si="10"/>
        <v>625000</v>
      </c>
      <c r="K90" s="13">
        <f t="shared" si="10"/>
        <v>2403651</v>
      </c>
      <c r="L90" s="13">
        <f t="shared" si="10"/>
        <v>588613.32999999996</v>
      </c>
      <c r="M90" s="13">
        <f t="shared" si="10"/>
        <v>0</v>
      </c>
      <c r="N90" s="13">
        <f t="shared" si="10"/>
        <v>13050254.51</v>
      </c>
    </row>
    <row r="91" spans="1:14" ht="12.75" x14ac:dyDescent="0.2">
      <c r="A91" s="3">
        <v>11</v>
      </c>
      <c r="B91" s="13">
        <f t="shared" ref="B91:N100" si="11">LARGE(B$2:B$77,$A91)</f>
        <v>7627692.3500000006</v>
      </c>
      <c r="C91" s="13">
        <f t="shared" si="11"/>
        <v>712051.39</v>
      </c>
      <c r="D91" s="13">
        <f t="shared" si="11"/>
        <v>0</v>
      </c>
      <c r="E91" s="13">
        <f t="shared" si="11"/>
        <v>1119311.8500000001</v>
      </c>
      <c r="F91" s="13">
        <f t="shared" si="11"/>
        <v>656815.06999999995</v>
      </c>
      <c r="G91" s="13">
        <f t="shared" si="11"/>
        <v>14160</v>
      </c>
      <c r="H91" s="13">
        <f t="shared" si="11"/>
        <v>56902.25</v>
      </c>
      <c r="I91" s="13">
        <f t="shared" si="11"/>
        <v>3807905.29</v>
      </c>
      <c r="J91" s="13">
        <f t="shared" si="11"/>
        <v>577059</v>
      </c>
      <c r="K91" s="13">
        <f t="shared" si="11"/>
        <v>2025048.46</v>
      </c>
      <c r="L91" s="13">
        <f t="shared" si="11"/>
        <v>409679.70999999996</v>
      </c>
      <c r="M91" s="13">
        <f t="shared" si="11"/>
        <v>0</v>
      </c>
      <c r="N91" s="13">
        <f t="shared" si="11"/>
        <v>10613884.229999999</v>
      </c>
    </row>
    <row r="92" spans="1:14" ht="12.75" x14ac:dyDescent="0.2">
      <c r="A92" s="3">
        <v>12</v>
      </c>
      <c r="B92" s="13">
        <f t="shared" si="11"/>
        <v>5640931</v>
      </c>
      <c r="C92" s="13">
        <f t="shared" si="11"/>
        <v>632710</v>
      </c>
      <c r="D92" s="13">
        <f t="shared" si="11"/>
        <v>0</v>
      </c>
      <c r="E92" s="13">
        <f t="shared" si="11"/>
        <v>1037320.49</v>
      </c>
      <c r="F92" s="13">
        <f t="shared" si="11"/>
        <v>547352.67000000004</v>
      </c>
      <c r="G92" s="13">
        <f t="shared" si="11"/>
        <v>11364.96</v>
      </c>
      <c r="H92" s="13">
        <f t="shared" si="11"/>
        <v>44288.46</v>
      </c>
      <c r="I92" s="13">
        <f t="shared" si="11"/>
        <v>3364210.9099999997</v>
      </c>
      <c r="J92" s="13">
        <f t="shared" si="11"/>
        <v>566613</v>
      </c>
      <c r="K92" s="13">
        <f t="shared" si="11"/>
        <v>1830606</v>
      </c>
      <c r="L92" s="13">
        <f t="shared" si="11"/>
        <v>400500</v>
      </c>
      <c r="M92" s="13">
        <f t="shared" si="11"/>
        <v>0</v>
      </c>
      <c r="N92" s="13">
        <f t="shared" si="11"/>
        <v>9833743</v>
      </c>
    </row>
    <row r="93" spans="1:14" ht="12.75" x14ac:dyDescent="0.2">
      <c r="A93" s="3">
        <v>13</v>
      </c>
      <c r="B93" s="13">
        <f t="shared" si="11"/>
        <v>3952288.33</v>
      </c>
      <c r="C93" s="13">
        <f t="shared" si="11"/>
        <v>581012.97</v>
      </c>
      <c r="D93" s="13">
        <f t="shared" si="11"/>
        <v>0</v>
      </c>
      <c r="E93" s="13">
        <f t="shared" si="11"/>
        <v>1004728.9099999999</v>
      </c>
      <c r="F93" s="13">
        <f t="shared" si="11"/>
        <v>518755</v>
      </c>
      <c r="G93" s="13">
        <f t="shared" si="11"/>
        <v>6465</v>
      </c>
      <c r="H93" s="13">
        <f t="shared" si="11"/>
        <v>36578.92</v>
      </c>
      <c r="I93" s="13">
        <f t="shared" si="11"/>
        <v>2851461</v>
      </c>
      <c r="J93" s="13">
        <f t="shared" si="11"/>
        <v>523031.87</v>
      </c>
      <c r="K93" s="13">
        <f t="shared" si="11"/>
        <v>1427953.4</v>
      </c>
      <c r="L93" s="13">
        <f t="shared" si="11"/>
        <v>377247</v>
      </c>
      <c r="M93" s="13">
        <f t="shared" si="11"/>
        <v>0</v>
      </c>
      <c r="N93" s="13">
        <f t="shared" si="11"/>
        <v>7902692.3500000006</v>
      </c>
    </row>
    <row r="94" spans="1:14" ht="12.75" x14ac:dyDescent="0.2">
      <c r="A94" s="3">
        <v>14</v>
      </c>
      <c r="B94" s="13">
        <f t="shared" si="11"/>
        <v>3627851.1399999997</v>
      </c>
      <c r="C94" s="13">
        <f t="shared" si="11"/>
        <v>410320.88</v>
      </c>
      <c r="D94" s="13">
        <f t="shared" si="11"/>
        <v>0</v>
      </c>
      <c r="E94" s="13">
        <f t="shared" si="11"/>
        <v>929384.13</v>
      </c>
      <c r="F94" s="13">
        <f t="shared" si="11"/>
        <v>480844.04000000004</v>
      </c>
      <c r="G94" s="13">
        <f t="shared" si="11"/>
        <v>5340.36</v>
      </c>
      <c r="H94" s="13">
        <f t="shared" si="11"/>
        <v>31169.599999999999</v>
      </c>
      <c r="I94" s="13">
        <f t="shared" si="11"/>
        <v>2700807</v>
      </c>
      <c r="J94" s="13">
        <f t="shared" si="11"/>
        <v>361240</v>
      </c>
      <c r="K94" s="13">
        <f t="shared" si="11"/>
        <v>1415771.84</v>
      </c>
      <c r="L94" s="13">
        <f t="shared" si="11"/>
        <v>244510.32</v>
      </c>
      <c r="M94" s="13">
        <f t="shared" si="11"/>
        <v>0</v>
      </c>
      <c r="N94" s="13">
        <f t="shared" si="11"/>
        <v>6992062.0499999989</v>
      </c>
    </row>
    <row r="95" spans="1:14" ht="12.75" x14ac:dyDescent="0.2">
      <c r="A95" s="3">
        <v>15</v>
      </c>
      <c r="B95" s="13">
        <f t="shared" si="11"/>
        <v>2507315</v>
      </c>
      <c r="C95" s="13">
        <f t="shared" si="11"/>
        <v>319661.88</v>
      </c>
      <c r="D95" s="13">
        <f t="shared" si="11"/>
        <v>0</v>
      </c>
      <c r="E95" s="13">
        <f t="shared" si="11"/>
        <v>879272.9</v>
      </c>
      <c r="F95" s="13">
        <f t="shared" si="11"/>
        <v>448200</v>
      </c>
      <c r="G95" s="13">
        <f t="shared" si="11"/>
        <v>2561</v>
      </c>
      <c r="H95" s="13">
        <f t="shared" si="11"/>
        <v>28500</v>
      </c>
      <c r="I95" s="13">
        <f t="shared" si="11"/>
        <v>2601274.87</v>
      </c>
      <c r="J95" s="13">
        <f t="shared" si="11"/>
        <v>349859.86</v>
      </c>
      <c r="K95" s="13">
        <f t="shared" si="11"/>
        <v>1407010.59</v>
      </c>
      <c r="L95" s="13">
        <f t="shared" si="11"/>
        <v>205355</v>
      </c>
      <c r="M95" s="13">
        <f t="shared" si="11"/>
        <v>0</v>
      </c>
      <c r="N95" s="13">
        <f t="shared" si="11"/>
        <v>6803749.3300000001</v>
      </c>
    </row>
    <row r="96" spans="1:14" ht="12.75" x14ac:dyDescent="0.2">
      <c r="A96" s="3">
        <v>16</v>
      </c>
      <c r="B96" s="13">
        <f t="shared" si="11"/>
        <v>2256585.4099999997</v>
      </c>
      <c r="C96" s="13">
        <f t="shared" si="11"/>
        <v>310552.5</v>
      </c>
      <c r="D96" s="13">
        <f t="shared" si="11"/>
        <v>0</v>
      </c>
      <c r="E96" s="13">
        <f t="shared" si="11"/>
        <v>696546.90999999992</v>
      </c>
      <c r="F96" s="13">
        <f t="shared" si="11"/>
        <v>420719</v>
      </c>
      <c r="G96" s="13">
        <f t="shared" si="11"/>
        <v>1667.29</v>
      </c>
      <c r="H96" s="13">
        <f t="shared" si="11"/>
        <v>21100</v>
      </c>
      <c r="I96" s="13">
        <f t="shared" si="11"/>
        <v>2180969.94</v>
      </c>
      <c r="J96" s="13">
        <f t="shared" si="11"/>
        <v>329620</v>
      </c>
      <c r="K96" s="13">
        <f t="shared" si="11"/>
        <v>1301873.54</v>
      </c>
      <c r="L96" s="13">
        <f t="shared" si="11"/>
        <v>155921.48000000001</v>
      </c>
      <c r="M96" s="13">
        <f t="shared" si="11"/>
        <v>0</v>
      </c>
      <c r="N96" s="13">
        <f t="shared" si="11"/>
        <v>4992863.42</v>
      </c>
    </row>
    <row r="97" spans="1:14" ht="12.75" x14ac:dyDescent="0.2">
      <c r="A97" s="3">
        <v>17</v>
      </c>
      <c r="B97" s="13">
        <f t="shared" si="11"/>
        <v>1874874.3900000001</v>
      </c>
      <c r="C97" s="13">
        <f t="shared" si="11"/>
        <v>280290.49</v>
      </c>
      <c r="D97" s="13">
        <f t="shared" si="11"/>
        <v>0</v>
      </c>
      <c r="E97" s="13">
        <f t="shared" si="11"/>
        <v>619257.43999999994</v>
      </c>
      <c r="F97" s="13">
        <f t="shared" si="11"/>
        <v>396695.62</v>
      </c>
      <c r="G97" s="13">
        <f t="shared" si="11"/>
        <v>1600.61</v>
      </c>
      <c r="H97" s="13">
        <f t="shared" si="11"/>
        <v>18170.43</v>
      </c>
      <c r="I97" s="13">
        <f t="shared" si="11"/>
        <v>2040771.84</v>
      </c>
      <c r="J97" s="13">
        <f t="shared" si="11"/>
        <v>320000</v>
      </c>
      <c r="K97" s="13">
        <f t="shared" si="11"/>
        <v>964192.26</v>
      </c>
      <c r="L97" s="13">
        <f t="shared" si="11"/>
        <v>131330.85</v>
      </c>
      <c r="M97" s="13">
        <f t="shared" si="11"/>
        <v>0</v>
      </c>
      <c r="N97" s="13">
        <f t="shared" si="11"/>
        <v>4780230.6399999997</v>
      </c>
    </row>
    <row r="98" spans="1:14" ht="12.75" x14ac:dyDescent="0.2">
      <c r="A98" s="3">
        <v>18</v>
      </c>
      <c r="B98" s="13">
        <f t="shared" si="11"/>
        <v>1443374.32</v>
      </c>
      <c r="C98" s="13">
        <f t="shared" si="11"/>
        <v>206588.7</v>
      </c>
      <c r="D98" s="13">
        <f t="shared" si="11"/>
        <v>0</v>
      </c>
      <c r="E98" s="13">
        <f t="shared" si="11"/>
        <v>554890.28</v>
      </c>
      <c r="F98" s="13">
        <f t="shared" si="11"/>
        <v>320562.98</v>
      </c>
      <c r="G98" s="13">
        <f t="shared" si="11"/>
        <v>1546.5</v>
      </c>
      <c r="H98" s="13">
        <f t="shared" si="11"/>
        <v>15407.79</v>
      </c>
      <c r="I98" s="13">
        <f t="shared" si="11"/>
        <v>1994532.57</v>
      </c>
      <c r="J98" s="13">
        <f t="shared" si="11"/>
        <v>313401</v>
      </c>
      <c r="K98" s="13">
        <f t="shared" si="11"/>
        <v>923565.83</v>
      </c>
      <c r="L98" s="13">
        <f t="shared" si="11"/>
        <v>107117</v>
      </c>
      <c r="M98" s="13">
        <f t="shared" si="11"/>
        <v>0</v>
      </c>
      <c r="N98" s="13">
        <f t="shared" si="11"/>
        <v>3325125</v>
      </c>
    </row>
    <row r="99" spans="1:14" ht="12.75" x14ac:dyDescent="0.2">
      <c r="A99" s="3">
        <v>19</v>
      </c>
      <c r="B99" s="13">
        <f t="shared" si="11"/>
        <v>1238452.1300000001</v>
      </c>
      <c r="C99" s="13">
        <f t="shared" si="11"/>
        <v>191189.93</v>
      </c>
      <c r="D99" s="13">
        <f t="shared" si="11"/>
        <v>0</v>
      </c>
      <c r="E99" s="13">
        <f t="shared" si="11"/>
        <v>485973.68000000005</v>
      </c>
      <c r="F99" s="13">
        <f t="shared" si="11"/>
        <v>318495.56</v>
      </c>
      <c r="G99" s="13">
        <f t="shared" si="11"/>
        <v>1097</v>
      </c>
      <c r="H99" s="13">
        <f t="shared" si="11"/>
        <v>14584.49</v>
      </c>
      <c r="I99" s="13">
        <f t="shared" si="11"/>
        <v>1661744.2</v>
      </c>
      <c r="J99" s="13">
        <f t="shared" si="11"/>
        <v>300705</v>
      </c>
      <c r="K99" s="13">
        <f t="shared" si="11"/>
        <v>818604.47</v>
      </c>
      <c r="L99" s="13">
        <f t="shared" si="11"/>
        <v>72546</v>
      </c>
      <c r="M99" s="13">
        <f t="shared" si="11"/>
        <v>0</v>
      </c>
      <c r="N99" s="13">
        <f t="shared" si="11"/>
        <v>3015078.22</v>
      </c>
    </row>
    <row r="100" spans="1:14" ht="12.75" x14ac:dyDescent="0.2">
      <c r="A100" s="3">
        <v>20</v>
      </c>
      <c r="B100" s="13">
        <f t="shared" si="11"/>
        <v>1229335.1900000002</v>
      </c>
      <c r="C100" s="13">
        <f t="shared" si="11"/>
        <v>184931.71</v>
      </c>
      <c r="D100" s="13">
        <f t="shared" si="11"/>
        <v>0</v>
      </c>
      <c r="E100" s="13">
        <f t="shared" si="11"/>
        <v>484352.18</v>
      </c>
      <c r="F100" s="13">
        <f t="shared" si="11"/>
        <v>251821.42</v>
      </c>
      <c r="G100" s="13">
        <f t="shared" si="11"/>
        <v>0</v>
      </c>
      <c r="H100" s="13">
        <f t="shared" si="11"/>
        <v>9700</v>
      </c>
      <c r="I100" s="13">
        <f t="shared" si="11"/>
        <v>1539078.1400000001</v>
      </c>
      <c r="J100" s="13">
        <f t="shared" si="11"/>
        <v>298461.78999999998</v>
      </c>
      <c r="K100" s="13">
        <f t="shared" si="11"/>
        <v>723616.12</v>
      </c>
      <c r="L100" s="13">
        <f t="shared" si="11"/>
        <v>68187.03</v>
      </c>
      <c r="M100" s="13">
        <f t="shared" si="11"/>
        <v>0</v>
      </c>
      <c r="N100" s="13">
        <f t="shared" si="11"/>
        <v>2904335.83</v>
      </c>
    </row>
    <row r="101" spans="1:14" ht="12.75" x14ac:dyDescent="0.2">
      <c r="A101" s="3">
        <v>21</v>
      </c>
      <c r="B101" s="13">
        <f t="shared" ref="B101:N110" si="12">LARGE(B$2:B$77,$A101)</f>
        <v>1020545.65</v>
      </c>
      <c r="C101" s="13">
        <f t="shared" si="12"/>
        <v>176601</v>
      </c>
      <c r="D101" s="13">
        <f t="shared" si="12"/>
        <v>0</v>
      </c>
      <c r="E101" s="13">
        <f t="shared" si="12"/>
        <v>462733.76</v>
      </c>
      <c r="F101" s="13">
        <f t="shared" si="12"/>
        <v>216394.33</v>
      </c>
      <c r="G101" s="13">
        <f t="shared" si="12"/>
        <v>0</v>
      </c>
      <c r="H101" s="13">
        <f t="shared" si="12"/>
        <v>9389.5</v>
      </c>
      <c r="I101" s="13">
        <f t="shared" si="12"/>
        <v>1496140.43</v>
      </c>
      <c r="J101" s="13">
        <f t="shared" si="12"/>
        <v>292159.03000000003</v>
      </c>
      <c r="K101" s="13">
        <f t="shared" si="12"/>
        <v>696290.07</v>
      </c>
      <c r="L101" s="13">
        <f t="shared" si="12"/>
        <v>52000</v>
      </c>
      <c r="M101" s="13">
        <f t="shared" si="12"/>
        <v>0</v>
      </c>
      <c r="N101" s="13">
        <f t="shared" si="12"/>
        <v>2880451</v>
      </c>
    </row>
    <row r="102" spans="1:14" ht="12.75" x14ac:dyDescent="0.2">
      <c r="A102" s="3">
        <v>22</v>
      </c>
      <c r="B102" s="13">
        <f t="shared" si="12"/>
        <v>979674.62</v>
      </c>
      <c r="C102" s="13">
        <f t="shared" si="12"/>
        <v>170162.99</v>
      </c>
      <c r="D102" s="13">
        <f t="shared" si="12"/>
        <v>0</v>
      </c>
      <c r="E102" s="13">
        <f t="shared" si="12"/>
        <v>436986</v>
      </c>
      <c r="F102" s="13">
        <f t="shared" si="12"/>
        <v>193359.87</v>
      </c>
      <c r="G102" s="13">
        <f t="shared" si="12"/>
        <v>0</v>
      </c>
      <c r="H102" s="13">
        <f t="shared" si="12"/>
        <v>3720.57</v>
      </c>
      <c r="I102" s="13">
        <f t="shared" si="12"/>
        <v>1274325.31</v>
      </c>
      <c r="J102" s="13">
        <f t="shared" si="12"/>
        <v>233286</v>
      </c>
      <c r="K102" s="13">
        <f t="shared" si="12"/>
        <v>574182.66</v>
      </c>
      <c r="L102" s="13">
        <f t="shared" si="12"/>
        <v>40141.78</v>
      </c>
      <c r="M102" s="13">
        <f t="shared" si="12"/>
        <v>0</v>
      </c>
      <c r="N102" s="13">
        <f t="shared" si="12"/>
        <v>2732227.5500000003</v>
      </c>
    </row>
    <row r="103" spans="1:14" ht="12.75" x14ac:dyDescent="0.2">
      <c r="A103" s="3">
        <v>23</v>
      </c>
      <c r="B103" s="13">
        <f t="shared" si="12"/>
        <v>972325.35</v>
      </c>
      <c r="C103" s="13">
        <f t="shared" si="12"/>
        <v>168869.86</v>
      </c>
      <c r="D103" s="13">
        <f t="shared" si="12"/>
        <v>0</v>
      </c>
      <c r="E103" s="13">
        <f t="shared" si="12"/>
        <v>427541</v>
      </c>
      <c r="F103" s="13">
        <f t="shared" si="12"/>
        <v>147281.87</v>
      </c>
      <c r="G103" s="13">
        <f t="shared" si="12"/>
        <v>0</v>
      </c>
      <c r="H103" s="13">
        <f t="shared" si="12"/>
        <v>3105.02</v>
      </c>
      <c r="I103" s="13">
        <f t="shared" si="12"/>
        <v>1029461.44</v>
      </c>
      <c r="J103" s="13">
        <f t="shared" si="12"/>
        <v>228431</v>
      </c>
      <c r="K103" s="13">
        <f t="shared" si="12"/>
        <v>553063.56999999995</v>
      </c>
      <c r="L103" s="13">
        <f t="shared" si="12"/>
        <v>11815.52</v>
      </c>
      <c r="M103" s="13">
        <f t="shared" si="12"/>
        <v>0</v>
      </c>
      <c r="N103" s="13">
        <f t="shared" si="12"/>
        <v>2426868.0700000003</v>
      </c>
    </row>
    <row r="104" spans="1:14" ht="12.75" x14ac:dyDescent="0.2">
      <c r="A104" s="3">
        <v>24</v>
      </c>
      <c r="B104" s="13">
        <f t="shared" si="12"/>
        <v>935726.71</v>
      </c>
      <c r="C104" s="13">
        <f t="shared" si="12"/>
        <v>158065.56</v>
      </c>
      <c r="D104" s="13">
        <f t="shared" si="12"/>
        <v>0</v>
      </c>
      <c r="E104" s="13">
        <f t="shared" si="12"/>
        <v>366493.97</v>
      </c>
      <c r="F104" s="13">
        <f t="shared" si="12"/>
        <v>131998.10999999999</v>
      </c>
      <c r="G104" s="13">
        <f t="shared" si="12"/>
        <v>0</v>
      </c>
      <c r="H104" s="13">
        <f t="shared" si="12"/>
        <v>2884</v>
      </c>
      <c r="I104" s="13">
        <f t="shared" si="12"/>
        <v>971253</v>
      </c>
      <c r="J104" s="13">
        <f t="shared" si="12"/>
        <v>221700</v>
      </c>
      <c r="K104" s="13">
        <f t="shared" si="12"/>
        <v>540723</v>
      </c>
      <c r="L104" s="13">
        <f t="shared" si="12"/>
        <v>10013.959999999999</v>
      </c>
      <c r="M104" s="13">
        <f t="shared" si="12"/>
        <v>0</v>
      </c>
      <c r="N104" s="13">
        <f t="shared" si="12"/>
        <v>2220715.08</v>
      </c>
    </row>
    <row r="105" spans="1:14" ht="12.75" x14ac:dyDescent="0.2">
      <c r="A105" s="3">
        <v>25</v>
      </c>
      <c r="B105" s="13">
        <f t="shared" si="12"/>
        <v>935538</v>
      </c>
      <c r="C105" s="13">
        <f t="shared" si="12"/>
        <v>146880.51999999999</v>
      </c>
      <c r="D105" s="13">
        <f t="shared" si="12"/>
        <v>0</v>
      </c>
      <c r="E105" s="13">
        <f t="shared" si="12"/>
        <v>355111.71</v>
      </c>
      <c r="F105" s="13">
        <f t="shared" si="12"/>
        <v>95857</v>
      </c>
      <c r="G105" s="13">
        <f t="shared" si="12"/>
        <v>0</v>
      </c>
      <c r="H105" s="13">
        <f t="shared" si="12"/>
        <v>800</v>
      </c>
      <c r="I105" s="13">
        <f t="shared" si="12"/>
        <v>929910.24999999988</v>
      </c>
      <c r="J105" s="13">
        <f t="shared" si="12"/>
        <v>200000</v>
      </c>
      <c r="K105" s="13">
        <f t="shared" si="12"/>
        <v>467646</v>
      </c>
      <c r="L105" s="13">
        <f t="shared" si="12"/>
        <v>2738.38</v>
      </c>
      <c r="M105" s="13">
        <f t="shared" si="12"/>
        <v>0</v>
      </c>
      <c r="N105" s="13">
        <f t="shared" si="12"/>
        <v>2146246</v>
      </c>
    </row>
    <row r="106" spans="1:14" ht="12.75" x14ac:dyDescent="0.2">
      <c r="A106" s="3">
        <v>26</v>
      </c>
      <c r="B106" s="13">
        <f t="shared" si="12"/>
        <v>785443.60999999987</v>
      </c>
      <c r="C106" s="13">
        <f t="shared" si="12"/>
        <v>128377.42</v>
      </c>
      <c r="D106" s="13">
        <f t="shared" si="12"/>
        <v>0</v>
      </c>
      <c r="E106" s="13">
        <f t="shared" si="12"/>
        <v>335927.43000000005</v>
      </c>
      <c r="F106" s="13">
        <f t="shared" si="12"/>
        <v>86502.68</v>
      </c>
      <c r="G106" s="13">
        <f t="shared" si="12"/>
        <v>0</v>
      </c>
      <c r="H106" s="13">
        <f t="shared" si="12"/>
        <v>34.1</v>
      </c>
      <c r="I106" s="13">
        <f t="shared" si="12"/>
        <v>920059</v>
      </c>
      <c r="J106" s="13">
        <f t="shared" si="12"/>
        <v>200000</v>
      </c>
      <c r="K106" s="13">
        <f t="shared" si="12"/>
        <v>426991</v>
      </c>
      <c r="L106" s="13">
        <f t="shared" si="12"/>
        <v>0</v>
      </c>
      <c r="M106" s="13">
        <f t="shared" si="12"/>
        <v>0</v>
      </c>
      <c r="N106" s="13">
        <f t="shared" si="12"/>
        <v>1922804.22</v>
      </c>
    </row>
    <row r="107" spans="1:14" ht="12.75" x14ac:dyDescent="0.2">
      <c r="A107" s="3">
        <v>27</v>
      </c>
      <c r="B107" s="13">
        <f t="shared" si="12"/>
        <v>765123.87000000011</v>
      </c>
      <c r="C107" s="13">
        <f t="shared" si="12"/>
        <v>110023.34</v>
      </c>
      <c r="D107" s="13">
        <f t="shared" si="12"/>
        <v>0</v>
      </c>
      <c r="E107" s="13">
        <f t="shared" si="12"/>
        <v>225955.8</v>
      </c>
      <c r="F107" s="13">
        <f t="shared" si="12"/>
        <v>76754</v>
      </c>
      <c r="G107" s="13">
        <f t="shared" si="12"/>
        <v>0</v>
      </c>
      <c r="H107" s="13">
        <f t="shared" si="12"/>
        <v>0</v>
      </c>
      <c r="I107" s="13">
        <f t="shared" si="12"/>
        <v>849175.12</v>
      </c>
      <c r="J107" s="13">
        <f t="shared" si="12"/>
        <v>197450</v>
      </c>
      <c r="K107" s="13">
        <f t="shared" si="12"/>
        <v>423735.88999999996</v>
      </c>
      <c r="L107" s="13">
        <f t="shared" si="12"/>
        <v>0</v>
      </c>
      <c r="M107" s="13">
        <f t="shared" si="12"/>
        <v>0</v>
      </c>
      <c r="N107" s="13">
        <f t="shared" si="12"/>
        <v>1865636.96</v>
      </c>
    </row>
    <row r="108" spans="1:14" ht="12.75" x14ac:dyDescent="0.2">
      <c r="A108" s="3">
        <v>28</v>
      </c>
      <c r="B108" s="13">
        <f t="shared" si="12"/>
        <v>656873</v>
      </c>
      <c r="C108" s="13">
        <f t="shared" si="12"/>
        <v>109977.37</v>
      </c>
      <c r="D108" s="13">
        <f t="shared" si="12"/>
        <v>0</v>
      </c>
      <c r="E108" s="13">
        <f t="shared" si="12"/>
        <v>220464.24</v>
      </c>
      <c r="F108" s="13">
        <f t="shared" si="12"/>
        <v>71793.3</v>
      </c>
      <c r="G108" s="13">
        <f t="shared" si="12"/>
        <v>0</v>
      </c>
      <c r="H108" s="13">
        <f t="shared" si="12"/>
        <v>0</v>
      </c>
      <c r="I108" s="13">
        <f t="shared" si="12"/>
        <v>723616.12</v>
      </c>
      <c r="J108" s="13">
        <f t="shared" si="12"/>
        <v>187461.82</v>
      </c>
      <c r="K108" s="13">
        <f t="shared" si="12"/>
        <v>404299.98</v>
      </c>
      <c r="L108" s="13">
        <f t="shared" si="12"/>
        <v>0</v>
      </c>
      <c r="M108" s="13">
        <f t="shared" si="12"/>
        <v>0</v>
      </c>
      <c r="N108" s="13">
        <f t="shared" si="12"/>
        <v>1643071.09</v>
      </c>
    </row>
    <row r="109" spans="1:14" ht="12.75" x14ac:dyDescent="0.2">
      <c r="A109" s="3">
        <v>29</v>
      </c>
      <c r="B109" s="13">
        <f t="shared" si="12"/>
        <v>642202.34</v>
      </c>
      <c r="C109" s="13">
        <f t="shared" si="12"/>
        <v>109366.7</v>
      </c>
      <c r="D109" s="13">
        <f t="shared" si="12"/>
        <v>0</v>
      </c>
      <c r="E109" s="13">
        <f t="shared" si="12"/>
        <v>202588.6</v>
      </c>
      <c r="F109" s="13">
        <f t="shared" si="12"/>
        <v>63000</v>
      </c>
      <c r="G109" s="13">
        <f t="shared" si="12"/>
        <v>0</v>
      </c>
      <c r="H109" s="13">
        <f t="shared" si="12"/>
        <v>0</v>
      </c>
      <c r="I109" s="13">
        <f t="shared" si="12"/>
        <v>626991</v>
      </c>
      <c r="J109" s="13">
        <f t="shared" si="12"/>
        <v>132067.54999999999</v>
      </c>
      <c r="K109" s="13">
        <f t="shared" si="12"/>
        <v>384251.22</v>
      </c>
      <c r="L109" s="13">
        <f t="shared" si="12"/>
        <v>0</v>
      </c>
      <c r="M109" s="13">
        <f t="shared" si="12"/>
        <v>0</v>
      </c>
      <c r="N109" s="13">
        <f t="shared" si="12"/>
        <v>1628126</v>
      </c>
    </row>
    <row r="110" spans="1:14" ht="12.75" x14ac:dyDescent="0.2">
      <c r="A110" s="3">
        <v>30</v>
      </c>
      <c r="B110" s="13">
        <f t="shared" si="12"/>
        <v>624318</v>
      </c>
      <c r="C110" s="13">
        <f t="shared" si="12"/>
        <v>105563</v>
      </c>
      <c r="D110" s="13">
        <f t="shared" si="12"/>
        <v>0</v>
      </c>
      <c r="E110" s="13">
        <f t="shared" si="12"/>
        <v>184363.35</v>
      </c>
      <c r="F110" s="13">
        <f t="shared" si="12"/>
        <v>56819.47</v>
      </c>
      <c r="G110" s="13">
        <f t="shared" si="12"/>
        <v>0</v>
      </c>
      <c r="H110" s="13">
        <f t="shared" si="12"/>
        <v>0</v>
      </c>
      <c r="I110" s="13">
        <f t="shared" si="12"/>
        <v>574182.66</v>
      </c>
      <c r="J110" s="13">
        <f t="shared" si="12"/>
        <v>115000</v>
      </c>
      <c r="K110" s="13">
        <f t="shared" si="12"/>
        <v>371795</v>
      </c>
      <c r="L110" s="13">
        <f t="shared" si="12"/>
        <v>0</v>
      </c>
      <c r="M110" s="13">
        <f t="shared" si="12"/>
        <v>0</v>
      </c>
      <c r="N110" s="13">
        <f t="shared" si="12"/>
        <v>1594141.07</v>
      </c>
    </row>
    <row r="111" spans="1:14" ht="12.75" x14ac:dyDescent="0.2">
      <c r="A111" s="3">
        <v>31</v>
      </c>
      <c r="B111" s="13">
        <f t="shared" ref="B111:N120" si="13">LARGE(B$2:B$77,$A111)</f>
        <v>622371.67999999993</v>
      </c>
      <c r="C111" s="13">
        <f t="shared" si="13"/>
        <v>104209.03</v>
      </c>
      <c r="D111" s="13">
        <f t="shared" si="13"/>
        <v>0</v>
      </c>
      <c r="E111" s="13">
        <f t="shared" si="13"/>
        <v>175373.11</v>
      </c>
      <c r="F111" s="13">
        <f t="shared" si="13"/>
        <v>52349.8</v>
      </c>
      <c r="G111" s="13">
        <f t="shared" si="13"/>
        <v>0</v>
      </c>
      <c r="H111" s="13">
        <f t="shared" si="13"/>
        <v>0</v>
      </c>
      <c r="I111" s="13">
        <f t="shared" si="13"/>
        <v>569048</v>
      </c>
      <c r="J111" s="13">
        <f t="shared" si="13"/>
        <v>57000</v>
      </c>
      <c r="K111" s="13">
        <f t="shared" si="13"/>
        <v>369770.69</v>
      </c>
      <c r="L111" s="13">
        <f t="shared" si="13"/>
        <v>0</v>
      </c>
      <c r="M111" s="13">
        <f t="shared" si="13"/>
        <v>0</v>
      </c>
      <c r="N111" s="13">
        <f t="shared" si="13"/>
        <v>1522517.02</v>
      </c>
    </row>
    <row r="112" spans="1:14" ht="12.75" x14ac:dyDescent="0.2">
      <c r="A112" s="3">
        <v>32</v>
      </c>
      <c r="B112" s="13">
        <f t="shared" si="13"/>
        <v>596990.89</v>
      </c>
      <c r="C112" s="13">
        <f t="shared" si="13"/>
        <v>99195.54</v>
      </c>
      <c r="D112" s="13">
        <f t="shared" si="13"/>
        <v>0</v>
      </c>
      <c r="E112" s="13">
        <f t="shared" si="13"/>
        <v>175069.60000000003</v>
      </c>
      <c r="F112" s="13">
        <f t="shared" si="13"/>
        <v>48123</v>
      </c>
      <c r="G112" s="13">
        <f t="shared" si="13"/>
        <v>0</v>
      </c>
      <c r="H112" s="13">
        <f t="shared" si="13"/>
        <v>0</v>
      </c>
      <c r="I112" s="13">
        <f t="shared" si="13"/>
        <v>553063.56999999995</v>
      </c>
      <c r="J112" s="13">
        <f t="shared" si="13"/>
        <v>55680</v>
      </c>
      <c r="K112" s="13">
        <f t="shared" si="13"/>
        <v>361486</v>
      </c>
      <c r="L112" s="13">
        <f t="shared" si="13"/>
        <v>0</v>
      </c>
      <c r="M112" s="13">
        <f t="shared" si="13"/>
        <v>0</v>
      </c>
      <c r="N112" s="13">
        <f t="shared" si="13"/>
        <v>1363925.8399999999</v>
      </c>
    </row>
    <row r="113" spans="1:14" ht="12.75" x14ac:dyDescent="0.2">
      <c r="A113" s="3">
        <v>33</v>
      </c>
      <c r="B113" s="13">
        <f t="shared" si="13"/>
        <v>591159.51</v>
      </c>
      <c r="C113" s="13">
        <f t="shared" si="13"/>
        <v>89507.86</v>
      </c>
      <c r="D113" s="13">
        <f t="shared" si="13"/>
        <v>0</v>
      </c>
      <c r="E113" s="13">
        <f t="shared" si="13"/>
        <v>154809.66999999998</v>
      </c>
      <c r="F113" s="13">
        <f t="shared" si="13"/>
        <v>40750</v>
      </c>
      <c r="G113" s="13">
        <f t="shared" si="13"/>
        <v>0</v>
      </c>
      <c r="H113" s="13">
        <f t="shared" si="13"/>
        <v>0</v>
      </c>
      <c r="I113" s="13">
        <f t="shared" si="13"/>
        <v>540723</v>
      </c>
      <c r="J113" s="13">
        <f t="shared" si="13"/>
        <v>43735</v>
      </c>
      <c r="K113" s="13">
        <f t="shared" si="13"/>
        <v>355688.94</v>
      </c>
      <c r="L113" s="13">
        <f t="shared" si="13"/>
        <v>0</v>
      </c>
      <c r="M113" s="13">
        <f t="shared" si="13"/>
        <v>0</v>
      </c>
      <c r="N113" s="13">
        <f t="shared" si="13"/>
        <v>1301209.3500000001</v>
      </c>
    </row>
    <row r="114" spans="1:14" ht="12.75" x14ac:dyDescent="0.2">
      <c r="A114" s="3">
        <v>34</v>
      </c>
      <c r="B114" s="13">
        <f t="shared" si="13"/>
        <v>571275.46</v>
      </c>
      <c r="C114" s="13">
        <f t="shared" si="13"/>
        <v>83859.929999999993</v>
      </c>
      <c r="D114" s="13">
        <f t="shared" si="13"/>
        <v>0</v>
      </c>
      <c r="E114" s="13">
        <f t="shared" si="13"/>
        <v>143621.70000000001</v>
      </c>
      <c r="F114" s="13">
        <f t="shared" si="13"/>
        <v>38283</v>
      </c>
      <c r="G114" s="13">
        <f t="shared" si="13"/>
        <v>0</v>
      </c>
      <c r="H114" s="13">
        <f t="shared" si="13"/>
        <v>0</v>
      </c>
      <c r="I114" s="13">
        <f t="shared" si="13"/>
        <v>528121.96</v>
      </c>
      <c r="J114" s="13">
        <f t="shared" si="13"/>
        <v>30570.65</v>
      </c>
      <c r="K114" s="13">
        <f t="shared" si="13"/>
        <v>343000</v>
      </c>
      <c r="L114" s="13">
        <f t="shared" si="13"/>
        <v>0</v>
      </c>
      <c r="M114" s="13">
        <f t="shared" si="13"/>
        <v>0</v>
      </c>
      <c r="N114" s="13">
        <f t="shared" si="13"/>
        <v>1265158</v>
      </c>
    </row>
    <row r="115" spans="1:14" ht="12.75" x14ac:dyDescent="0.2">
      <c r="A115" s="3">
        <v>35</v>
      </c>
      <c r="B115" s="13">
        <f t="shared" si="13"/>
        <v>563627.14</v>
      </c>
      <c r="C115" s="13">
        <f t="shared" si="13"/>
        <v>82989</v>
      </c>
      <c r="D115" s="13">
        <f t="shared" si="13"/>
        <v>0</v>
      </c>
      <c r="E115" s="13">
        <f t="shared" si="13"/>
        <v>97474.77</v>
      </c>
      <c r="F115" s="13">
        <f t="shared" si="13"/>
        <v>35911.629999999997</v>
      </c>
      <c r="G115" s="13">
        <f t="shared" si="13"/>
        <v>0</v>
      </c>
      <c r="H115" s="13">
        <f t="shared" si="13"/>
        <v>0</v>
      </c>
      <c r="I115" s="13">
        <f t="shared" si="13"/>
        <v>523031.87</v>
      </c>
      <c r="J115" s="13">
        <f t="shared" si="13"/>
        <v>11650</v>
      </c>
      <c r="K115" s="13">
        <f t="shared" si="13"/>
        <v>276864.99</v>
      </c>
      <c r="L115" s="13">
        <f t="shared" si="13"/>
        <v>0</v>
      </c>
      <c r="M115" s="13">
        <f t="shared" si="13"/>
        <v>0</v>
      </c>
      <c r="N115" s="13">
        <f t="shared" si="13"/>
        <v>1251036.0799999998</v>
      </c>
    </row>
    <row r="116" spans="1:14" ht="12.75" x14ac:dyDescent="0.2">
      <c r="A116" s="3">
        <v>36</v>
      </c>
      <c r="B116" s="13">
        <f t="shared" si="13"/>
        <v>562595.36</v>
      </c>
      <c r="C116" s="13">
        <f t="shared" si="13"/>
        <v>67895.59</v>
      </c>
      <c r="D116" s="13">
        <f t="shared" si="13"/>
        <v>0</v>
      </c>
      <c r="E116" s="13">
        <f t="shared" si="13"/>
        <v>90415.61</v>
      </c>
      <c r="F116" s="13">
        <f t="shared" si="13"/>
        <v>33000</v>
      </c>
      <c r="G116" s="13">
        <f t="shared" si="13"/>
        <v>0</v>
      </c>
      <c r="H116" s="13">
        <f t="shared" si="13"/>
        <v>0</v>
      </c>
      <c r="I116" s="13">
        <f t="shared" si="13"/>
        <v>483274.08</v>
      </c>
      <c r="J116" s="13">
        <f t="shared" si="13"/>
        <v>4000</v>
      </c>
      <c r="K116" s="13">
        <f t="shared" si="13"/>
        <v>262889</v>
      </c>
      <c r="L116" s="13">
        <f t="shared" si="13"/>
        <v>0</v>
      </c>
      <c r="M116" s="13">
        <f t="shared" si="13"/>
        <v>0</v>
      </c>
      <c r="N116" s="13">
        <f t="shared" si="13"/>
        <v>1237149.26</v>
      </c>
    </row>
    <row r="117" spans="1:14" ht="12.75" x14ac:dyDescent="0.2">
      <c r="A117" s="3">
        <v>37</v>
      </c>
      <c r="B117" s="13">
        <f t="shared" si="13"/>
        <v>555918.42000000004</v>
      </c>
      <c r="C117" s="13">
        <f t="shared" si="13"/>
        <v>66402</v>
      </c>
      <c r="D117" s="13">
        <f t="shared" si="13"/>
        <v>0</v>
      </c>
      <c r="E117" s="13">
        <f t="shared" si="13"/>
        <v>78972</v>
      </c>
      <c r="F117" s="13">
        <f t="shared" si="13"/>
        <v>26700</v>
      </c>
      <c r="G117" s="13">
        <f t="shared" si="13"/>
        <v>0</v>
      </c>
      <c r="H117" s="13">
        <f t="shared" si="13"/>
        <v>0</v>
      </c>
      <c r="I117" s="13">
        <f t="shared" si="13"/>
        <v>467646</v>
      </c>
      <c r="J117" s="13">
        <f t="shared" si="13"/>
        <v>1000</v>
      </c>
      <c r="K117" s="13">
        <f t="shared" si="13"/>
        <v>248031.73</v>
      </c>
      <c r="L117" s="13">
        <f t="shared" si="13"/>
        <v>0</v>
      </c>
      <c r="M117" s="13">
        <f t="shared" si="13"/>
        <v>0</v>
      </c>
      <c r="N117" s="13">
        <f t="shared" si="13"/>
        <v>1229335.1900000002</v>
      </c>
    </row>
    <row r="118" spans="1:14" ht="12.75" x14ac:dyDescent="0.2">
      <c r="A118" s="3">
        <v>38</v>
      </c>
      <c r="B118" s="13">
        <f t="shared" si="13"/>
        <v>537919.66999999993</v>
      </c>
      <c r="C118" s="13">
        <f t="shared" si="13"/>
        <v>61883.14</v>
      </c>
      <c r="D118" s="13">
        <f t="shared" si="13"/>
        <v>0</v>
      </c>
      <c r="E118" s="13">
        <f t="shared" si="13"/>
        <v>70131.789999999994</v>
      </c>
      <c r="F118" s="13">
        <f t="shared" si="13"/>
        <v>26380</v>
      </c>
      <c r="G118" s="13">
        <f t="shared" si="13"/>
        <v>0</v>
      </c>
      <c r="H118" s="13">
        <f t="shared" si="13"/>
        <v>0</v>
      </c>
      <c r="I118" s="13">
        <f t="shared" si="13"/>
        <v>465592.47</v>
      </c>
      <c r="J118" s="13">
        <f t="shared" si="13"/>
        <v>800</v>
      </c>
      <c r="K118" s="13">
        <f t="shared" si="13"/>
        <v>246624.33</v>
      </c>
      <c r="L118" s="13">
        <f t="shared" si="13"/>
        <v>0</v>
      </c>
      <c r="M118" s="13">
        <f t="shared" si="13"/>
        <v>0</v>
      </c>
      <c r="N118" s="13">
        <f t="shared" si="13"/>
        <v>1216385</v>
      </c>
    </row>
    <row r="119" spans="1:14" ht="12.75" x14ac:dyDescent="0.2">
      <c r="A119" s="3">
        <v>39</v>
      </c>
      <c r="B119" s="13">
        <f t="shared" si="13"/>
        <v>513533.13999999996</v>
      </c>
      <c r="C119" s="13">
        <f t="shared" si="13"/>
        <v>61843.28</v>
      </c>
      <c r="D119" s="13">
        <f t="shared" si="13"/>
        <v>0</v>
      </c>
      <c r="E119" s="13">
        <f t="shared" si="13"/>
        <v>68302.98</v>
      </c>
      <c r="F119" s="13">
        <f t="shared" si="13"/>
        <v>26017.97</v>
      </c>
      <c r="G119" s="13">
        <f t="shared" si="13"/>
        <v>0</v>
      </c>
      <c r="H119" s="13">
        <f t="shared" si="13"/>
        <v>0</v>
      </c>
      <c r="I119" s="13">
        <f t="shared" si="13"/>
        <v>435493.55000000005</v>
      </c>
      <c r="J119" s="13">
        <f t="shared" si="13"/>
        <v>0</v>
      </c>
      <c r="K119" s="13">
        <f t="shared" si="13"/>
        <v>232766</v>
      </c>
      <c r="L119" s="13">
        <f t="shared" si="13"/>
        <v>0</v>
      </c>
      <c r="M119" s="13">
        <f t="shared" si="13"/>
        <v>0</v>
      </c>
      <c r="N119" s="13">
        <f t="shared" si="13"/>
        <v>1190618.1400000001</v>
      </c>
    </row>
    <row r="120" spans="1:14" ht="12.75" x14ac:dyDescent="0.2">
      <c r="A120" s="3">
        <v>40</v>
      </c>
      <c r="B120" s="13">
        <f t="shared" si="13"/>
        <v>467938</v>
      </c>
      <c r="C120" s="13">
        <f t="shared" si="13"/>
        <v>52770.38</v>
      </c>
      <c r="D120" s="13">
        <f t="shared" si="13"/>
        <v>0</v>
      </c>
      <c r="E120" s="13">
        <f t="shared" si="13"/>
        <v>66219.460000000006</v>
      </c>
      <c r="F120" s="13">
        <f t="shared" si="13"/>
        <v>25381.54</v>
      </c>
      <c r="G120" s="13">
        <f t="shared" si="13"/>
        <v>0</v>
      </c>
      <c r="H120" s="13">
        <f t="shared" si="13"/>
        <v>0</v>
      </c>
      <c r="I120" s="13">
        <f t="shared" si="13"/>
        <v>424631.14</v>
      </c>
      <c r="J120" s="13">
        <f t="shared" si="13"/>
        <v>0</v>
      </c>
      <c r="K120" s="13">
        <f t="shared" si="13"/>
        <v>229660.17</v>
      </c>
      <c r="L120" s="13">
        <f t="shared" si="13"/>
        <v>0</v>
      </c>
      <c r="M120" s="13">
        <f t="shared" si="13"/>
        <v>0</v>
      </c>
      <c r="N120" s="13">
        <f t="shared" si="13"/>
        <v>1155617.07</v>
      </c>
    </row>
    <row r="121" spans="1:14" ht="12.75" x14ac:dyDescent="0.2">
      <c r="A121" s="3">
        <v>41</v>
      </c>
      <c r="B121" s="13">
        <f t="shared" ref="B121:N130" si="14">LARGE(B$2:B$77,$A121)</f>
        <v>426663.79</v>
      </c>
      <c r="C121" s="13">
        <f t="shared" si="14"/>
        <v>44051</v>
      </c>
      <c r="D121" s="13">
        <f t="shared" si="14"/>
        <v>0</v>
      </c>
      <c r="E121" s="13">
        <f t="shared" si="14"/>
        <v>63125</v>
      </c>
      <c r="F121" s="13">
        <f t="shared" si="14"/>
        <v>17134.599999999999</v>
      </c>
      <c r="G121" s="13">
        <f t="shared" si="14"/>
        <v>0</v>
      </c>
      <c r="H121" s="13">
        <f t="shared" si="14"/>
        <v>0</v>
      </c>
      <c r="I121" s="13">
        <f t="shared" si="14"/>
        <v>384251.22</v>
      </c>
      <c r="J121" s="13">
        <f t="shared" si="14"/>
        <v>0</v>
      </c>
      <c r="K121" s="13">
        <f t="shared" si="14"/>
        <v>224919</v>
      </c>
      <c r="L121" s="13">
        <f t="shared" si="14"/>
        <v>0</v>
      </c>
      <c r="M121" s="13">
        <f t="shared" si="14"/>
        <v>0</v>
      </c>
      <c r="N121" s="13">
        <f t="shared" si="14"/>
        <v>1108981.99</v>
      </c>
    </row>
    <row r="122" spans="1:14" ht="12.75" x14ac:dyDescent="0.2">
      <c r="A122" s="3">
        <v>42</v>
      </c>
      <c r="B122" s="13">
        <f t="shared" si="14"/>
        <v>323516.98</v>
      </c>
      <c r="C122" s="13">
        <f t="shared" si="14"/>
        <v>39128.620000000003</v>
      </c>
      <c r="D122" s="13">
        <f t="shared" si="14"/>
        <v>0</v>
      </c>
      <c r="E122" s="13">
        <f t="shared" si="14"/>
        <v>57917.25</v>
      </c>
      <c r="F122" s="13">
        <f t="shared" si="14"/>
        <v>14997.61</v>
      </c>
      <c r="G122" s="13">
        <f t="shared" si="14"/>
        <v>0</v>
      </c>
      <c r="H122" s="13">
        <f t="shared" si="14"/>
        <v>0</v>
      </c>
      <c r="I122" s="13">
        <f t="shared" si="14"/>
        <v>373136</v>
      </c>
      <c r="J122" s="13">
        <f t="shared" si="14"/>
        <v>0</v>
      </c>
      <c r="K122" s="13">
        <f t="shared" si="14"/>
        <v>196200.14</v>
      </c>
      <c r="L122" s="13">
        <f t="shared" si="14"/>
        <v>0</v>
      </c>
      <c r="M122" s="13">
        <f t="shared" si="14"/>
        <v>0</v>
      </c>
      <c r="N122" s="13">
        <f t="shared" si="14"/>
        <v>1066041.6299999999</v>
      </c>
    </row>
    <row r="123" spans="1:14" ht="12.75" x14ac:dyDescent="0.2">
      <c r="A123" s="3">
        <v>43</v>
      </c>
      <c r="B123" s="13">
        <f t="shared" si="14"/>
        <v>284697.31</v>
      </c>
      <c r="C123" s="13">
        <f t="shared" si="14"/>
        <v>38616.129999999997</v>
      </c>
      <c r="D123" s="13">
        <f t="shared" si="14"/>
        <v>0</v>
      </c>
      <c r="E123" s="13">
        <f t="shared" si="14"/>
        <v>51635.75</v>
      </c>
      <c r="F123" s="13">
        <f t="shared" si="14"/>
        <v>12398.1</v>
      </c>
      <c r="G123" s="13">
        <f t="shared" si="14"/>
        <v>0</v>
      </c>
      <c r="H123" s="13">
        <f t="shared" si="14"/>
        <v>0</v>
      </c>
      <c r="I123" s="13">
        <f t="shared" si="14"/>
        <v>371795</v>
      </c>
      <c r="J123" s="13">
        <f t="shared" si="14"/>
        <v>0</v>
      </c>
      <c r="K123" s="13">
        <f t="shared" si="14"/>
        <v>163693</v>
      </c>
      <c r="L123" s="13">
        <f t="shared" si="14"/>
        <v>0</v>
      </c>
      <c r="M123" s="13">
        <f t="shared" si="14"/>
        <v>0</v>
      </c>
      <c r="N123" s="13">
        <f t="shared" si="14"/>
        <v>1026653.06</v>
      </c>
    </row>
    <row r="124" spans="1:14" ht="12.75" x14ac:dyDescent="0.2">
      <c r="A124" s="3">
        <v>44</v>
      </c>
      <c r="B124" s="13">
        <f t="shared" si="14"/>
        <v>262983.23</v>
      </c>
      <c r="C124" s="13">
        <f t="shared" si="14"/>
        <v>37803.24</v>
      </c>
      <c r="D124" s="13">
        <f t="shared" si="14"/>
        <v>0</v>
      </c>
      <c r="E124" s="13">
        <f t="shared" si="14"/>
        <v>43243.680000000008</v>
      </c>
      <c r="F124" s="13">
        <f t="shared" si="14"/>
        <v>10000</v>
      </c>
      <c r="G124" s="13">
        <f t="shared" si="14"/>
        <v>0</v>
      </c>
      <c r="H124" s="13">
        <f t="shared" si="14"/>
        <v>0</v>
      </c>
      <c r="I124" s="13">
        <f t="shared" si="14"/>
        <v>360774</v>
      </c>
      <c r="J124" s="13">
        <f t="shared" si="14"/>
        <v>0</v>
      </c>
      <c r="K124" s="13">
        <f t="shared" si="14"/>
        <v>163274.08000000002</v>
      </c>
      <c r="L124" s="13">
        <f t="shared" si="14"/>
        <v>0</v>
      </c>
      <c r="M124" s="13">
        <f t="shared" si="14"/>
        <v>0</v>
      </c>
      <c r="N124" s="13">
        <f t="shared" si="14"/>
        <v>895324.05</v>
      </c>
    </row>
    <row r="125" spans="1:14" ht="12.75" x14ac:dyDescent="0.2">
      <c r="A125" s="3">
        <v>45</v>
      </c>
      <c r="B125" s="13">
        <f t="shared" si="14"/>
        <v>260619.30999999997</v>
      </c>
      <c r="C125" s="13">
        <f t="shared" si="14"/>
        <v>31321.46</v>
      </c>
      <c r="D125" s="13">
        <f t="shared" si="14"/>
        <v>0</v>
      </c>
      <c r="E125" s="13">
        <f t="shared" si="14"/>
        <v>39745.14</v>
      </c>
      <c r="F125" s="13">
        <f t="shared" si="14"/>
        <v>10000</v>
      </c>
      <c r="G125" s="13">
        <f t="shared" si="14"/>
        <v>0</v>
      </c>
      <c r="H125" s="13">
        <f t="shared" si="14"/>
        <v>0</v>
      </c>
      <c r="I125" s="13">
        <f t="shared" si="14"/>
        <v>355688.94</v>
      </c>
      <c r="J125" s="13">
        <f t="shared" si="14"/>
        <v>0</v>
      </c>
      <c r="K125" s="13">
        <f t="shared" si="14"/>
        <v>116640</v>
      </c>
      <c r="L125" s="13">
        <f t="shared" si="14"/>
        <v>0</v>
      </c>
      <c r="M125" s="13">
        <f t="shared" si="14"/>
        <v>0</v>
      </c>
      <c r="N125" s="13">
        <f t="shared" si="14"/>
        <v>817899.78999999992</v>
      </c>
    </row>
    <row r="126" spans="1:14" ht="12.75" x14ac:dyDescent="0.2">
      <c r="A126" s="3">
        <v>46</v>
      </c>
      <c r="B126" s="13">
        <f t="shared" si="14"/>
        <v>235558.06999999998</v>
      </c>
      <c r="C126" s="13">
        <f t="shared" si="14"/>
        <v>20526</v>
      </c>
      <c r="D126" s="13">
        <f t="shared" si="14"/>
        <v>0</v>
      </c>
      <c r="E126" s="13">
        <f t="shared" si="14"/>
        <v>39500</v>
      </c>
      <c r="F126" s="13">
        <f t="shared" si="14"/>
        <v>9994.48</v>
      </c>
      <c r="G126" s="13">
        <f t="shared" si="14"/>
        <v>0</v>
      </c>
      <c r="H126" s="13">
        <f t="shared" si="14"/>
        <v>0</v>
      </c>
      <c r="I126" s="13">
        <f t="shared" si="14"/>
        <v>329620</v>
      </c>
      <c r="J126" s="13">
        <f t="shared" si="14"/>
        <v>0</v>
      </c>
      <c r="K126" s="13">
        <f t="shared" si="14"/>
        <v>108000</v>
      </c>
      <c r="L126" s="13">
        <f t="shared" si="14"/>
        <v>0</v>
      </c>
      <c r="M126" s="13">
        <f t="shared" si="14"/>
        <v>0</v>
      </c>
      <c r="N126" s="13">
        <f t="shared" si="14"/>
        <v>767971.39</v>
      </c>
    </row>
    <row r="127" spans="1:14" ht="12.75" x14ac:dyDescent="0.2">
      <c r="A127" s="3">
        <v>47</v>
      </c>
      <c r="B127" s="13">
        <f t="shared" si="14"/>
        <v>207465.09000000003</v>
      </c>
      <c r="C127" s="13">
        <f t="shared" si="14"/>
        <v>19436</v>
      </c>
      <c r="D127" s="13">
        <f t="shared" si="14"/>
        <v>0</v>
      </c>
      <c r="E127" s="13">
        <f t="shared" si="14"/>
        <v>39056.74</v>
      </c>
      <c r="F127" s="13">
        <f t="shared" si="14"/>
        <v>1675</v>
      </c>
      <c r="G127" s="13">
        <f t="shared" si="14"/>
        <v>0</v>
      </c>
      <c r="H127" s="13">
        <f t="shared" si="14"/>
        <v>0</v>
      </c>
      <c r="I127" s="13">
        <f t="shared" si="14"/>
        <v>275000</v>
      </c>
      <c r="J127" s="13">
        <f t="shared" si="14"/>
        <v>0</v>
      </c>
      <c r="K127" s="13">
        <f t="shared" si="14"/>
        <v>107448.04000000001</v>
      </c>
      <c r="L127" s="13">
        <f t="shared" si="14"/>
        <v>0</v>
      </c>
      <c r="M127" s="13">
        <f t="shared" si="14"/>
        <v>0</v>
      </c>
      <c r="N127" s="13">
        <f t="shared" si="14"/>
        <v>729819.72</v>
      </c>
    </row>
    <row r="128" spans="1:14" ht="12.75" x14ac:dyDescent="0.2">
      <c r="A128" s="3">
        <v>48</v>
      </c>
      <c r="B128" s="13">
        <f t="shared" si="14"/>
        <v>198516.27</v>
      </c>
      <c r="C128" s="13">
        <f t="shared" si="14"/>
        <v>15261</v>
      </c>
      <c r="D128" s="13">
        <f t="shared" si="14"/>
        <v>0</v>
      </c>
      <c r="E128" s="13">
        <f t="shared" si="14"/>
        <v>36340.79</v>
      </c>
      <c r="F128" s="13">
        <f t="shared" si="14"/>
        <v>1000</v>
      </c>
      <c r="G128" s="13">
        <f t="shared" si="14"/>
        <v>0</v>
      </c>
      <c r="H128" s="13">
        <f t="shared" si="14"/>
        <v>0</v>
      </c>
      <c r="I128" s="13">
        <f t="shared" si="14"/>
        <v>266889</v>
      </c>
      <c r="J128" s="13">
        <f t="shared" si="14"/>
        <v>0</v>
      </c>
      <c r="K128" s="13">
        <f t="shared" si="14"/>
        <v>90988.25</v>
      </c>
      <c r="L128" s="13">
        <f t="shared" si="14"/>
        <v>0</v>
      </c>
      <c r="M128" s="13">
        <f t="shared" si="14"/>
        <v>0</v>
      </c>
      <c r="N128" s="13">
        <f t="shared" si="14"/>
        <v>660159.67999999993</v>
      </c>
    </row>
    <row r="129" spans="1:20" ht="12.75" x14ac:dyDescent="0.2">
      <c r="A129" s="3">
        <v>49</v>
      </c>
      <c r="B129" s="13">
        <f t="shared" si="14"/>
        <v>169639.67</v>
      </c>
      <c r="C129" s="13">
        <f t="shared" si="14"/>
        <v>14192.77</v>
      </c>
      <c r="D129" s="13">
        <f t="shared" si="14"/>
        <v>0</v>
      </c>
      <c r="E129" s="13">
        <f t="shared" si="14"/>
        <v>35134.300000000003</v>
      </c>
      <c r="F129" s="13">
        <f t="shared" si="14"/>
        <v>598</v>
      </c>
      <c r="G129" s="13">
        <f t="shared" si="14"/>
        <v>0</v>
      </c>
      <c r="H129" s="13">
        <f t="shared" si="14"/>
        <v>0</v>
      </c>
      <c r="I129" s="13">
        <f t="shared" si="14"/>
        <v>246624.33</v>
      </c>
      <c r="J129" s="13">
        <f t="shared" si="14"/>
        <v>0</v>
      </c>
      <c r="K129" s="13">
        <f t="shared" si="14"/>
        <v>88622</v>
      </c>
      <c r="L129" s="13">
        <f t="shared" si="14"/>
        <v>0</v>
      </c>
      <c r="M129" s="13">
        <f t="shared" si="14"/>
        <v>0</v>
      </c>
      <c r="N129" s="13">
        <f t="shared" si="14"/>
        <v>646574.89</v>
      </c>
    </row>
    <row r="130" spans="1:20" ht="12.75" x14ac:dyDescent="0.2">
      <c r="A130" s="3">
        <v>50</v>
      </c>
      <c r="B130" s="13">
        <f t="shared" si="14"/>
        <v>148258</v>
      </c>
      <c r="C130" s="13">
        <f t="shared" si="14"/>
        <v>13000</v>
      </c>
      <c r="D130" s="13">
        <f t="shared" si="14"/>
        <v>0</v>
      </c>
      <c r="E130" s="13">
        <f t="shared" si="14"/>
        <v>26710.5</v>
      </c>
      <c r="F130" s="13">
        <f t="shared" si="14"/>
        <v>386</v>
      </c>
      <c r="G130" s="13">
        <f t="shared" si="14"/>
        <v>0</v>
      </c>
      <c r="H130" s="13">
        <f t="shared" si="14"/>
        <v>0</v>
      </c>
      <c r="I130" s="13">
        <f t="shared" si="14"/>
        <v>224919</v>
      </c>
      <c r="J130" s="13">
        <f t="shared" si="14"/>
        <v>0</v>
      </c>
      <c r="K130" s="13">
        <f t="shared" si="14"/>
        <v>86945</v>
      </c>
      <c r="L130" s="13">
        <f t="shared" si="14"/>
        <v>0</v>
      </c>
      <c r="M130" s="13">
        <f t="shared" si="14"/>
        <v>0</v>
      </c>
      <c r="N130" s="13">
        <f t="shared" si="14"/>
        <v>563543.67000000004</v>
      </c>
    </row>
    <row r="131" spans="1:20" x14ac:dyDescent="0.2">
      <c r="R131" s="3" t="s">
        <v>261</v>
      </c>
      <c r="S131" s="3" t="s">
        <v>262</v>
      </c>
      <c r="T131" s="3" t="s">
        <v>231</v>
      </c>
    </row>
    <row r="132" spans="1:20" ht="12.75" x14ac:dyDescent="0.2">
      <c r="A132" s="3">
        <v>1</v>
      </c>
      <c r="B132" s="76">
        <f>+SUM(B$81:B81)/B$79</f>
        <v>0.20543697068639682</v>
      </c>
      <c r="C132" s="76">
        <f>+SUM(C$81:C81)/C$79</f>
        <v>0.31484998431134736</v>
      </c>
      <c r="D132" s="77">
        <f>+SUM(D$81:D81)/D$79</f>
        <v>0.44550174104154827</v>
      </c>
      <c r="E132" s="76">
        <f>+SUM(E$81:E81)/E$79</f>
        <v>0.25800710883498595</v>
      </c>
      <c r="F132" s="76">
        <f>+SUM(F$81:F81)/F$79</f>
        <v>0.25751538351656256</v>
      </c>
      <c r="G132" s="76">
        <f>+SUM(G$81:G81)/G$79</f>
        <v>0.62500456581363273</v>
      </c>
      <c r="H132" s="76">
        <f>+SUM(H$81:H81)/H$79</f>
        <v>0.45283021779964538</v>
      </c>
      <c r="I132" s="76">
        <f>+SUM(I$81:I81)/I$79</f>
        <v>0.39029761992220691</v>
      </c>
      <c r="J132" s="76">
        <f>+SUM(J$81:J81)/J$79</f>
        <v>0.31719766729748361</v>
      </c>
      <c r="K132" s="76">
        <f>+SUM(K$81:K81)/K$79</f>
        <v>9.1866471668196989E-2</v>
      </c>
      <c r="L132" s="76">
        <f>+SUM(L$81:L81)/L$79</f>
        <v>0.60175376413420401</v>
      </c>
      <c r="M132" s="76">
        <f>+SUM(M$81:M81)/M$79</f>
        <v>0.89858050535242018</v>
      </c>
      <c r="N132" s="76">
        <f>+SUM(N$81:N81)/N$79</f>
        <v>0.18513464124242796</v>
      </c>
      <c r="O132" s="3">
        <f t="shared" ref="O132:O181" si="15">A132</f>
        <v>1</v>
      </c>
      <c r="Q132" s="76">
        <v>0.25</v>
      </c>
      <c r="R132" s="78">
        <v>2</v>
      </c>
    </row>
    <row r="133" spans="1:20" ht="12.75" x14ac:dyDescent="0.2">
      <c r="A133" s="3">
        <v>2</v>
      </c>
      <c r="B133" s="76">
        <f>+SUM(B$81:B82)/B$79</f>
        <v>0.33495731364194226</v>
      </c>
      <c r="C133" s="76">
        <f>+SUM(C$81:C82)/C$79</f>
        <v>0.41438220840456841</v>
      </c>
      <c r="D133" s="77">
        <f>+SUM(D$81:D82)/D$79</f>
        <v>0.8351080878826258</v>
      </c>
      <c r="E133" s="76">
        <f>+SUM(E$81:E82)/E$79</f>
        <v>0.51209491252001904</v>
      </c>
      <c r="F133" s="76">
        <f>+SUM(F$81:F82)/F$79</f>
        <v>0.36718476792138299</v>
      </c>
      <c r="G133" s="76">
        <f>+SUM(G$81:G82)/G$79</f>
        <v>0.82916793645462361</v>
      </c>
      <c r="H133" s="76">
        <f>+SUM(H$81:H82)/H$79</f>
        <v>0.75154736340416106</v>
      </c>
      <c r="I133" s="76">
        <f>+SUM(I$81:I82)/I$79</f>
        <v>0.48275137717706496</v>
      </c>
      <c r="J133" s="76">
        <f>+SUM(J$81:J82)/J$79</f>
        <v>0.45351295131528052</v>
      </c>
      <c r="K133" s="76">
        <f>+SUM(K$81:K82)/K$79</f>
        <v>0.1765199083527845</v>
      </c>
      <c r="L133" s="76">
        <f>+SUM(L$81:L82)/L$79</f>
        <v>0.7437214095682797</v>
      </c>
      <c r="M133" s="76">
        <f>+SUM(M$81:M82)/M$79</f>
        <v>0.98152018642435934</v>
      </c>
      <c r="N133" s="76">
        <f>+SUM(N$81:N82)/N$79</f>
        <v>0.34487531326181176</v>
      </c>
      <c r="O133" s="3">
        <f t="shared" si="15"/>
        <v>2</v>
      </c>
      <c r="Q133" s="76">
        <v>0.5</v>
      </c>
      <c r="R133" s="78">
        <v>4</v>
      </c>
    </row>
    <row r="134" spans="1:20" ht="12.75" x14ac:dyDescent="0.2">
      <c r="A134" s="3">
        <v>3</v>
      </c>
      <c r="B134" s="76">
        <f>+SUM(B$81:B83)/B$79</f>
        <v>0.43012326442329812</v>
      </c>
      <c r="C134" s="76">
        <f>+SUM(C$81:C83)/C$79</f>
        <v>0.512464918356201</v>
      </c>
      <c r="D134" s="77">
        <f>+SUM(D$81:D83)/D$79</f>
        <v>0.98761276301155809</v>
      </c>
      <c r="E134" s="76">
        <f>+SUM(E$81:E83)/E$79</f>
        <v>0.62524965493410878</v>
      </c>
      <c r="F134" s="76">
        <f>+SUM(F$81:F83)/F$79</f>
        <v>0.45812680417010038</v>
      </c>
      <c r="G134" s="76">
        <f>+SUM(G$81:G83)/G$79</f>
        <v>0.92147804334472572</v>
      </c>
      <c r="H134" s="76">
        <f>+SUM(H$81:H83)/H$79</f>
        <v>0.90574556654686522</v>
      </c>
      <c r="I134" s="76">
        <f>+SUM(I$81:I83)/I$79</f>
        <v>0.56565627507517058</v>
      </c>
      <c r="J134" s="76">
        <f>+SUM(J$81:J83)/J$79</f>
        <v>0.53690367432431052</v>
      </c>
      <c r="K134" s="76">
        <f>+SUM(K$81:K83)/K$79</f>
        <v>0.23452355411808276</v>
      </c>
      <c r="L134" s="76">
        <f>+SUM(L$81:L83)/L$79</f>
        <v>0.86814697795761275</v>
      </c>
      <c r="M134" s="76">
        <f>+SUM(M$81:M83)/M$79</f>
        <v>1</v>
      </c>
      <c r="N134" s="76">
        <f>+SUM(N$81:N83)/N$79</f>
        <v>0.4331183132139631</v>
      </c>
      <c r="O134" s="3">
        <f t="shared" si="15"/>
        <v>3</v>
      </c>
      <c r="Q134" s="76">
        <v>0.75</v>
      </c>
      <c r="R134" s="78">
        <v>6</v>
      </c>
    </row>
    <row r="135" spans="1:20" ht="12.75" x14ac:dyDescent="0.2">
      <c r="A135" s="3">
        <v>4</v>
      </c>
      <c r="B135" s="76">
        <f>+SUM(B$81:B84)/B$79</f>
        <v>0.51621482756391701</v>
      </c>
      <c r="C135" s="76">
        <f>+SUM(C$81:C84)/C$79</f>
        <v>0.61035364270019044</v>
      </c>
      <c r="D135" s="77">
        <f>+SUM(D$81:D84)/D$79</f>
        <v>0.99437746934882298</v>
      </c>
      <c r="E135" s="76">
        <f>+SUM(E$81:E84)/E$79</f>
        <v>0.69268176613593857</v>
      </c>
      <c r="F135" s="76">
        <f>+SUM(F$81:F84)/F$79</f>
        <v>0.53686292607603292</v>
      </c>
      <c r="G135" s="76">
        <f>+SUM(G$81:G84)/G$79</f>
        <v>0.94626665493600504</v>
      </c>
      <c r="H135" s="76">
        <f>+SUM(H$81:H84)/H$79</f>
        <v>0.94036284982393559</v>
      </c>
      <c r="I135" s="76">
        <f>+SUM(I$81:I84)/I$79</f>
        <v>0.61361529127122305</v>
      </c>
      <c r="J135" s="76">
        <f>+SUM(J$81:J84)/J$79</f>
        <v>0.61286478599329053</v>
      </c>
      <c r="K135" s="76">
        <f>+SUM(K$81:K84)/K$79</f>
        <v>0.29152033212601913</v>
      </c>
      <c r="L135" s="76">
        <f>+SUM(L$81:L84)/L$79</f>
        <v>0.89349333858656133</v>
      </c>
      <c r="M135" s="76">
        <f>+SUM(M$81:M84)/M$79</f>
        <v>1</v>
      </c>
      <c r="N135" s="76">
        <f>+SUM(N$81:N84)/N$79</f>
        <v>0.50016861840588511</v>
      </c>
      <c r="O135" s="3">
        <f t="shared" si="15"/>
        <v>4</v>
      </c>
      <c r="Q135" s="76"/>
    </row>
    <row r="136" spans="1:20" ht="12.75" x14ac:dyDescent="0.2">
      <c r="A136" s="3">
        <v>5</v>
      </c>
      <c r="B136" s="76">
        <f>+SUM(B$81:B85)/B$79</f>
        <v>0.59434381223435528</v>
      </c>
      <c r="C136" s="76">
        <f>+SUM(C$81:C85)/C$79</f>
        <v>0.69596648318737475</v>
      </c>
      <c r="D136" s="77">
        <f>+SUM(D$81:D85)/D$79</f>
        <v>0.99834041833249654</v>
      </c>
      <c r="E136" s="76">
        <f>+SUM(E$81:E85)/E$79</f>
        <v>0.73280261220071552</v>
      </c>
      <c r="F136" s="76">
        <f>+SUM(F$81:F85)/F$79</f>
        <v>0.60273274816451361</v>
      </c>
      <c r="G136" s="76">
        <f>+SUM(G$81:G85)/G$79</f>
        <v>0.96096318387581625</v>
      </c>
      <c r="H136" s="76">
        <f>+SUM(H$81:H85)/H$79</f>
        <v>0.95818232001961778</v>
      </c>
      <c r="I136" s="76">
        <f>+SUM(I$81:I85)/I$79</f>
        <v>0.65564586408426873</v>
      </c>
      <c r="J136" s="76">
        <f>+SUM(J$81:J85)/J$79</f>
        <v>0.66623679965946481</v>
      </c>
      <c r="K136" s="76">
        <f>+SUM(K$81:K85)/K$79</f>
        <v>0.34838299726929894</v>
      </c>
      <c r="L136" s="76">
        <f>+SUM(L$81:L85)/L$79</f>
        <v>0.91537657174641085</v>
      </c>
      <c r="M136" s="76">
        <f>+SUM(M$81:M85)/M$79</f>
        <v>1</v>
      </c>
      <c r="N136" s="76">
        <f>+SUM(N$81:N85)/N$79</f>
        <v>0.55597900586464732</v>
      </c>
      <c r="O136" s="3">
        <f t="shared" si="15"/>
        <v>5</v>
      </c>
    </row>
    <row r="137" spans="1:20" ht="12.75" x14ac:dyDescent="0.2">
      <c r="A137" s="3">
        <v>6</v>
      </c>
      <c r="B137" s="76">
        <f>+SUM(B$81:B86)/B$79</f>
        <v>0.65548627068228305</v>
      </c>
      <c r="C137" s="76">
        <f>+SUM(C$81:C86)/C$79</f>
        <v>0.77209471402790653</v>
      </c>
      <c r="D137" s="77">
        <f>+SUM(D$81:D86)/D$79</f>
        <v>0.99944056678459492</v>
      </c>
      <c r="E137" s="76">
        <f>+SUM(E$81:E86)/E$79</f>
        <v>0.76678312521631353</v>
      </c>
      <c r="F137" s="76">
        <f>+SUM(F$81:F86)/F$79</f>
        <v>0.6566664969936612</v>
      </c>
      <c r="G137" s="76">
        <f>+SUM(G$81:G86)/G$79</f>
        <v>0.97147289731608832</v>
      </c>
      <c r="H137" s="76">
        <f>+SUM(H$81:H86)/H$79</f>
        <v>0.96484450094419805</v>
      </c>
      <c r="I137" s="76">
        <f>+SUM(I$81:I86)/I$79</f>
        <v>0.68435773295937818</v>
      </c>
      <c r="J137" s="76">
        <f>+SUM(J$81:J86)/J$79</f>
        <v>0.70689461224412509</v>
      </c>
      <c r="K137" s="76">
        <f>+SUM(K$81:K86)/K$79</f>
        <v>0.39857880708836407</v>
      </c>
      <c r="L137" s="76">
        <f>+SUM(L$81:L86)/L$79</f>
        <v>0.93647528043179029</v>
      </c>
      <c r="M137" s="76">
        <f>+SUM(M$81:M86)/M$79</f>
        <v>1</v>
      </c>
      <c r="N137" s="76">
        <f>+SUM(N$81:N86)/N$79</f>
        <v>0.61029828985839263</v>
      </c>
      <c r="O137" s="3">
        <f t="shared" si="15"/>
        <v>6</v>
      </c>
    </row>
    <row r="138" spans="1:20" ht="12.75" x14ac:dyDescent="0.2">
      <c r="A138" s="3">
        <v>7</v>
      </c>
      <c r="B138" s="76">
        <f>+SUM(B$81:B87)/B$79</f>
        <v>0.70778386443255081</v>
      </c>
      <c r="C138" s="76">
        <f>+SUM(C$81:C87)/C$79</f>
        <v>0.84480173619296106</v>
      </c>
      <c r="D138" s="77">
        <f>+SUM(D$81:D87)/D$79</f>
        <v>0.9998252630355956</v>
      </c>
      <c r="E138" s="76">
        <f>+SUM(E$81:E87)/E$79</f>
        <v>0.79570469022131241</v>
      </c>
      <c r="F138" s="76">
        <f>+SUM(F$81:F87)/F$79</f>
        <v>0.69194001718771292</v>
      </c>
      <c r="G138" s="76">
        <f>+SUM(G$81:G87)/G$79</f>
        <v>0.98093395154929008</v>
      </c>
      <c r="H138" s="76">
        <f>+SUM(H$81:H87)/H$79</f>
        <v>0.97071480593214265</v>
      </c>
      <c r="I138" s="76">
        <f>+SUM(I$81:I87)/I$79</f>
        <v>0.71182064477759877</v>
      </c>
      <c r="J138" s="76">
        <f>+SUM(J$81:J87)/J$79</f>
        <v>0.73967457772381295</v>
      </c>
      <c r="K138" s="76">
        <f>+SUM(K$81:K87)/K$79</f>
        <v>0.44574988486970002</v>
      </c>
      <c r="L138" s="76">
        <f>+SUM(L$81:L87)/L$79</f>
        <v>0.95588302175936957</v>
      </c>
      <c r="M138" s="76">
        <f>+SUM(M$81:M87)/M$79</f>
        <v>1</v>
      </c>
      <c r="N138" s="76">
        <f>+SUM(N$81:N87)/N$79</f>
        <v>0.66272742396291107</v>
      </c>
      <c r="O138" s="3">
        <f t="shared" si="15"/>
        <v>7</v>
      </c>
    </row>
    <row r="139" spans="1:20" ht="12.75" x14ac:dyDescent="0.2">
      <c r="A139" s="3">
        <v>8</v>
      </c>
      <c r="B139" s="76">
        <f>+SUM(B$81:B88)/B$79</f>
        <v>0.75358697617962001</v>
      </c>
      <c r="C139" s="76">
        <f>+SUM(C$81:C88)/C$79</f>
        <v>0.88229192088092023</v>
      </c>
      <c r="D139" s="77">
        <f>+SUM(D$81:D88)/D$79</f>
        <v>0.99994455628003176</v>
      </c>
      <c r="E139" s="76">
        <f>+SUM(E$81:E88)/E$79</f>
        <v>0.82385966991589266</v>
      </c>
      <c r="F139" s="76">
        <f>+SUM(F$81:F88)/F$79</f>
        <v>0.72664300090452782</v>
      </c>
      <c r="G139" s="76">
        <f>+SUM(G$81:G88)/G$79</f>
        <v>0.98964395328382371</v>
      </c>
      <c r="H139" s="76">
        <f>+SUM(H$81:H88)/H$79</f>
        <v>0.97646312033228189</v>
      </c>
      <c r="I139" s="76">
        <f>+SUM(I$81:I88)/I$79</f>
        <v>0.73747120636859098</v>
      </c>
      <c r="J139" s="76">
        <f>+SUM(J$81:J88)/J$79</f>
        <v>0.76356602033170307</v>
      </c>
      <c r="K139" s="76">
        <f>+SUM(K$81:K88)/K$79</f>
        <v>0.49147775656976866</v>
      </c>
      <c r="L139" s="76">
        <f>+SUM(L$81:L88)/L$79</f>
        <v>0.96777734480879885</v>
      </c>
      <c r="M139" s="76">
        <f>+SUM(M$81:M88)/M$79</f>
        <v>1</v>
      </c>
      <c r="N139" s="76">
        <f>+SUM(N$81:N88)/N$79</f>
        <v>0.70971447781441688</v>
      </c>
      <c r="O139" s="3">
        <f t="shared" si="15"/>
        <v>8</v>
      </c>
    </row>
    <row r="140" spans="1:20" ht="12.75" x14ac:dyDescent="0.2">
      <c r="A140" s="3">
        <v>9</v>
      </c>
      <c r="B140" s="76">
        <f>+SUM(B$81:B89)/B$79</f>
        <v>0.79724810837679627</v>
      </c>
      <c r="C140" s="76">
        <f>+SUM(C$81:C89)/C$79</f>
        <v>0.91622023497878713</v>
      </c>
      <c r="D140" s="77">
        <f>+SUM(D$81:D89)/D$79</f>
        <v>1.0000000000000002</v>
      </c>
      <c r="E140" s="76">
        <f>+SUM(E$81:E89)/E$79</f>
        <v>0.84778017365852487</v>
      </c>
      <c r="F140" s="76">
        <f>+SUM(F$81:F89)/F$79</f>
        <v>0.75152763768900266</v>
      </c>
      <c r="G140" s="76">
        <f>+SUM(G$81:G89)/G$79</f>
        <v>0.99312998214213688</v>
      </c>
      <c r="H140" s="76">
        <f>+SUM(H$81:H89)/H$79</f>
        <v>0.98012185804187091</v>
      </c>
      <c r="I140" s="76">
        <f>+SUM(I$81:I89)/I$79</f>
        <v>0.76125874562075069</v>
      </c>
      <c r="J140" s="76">
        <f>+SUM(J$81:J89)/J$79</f>
        <v>0.7849632908880716</v>
      </c>
      <c r="K140" s="76">
        <f>+SUM(K$81:K89)/K$79</f>
        <v>0.5366907751899731</v>
      </c>
      <c r="L140" s="76">
        <f>+SUM(L$81:L89)/L$79</f>
        <v>0.97442154567950412</v>
      </c>
      <c r="M140" s="76">
        <f>+SUM(M$81:M89)/M$79</f>
        <v>1</v>
      </c>
      <c r="N140" s="76">
        <f>+SUM(N$81:N89)/N$79</f>
        <v>0.75247277545653934</v>
      </c>
      <c r="O140" s="3">
        <f t="shared" si="15"/>
        <v>9</v>
      </c>
    </row>
    <row r="141" spans="1:20" ht="12.75" x14ac:dyDescent="0.2">
      <c r="A141" s="3">
        <v>10</v>
      </c>
      <c r="B141" s="76">
        <f>+SUM(B$81:B90)/B$79</f>
        <v>0.83215415645201429</v>
      </c>
      <c r="C141" s="76">
        <f>+SUM(C$81:C90)/C$79</f>
        <v>0.93132705824661444</v>
      </c>
      <c r="D141" s="77">
        <f>+SUM(D$81:D90)/D$79</f>
        <v>1.0000000000000002</v>
      </c>
      <c r="E141" s="76">
        <f>+SUM(E$81:E90)/E$79</f>
        <v>0.86012944552381032</v>
      </c>
      <c r="F141" s="76">
        <f>+SUM(F$81:F90)/F$79</f>
        <v>0.77637373194149806</v>
      </c>
      <c r="G141" s="76">
        <f>+SUM(G$81:G90)/G$79</f>
        <v>0.99518626538015009</v>
      </c>
      <c r="H141" s="76">
        <f>+SUM(H$81:H90)/H$79</f>
        <v>0.98350079109450228</v>
      </c>
      <c r="I141" s="76">
        <f>+SUM(I$81:I90)/I$79</f>
        <v>0.78234525860215576</v>
      </c>
      <c r="J141" s="76">
        <f>+SUM(J$81:J90)/J$79</f>
        <v>0.80479482237081457</v>
      </c>
      <c r="K141" s="76">
        <f>+SUM(K$81:K90)/K$79</f>
        <v>0.58136379642673897</v>
      </c>
      <c r="L141" s="76">
        <f>+SUM(L$81:L90)/L$79</f>
        <v>0.97966045199298268</v>
      </c>
      <c r="M141" s="76">
        <f>+SUM(M$81:M90)/M$79</f>
        <v>1</v>
      </c>
      <c r="N141" s="76">
        <f>+SUM(N$81:N90)/N$79</f>
        <v>0.77901794240564737</v>
      </c>
      <c r="O141" s="3">
        <f t="shared" si="15"/>
        <v>10</v>
      </c>
    </row>
    <row r="142" spans="1:20" ht="12.75" x14ac:dyDescent="0.2">
      <c r="A142" s="3">
        <v>11</v>
      </c>
      <c r="B142" s="76">
        <f>+SUM(B$81:B91)/B$79</f>
        <v>0.85820626955104284</v>
      </c>
      <c r="C142" s="76">
        <f>+SUM(C$81:C91)/C$79</f>
        <v>0.93907094575922045</v>
      </c>
      <c r="D142" s="77">
        <f>+SUM(D$81:D91)/D$79</f>
        <v>1.0000000000000002</v>
      </c>
      <c r="E142" s="76">
        <f>+SUM(E$81:E91)/E$79</f>
        <v>0.87243968083969037</v>
      </c>
      <c r="F142" s="76">
        <f>+SUM(F$81:F91)/F$79</f>
        <v>0.80113828414076993</v>
      </c>
      <c r="G142" s="76">
        <f>+SUM(G$81:G91)/G$79</f>
        <v>0.9966744408032927</v>
      </c>
      <c r="H142" s="76">
        <f>+SUM(H$81:H91)/H$79</f>
        <v>0.98666896798241588</v>
      </c>
      <c r="I142" s="76">
        <f>+SUM(I$81:I91)/I$79</f>
        <v>0.80149599665803473</v>
      </c>
      <c r="J142" s="76">
        <f>+SUM(J$81:J91)/J$79</f>
        <v>0.82310516433225478</v>
      </c>
      <c r="K142" s="76">
        <f>+SUM(K$81:K91)/K$79</f>
        <v>0.61900030557846686</v>
      </c>
      <c r="L142" s="76">
        <f>+SUM(L$81:L91)/L$79</f>
        <v>0.98330677379684495</v>
      </c>
      <c r="M142" s="76">
        <f>+SUM(M$81:M91)/M$79</f>
        <v>1</v>
      </c>
      <c r="N142" s="76">
        <f>+SUM(N$81:N91)/N$79</f>
        <v>0.80060735498361368</v>
      </c>
      <c r="O142" s="3">
        <f t="shared" si="15"/>
        <v>11</v>
      </c>
    </row>
    <row r="143" spans="1:20" ht="12.75" x14ac:dyDescent="0.2">
      <c r="A143" s="3">
        <v>12</v>
      </c>
      <c r="B143" s="76">
        <f>+SUM(B$81:B92)/B$79</f>
        <v>0.87747266961708847</v>
      </c>
      <c r="C143" s="76">
        <f>+SUM(C$81:C92)/C$79</f>
        <v>0.94595195903566509</v>
      </c>
      <c r="D143" s="77">
        <f>+SUM(D$81:D92)/D$79</f>
        <v>1.0000000000000002</v>
      </c>
      <c r="E143" s="76">
        <f>+SUM(E$81:E92)/E$79</f>
        <v>0.88384817198528487</v>
      </c>
      <c r="F143" s="76">
        <f>+SUM(F$81:F92)/F$79</f>
        <v>0.82177566654374357</v>
      </c>
      <c r="G143" s="76">
        <f>+SUM(G$81:G92)/G$79</f>
        <v>0.99786886553189424</v>
      </c>
      <c r="H143" s="76">
        <f>+SUM(H$81:H92)/H$79</f>
        <v>0.98913484016450504</v>
      </c>
      <c r="I143" s="76">
        <f>+SUM(I$81:I92)/I$79</f>
        <v>0.81841530451774791</v>
      </c>
      <c r="J143" s="76">
        <f>+SUM(J$81:J92)/J$79</f>
        <v>0.84108405000910513</v>
      </c>
      <c r="K143" s="76">
        <f>+SUM(K$81:K92)/K$79</f>
        <v>0.65302300717455997</v>
      </c>
      <c r="L143" s="76">
        <f>+SUM(L$81:L92)/L$79</f>
        <v>0.98687139231907273</v>
      </c>
      <c r="M143" s="76">
        <f>+SUM(M$81:M92)/M$79</f>
        <v>1</v>
      </c>
      <c r="N143" s="76">
        <f>+SUM(N$81:N92)/N$79</f>
        <v>0.8206099035522717</v>
      </c>
      <c r="O143" s="3">
        <f t="shared" si="15"/>
        <v>12</v>
      </c>
    </row>
    <row r="144" spans="1:20" ht="12.75" x14ac:dyDescent="0.2">
      <c r="A144" s="3">
        <v>13</v>
      </c>
      <c r="B144" s="76">
        <f>+SUM(B$81:B93)/B$79</f>
        <v>0.8909715704443002</v>
      </c>
      <c r="C144" s="76">
        <f>+SUM(C$81:C93)/C$79</f>
        <v>0.95227074325016547</v>
      </c>
      <c r="D144" s="77">
        <f>+SUM(D$81:D93)/D$79</f>
        <v>1.0000000000000002</v>
      </c>
      <c r="E144" s="76">
        <f>+SUM(E$81:E93)/E$79</f>
        <v>0.89489821966481908</v>
      </c>
      <c r="F144" s="76">
        <f>+SUM(F$81:F93)/F$79</f>
        <v>0.84133480253636528</v>
      </c>
      <c r="G144" s="76">
        <f>+SUM(G$81:G93)/G$79</f>
        <v>0.99854831850580794</v>
      </c>
      <c r="H144" s="76">
        <f>+SUM(H$81:H93)/H$79</f>
        <v>0.99117146418075819</v>
      </c>
      <c r="I144" s="76">
        <f>+SUM(I$81:I93)/I$79</f>
        <v>0.83275588773313425</v>
      </c>
      <c r="J144" s="76">
        <f>+SUM(J$81:J93)/J$79</f>
        <v>0.85768008680331786</v>
      </c>
      <c r="K144" s="76">
        <f>+SUM(K$81:K93)/K$79</f>
        <v>0.67956221463991651</v>
      </c>
      <c r="L144" s="76">
        <f>+SUM(L$81:L93)/L$79</f>
        <v>0.99022904935691247</v>
      </c>
      <c r="M144" s="76">
        <f>+SUM(M$81:M93)/M$79</f>
        <v>1</v>
      </c>
      <c r="N144" s="76">
        <f>+SUM(N$81:N93)/N$79</f>
        <v>0.8366845546341678</v>
      </c>
      <c r="O144" s="3">
        <f t="shared" si="15"/>
        <v>13</v>
      </c>
    </row>
    <row r="145" spans="1:15" ht="12.75" x14ac:dyDescent="0.2">
      <c r="A145" s="3">
        <v>14</v>
      </c>
      <c r="B145" s="76">
        <f>+SUM(B$81:B94)/B$79</f>
        <v>0.90336236753848553</v>
      </c>
      <c r="C145" s="76">
        <f>+SUM(C$81:C94)/C$79</f>
        <v>0.95673317220321263</v>
      </c>
      <c r="D145" s="76">
        <f>+SUM(D$81:D94)/D$79</f>
        <v>1.0000000000000002</v>
      </c>
      <c r="E145" s="76">
        <f>+SUM(E$81:E94)/E$79</f>
        <v>0.90511962251974687</v>
      </c>
      <c r="F145" s="76">
        <f>+SUM(F$81:F94)/F$79</f>
        <v>0.85946454387784932</v>
      </c>
      <c r="G145" s="76">
        <f>+SUM(G$81:G94)/G$79</f>
        <v>0.99910957503848674</v>
      </c>
      <c r="H145" s="76">
        <f>+SUM(H$81:H94)/H$79</f>
        <v>0.99290691060555714</v>
      </c>
      <c r="I145" s="76">
        <f>+SUM(I$81:I94)/I$79</f>
        <v>0.8463388010299312</v>
      </c>
      <c r="J145" s="76">
        <f>+SUM(J$81:J94)/J$79</f>
        <v>0.86914239469583954</v>
      </c>
      <c r="K145" s="76">
        <f>+SUM(K$81:K94)/K$79</f>
        <v>0.70587502189635065</v>
      </c>
      <c r="L145" s="76">
        <f>+SUM(L$81:L94)/L$79</f>
        <v>0.99240529408986589</v>
      </c>
      <c r="M145" s="76">
        <f>+SUM(M$81:M94)/M$79</f>
        <v>1</v>
      </c>
      <c r="N145" s="76">
        <f>+SUM(N$81:N94)/N$79</f>
        <v>0.85090691744659797</v>
      </c>
      <c r="O145" s="3">
        <f t="shared" si="15"/>
        <v>14</v>
      </c>
    </row>
    <row r="146" spans="1:15" ht="12.75" x14ac:dyDescent="0.2">
      <c r="A146" s="3">
        <v>15</v>
      </c>
      <c r="B146" s="76">
        <f>+SUM(B$81:B95)/B$79</f>
        <v>0.91192601312847721</v>
      </c>
      <c r="C146" s="76">
        <f>+SUM(C$81:C95)/C$79</f>
        <v>0.96020964268772091</v>
      </c>
      <c r="D146" s="76">
        <f>+SUM(D$81:D95)/D$79</f>
        <v>1.0000000000000002</v>
      </c>
      <c r="E146" s="76">
        <f>+SUM(E$81:E95)/E$79</f>
        <v>0.91478990011564332</v>
      </c>
      <c r="F146" s="76">
        <f>+SUM(F$81:F95)/F$79</f>
        <v>0.87636347449421548</v>
      </c>
      <c r="G146" s="76">
        <f>+SUM(G$81:G95)/G$79</f>
        <v>0.99937872879969214</v>
      </c>
      <c r="H146" s="76">
        <f>+SUM(H$81:H95)/H$79</f>
        <v>0.99449372028892702</v>
      </c>
      <c r="I146" s="76">
        <f>+SUM(I$81:I95)/I$79</f>
        <v>0.859421146795603</v>
      </c>
      <c r="J146" s="76">
        <f>+SUM(J$81:J95)/J$79</f>
        <v>0.88024360562086046</v>
      </c>
      <c r="K146" s="76">
        <f>+SUM(K$81:K95)/K$79</f>
        <v>0.73202499706638346</v>
      </c>
      <c r="L146" s="76">
        <f>+SUM(L$81:L95)/L$79</f>
        <v>0.99423303999905954</v>
      </c>
      <c r="M146" s="76">
        <f>+SUM(M$81:M95)/M$79</f>
        <v>1</v>
      </c>
      <c r="N146" s="76">
        <f>+SUM(N$81:N95)/N$79</f>
        <v>0.86474623848867715</v>
      </c>
      <c r="O146" s="3">
        <f t="shared" si="15"/>
        <v>15</v>
      </c>
    </row>
    <row r="147" spans="1:15" ht="12.75" x14ac:dyDescent="0.2">
      <c r="A147" s="3">
        <v>16</v>
      </c>
      <c r="B147" s="76">
        <f>+SUM(B$81:B96)/B$79</f>
        <v>0.91963330068300708</v>
      </c>
      <c r="C147" s="76">
        <f>+SUM(C$81:C96)/C$79</f>
        <v>0.9635870444603073</v>
      </c>
      <c r="D147" s="76">
        <f>+SUM(D$81:D96)/D$79</f>
        <v>1.0000000000000002</v>
      </c>
      <c r="E147" s="76">
        <f>+SUM(E$81:E96)/E$79</f>
        <v>0.9224505501575857</v>
      </c>
      <c r="F147" s="76">
        <f>+SUM(F$81:F96)/F$79</f>
        <v>0.89222626162046925</v>
      </c>
      <c r="G147" s="76">
        <f>+SUM(G$81:G96)/G$79</f>
        <v>0.99955395620091037</v>
      </c>
      <c r="H147" s="76">
        <f>+SUM(H$81:H96)/H$79</f>
        <v>0.99566851622994823</v>
      </c>
      <c r="I147" s="76">
        <f>+SUM(I$81:I96)/I$79</f>
        <v>0.87038969271463407</v>
      </c>
      <c r="J147" s="76">
        <f>+SUM(J$81:J96)/J$79</f>
        <v>0.89070259667260721</v>
      </c>
      <c r="K147" s="76">
        <f>+SUM(K$81:K96)/K$79</f>
        <v>0.75622094909935478</v>
      </c>
      <c r="L147" s="76">
        <f>+SUM(L$81:L96)/L$79</f>
        <v>0.99562080677963671</v>
      </c>
      <c r="M147" s="76">
        <f>+SUM(M$81:M96)/M$79</f>
        <v>1</v>
      </c>
      <c r="N147" s="76">
        <f>+SUM(N$81:N96)/N$79</f>
        <v>0.87490208586593987</v>
      </c>
      <c r="O147" s="3">
        <f t="shared" si="15"/>
        <v>16</v>
      </c>
    </row>
    <row r="148" spans="1:15" ht="12.75" x14ac:dyDescent="0.2">
      <c r="A148" s="3">
        <v>17</v>
      </c>
      <c r="B148" s="76">
        <f>+SUM(B$81:B97)/B$79</f>
        <v>0.9260368677664057</v>
      </c>
      <c r="C148" s="76">
        <f>+SUM(C$81:C97)/C$79</f>
        <v>0.96663533290675374</v>
      </c>
      <c r="D148" s="76">
        <f>+SUM(D$81:D97)/D$79</f>
        <v>1.0000000000000002</v>
      </c>
      <c r="E148" s="76">
        <f>+SUM(E$81:E97)/E$79</f>
        <v>0.92926116759856914</v>
      </c>
      <c r="F148" s="76">
        <f>+SUM(F$81:F97)/F$79</f>
        <v>0.90718327134424526</v>
      </c>
      <c r="G148" s="76">
        <f>+SUM(G$81:G97)/G$79</f>
        <v>0.99972217572520661</v>
      </c>
      <c r="H148" s="76">
        <f>+SUM(H$81:H97)/H$79</f>
        <v>0.99668020094135157</v>
      </c>
      <c r="I148" s="76">
        <f>+SUM(I$81:I97)/I$79</f>
        <v>0.88065315358439067</v>
      </c>
      <c r="J148" s="76">
        <f>+SUM(J$81:J97)/J$79</f>
        <v>0.90085634079177157</v>
      </c>
      <c r="K148" s="76">
        <f>+SUM(K$81:K97)/K$79</f>
        <v>0.77414093053896693</v>
      </c>
      <c r="L148" s="76">
        <f>+SUM(L$81:L97)/L$79</f>
        <v>0.99678970660597854</v>
      </c>
      <c r="M148" s="76">
        <f>+SUM(M$81:M97)/M$79</f>
        <v>1</v>
      </c>
      <c r="N148" s="76">
        <f>+SUM(N$81:N97)/N$79</f>
        <v>0.88462542270177003</v>
      </c>
      <c r="O148" s="3">
        <f t="shared" si="15"/>
        <v>17</v>
      </c>
    </row>
    <row r="149" spans="1:15" ht="12.75" x14ac:dyDescent="0.2">
      <c r="A149" s="3">
        <v>18</v>
      </c>
      <c r="B149" s="76">
        <f>+SUM(B$81:B98)/B$79</f>
        <v>0.93096666164159703</v>
      </c>
      <c r="C149" s="76">
        <f>+SUM(C$81:C98)/C$79</f>
        <v>0.9688820803699888</v>
      </c>
      <c r="D149" s="76">
        <f>+SUM(D$81:D98)/D$79</f>
        <v>1.0000000000000002</v>
      </c>
      <c r="E149" s="76">
        <f>+SUM(E$81:E98)/E$79</f>
        <v>0.93536387250720976</v>
      </c>
      <c r="F149" s="76">
        <f>+SUM(F$81:F98)/F$79</f>
        <v>0.91926977638037988</v>
      </c>
      <c r="G149" s="76">
        <f>+SUM(G$81:G98)/G$79</f>
        <v>0.99988470844356037</v>
      </c>
      <c r="H149" s="76">
        <f>+SUM(H$81:H98)/H$79</f>
        <v>0.99753806867367889</v>
      </c>
      <c r="I149" s="76">
        <f>+SUM(I$81:I98)/I$79</f>
        <v>0.89068406766523667</v>
      </c>
      <c r="J149" s="76">
        <f>+SUM(J$81:J98)/J$79</f>
        <v>0.91080069566892863</v>
      </c>
      <c r="K149" s="76">
        <f>+SUM(K$81:K98)/K$79</f>
        <v>0.7913058500456428</v>
      </c>
      <c r="L149" s="76">
        <f>+SUM(L$81:L98)/L$79</f>
        <v>0.9977430929786264</v>
      </c>
      <c r="M149" s="76">
        <f>+SUM(M$81:M98)/M$79</f>
        <v>1</v>
      </c>
      <c r="N149" s="76">
        <f>+SUM(N$81:N98)/N$79</f>
        <v>0.89138896882142749</v>
      </c>
      <c r="O149" s="3">
        <f t="shared" si="15"/>
        <v>18</v>
      </c>
    </row>
    <row r="150" spans="1:15" ht="12.75" x14ac:dyDescent="0.2">
      <c r="A150" s="3">
        <v>19</v>
      </c>
      <c r="B150" s="76">
        <f>+SUM(B$81:B99)/B$79</f>
        <v>0.93519655103383137</v>
      </c>
      <c r="C150" s="76">
        <f>+SUM(C$81:C99)/C$79</f>
        <v>0.9709613591021925</v>
      </c>
      <c r="D150" s="76">
        <f>+SUM(D$81:D99)/D$79</f>
        <v>1.0000000000000002</v>
      </c>
      <c r="E150" s="76">
        <f>+SUM(E$81:E99)/E$79</f>
        <v>0.94070862996521787</v>
      </c>
      <c r="F150" s="76">
        <f>+SUM(F$81:F99)/F$79</f>
        <v>0.93127833142290706</v>
      </c>
      <c r="G150" s="76">
        <f>+SUM(G$81:G99)/G$79</f>
        <v>1.0000000000000002</v>
      </c>
      <c r="H150" s="76">
        <f>+SUM(H$81:H99)/H$79</f>
        <v>0.99835009709329325</v>
      </c>
      <c r="I150" s="76">
        <f>+SUM(I$81:I99)/I$79</f>
        <v>0.89904132066038034</v>
      </c>
      <c r="J150" s="76">
        <f>+SUM(J$81:J99)/J$79</f>
        <v>0.92034220074815776</v>
      </c>
      <c r="K150" s="76">
        <f>+SUM(K$81:K99)/K$79</f>
        <v>0.80652001169923626</v>
      </c>
      <c r="L150" s="76">
        <f>+SUM(L$81:L99)/L$79</f>
        <v>0.99838878290450295</v>
      </c>
      <c r="M150" s="76">
        <f>+SUM(M$81:M99)/M$79</f>
        <v>1</v>
      </c>
      <c r="N150" s="76">
        <f>+SUM(N$81:N99)/N$79</f>
        <v>0.89752185723775624</v>
      </c>
      <c r="O150" s="3">
        <f t="shared" si="15"/>
        <v>19</v>
      </c>
    </row>
    <row r="151" spans="1:15" ht="12.75" x14ac:dyDescent="0.2">
      <c r="A151" s="3">
        <v>20</v>
      </c>
      <c r="B151" s="76">
        <f>+SUM(B$81:B100)/B$79</f>
        <v>0.93939530184035758</v>
      </c>
      <c r="C151" s="76">
        <f>+SUM(C$81:C100)/C$79</f>
        <v>0.97297257680342297</v>
      </c>
      <c r="D151" s="76">
        <f>+SUM(D$81:D100)/D$79</f>
        <v>1.0000000000000002</v>
      </c>
      <c r="E151" s="76">
        <f>+SUM(E$81:E100)/E$79</f>
        <v>0.94603555410307949</v>
      </c>
      <c r="F151" s="76">
        <f>+SUM(F$81:F100)/F$79</f>
        <v>0.94077300501571126</v>
      </c>
      <c r="G151" s="76">
        <f>+SUM(G$81:G100)/G$79</f>
        <v>1.0000000000000002</v>
      </c>
      <c r="H151" s="76">
        <f>+SUM(H$81:H100)/H$79</f>
        <v>0.99889016916096651</v>
      </c>
      <c r="I151" s="76">
        <f>+SUM(I$81:I100)/I$79</f>
        <v>0.9067816608374516</v>
      </c>
      <c r="J151" s="76">
        <f>+SUM(J$81:J100)/J$79</f>
        <v>0.92981252776380707</v>
      </c>
      <c r="K151" s="76">
        <f>+SUM(K$81:K100)/K$79</f>
        <v>0.81996876873427416</v>
      </c>
      <c r="L151" s="76">
        <f>+SUM(L$81:L100)/L$79</f>
        <v>0.99899567616321372</v>
      </c>
      <c r="M151" s="76">
        <f>+SUM(M$81:M100)/M$79</f>
        <v>1</v>
      </c>
      <c r="N151" s="76">
        <f>+SUM(N$81:N100)/N$79</f>
        <v>0.90342948757742125</v>
      </c>
      <c r="O151" s="3">
        <f t="shared" si="15"/>
        <v>20</v>
      </c>
    </row>
    <row r="152" spans="1:15" ht="12.75" x14ac:dyDescent="0.2">
      <c r="A152" s="3">
        <v>21</v>
      </c>
      <c r="B152" s="76">
        <f>+SUM(B$81:B101)/B$79</f>
        <v>0.94288093936695772</v>
      </c>
      <c r="C152" s="76">
        <f>+SUM(C$81:C101)/C$79</f>
        <v>0.97489319418837572</v>
      </c>
      <c r="D152" s="76">
        <f>+SUM(D$81:D101)/D$79</f>
        <v>1.0000000000000002</v>
      </c>
      <c r="E152" s="76">
        <f>+SUM(E$81:E101)/E$79</f>
        <v>0.95112471801589082</v>
      </c>
      <c r="F152" s="76">
        <f>+SUM(F$81:F101)/F$79</f>
        <v>0.94893193577975632</v>
      </c>
      <c r="G152" s="76">
        <f>+SUM(G$81:G101)/G$79</f>
        <v>1.0000000000000002</v>
      </c>
      <c r="H152" s="76">
        <f>+SUM(H$81:H101)/H$79</f>
        <v>0.99941295335472091</v>
      </c>
      <c r="I152" s="76">
        <f>+SUM(I$81:I101)/I$79</f>
        <v>0.91430605844917379</v>
      </c>
      <c r="J152" s="76">
        <f>+SUM(J$81:J101)/J$79</f>
        <v>0.93908286536606733</v>
      </c>
      <c r="K152" s="76">
        <f>+SUM(K$81:K101)/K$79</f>
        <v>0.83290965785838544</v>
      </c>
      <c r="L152" s="76">
        <f>+SUM(L$81:L101)/L$79</f>
        <v>0.99945849804375264</v>
      </c>
      <c r="M152" s="76">
        <f>+SUM(M$81:M101)/M$79</f>
        <v>1</v>
      </c>
      <c r="N152" s="76">
        <f>+SUM(N$81:N101)/N$79</f>
        <v>0.9092885344354833</v>
      </c>
      <c r="O152" s="3">
        <f t="shared" si="15"/>
        <v>21</v>
      </c>
    </row>
    <row r="153" spans="1:15" ht="12.75" x14ac:dyDescent="0.2">
      <c r="A153" s="3">
        <v>22</v>
      </c>
      <c r="B153" s="76">
        <f>+SUM(B$81:B102)/B$79</f>
        <v>0.94622698333797439</v>
      </c>
      <c r="C153" s="76">
        <f>+SUM(C$81:C102)/C$79</f>
        <v>0.97674379524312349</v>
      </c>
      <c r="D153" s="76">
        <f>+SUM(D$81:D102)/D$79</f>
        <v>1.0000000000000002</v>
      </c>
      <c r="E153" s="76">
        <f>+SUM(E$81:E102)/E$79</f>
        <v>0.95593070706152206</v>
      </c>
      <c r="F153" s="76">
        <f>+SUM(F$81:F102)/F$79</f>
        <v>0.9562223753761856</v>
      </c>
      <c r="G153" s="76">
        <f>+SUM(G$81:G102)/G$79</f>
        <v>1.0000000000000002</v>
      </c>
      <c r="H153" s="76">
        <f>+SUM(H$81:H102)/H$79</f>
        <v>0.99962010551274394</v>
      </c>
      <c r="I153" s="76">
        <f>+SUM(I$81:I102)/I$79</f>
        <v>0.92071490224943198</v>
      </c>
      <c r="J153" s="76">
        <f>+SUM(J$81:J102)/J$79</f>
        <v>0.94648513521164035</v>
      </c>
      <c r="K153" s="76">
        <f>+SUM(K$81:K102)/K$79</f>
        <v>0.84358112146269504</v>
      </c>
      <c r="L153" s="76">
        <f>+SUM(L$81:L102)/L$79</f>
        <v>0.99981577677659461</v>
      </c>
      <c r="M153" s="76">
        <f>+SUM(M$81:M102)/M$79</f>
        <v>1</v>
      </c>
      <c r="N153" s="76">
        <f>+SUM(N$81:N102)/N$79</f>
        <v>0.91484608401446865</v>
      </c>
      <c r="O153" s="3">
        <f t="shared" si="15"/>
        <v>22</v>
      </c>
    </row>
    <row r="154" spans="1:15" ht="12.75" x14ac:dyDescent="0.2">
      <c r="A154" s="3">
        <v>23</v>
      </c>
      <c r="B154" s="76">
        <f>+SUM(B$81:B103)/B$79</f>
        <v>0.94954792613756878</v>
      </c>
      <c r="C154" s="76">
        <f>+SUM(C$81:C103)/C$79</f>
        <v>0.97858033291227897</v>
      </c>
      <c r="D154" s="76">
        <f>+SUM(D$81:D103)/D$79</f>
        <v>1.0000000000000002</v>
      </c>
      <c r="E154" s="76">
        <f>+SUM(E$81:E103)/E$79</f>
        <v>0.96063281962933478</v>
      </c>
      <c r="F154" s="76">
        <f>+SUM(F$81:F103)/F$79</f>
        <v>0.96177549028510723</v>
      </c>
      <c r="G154" s="76">
        <f>+SUM(G$81:G103)/G$79</f>
        <v>1.0000000000000002</v>
      </c>
      <c r="H154" s="76">
        <f>+SUM(H$81:H103)/H$79</f>
        <v>0.99979298536548278</v>
      </c>
      <c r="I154" s="76">
        <f>+SUM(I$81:I103)/I$79</f>
        <v>0.92589227533899954</v>
      </c>
      <c r="J154" s="76">
        <f>+SUM(J$81:J103)/J$79</f>
        <v>0.95373335372065549</v>
      </c>
      <c r="K154" s="76">
        <f>+SUM(K$81:K103)/K$79</f>
        <v>0.85386007652226548</v>
      </c>
      <c r="L154" s="76">
        <f>+SUM(L$81:L103)/L$79</f>
        <v>0.99992093987632436</v>
      </c>
      <c r="M154" s="76">
        <f>+SUM(M$81:M103)/M$79</f>
        <v>1</v>
      </c>
      <c r="N154" s="76">
        <f>+SUM(N$81:N103)/N$79</f>
        <v>0.91978251019927948</v>
      </c>
      <c r="O154" s="3">
        <f t="shared" si="15"/>
        <v>23</v>
      </c>
    </row>
    <row r="155" spans="1:15" ht="12.75" x14ac:dyDescent="0.2">
      <c r="A155" s="3">
        <v>24</v>
      </c>
      <c r="B155" s="76">
        <f>+SUM(B$81:B104)/B$79</f>
        <v>0.95274386757832463</v>
      </c>
      <c r="C155" s="76">
        <f>+SUM(C$81:C104)/C$79</f>
        <v>0.98029936883222446</v>
      </c>
      <c r="D155" s="76">
        <f>+SUM(D$81:D104)/D$79</f>
        <v>1.0000000000000002</v>
      </c>
      <c r="E155" s="76">
        <f>+SUM(E$81:E104)/E$79</f>
        <v>0.96466353458384102</v>
      </c>
      <c r="F155" s="76">
        <f>+SUM(F$81:F104)/F$79</f>
        <v>0.96675234638145136</v>
      </c>
      <c r="G155" s="76">
        <f>+SUM(G$81:G104)/G$79</f>
        <v>1.0000000000000002</v>
      </c>
      <c r="H155" s="76">
        <f>+SUM(H$81:H104)/H$79</f>
        <v>0.99995355936993324</v>
      </c>
      <c r="I155" s="76">
        <f>+SUM(I$81:I104)/I$79</f>
        <v>0.93077690622460296</v>
      </c>
      <c r="J155" s="76">
        <f>+SUM(J$81:J104)/J$79</f>
        <v>0.96076799456821405</v>
      </c>
      <c r="K155" s="76">
        <f>+SUM(K$81:K104)/K$79</f>
        <v>0.8639096760948356</v>
      </c>
      <c r="L155" s="76">
        <f>+SUM(L$81:L104)/L$79</f>
        <v>1.0000100683339943</v>
      </c>
      <c r="M155" s="76">
        <f>+SUM(M$81:M104)/M$79</f>
        <v>1</v>
      </c>
      <c r="N155" s="76">
        <f>+SUM(N$81:N104)/N$79</f>
        <v>0.9242996062068578</v>
      </c>
      <c r="O155" s="3">
        <f t="shared" si="15"/>
        <v>24</v>
      </c>
    </row>
    <row r="156" spans="1:15" ht="12.75" x14ac:dyDescent="0.2">
      <c r="A156" s="3">
        <v>25</v>
      </c>
      <c r="B156" s="76">
        <f>+SUM(B$81:B105)/B$79</f>
        <v>0.95593916448675842</v>
      </c>
      <c r="C156" s="76">
        <f>+SUM(C$81:C105)/C$79</f>
        <v>0.98189676227972966</v>
      </c>
      <c r="D156" s="76">
        <f>+SUM(D$81:D105)/D$79</f>
        <v>1.0000000000000002</v>
      </c>
      <c r="E156" s="76">
        <f>+SUM(E$81:E105)/E$79</f>
        <v>0.96856906699960565</v>
      </c>
      <c r="F156" s="76">
        <f>+SUM(F$81:F105)/F$79</f>
        <v>0.97036653824243535</v>
      </c>
      <c r="G156" s="76">
        <f>+SUM(G$81:G105)/G$79</f>
        <v>1.0000000000000002</v>
      </c>
      <c r="H156" s="76">
        <f>+SUM(H$81:H105)/H$79</f>
        <v>0.9999981013961331</v>
      </c>
      <c r="I156" s="76">
        <f>+SUM(I$81:I105)/I$79</f>
        <v>0.93545361592638943</v>
      </c>
      <c r="J156" s="76">
        <f>+SUM(J$81:J105)/J$79</f>
        <v>0.96711408464269188</v>
      </c>
      <c r="K156" s="76">
        <f>+SUM(K$81:K105)/K$79</f>
        <v>0.87260110413047332</v>
      </c>
      <c r="L156" s="76">
        <f>+SUM(L$81:L105)/L$79</f>
        <v>1.0000344410682487</v>
      </c>
      <c r="M156" s="76">
        <f>+SUM(M$81:M105)/M$79</f>
        <v>1</v>
      </c>
      <c r="N156" s="76">
        <f>+SUM(N$81:N105)/N$79</f>
        <v>0.92866522668883378</v>
      </c>
      <c r="O156" s="3">
        <f t="shared" si="15"/>
        <v>25</v>
      </c>
    </row>
    <row r="157" spans="1:15" ht="12.75" x14ac:dyDescent="0.2">
      <c r="A157" s="3">
        <v>26</v>
      </c>
      <c r="B157" s="76">
        <f>+SUM(B$81:B106)/B$79</f>
        <v>0.95862181932149748</v>
      </c>
      <c r="C157" s="76">
        <f>+SUM(C$81:C106)/C$79</f>
        <v>0.98329292597465434</v>
      </c>
      <c r="D157" s="76">
        <f>+SUM(D$81:D106)/D$79</f>
        <v>1.0000000000000002</v>
      </c>
      <c r="E157" s="76">
        <f>+SUM(E$81:E106)/E$79</f>
        <v>0.97226360995683325</v>
      </c>
      <c r="F157" s="76">
        <f>+SUM(F$81:F106)/F$79</f>
        <v>0.97362803486771365</v>
      </c>
      <c r="G157" s="76">
        <f>+SUM(G$81:G106)/G$79</f>
        <v>1.0000000000000002</v>
      </c>
      <c r="H157" s="76">
        <f>+SUM(H$81:H106)/H$79</f>
        <v>1</v>
      </c>
      <c r="I157" s="76">
        <f>+SUM(I$81:I106)/I$79</f>
        <v>0.94008078166793918</v>
      </c>
      <c r="J157" s="76">
        <f>+SUM(J$81:J106)/J$79</f>
        <v>0.97346017471716961</v>
      </c>
      <c r="K157" s="76">
        <f>+SUM(K$81:K106)/K$79</f>
        <v>0.88053693924584897</v>
      </c>
      <c r="L157" s="76">
        <f>+SUM(L$81:L106)/L$79</f>
        <v>1.0000344410682487</v>
      </c>
      <c r="M157" s="76">
        <f>+SUM(M$81:M106)/M$79</f>
        <v>1</v>
      </c>
      <c r="N157" s="76">
        <f>+SUM(N$81:N106)/N$79</f>
        <v>0.93257635033713038</v>
      </c>
      <c r="O157" s="3">
        <f t="shared" si="15"/>
        <v>26</v>
      </c>
    </row>
    <row r="158" spans="1:15" ht="12.75" x14ac:dyDescent="0.2">
      <c r="A158" s="3">
        <v>27</v>
      </c>
      <c r="B158" s="76">
        <f>+SUM(B$81:B107)/B$79</f>
        <v>0.96123507280385723</v>
      </c>
      <c r="C158" s="76">
        <f>+SUM(C$81:C107)/C$79</f>
        <v>0.98448948057827812</v>
      </c>
      <c r="D158" s="76">
        <f>+SUM(D$81:D107)/D$79</f>
        <v>1.0000000000000002</v>
      </c>
      <c r="E158" s="76">
        <f>+SUM(E$81:E107)/E$79</f>
        <v>0.97474868064467413</v>
      </c>
      <c r="F158" s="76">
        <f>+SUM(F$81:F107)/F$79</f>
        <v>0.97652196730976748</v>
      </c>
      <c r="G158" s="76">
        <f>+SUM(G$81:G107)/G$79</f>
        <v>1.0000000000000002</v>
      </c>
      <c r="H158" s="76">
        <f>+SUM(H$81:H107)/H$79</f>
        <v>1</v>
      </c>
      <c r="I158" s="76">
        <f>+SUM(I$81:I107)/I$79</f>
        <v>0.94435145781353469</v>
      </c>
      <c r="J158" s="76">
        <f>+SUM(J$81:J107)/J$79</f>
        <v>0.97972535214319778</v>
      </c>
      <c r="K158" s="76">
        <f>+SUM(K$81:K107)/K$79</f>
        <v>0.88841227656093757</v>
      </c>
      <c r="L158" s="76">
        <f>+SUM(L$81:L107)/L$79</f>
        <v>1.0000344410682487</v>
      </c>
      <c r="M158" s="76">
        <f>+SUM(M$81:M107)/M$79</f>
        <v>1</v>
      </c>
      <c r="N158" s="76">
        <f>+SUM(N$81:N107)/N$79</f>
        <v>0.9363711916202393</v>
      </c>
      <c r="O158" s="3">
        <f t="shared" si="15"/>
        <v>27</v>
      </c>
    </row>
    <row r="159" spans="1:15" ht="12.75" x14ac:dyDescent="0.2">
      <c r="A159" s="3">
        <v>28</v>
      </c>
      <c r="B159" s="76">
        <f>+SUM(B$81:B108)/B$79</f>
        <v>0.96347859927326163</v>
      </c>
      <c r="C159" s="76">
        <f>+SUM(C$81:C108)/C$79</f>
        <v>0.98568553523693447</v>
      </c>
      <c r="D159" s="76">
        <f>+SUM(D$81:D108)/D$79</f>
        <v>1.0000000000000002</v>
      </c>
      <c r="E159" s="76">
        <f>+SUM(E$81:E108)/E$79</f>
        <v>0.97717335494177604</v>
      </c>
      <c r="F159" s="76">
        <f>+SUM(F$81:F108)/F$79</f>
        <v>0.97922886154319</v>
      </c>
      <c r="G159" s="76">
        <f>+SUM(G$81:G108)/G$79</f>
        <v>1.0000000000000002</v>
      </c>
      <c r="H159" s="76">
        <f>+SUM(H$81:H108)/H$79</f>
        <v>1</v>
      </c>
      <c r="I159" s="76">
        <f>+SUM(I$81:I108)/I$79</f>
        <v>0.94799067195142928</v>
      </c>
      <c r="J159" s="76">
        <f>+SUM(J$81:J108)/J$79</f>
        <v>0.9856736001194254</v>
      </c>
      <c r="K159" s="76">
        <f>+SUM(K$81:K108)/K$79</f>
        <v>0.8959263880490711</v>
      </c>
      <c r="L159" s="76">
        <f>+SUM(L$81:L108)/L$79</f>
        <v>1.0000344410682487</v>
      </c>
      <c r="M159" s="76">
        <f>+SUM(M$81:M108)/M$79</f>
        <v>1</v>
      </c>
      <c r="N159" s="76">
        <f>+SUM(N$81:N108)/N$79</f>
        <v>0.93971331773432243</v>
      </c>
      <c r="O159" s="3">
        <f t="shared" si="15"/>
        <v>28</v>
      </c>
    </row>
    <row r="160" spans="1:15" ht="12.75" x14ac:dyDescent="0.2">
      <c r="A160" s="3">
        <v>29</v>
      </c>
      <c r="B160" s="76">
        <f>+SUM(B$81:B109)/B$79</f>
        <v>0.96567201862297358</v>
      </c>
      <c r="C160" s="76">
        <f>+SUM(C$81:C109)/C$79</f>
        <v>0.98687494857748703</v>
      </c>
      <c r="D160" s="76">
        <f>+SUM(D$81:D109)/D$79</f>
        <v>1.0000000000000002</v>
      </c>
      <c r="E160" s="76">
        <f>+SUM(E$81:E109)/E$79</f>
        <v>0.97940143225402343</v>
      </c>
      <c r="F160" s="76">
        <f>+SUM(F$81:F109)/F$79</f>
        <v>0.98160421323625358</v>
      </c>
      <c r="G160" s="76">
        <f>+SUM(G$81:G109)/G$79</f>
        <v>1.0000000000000002</v>
      </c>
      <c r="H160" s="76">
        <f>+SUM(H$81:H109)/H$79</f>
        <v>1</v>
      </c>
      <c r="I160" s="76">
        <f>+SUM(I$81:I109)/I$79</f>
        <v>0.9511439385087479</v>
      </c>
      <c r="J160" s="76">
        <f>+SUM(J$81:J109)/J$79</f>
        <v>0.98986416296050339</v>
      </c>
      <c r="K160" s="76">
        <f>+SUM(K$81:K109)/K$79</f>
        <v>0.90306788359535184</v>
      </c>
      <c r="L160" s="76">
        <f>+SUM(L$81:L109)/L$79</f>
        <v>1.0000344410682487</v>
      </c>
      <c r="M160" s="76">
        <f>+SUM(M$81:M109)/M$79</f>
        <v>1</v>
      </c>
      <c r="N160" s="76">
        <f>+SUM(N$81:N109)/N$79</f>
        <v>0.94302504444823942</v>
      </c>
      <c r="O160" s="3">
        <f t="shared" si="15"/>
        <v>29</v>
      </c>
    </row>
    <row r="161" spans="1:15" ht="12.75" x14ac:dyDescent="0.2">
      <c r="A161" s="3">
        <v>30</v>
      </c>
      <c r="B161" s="76">
        <f>+SUM(B$81:B110)/B$79</f>
        <v>0.96780435464276071</v>
      </c>
      <c r="C161" s="76">
        <f>+SUM(C$81:C110)/C$79</f>
        <v>0.98802299492494683</v>
      </c>
      <c r="D161" s="76">
        <f>+SUM(D$81:D110)/D$79</f>
        <v>1.0000000000000002</v>
      </c>
      <c r="E161" s="76">
        <f>+SUM(E$81:E110)/E$79</f>
        <v>0.98142906755702131</v>
      </c>
      <c r="F161" s="76">
        <f>+SUM(F$81:F110)/F$79</f>
        <v>0.98374653425630865</v>
      </c>
      <c r="G161" s="76">
        <f>+SUM(G$81:G110)/G$79</f>
        <v>1.0000000000000002</v>
      </c>
      <c r="H161" s="76">
        <f>+SUM(H$81:H110)/H$79</f>
        <v>1</v>
      </c>
      <c r="I161" s="76">
        <f>+SUM(I$81:I110)/I$79</f>
        <v>0.95403162107447881</v>
      </c>
      <c r="J161" s="76">
        <f>+SUM(J$81:J110)/J$79</f>
        <v>0.99351316475332818</v>
      </c>
      <c r="K161" s="76">
        <f>+SUM(K$81:K110)/K$79</f>
        <v>0.90997787424321352</v>
      </c>
      <c r="L161" s="76">
        <f>+SUM(L$81:L110)/L$79</f>
        <v>1.0000344410682487</v>
      </c>
      <c r="M161" s="76">
        <f>+SUM(M$81:M110)/M$79</f>
        <v>1</v>
      </c>
      <c r="N161" s="76">
        <f>+SUM(N$81:N110)/N$79</f>
        <v>0.94626764334247204</v>
      </c>
      <c r="O161" s="3">
        <f t="shared" si="15"/>
        <v>30</v>
      </c>
    </row>
    <row r="162" spans="1:15" ht="12.75" x14ac:dyDescent="0.2">
      <c r="A162" s="3">
        <v>31</v>
      </c>
      <c r="B162" s="76">
        <f>+SUM(B$81:B111)/B$79</f>
        <v>0.96993004307551356</v>
      </c>
      <c r="C162" s="76">
        <f>+SUM(C$81:C111)/C$79</f>
        <v>0.98915631622373368</v>
      </c>
      <c r="D162" s="76">
        <f>+SUM(D$81:D111)/D$79</f>
        <v>1.0000000000000002</v>
      </c>
      <c r="E162" s="76">
        <f>+SUM(E$81:E111)/E$79</f>
        <v>0.98335782785039061</v>
      </c>
      <c r="F162" s="76">
        <f>+SUM(F$81:F111)/F$79</f>
        <v>0.98572033086046007</v>
      </c>
      <c r="G162" s="76">
        <f>+SUM(G$81:G111)/G$79</f>
        <v>1.0000000000000002</v>
      </c>
      <c r="H162" s="76">
        <f>+SUM(H$81:H111)/H$79</f>
        <v>1</v>
      </c>
      <c r="I162" s="76">
        <f>+SUM(I$81:I111)/I$79</f>
        <v>0.95689348038012922</v>
      </c>
      <c r="J162" s="76">
        <f>+SUM(J$81:J111)/J$79</f>
        <v>0.99532180042455431</v>
      </c>
      <c r="K162" s="76">
        <f>+SUM(K$81:K111)/K$79</f>
        <v>0.91685024210656119</v>
      </c>
      <c r="L162" s="76">
        <f>+SUM(L$81:L111)/L$79</f>
        <v>1.0000344410682487</v>
      </c>
      <c r="M162" s="76">
        <f>+SUM(M$81:M111)/M$79</f>
        <v>1</v>
      </c>
      <c r="N162" s="76">
        <f>+SUM(N$81:N111)/N$79</f>
        <v>0.9493645537090698</v>
      </c>
      <c r="O162" s="3">
        <f t="shared" si="15"/>
        <v>31</v>
      </c>
    </row>
    <row r="163" spans="1:15" ht="12.75" x14ac:dyDescent="0.2">
      <c r="A163" s="3">
        <v>32</v>
      </c>
      <c r="B163" s="76">
        <f>+SUM(B$81:B112)/B$79</f>
        <v>0.97196904431884101</v>
      </c>
      <c r="C163" s="76">
        <f>+SUM(C$81:C112)/C$79</f>
        <v>0.99023511350480109</v>
      </c>
      <c r="D163" s="76">
        <f>+SUM(D$81:D112)/D$79</f>
        <v>1.0000000000000002</v>
      </c>
      <c r="E163" s="76">
        <f>+SUM(E$81:E112)/E$79</f>
        <v>0.98528325012896023</v>
      </c>
      <c r="F163" s="76">
        <f>+SUM(F$81:F112)/F$79</f>
        <v>0.98753476021800435</v>
      </c>
      <c r="G163" s="76">
        <f>+SUM(G$81:G112)/G$79</f>
        <v>1.0000000000000002</v>
      </c>
      <c r="H163" s="76">
        <f>+SUM(H$81:H112)/H$79</f>
        <v>1</v>
      </c>
      <c r="I163" s="76">
        <f>+SUM(I$81:I112)/I$79</f>
        <v>0.9596749507032315</v>
      </c>
      <c r="J163" s="76">
        <f>+SUM(J$81:J112)/J$79</f>
        <v>0.99708855190128887</v>
      </c>
      <c r="K163" s="76">
        <f>+SUM(K$81:K112)/K$79</f>
        <v>0.92356863498256248</v>
      </c>
      <c r="L163" s="76">
        <f>+SUM(L$81:L112)/L$79</f>
        <v>1.0000344410682487</v>
      </c>
      <c r="M163" s="76">
        <f>+SUM(M$81:M112)/M$79</f>
        <v>1</v>
      </c>
      <c r="N163" s="76">
        <f>+SUM(N$81:N112)/N$79</f>
        <v>0.95213887807962194</v>
      </c>
      <c r="O163" s="3">
        <f t="shared" si="15"/>
        <v>32</v>
      </c>
    </row>
    <row r="164" spans="1:15" ht="12.75" x14ac:dyDescent="0.2">
      <c r="A164" s="3">
        <v>33</v>
      </c>
      <c r="B164" s="76">
        <f>+SUM(B$81:B113)/B$79</f>
        <v>0.97398812869028739</v>
      </c>
      <c r="C164" s="76">
        <f>+SUM(C$81:C113)/C$79</f>
        <v>0.99120855279453279</v>
      </c>
      <c r="D164" s="76">
        <f>+SUM(D$81:D113)/D$79</f>
        <v>1.0000000000000002</v>
      </c>
      <c r="E164" s="76">
        <f>+SUM(E$81:E113)/E$79</f>
        <v>0.98698585290840346</v>
      </c>
      <c r="F164" s="76">
        <f>+SUM(F$81:F113)/F$79</f>
        <v>0.98907119801947008</v>
      </c>
      <c r="G164" s="76">
        <f>+SUM(G$81:G113)/G$79</f>
        <v>1.0000000000000002</v>
      </c>
      <c r="H164" s="76">
        <f>+SUM(H$81:H113)/H$79</f>
        <v>1</v>
      </c>
      <c r="I164" s="76">
        <f>+SUM(I$81:I113)/I$79</f>
        <v>0.96239435776437432</v>
      </c>
      <c r="J164" s="76">
        <f>+SUM(J$81:J113)/J$79</f>
        <v>0.99847628314832526</v>
      </c>
      <c r="K164" s="76">
        <f>+SUM(K$81:K113)/K$79</f>
        <v>0.93017928668295602</v>
      </c>
      <c r="L164" s="76">
        <f>+SUM(L$81:L113)/L$79</f>
        <v>1.0000344410682487</v>
      </c>
      <c r="M164" s="76">
        <f>+SUM(M$81:M113)/M$79</f>
        <v>1</v>
      </c>
      <c r="N164" s="76">
        <f>+SUM(N$81:N113)/N$79</f>
        <v>0.95478563254751558</v>
      </c>
      <c r="O164" s="3">
        <f t="shared" si="15"/>
        <v>33</v>
      </c>
    </row>
    <row r="165" spans="1:15" ht="12.75" x14ac:dyDescent="0.2">
      <c r="A165" s="3">
        <v>34</v>
      </c>
      <c r="B165" s="76">
        <f>+SUM(B$81:B114)/B$79</f>
        <v>0.97593929979312022</v>
      </c>
      <c r="C165" s="76">
        <f>+SUM(C$81:C114)/C$79</f>
        <v>0.99212056823872019</v>
      </c>
      <c r="D165" s="76">
        <f>+SUM(D$81:D114)/D$79</f>
        <v>1.0000000000000002</v>
      </c>
      <c r="E165" s="76">
        <f>+SUM(E$81:E114)/E$79</f>
        <v>0.98856540995809139</v>
      </c>
      <c r="F165" s="76">
        <f>+SUM(F$81:F114)/F$79</f>
        <v>0.99051462006495505</v>
      </c>
      <c r="G165" s="76">
        <f>+SUM(G$81:G114)/G$79</f>
        <v>1.0000000000000002</v>
      </c>
      <c r="H165" s="76">
        <f>+SUM(H$81:H114)/H$79</f>
        <v>1</v>
      </c>
      <c r="I165" s="76">
        <f>+SUM(I$81:I114)/I$79</f>
        <v>0.96505039160641282</v>
      </c>
      <c r="J165" s="76">
        <f>+SUM(J$81:J114)/J$79</f>
        <v>0.99944630364100195</v>
      </c>
      <c r="K165" s="76">
        <f>+SUM(K$81:K114)/K$79</f>
        <v>0.9365541082707034</v>
      </c>
      <c r="L165" s="76">
        <f>+SUM(L$81:L114)/L$79</f>
        <v>1.0000344410682487</v>
      </c>
      <c r="M165" s="76">
        <f>+SUM(M$81:M114)/M$79</f>
        <v>1</v>
      </c>
      <c r="N165" s="76">
        <f>+SUM(N$81:N114)/N$79</f>
        <v>0.95735905594713322</v>
      </c>
      <c r="O165" s="3">
        <f t="shared" si="15"/>
        <v>34</v>
      </c>
    </row>
    <row r="166" spans="1:15" ht="12.75" x14ac:dyDescent="0.2">
      <c r="A166" s="3">
        <v>35</v>
      </c>
      <c r="B166" s="76">
        <f>+SUM(B$81:B115)/B$79</f>
        <v>0.97786434832984592</v>
      </c>
      <c r="C166" s="76">
        <f>+SUM(C$81:C115)/C$79</f>
        <v>0.99302311191718085</v>
      </c>
      <c r="D166" s="76">
        <f>+SUM(D$81:D115)/D$79</f>
        <v>1.0000000000000002</v>
      </c>
      <c r="E166" s="76">
        <f>+SUM(E$81:E115)/E$79</f>
        <v>0.98963744127453035</v>
      </c>
      <c r="F166" s="76">
        <f>+SUM(F$81:F115)/F$79</f>
        <v>0.99186863198751318</v>
      </c>
      <c r="G166" s="76">
        <f>+SUM(G$81:G115)/G$79</f>
        <v>1.0000000000000002</v>
      </c>
      <c r="H166" s="76">
        <f>+SUM(H$81:H115)/H$79</f>
        <v>1</v>
      </c>
      <c r="I166" s="76">
        <f>+SUM(I$81:I115)/I$79</f>
        <v>0.96768082634005792</v>
      </c>
      <c r="J166" s="76">
        <f>+SUM(J$81:J115)/J$79</f>
        <v>0.99981596338784029</v>
      </c>
      <c r="K166" s="76">
        <f>+SUM(K$81:K115)/K$79</f>
        <v>0.94169977857724418</v>
      </c>
      <c r="L166" s="76">
        <f>+SUM(L$81:L115)/L$79</f>
        <v>1.0000344410682487</v>
      </c>
      <c r="M166" s="76">
        <f>+SUM(M$81:M115)/M$79</f>
        <v>1</v>
      </c>
      <c r="N166" s="76">
        <f>+SUM(N$81:N115)/N$79</f>
        <v>0.95990375433424213</v>
      </c>
      <c r="O166" s="3">
        <f t="shared" si="15"/>
        <v>35</v>
      </c>
    </row>
    <row r="167" spans="1:15" ht="12.75" x14ac:dyDescent="0.2">
      <c r="A167" s="3">
        <v>36</v>
      </c>
      <c r="B167" s="76">
        <f>+SUM(B$81:B116)/B$79</f>
        <v>0.97978587285852059</v>
      </c>
      <c r="C167" s="76">
        <f>+SUM(C$81:C116)/C$79</f>
        <v>0.99376150779554862</v>
      </c>
      <c r="D167" s="76">
        <f>+SUM(D$81:D116)/D$79</f>
        <v>1.0000000000000002</v>
      </c>
      <c r="E167" s="76">
        <f>+SUM(E$81:E116)/E$79</f>
        <v>0.99063183567438318</v>
      </c>
      <c r="F167" s="76">
        <f>+SUM(F$81:F116)/F$79</f>
        <v>0.99311286382673702</v>
      </c>
      <c r="G167" s="76">
        <f>+SUM(G$81:G116)/G$79</f>
        <v>1.0000000000000002</v>
      </c>
      <c r="H167" s="76">
        <f>+SUM(H$81:H116)/H$79</f>
        <v>1</v>
      </c>
      <c r="I167" s="76">
        <f>+SUM(I$81:I116)/I$79</f>
        <v>0.97011131097936365</v>
      </c>
      <c r="J167" s="76">
        <f>+SUM(J$81:J116)/J$79</f>
        <v>0.99994288518932983</v>
      </c>
      <c r="K167" s="76">
        <f>+SUM(K$81:K116)/K$79</f>
        <v>0.94658569832179618</v>
      </c>
      <c r="L167" s="76">
        <f>+SUM(L$81:L116)/L$79</f>
        <v>1.0000344410682487</v>
      </c>
      <c r="M167" s="76">
        <f>+SUM(M$81:M116)/M$79</f>
        <v>1</v>
      </c>
      <c r="N167" s="76">
        <f>+SUM(N$81:N116)/N$79</f>
        <v>0.96242020591934341</v>
      </c>
      <c r="O167" s="3">
        <f t="shared" si="15"/>
        <v>36</v>
      </c>
    </row>
    <row r="168" spans="1:15" ht="12.75" x14ac:dyDescent="0.2">
      <c r="A168" s="3">
        <v>37</v>
      </c>
      <c r="B168" s="76">
        <f>+SUM(B$81:B117)/B$79</f>
        <v>0.98168459253507834</v>
      </c>
      <c r="C168" s="76">
        <f>+SUM(C$81:C117)/C$79</f>
        <v>0.99448366019330192</v>
      </c>
      <c r="D168" s="76">
        <f>+SUM(D$81:D117)/D$79</f>
        <v>1.0000000000000002</v>
      </c>
      <c r="E168" s="76">
        <f>+SUM(E$81:E117)/E$79</f>
        <v>0.99150037280580516</v>
      </c>
      <c r="F168" s="76">
        <f>+SUM(F$81:F117)/F$79</f>
        <v>0.9941195604966544</v>
      </c>
      <c r="G168" s="76">
        <f>+SUM(G$81:G117)/G$79</f>
        <v>1.0000000000000002</v>
      </c>
      <c r="H168" s="76">
        <f>+SUM(H$81:H117)/H$79</f>
        <v>1</v>
      </c>
      <c r="I168" s="76">
        <f>+SUM(I$81:I117)/I$79</f>
        <v>0.97246319879348508</v>
      </c>
      <c r="J168" s="76">
        <f>+SUM(J$81:J117)/J$79</f>
        <v>0.99997461563970225</v>
      </c>
      <c r="K168" s="76">
        <f>+SUM(K$81:K117)/K$79</f>
        <v>0.95119548848754054</v>
      </c>
      <c r="L168" s="76">
        <f>+SUM(L$81:L117)/L$79</f>
        <v>1.0000344410682487</v>
      </c>
      <c r="M168" s="76">
        <f>+SUM(M$81:M117)/M$79</f>
        <v>1</v>
      </c>
      <c r="N168" s="76">
        <f>+SUM(N$81:N117)/N$79</f>
        <v>0.96492076311766917</v>
      </c>
      <c r="O168" s="3">
        <f t="shared" si="15"/>
        <v>37</v>
      </c>
    </row>
    <row r="169" spans="1:15" ht="12.75" x14ac:dyDescent="0.2">
      <c r="A169" s="3">
        <v>38</v>
      </c>
      <c r="B169" s="76">
        <f>+SUM(B$81:B118)/B$79</f>
        <v>0.98352183811840765</v>
      </c>
      <c r="C169" s="76">
        <f>+SUM(C$81:C118)/C$79</f>
        <v>0.99515666790288149</v>
      </c>
      <c r="D169" s="76">
        <f>+SUM(D$81:D118)/D$79</f>
        <v>1.0000000000000002</v>
      </c>
      <c r="E169" s="76">
        <f>+SUM(E$81:E118)/E$79</f>
        <v>0.99227168496338125</v>
      </c>
      <c r="F169" s="76">
        <f>+SUM(F$81:F118)/F$79</f>
        <v>0.99511419188813077</v>
      </c>
      <c r="G169" s="76">
        <f>+SUM(G$81:G118)/G$79</f>
        <v>1.0000000000000002</v>
      </c>
      <c r="H169" s="76">
        <f>+SUM(H$81:H118)/H$79</f>
        <v>1</v>
      </c>
      <c r="I169" s="76">
        <f>+SUM(I$81:I118)/I$79</f>
        <v>0.97480475898332897</v>
      </c>
      <c r="J169" s="76">
        <f>+SUM(J$81:J118)/J$79</f>
        <v>1.0000000000000002</v>
      </c>
      <c r="K169" s="76">
        <f>+SUM(K$81:K118)/K$79</f>
        <v>0.95577912144074095</v>
      </c>
      <c r="L169" s="76">
        <f>+SUM(L$81:L118)/L$79</f>
        <v>1.0000344410682487</v>
      </c>
      <c r="M169" s="76">
        <f>+SUM(M$81:M118)/M$79</f>
        <v>1</v>
      </c>
      <c r="N169" s="76">
        <f>+SUM(N$81:N118)/N$79</f>
        <v>0.96739497868753788</v>
      </c>
      <c r="O169" s="3">
        <f t="shared" si="15"/>
        <v>38</v>
      </c>
    </row>
    <row r="170" spans="1:15" ht="12.75" x14ac:dyDescent="0.2">
      <c r="A170" s="3">
        <v>39</v>
      </c>
      <c r="B170" s="76">
        <f>+SUM(B$81:B119)/B$79</f>
        <v>0.98527579237213148</v>
      </c>
      <c r="C170" s="76">
        <f>+SUM(C$81:C119)/C$79</f>
        <v>0.99582924211656376</v>
      </c>
      <c r="D170" s="76">
        <f>+SUM(D$81:D119)/D$79</f>
        <v>1.0000000000000002</v>
      </c>
      <c r="E170" s="76">
        <f>+SUM(E$81:E119)/E$79</f>
        <v>0.99302288379735759</v>
      </c>
      <c r="F170" s="76">
        <f>+SUM(F$81:F119)/F$79</f>
        <v>0.99609517330225106</v>
      </c>
      <c r="G170" s="76">
        <f>+SUM(G$81:G119)/G$79</f>
        <v>1.0000000000000002</v>
      </c>
      <c r="H170" s="76">
        <f>+SUM(H$81:H119)/H$79</f>
        <v>1</v>
      </c>
      <c r="I170" s="76">
        <f>+SUM(I$81:I119)/I$79</f>
        <v>0.97699494552052479</v>
      </c>
      <c r="J170" s="76">
        <f>+SUM(J$81:J119)/J$79</f>
        <v>1.0000000000000002</v>
      </c>
      <c r="K170" s="76">
        <f>+SUM(K$81:K119)/K$79</f>
        <v>0.96010519060019761</v>
      </c>
      <c r="L170" s="76">
        <f>+SUM(L$81:L119)/L$79</f>
        <v>1.0000344410682487</v>
      </c>
      <c r="M170" s="76">
        <f>+SUM(M$81:M119)/M$79</f>
        <v>1</v>
      </c>
      <c r="N170" s="76">
        <f>+SUM(N$81:N119)/N$79</f>
        <v>0.96981678258988457</v>
      </c>
      <c r="O170" s="3">
        <f t="shared" si="15"/>
        <v>39</v>
      </c>
    </row>
    <row r="171" spans="1:15" ht="12.75" x14ac:dyDescent="0.2">
      <c r="A171" s="3">
        <v>40</v>
      </c>
      <c r="B171" s="76">
        <f>+SUM(B$81:B120)/B$79</f>
        <v>0.98687401803986352</v>
      </c>
      <c r="C171" s="76">
        <f>+SUM(C$81:C120)/C$79</f>
        <v>0.9964031443551612</v>
      </c>
      <c r="D171" s="76">
        <f>+SUM(D$81:D120)/D$79</f>
        <v>1.0000000000000002</v>
      </c>
      <c r="E171" s="76">
        <f>+SUM(E$81:E120)/E$79</f>
        <v>0.99375116799723484</v>
      </c>
      <c r="F171" s="76">
        <f>+SUM(F$81:F120)/F$79</f>
        <v>0.99705215876275188</v>
      </c>
      <c r="G171" s="76">
        <f>+SUM(G$81:G120)/G$79</f>
        <v>1.0000000000000002</v>
      </c>
      <c r="H171" s="76">
        <f>+SUM(H$81:H120)/H$79</f>
        <v>1</v>
      </c>
      <c r="I171" s="76">
        <f>+SUM(I$81:I120)/I$79</f>
        <v>0.97913050276609614</v>
      </c>
      <c r="J171" s="76">
        <f>+SUM(J$81:J120)/J$79</f>
        <v>1.0000000000000002</v>
      </c>
      <c r="K171" s="76">
        <f>+SUM(K$81:K120)/K$79</f>
        <v>0.96437353640066914</v>
      </c>
      <c r="L171" s="76">
        <f>+SUM(L$81:L120)/L$79</f>
        <v>1.0000344410682487</v>
      </c>
      <c r="M171" s="76">
        <f>+SUM(M$81:M120)/M$79</f>
        <v>1</v>
      </c>
      <c r="N171" s="76">
        <f>+SUM(N$81:N120)/N$79</f>
        <v>0.97216739176987277</v>
      </c>
      <c r="O171" s="3">
        <f t="shared" si="15"/>
        <v>40</v>
      </c>
    </row>
    <row r="172" spans="1:15" ht="12.75" x14ac:dyDescent="0.2">
      <c r="A172" s="3">
        <v>41</v>
      </c>
      <c r="B172" s="76">
        <f>+SUM(B$81:B121)/B$79</f>
        <v>0.98833127310500002</v>
      </c>
      <c r="C172" s="76">
        <f>+SUM(C$81:C121)/C$79</f>
        <v>0.99688221931184062</v>
      </c>
      <c r="D172" s="76">
        <f>+SUM(D$81:D121)/D$79</f>
        <v>1.0000000000000002</v>
      </c>
      <c r="E172" s="76">
        <f>+SUM(E$81:E121)/E$79</f>
        <v>0.99444541920552409</v>
      </c>
      <c r="F172" s="76">
        <f>+SUM(F$81:F121)/F$79</f>
        <v>0.99769820163767209</v>
      </c>
      <c r="G172" s="76">
        <f>+SUM(G$81:G121)/G$79</f>
        <v>1.0000000000000002</v>
      </c>
      <c r="H172" s="76">
        <f>+SUM(H$81:H121)/H$79</f>
        <v>1</v>
      </c>
      <c r="I172" s="76">
        <f>+SUM(I$81:I121)/I$79</f>
        <v>0.98106298109773871</v>
      </c>
      <c r="J172" s="76">
        <f>+SUM(J$81:J121)/J$79</f>
        <v>1.0000000000000002</v>
      </c>
      <c r="K172" s="76">
        <f>+SUM(K$81:K121)/K$79</f>
        <v>0.96855376525400605</v>
      </c>
      <c r="L172" s="76">
        <f>+SUM(L$81:L121)/L$79</f>
        <v>1.0000344410682487</v>
      </c>
      <c r="M172" s="76">
        <f>+SUM(M$81:M121)/M$79</f>
        <v>1</v>
      </c>
      <c r="N172" s="76">
        <f>+SUM(N$81:N121)/N$79</f>
        <v>0.97442314180490441</v>
      </c>
      <c r="O172" s="3">
        <f t="shared" si="15"/>
        <v>41</v>
      </c>
    </row>
    <row r="173" spans="1:15" ht="12.75" x14ac:dyDescent="0.2">
      <c r="A173" s="3">
        <v>42</v>
      </c>
      <c r="B173" s="76">
        <f>+SUM(B$81:B122)/B$79</f>
        <v>0.98943623389335911</v>
      </c>
      <c r="C173" s="76">
        <f>+SUM(C$81:C122)/C$79</f>
        <v>0.99730776111410235</v>
      </c>
      <c r="D173" s="76">
        <f>+SUM(D$81:D122)/D$79</f>
        <v>1.0000000000000002</v>
      </c>
      <c r="E173" s="76">
        <f>+SUM(E$81:E122)/E$79</f>
        <v>0.99508239537650689</v>
      </c>
      <c r="F173" s="76">
        <f>+SUM(F$81:F122)/F$79</f>
        <v>0.99826367145204353</v>
      </c>
      <c r="G173" s="76">
        <f>+SUM(G$81:G122)/G$79</f>
        <v>1.0000000000000002</v>
      </c>
      <c r="H173" s="76">
        <f>+SUM(H$81:H122)/H$79</f>
        <v>1</v>
      </c>
      <c r="I173" s="76">
        <f>+SUM(I$81:I122)/I$79</f>
        <v>0.98293955870432581</v>
      </c>
      <c r="J173" s="76">
        <f>+SUM(J$81:J122)/J$79</f>
        <v>1.0000000000000002</v>
      </c>
      <c r="K173" s="76">
        <f>+SUM(K$81:K122)/K$79</f>
        <v>0.97220024014610829</v>
      </c>
      <c r="L173" s="76">
        <f>+SUM(L$81:L122)/L$79</f>
        <v>1.0000344410682487</v>
      </c>
      <c r="M173" s="76">
        <f>+SUM(M$81:M122)/M$79</f>
        <v>1</v>
      </c>
      <c r="N173" s="76">
        <f>+SUM(N$81:N122)/N$79</f>
        <v>0.97659154802421344</v>
      </c>
      <c r="O173" s="3">
        <f t="shared" si="15"/>
        <v>42</v>
      </c>
    </row>
    <row r="174" spans="1:15" ht="12.75" x14ac:dyDescent="0.2">
      <c r="A174" s="3">
        <v>43</v>
      </c>
      <c r="B174" s="76">
        <f>+SUM(B$81:B123)/B$79</f>
        <v>0.99040860747356907</v>
      </c>
      <c r="C174" s="76">
        <f>+SUM(C$81:C123)/C$79</f>
        <v>0.9977277293510749</v>
      </c>
      <c r="D174" s="76">
        <f>+SUM(D$81:D123)/D$79</f>
        <v>1.0000000000000002</v>
      </c>
      <c r="E174" s="76">
        <f>+SUM(E$81:E123)/E$79</f>
        <v>0.99565028736586791</v>
      </c>
      <c r="F174" s="76">
        <f>+SUM(F$81:F123)/F$79</f>
        <v>0.99873112935403996</v>
      </c>
      <c r="G174" s="76">
        <f>+SUM(G$81:G123)/G$79</f>
        <v>1.0000000000000002</v>
      </c>
      <c r="H174" s="76">
        <f>+SUM(H$81:H123)/H$79</f>
        <v>1</v>
      </c>
      <c r="I174" s="76">
        <f>+SUM(I$81:I123)/I$79</f>
        <v>0.98480939214639795</v>
      </c>
      <c r="J174" s="76">
        <f>+SUM(J$81:J123)/J$79</f>
        <v>1.0000000000000002</v>
      </c>
      <c r="K174" s="76">
        <f>+SUM(K$81:K123)/K$79</f>
        <v>0.97524255405328952</v>
      </c>
      <c r="L174" s="76">
        <f>+SUM(L$81:L123)/L$79</f>
        <v>1.0000344410682487</v>
      </c>
      <c r="M174" s="76">
        <f>+SUM(M$81:M123)/M$79</f>
        <v>1</v>
      </c>
      <c r="N174" s="76">
        <f>+SUM(N$81:N123)/N$79</f>
        <v>0.97867983502701705</v>
      </c>
      <c r="O174" s="3">
        <f t="shared" si="15"/>
        <v>43</v>
      </c>
    </row>
    <row r="175" spans="1:15" ht="12.75" x14ac:dyDescent="0.2">
      <c r="A175" s="3">
        <v>44</v>
      </c>
      <c r="B175" s="76">
        <f>+SUM(B$81:B124)/B$79</f>
        <v>0.99130681738250803</v>
      </c>
      <c r="C175" s="76">
        <f>+SUM(C$81:C124)/C$79</f>
        <v>0.99813885703410909</v>
      </c>
      <c r="D175" s="76">
        <f>+SUM(D$81:D124)/D$79</f>
        <v>1.0000000000000002</v>
      </c>
      <c r="E175" s="76">
        <f>+SUM(E$81:E124)/E$79</f>
        <v>0.99612588304255512</v>
      </c>
      <c r="F175" s="76">
        <f>+SUM(F$81:F124)/F$79</f>
        <v>0.99910816930531987</v>
      </c>
      <c r="G175" s="76">
        <f>+SUM(G$81:G124)/G$79</f>
        <v>1.0000000000000002</v>
      </c>
      <c r="H175" s="76">
        <f>+SUM(H$81:H124)/H$79</f>
        <v>1</v>
      </c>
      <c r="I175" s="76">
        <f>+SUM(I$81:I124)/I$79</f>
        <v>0.9866237987151526</v>
      </c>
      <c r="J175" s="76">
        <f>+SUM(J$81:J124)/J$79</f>
        <v>1.0000000000000002</v>
      </c>
      <c r="K175" s="76">
        <f>+SUM(K$81:K124)/K$79</f>
        <v>0.97827708212881015</v>
      </c>
      <c r="L175" s="76">
        <f>+SUM(L$81:L124)/L$79</f>
        <v>1.0000344410682487</v>
      </c>
      <c r="M175" s="76">
        <f>+SUM(M$81:M124)/M$79</f>
        <v>1</v>
      </c>
      <c r="N175" s="76">
        <f>+SUM(N$81:N124)/N$79</f>
        <v>0.98050098927060603</v>
      </c>
      <c r="O175" s="3">
        <f t="shared" si="15"/>
        <v>44</v>
      </c>
    </row>
    <row r="176" spans="1:15" ht="12.75" x14ac:dyDescent="0.2">
      <c r="A176" s="3">
        <v>45</v>
      </c>
      <c r="B176" s="76">
        <f>+SUM(B$81:B125)/B$79</f>
        <v>0.99219695340640146</v>
      </c>
      <c r="C176" s="76">
        <f>+SUM(C$81:C125)/C$79</f>
        <v>0.9984794923679865</v>
      </c>
      <c r="D176" s="76">
        <f>+SUM(D$81:D125)/D$79</f>
        <v>1.0000000000000002</v>
      </c>
      <c r="E176" s="76">
        <f>+SUM(E$81:E125)/E$79</f>
        <v>0.99656300164007794</v>
      </c>
      <c r="F176" s="76">
        <f>+SUM(F$81:F125)/F$79</f>
        <v>0.99948520925659989</v>
      </c>
      <c r="G176" s="76">
        <f>+SUM(G$81:G125)/G$79</f>
        <v>1.0000000000000002</v>
      </c>
      <c r="H176" s="76">
        <f>+SUM(H$81:H125)/H$79</f>
        <v>1</v>
      </c>
      <c r="I176" s="76">
        <f>+SUM(I$81:I125)/I$79</f>
        <v>0.9884126314724172</v>
      </c>
      <c r="J176" s="76">
        <f>+SUM(J$81:J125)/J$79</f>
        <v>1.0000000000000002</v>
      </c>
      <c r="K176" s="76">
        <f>+SUM(K$81:K125)/K$79</f>
        <v>0.98044489317835781</v>
      </c>
      <c r="L176" s="76">
        <f>+SUM(L$81:L125)/L$79</f>
        <v>1.0000344410682487</v>
      </c>
      <c r="M176" s="76">
        <f>+SUM(M$81:M125)/M$79</f>
        <v>1</v>
      </c>
      <c r="N176" s="76">
        <f>+SUM(N$81:N125)/N$79</f>
        <v>0.98216465693751276</v>
      </c>
      <c r="O176" s="3">
        <f t="shared" si="15"/>
        <v>45</v>
      </c>
    </row>
    <row r="177" spans="1:15" ht="12.75" x14ac:dyDescent="0.2">
      <c r="A177" s="3">
        <v>46</v>
      </c>
      <c r="B177" s="76">
        <f>+SUM(B$81:B126)/B$79</f>
        <v>0.99300149365257806</v>
      </c>
      <c r="C177" s="76">
        <f>+SUM(C$81:C126)/C$79</f>
        <v>0.99870272209173405</v>
      </c>
      <c r="D177" s="76">
        <f>+SUM(D$81:D126)/D$79</f>
        <v>1.0000000000000002</v>
      </c>
      <c r="E177" s="76">
        <f>+SUM(E$81:E126)/E$79</f>
        <v>0.99699742417833415</v>
      </c>
      <c r="F177" s="76">
        <f>+SUM(F$81:F126)/F$79</f>
        <v>0.99986204108182664</v>
      </c>
      <c r="G177" s="76">
        <f>+SUM(G$81:G126)/G$79</f>
        <v>1.0000000000000002</v>
      </c>
      <c r="H177" s="76">
        <f>+SUM(H$81:H126)/H$79</f>
        <v>1</v>
      </c>
      <c r="I177" s="76">
        <f>+SUM(I$81:I126)/I$79</f>
        <v>0.99007035817443267</v>
      </c>
      <c r="J177" s="76">
        <f>+SUM(J$81:J126)/J$79</f>
        <v>1.0000000000000002</v>
      </c>
      <c r="K177" s="76">
        <f>+SUM(K$81:K126)/K$79</f>
        <v>0.98245212563164275</v>
      </c>
      <c r="L177" s="76">
        <f>+SUM(L$81:L126)/L$79</f>
        <v>1.0000344410682487</v>
      </c>
      <c r="M177" s="76">
        <f>+SUM(M$81:M126)/M$79</f>
        <v>1</v>
      </c>
      <c r="N177" s="76">
        <f>+SUM(N$81:N126)/N$79</f>
        <v>0.98372676660702663</v>
      </c>
      <c r="O177" s="3">
        <f t="shared" si="15"/>
        <v>46</v>
      </c>
    </row>
    <row r="178" spans="1:15" ht="12.75" x14ac:dyDescent="0.2">
      <c r="A178" s="3">
        <v>47</v>
      </c>
      <c r="B178" s="76">
        <f>+SUM(B$81:B127)/B$79</f>
        <v>0.99371008332043209</v>
      </c>
      <c r="C178" s="76">
        <f>+SUM(C$81:C127)/C$79</f>
        <v>0.99891409756239358</v>
      </c>
      <c r="D178" s="76">
        <f>+SUM(D$81:D127)/D$79</f>
        <v>1.0000000000000002</v>
      </c>
      <c r="E178" s="76">
        <f>+SUM(E$81:E127)/E$79</f>
        <v>0.99742697172584827</v>
      </c>
      <c r="F178" s="76">
        <f>+SUM(F$81:F127)/F$79</f>
        <v>0.99992519527366608</v>
      </c>
      <c r="G178" s="76">
        <f>+SUM(G$81:G127)/G$79</f>
        <v>1.0000000000000002</v>
      </c>
      <c r="H178" s="76">
        <f>+SUM(H$81:H127)/H$79</f>
        <v>1</v>
      </c>
      <c r="I178" s="76">
        <f>+SUM(I$81:I127)/I$79</f>
        <v>0.99145338967450625</v>
      </c>
      <c r="J178" s="76">
        <f>+SUM(J$81:J127)/J$79</f>
        <v>1.0000000000000002</v>
      </c>
      <c r="K178" s="76">
        <f>+SUM(K$81:K127)/K$79</f>
        <v>0.98444909964025251</v>
      </c>
      <c r="L178" s="76">
        <f>+SUM(L$81:L127)/L$79</f>
        <v>1.0000344410682487</v>
      </c>
      <c r="M178" s="76">
        <f>+SUM(M$81:M127)/M$79</f>
        <v>1</v>
      </c>
      <c r="N178" s="76">
        <f>+SUM(N$81:N127)/N$79</f>
        <v>0.98521127300460742</v>
      </c>
      <c r="O178" s="3">
        <f t="shared" si="15"/>
        <v>47</v>
      </c>
    </row>
    <row r="179" spans="1:15" ht="12.75" x14ac:dyDescent="0.2">
      <c r="A179" s="3">
        <v>48</v>
      </c>
      <c r="B179" s="76">
        <f>+SUM(B$81:B128)/B$79</f>
        <v>0.99438810861048421</v>
      </c>
      <c r="C179" s="76">
        <f>+SUM(C$81:C128)/C$79</f>
        <v>0.99908006798108751</v>
      </c>
      <c r="D179" s="76">
        <f>+SUM(D$81:D128)/D$79</f>
        <v>1.0000000000000002</v>
      </c>
      <c r="E179" s="76">
        <f>+SUM(E$81:E128)/E$79</f>
        <v>0.99782664914949482</v>
      </c>
      <c r="F179" s="76">
        <f>+SUM(F$81:F128)/F$79</f>
        <v>0.999962899268794</v>
      </c>
      <c r="G179" s="76">
        <f>+SUM(G$81:G128)/G$79</f>
        <v>1.0000000000000002</v>
      </c>
      <c r="H179" s="76">
        <f>+SUM(H$81:H128)/H$79</f>
        <v>1</v>
      </c>
      <c r="I179" s="76">
        <f>+SUM(I$81:I128)/I$79</f>
        <v>0.99279562928913578</v>
      </c>
      <c r="J179" s="76">
        <f>+SUM(J$81:J128)/J$79</f>
        <v>1.0000000000000002</v>
      </c>
      <c r="K179" s="76">
        <f>+SUM(K$81:K128)/K$79</f>
        <v>0.98614016045754505</v>
      </c>
      <c r="L179" s="76">
        <f>+SUM(L$81:L128)/L$79</f>
        <v>1.0000344410682487</v>
      </c>
      <c r="M179" s="76">
        <f>+SUM(M$81:M128)/M$79</f>
        <v>1</v>
      </c>
      <c r="N179" s="76">
        <f>+SUM(N$81:N128)/N$79</f>
        <v>0.98655408581375548</v>
      </c>
      <c r="O179" s="3">
        <f t="shared" si="15"/>
        <v>48</v>
      </c>
    </row>
    <row r="180" spans="1:15" ht="12.75" x14ac:dyDescent="0.2">
      <c r="A180" s="3">
        <v>49</v>
      </c>
      <c r="B180" s="76">
        <f>+SUM(B$81:B129)/B$79</f>
        <v>0.99496750689585456</v>
      </c>
      <c r="C180" s="76">
        <f>+SUM(C$81:C129)/C$79</f>
        <v>0.99923442090549119</v>
      </c>
      <c r="D180" s="76">
        <f>+SUM(D$81:D129)/D$79</f>
        <v>1.0000000000000002</v>
      </c>
      <c r="E180" s="76">
        <f>+SUM(E$81:E129)/E$79</f>
        <v>0.9982130575491367</v>
      </c>
      <c r="F180" s="76">
        <f>+SUM(F$81:F129)/F$79</f>
        <v>0.99998544625788055</v>
      </c>
      <c r="G180" s="76">
        <f>+SUM(G$81:G129)/G$79</f>
        <v>1.0000000000000002</v>
      </c>
      <c r="H180" s="76">
        <f>+SUM(H$81:H129)/H$79</f>
        <v>1</v>
      </c>
      <c r="I180" s="76">
        <f>+SUM(I$81:I129)/I$79</f>
        <v>0.99403595371486142</v>
      </c>
      <c r="J180" s="76">
        <f>+SUM(J$81:J129)/J$79</f>
        <v>1.0000000000000002</v>
      </c>
      <c r="K180" s="76">
        <f>+SUM(K$81:K129)/K$79</f>
        <v>0.98778724336935075</v>
      </c>
      <c r="L180" s="76">
        <f>+SUM(L$81:L129)/L$79</f>
        <v>1.0000344410682487</v>
      </c>
      <c r="M180" s="76">
        <f>+SUM(M$81:M129)/M$79</f>
        <v>1</v>
      </c>
      <c r="N180" s="76">
        <f>+SUM(N$81:N129)/N$79</f>
        <v>0.98786926617188553</v>
      </c>
      <c r="O180" s="3">
        <f t="shared" si="15"/>
        <v>49</v>
      </c>
    </row>
    <row r="181" spans="1:15" ht="12.75" x14ac:dyDescent="0.2">
      <c r="A181" s="3">
        <v>50</v>
      </c>
      <c r="B181" s="76">
        <f>+SUM(B$81:B130)/B$79</f>
        <v>0.99547387684453703</v>
      </c>
      <c r="C181" s="76">
        <f>+SUM(C$81:C130)/C$79</f>
        <v>0.9993758019056237</v>
      </c>
      <c r="D181" s="76">
        <f>+SUM(D$81:D130)/D$79</f>
        <v>1.0000000000000002</v>
      </c>
      <c r="E181" s="76">
        <f>+SUM(E$81:E130)/E$79</f>
        <v>0.99850682066832896</v>
      </c>
      <c r="F181" s="76">
        <f>+SUM(F$81:F130)/F$79</f>
        <v>1</v>
      </c>
      <c r="G181" s="76">
        <f>+SUM(G$81:G130)/G$79</f>
        <v>1.0000000000000002</v>
      </c>
      <c r="H181" s="76">
        <f>+SUM(H$81:H130)/H$79</f>
        <v>1</v>
      </c>
      <c r="I181" s="76">
        <f>+SUM(I$81:I130)/I$79</f>
        <v>0.99516711757655252</v>
      </c>
      <c r="J181" s="76">
        <f>+SUM(J$81:J130)/J$79</f>
        <v>1.0000000000000002</v>
      </c>
      <c r="K181" s="76">
        <f>+SUM(K$81:K130)/K$79</f>
        <v>0.98940315842167348</v>
      </c>
      <c r="L181" s="76">
        <f>+SUM(L$81:L130)/L$79</f>
        <v>1.0000344410682487</v>
      </c>
      <c r="M181" s="76">
        <f>+SUM(M$81:M130)/M$79</f>
        <v>1</v>
      </c>
      <c r="N181" s="76">
        <f>+SUM(N$81:N130)/N$79</f>
        <v>0.98901555498884319</v>
      </c>
      <c r="O181" s="3">
        <f t="shared" si="15"/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B1" sqref="B1"/>
    </sheetView>
  </sheetViews>
  <sheetFormatPr baseColWidth="10" defaultColWidth="11.42578125" defaultRowHeight="18.75" customHeight="1" x14ac:dyDescent="0.2"/>
  <cols>
    <col min="1" max="1" width="1.42578125" style="35" customWidth="1"/>
    <col min="2" max="2" width="25.7109375" style="46" customWidth="1"/>
    <col min="3" max="3" width="5.28515625" style="161" customWidth="1"/>
    <col min="4" max="4" width="6.140625" style="161" customWidth="1"/>
    <col min="5" max="6" width="6.140625" style="149" bestFit="1" customWidth="1"/>
    <col min="7" max="7" width="36.28515625" style="35" customWidth="1"/>
    <col min="8" max="8" width="3.85546875" style="35" customWidth="1"/>
    <col min="9" max="16384" width="11.42578125" style="35"/>
  </cols>
  <sheetData>
    <row r="1" spans="1:8" ht="7.5" customHeight="1" x14ac:dyDescent="0.2">
      <c r="A1" s="302"/>
      <c r="B1" s="206"/>
      <c r="C1" s="207"/>
      <c r="D1" s="207"/>
      <c r="E1" s="208"/>
      <c r="F1" s="208"/>
      <c r="G1" s="302"/>
    </row>
    <row r="2" spans="1:8" ht="19.5" customHeight="1" x14ac:dyDescent="0.2">
      <c r="A2" s="302"/>
      <c r="B2" s="352" t="s">
        <v>263</v>
      </c>
      <c r="C2" s="353"/>
      <c r="D2" s="353"/>
      <c r="E2" s="353"/>
      <c r="F2" s="353"/>
      <c r="G2" s="354"/>
      <c r="H2" s="196"/>
    </row>
    <row r="3" spans="1:8" ht="31.5" customHeight="1" x14ac:dyDescent="0.2">
      <c r="A3" s="302"/>
      <c r="B3" s="209"/>
      <c r="C3" s="356" t="s">
        <v>264</v>
      </c>
      <c r="D3" s="356"/>
      <c r="E3" s="358" t="s">
        <v>265</v>
      </c>
      <c r="F3" s="358"/>
      <c r="G3" s="355" t="s">
        <v>266</v>
      </c>
      <c r="H3" s="196"/>
    </row>
    <row r="4" spans="1:8" ht="15.75" customHeight="1" x14ac:dyDescent="0.2">
      <c r="A4" s="302"/>
      <c r="B4" s="210"/>
      <c r="C4" s="356"/>
      <c r="D4" s="356"/>
      <c r="E4" s="357" t="s">
        <v>267</v>
      </c>
      <c r="F4" s="357"/>
      <c r="G4" s="355"/>
      <c r="H4" s="196"/>
    </row>
    <row r="5" spans="1:8" ht="24.75" customHeight="1" x14ac:dyDescent="0.2">
      <c r="A5" s="302"/>
      <c r="B5" s="210"/>
      <c r="C5" s="304"/>
      <c r="D5" s="304"/>
      <c r="E5" s="238" t="s">
        <v>268</v>
      </c>
      <c r="F5" s="239" t="s">
        <v>269</v>
      </c>
      <c r="G5" s="303"/>
      <c r="H5" s="196"/>
    </row>
    <row r="6" spans="1:8" ht="12.75" x14ac:dyDescent="0.2">
      <c r="A6" s="302"/>
      <c r="B6" s="211" t="s">
        <v>157</v>
      </c>
      <c r="C6" s="212">
        <f>'Concentracion 2015'!B80</f>
        <v>72</v>
      </c>
      <c r="D6" s="213">
        <f>+C6/$C$20</f>
        <v>0.97297297297297303</v>
      </c>
      <c r="E6" s="214">
        <f>MATCH(0.5,'[1]Concentracion 2015'!B$132:B$181,1)+1</f>
        <v>4</v>
      </c>
      <c r="F6" s="305">
        <f>MATCH(0.9,'[1]Concentracion 2015'!B$132:B$181,1)+1</f>
        <v>14</v>
      </c>
      <c r="G6" s="215" t="s">
        <v>270</v>
      </c>
    </row>
    <row r="7" spans="1:8" ht="24" customHeight="1" x14ac:dyDescent="0.2">
      <c r="A7" s="302"/>
      <c r="B7" s="216" t="s">
        <v>271</v>
      </c>
      <c r="C7" s="217">
        <f>'Concentracion 2015'!C80</f>
        <v>59</v>
      </c>
      <c r="D7" s="218">
        <f t="shared" ref="D7:D20" si="0">+C7/$C$20</f>
        <v>0.79729729729729726</v>
      </c>
      <c r="E7" s="219">
        <f>MATCH(0.5,'[1]Concentracion 2015'!C$132:C$181,1)+1</f>
        <v>3</v>
      </c>
      <c r="F7" s="220">
        <f>MATCH(0.9,'[1]Concentracion 2015'!C$132:C$181,1)+1</f>
        <v>9</v>
      </c>
      <c r="G7" s="221" t="s">
        <v>272</v>
      </c>
    </row>
    <row r="8" spans="1:8" ht="17.25" customHeight="1" x14ac:dyDescent="0.2">
      <c r="A8" s="302"/>
      <c r="B8" s="216" t="s">
        <v>252</v>
      </c>
      <c r="C8" s="217">
        <f>'Concentracion 2015'!D80</f>
        <v>9</v>
      </c>
      <c r="D8" s="218">
        <f t="shared" si="0"/>
        <v>0.12162162162162163</v>
      </c>
      <c r="E8" s="219">
        <f>MATCH(0.5,'[1]Concentracion 2015'!D$132:D$181,1)+1</f>
        <v>2</v>
      </c>
      <c r="F8" s="219">
        <f>MATCH(0.9,'[1]Concentracion 2015'!D$132:D$181,1)+1</f>
        <v>3</v>
      </c>
      <c r="G8" s="221" t="s">
        <v>273</v>
      </c>
    </row>
    <row r="9" spans="1:8" ht="24.75" customHeight="1" x14ac:dyDescent="0.2">
      <c r="A9" s="302"/>
      <c r="B9" s="216" t="s">
        <v>274</v>
      </c>
      <c r="C9" s="217">
        <f>'Concentracion 2015'!E80</f>
        <v>64</v>
      </c>
      <c r="D9" s="218">
        <f t="shared" si="0"/>
        <v>0.86486486486486491</v>
      </c>
      <c r="E9" s="219">
        <f>MATCH(0.5,'[1]Concentracion 2015'!E$132:E$181,1)+1</f>
        <v>2</v>
      </c>
      <c r="F9" s="220">
        <f>MATCH(0.9,'[1]Concentracion 2015'!E$132:E$181,1)+1</f>
        <v>14</v>
      </c>
      <c r="G9" s="221" t="s">
        <v>275</v>
      </c>
      <c r="H9" s="196"/>
    </row>
    <row r="10" spans="1:8" ht="12.75" x14ac:dyDescent="0.2">
      <c r="A10" s="302"/>
      <c r="B10" s="216" t="s">
        <v>214</v>
      </c>
      <c r="C10" s="217">
        <f>'Concentracion 2015'!F80</f>
        <v>50</v>
      </c>
      <c r="D10" s="218">
        <f t="shared" si="0"/>
        <v>0.67567567567567566</v>
      </c>
      <c r="E10" s="219">
        <f>MATCH(0.5,'[1]Concentracion 2015'!F$132:F$181,1)+1</f>
        <v>4</v>
      </c>
      <c r="F10" s="220">
        <f>MATCH(0.9,'[1]Concentracion 2015'!F$132:F$181,1)+1</f>
        <v>17</v>
      </c>
      <c r="G10" s="221" t="s">
        <v>119</v>
      </c>
      <c r="H10" s="196"/>
    </row>
    <row r="11" spans="1:8" ht="17.25" customHeight="1" x14ac:dyDescent="0.2">
      <c r="A11" s="302"/>
      <c r="B11" s="216" t="s">
        <v>216</v>
      </c>
      <c r="C11" s="217">
        <f>'Concentracion 2015'!G80</f>
        <v>19</v>
      </c>
      <c r="D11" s="218">
        <f t="shared" si="0"/>
        <v>0.25675675675675674</v>
      </c>
      <c r="E11" s="219" t="s">
        <v>65</v>
      </c>
      <c r="F11" s="220">
        <f>MATCH(0.9,'[1]Concentracion 2015'!G$132:G$181,1)+1</f>
        <v>3</v>
      </c>
      <c r="G11" s="221" t="s">
        <v>119</v>
      </c>
      <c r="H11" s="196"/>
    </row>
    <row r="12" spans="1:8" s="224" customFormat="1" ht="14.25" x14ac:dyDescent="0.2">
      <c r="A12" s="223"/>
      <c r="B12" s="216" t="s">
        <v>218</v>
      </c>
      <c r="C12" s="217">
        <f>'Concentracion 2015'!H80</f>
        <v>26</v>
      </c>
      <c r="D12" s="218">
        <f t="shared" si="0"/>
        <v>0.35135135135135137</v>
      </c>
      <c r="E12" s="219">
        <f>MATCH(0.5,'[1]Concentracion 2015'!H$132:H$181,1)+1</f>
        <v>2</v>
      </c>
      <c r="F12" s="220">
        <f>MATCH(0.9,'[1]Concentracion 2015'!H$132:H$181,1)+1</f>
        <v>3</v>
      </c>
      <c r="G12" s="221" t="s">
        <v>270</v>
      </c>
    </row>
    <row r="13" spans="1:8" ht="12.75" x14ac:dyDescent="0.2">
      <c r="B13" s="225"/>
      <c r="C13" s="226"/>
      <c r="D13" s="213"/>
      <c r="E13" s="227"/>
      <c r="F13" s="227"/>
      <c r="G13" s="221" t="s">
        <v>65</v>
      </c>
    </row>
    <row r="14" spans="1:8" ht="22.5" x14ac:dyDescent="0.2">
      <c r="A14" s="302"/>
      <c r="B14" s="211" t="s">
        <v>156</v>
      </c>
      <c r="C14" s="228">
        <f>'Concentracion 2015'!I$80</f>
        <v>68</v>
      </c>
      <c r="D14" s="213">
        <f t="shared" si="0"/>
        <v>0.91891891891891897</v>
      </c>
      <c r="E14" s="214">
        <f>MATCH(0.5,'[1]Concentracion 2015'!I$132:I$181,1)+1</f>
        <v>3</v>
      </c>
      <c r="F14" s="305">
        <f>MATCH(0.9,'[1]Concentracion 2015'!I$132:I$181,1)+1</f>
        <v>20</v>
      </c>
      <c r="G14" s="215" t="s">
        <v>276</v>
      </c>
    </row>
    <row r="15" spans="1:8" ht="12.75" x14ac:dyDescent="0.2">
      <c r="A15" s="302"/>
      <c r="B15" s="216" t="s">
        <v>277</v>
      </c>
      <c r="C15" s="222">
        <f>'Concentracion 2015'!J$80</f>
        <v>38</v>
      </c>
      <c r="D15" s="218">
        <f t="shared" si="0"/>
        <v>0.51351351351351349</v>
      </c>
      <c r="E15" s="219">
        <f>MATCH(0.5,'[1]Concentracion 2015'!J$132:J$181,1)+1</f>
        <v>3</v>
      </c>
      <c r="F15" s="220">
        <f>MATCH(0.9,'[1]Concentracion 2015'!J$132:J$181,1)+1</f>
        <v>17</v>
      </c>
      <c r="G15" s="221" t="s">
        <v>278</v>
      </c>
    </row>
    <row r="16" spans="1:8" s="230" customFormat="1" ht="22.5" x14ac:dyDescent="0.2">
      <c r="A16" s="229"/>
      <c r="B16" s="216" t="s">
        <v>170</v>
      </c>
      <c r="C16" s="222">
        <f>'Concentracion 2015'!K$80</f>
        <v>62</v>
      </c>
      <c r="D16" s="218">
        <f t="shared" si="0"/>
        <v>0.83783783783783783</v>
      </c>
      <c r="E16" s="219">
        <f>MATCH(0.5,'[1]Concentracion 2015'!K$132:K$181,1)+1</f>
        <v>9</v>
      </c>
      <c r="F16" s="220">
        <f>MATCH(0.9,'[1]Concentracion 2015'!K$132:K$181,1)+1</f>
        <v>29</v>
      </c>
      <c r="G16" s="221" t="s">
        <v>279</v>
      </c>
    </row>
    <row r="17" spans="1:8" s="230" customFormat="1" ht="17.25" customHeight="1" x14ac:dyDescent="0.2">
      <c r="A17" s="229"/>
      <c r="B17" s="216" t="s">
        <v>171</v>
      </c>
      <c r="C17" s="222">
        <f>'Concentracion 2015'!L$80</f>
        <v>26</v>
      </c>
      <c r="D17" s="218">
        <f t="shared" si="0"/>
        <v>0.35135135135135137</v>
      </c>
      <c r="E17" s="219" t="s">
        <v>65</v>
      </c>
      <c r="F17" s="220">
        <f>MATCH(0.9,'[1]Concentracion 2015'!L$132:L$181,1)+1</f>
        <v>5</v>
      </c>
      <c r="G17" s="221" t="s">
        <v>280</v>
      </c>
    </row>
    <row r="18" spans="1:8" s="230" customFormat="1" ht="19.5" customHeight="1" x14ac:dyDescent="0.2">
      <c r="A18" s="229"/>
      <c r="B18" s="216" t="s">
        <v>259</v>
      </c>
      <c r="C18" s="222">
        <f>'Concentracion 2015'!M$80</f>
        <v>3</v>
      </c>
      <c r="D18" s="218">
        <f t="shared" si="0"/>
        <v>4.0540540540540543E-2</v>
      </c>
      <c r="E18" s="219" t="s">
        <v>65</v>
      </c>
      <c r="F18" s="219">
        <f>MATCH(0.9,'[1]Concentracion 2015'!M$132:M$181,1)+1</f>
        <v>2</v>
      </c>
      <c r="G18" s="221" t="s">
        <v>128</v>
      </c>
    </row>
    <row r="19" spans="1:8" ht="6.75" customHeight="1" x14ac:dyDescent="0.2">
      <c r="B19" s="225"/>
      <c r="C19" s="226"/>
      <c r="D19" s="213"/>
      <c r="E19" s="227"/>
      <c r="F19" s="227"/>
      <c r="G19" s="221"/>
    </row>
    <row r="20" spans="1:8" ht="27.75" customHeight="1" x14ac:dyDescent="0.2">
      <c r="A20" s="302"/>
      <c r="B20" s="231" t="s">
        <v>281</v>
      </c>
      <c r="C20" s="232">
        <f>'Concentracion 2015'!N80</f>
        <v>74</v>
      </c>
      <c r="D20" s="233">
        <f t="shared" si="0"/>
        <v>1</v>
      </c>
      <c r="E20" s="234">
        <f>MATCH(0.5,'[1]Concentracion 2015'!N$132:N$181,1)+1</f>
        <v>4</v>
      </c>
      <c r="F20" s="235">
        <f>MATCH(0.9,'[1]Concentracion 2015'!N$132:N$181,1)+1</f>
        <v>20</v>
      </c>
      <c r="G20" s="236" t="s">
        <v>276</v>
      </c>
      <c r="H20" s="237"/>
    </row>
    <row r="21" spans="1:8" ht="18.75" customHeight="1" x14ac:dyDescent="0.2">
      <c r="B21" s="351"/>
      <c r="C21" s="351"/>
      <c r="D21" s="351"/>
      <c r="E21" s="351"/>
      <c r="F21" s="351"/>
      <c r="G21" s="351"/>
    </row>
    <row r="22" spans="1:8" ht="18.75" customHeight="1" x14ac:dyDescent="0.2">
      <c r="B22" s="35"/>
      <c r="C22" s="149"/>
      <c r="D22" s="149"/>
    </row>
  </sheetData>
  <mergeCells count="6">
    <mergeCell ref="B21:G21"/>
    <mergeCell ref="B2:G2"/>
    <mergeCell ref="G3:G4"/>
    <mergeCell ref="C3:D4"/>
    <mergeCell ref="E4:F4"/>
    <mergeCell ref="E3:F3"/>
  </mergeCells>
  <phoneticPr fontId="0" type="noConversion"/>
  <pageMargins left="0.75" right="0.75" top="1" bottom="1" header="0" footer="0"/>
  <pageSetup paperSize="9"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30" sqref="A30"/>
    </sheetView>
  </sheetViews>
  <sheetFormatPr baseColWidth="10" defaultColWidth="11.42578125" defaultRowHeight="12.75" x14ac:dyDescent="0.2"/>
  <cols>
    <col min="1" max="1" width="44.85546875" style="13" customWidth="1"/>
    <col min="2" max="3" width="11.28515625" style="13" bestFit="1" customWidth="1"/>
    <col min="4" max="4" width="14.28515625" style="13" customWidth="1"/>
    <col min="5" max="5" width="14.7109375" style="13" customWidth="1"/>
    <col min="6" max="6" width="12" style="13" customWidth="1"/>
    <col min="7" max="16384" width="11.42578125" style="240"/>
  </cols>
  <sheetData>
    <row r="1" spans="1:6" ht="13.5" thickBot="1" x14ac:dyDescent="0.25">
      <c r="A1" s="248" t="s">
        <v>282</v>
      </c>
      <c r="B1" s="249"/>
      <c r="C1" s="249"/>
      <c r="D1" s="249"/>
      <c r="E1" s="249"/>
      <c r="F1" s="249"/>
    </row>
    <row r="2" spans="1:6" x14ac:dyDescent="0.2">
      <c r="B2" s="359" t="s">
        <v>171</v>
      </c>
      <c r="C2" s="359"/>
      <c r="D2" s="359"/>
      <c r="E2" s="359"/>
      <c r="F2" s="360"/>
    </row>
    <row r="3" spans="1:6" ht="51" x14ac:dyDescent="0.2">
      <c r="A3" s="241" t="s">
        <v>147</v>
      </c>
      <c r="B3" s="242" t="s">
        <v>199</v>
      </c>
      <c r="C3" s="242" t="s">
        <v>200</v>
      </c>
      <c r="D3" s="242" t="s">
        <v>201</v>
      </c>
      <c r="E3" s="243" t="s">
        <v>229</v>
      </c>
      <c r="F3" s="244" t="s">
        <v>177</v>
      </c>
    </row>
    <row r="4" spans="1:6" x14ac:dyDescent="0.2">
      <c r="A4" s="18" t="s">
        <v>58</v>
      </c>
      <c r="B4" s="116">
        <v>1425131</v>
      </c>
      <c r="C4" s="116">
        <v>23432180</v>
      </c>
      <c r="D4" s="116">
        <v>17101712</v>
      </c>
      <c r="E4" s="116">
        <v>25650563</v>
      </c>
      <c r="F4" s="119">
        <f t="shared" ref="F4:F28" si="0">SUM(B4:E4)</f>
        <v>67609586</v>
      </c>
    </row>
    <row r="5" spans="1:6" x14ac:dyDescent="0.2">
      <c r="A5" s="18" t="s">
        <v>119</v>
      </c>
      <c r="B5" s="116">
        <v>0</v>
      </c>
      <c r="C5" s="245">
        <v>10133319.970000001</v>
      </c>
      <c r="D5" s="245">
        <v>5691959.2599999998</v>
      </c>
      <c r="E5" s="245">
        <v>125387.48</v>
      </c>
      <c r="F5" s="119">
        <f t="shared" si="0"/>
        <v>15950666.710000001</v>
      </c>
    </row>
    <row r="6" spans="1:6" x14ac:dyDescent="0.2">
      <c r="A6" s="18" t="s">
        <v>110</v>
      </c>
      <c r="B6" s="116">
        <v>0</v>
      </c>
      <c r="C6" s="245">
        <v>11506626</v>
      </c>
      <c r="D6" s="245">
        <v>561444</v>
      </c>
      <c r="E6" s="245">
        <v>1911670</v>
      </c>
      <c r="F6" s="119">
        <f t="shared" si="0"/>
        <v>13979740</v>
      </c>
    </row>
    <row r="7" spans="1:6" x14ac:dyDescent="0.2">
      <c r="A7" s="18" t="s">
        <v>111</v>
      </c>
      <c r="B7" s="116">
        <v>699313.75</v>
      </c>
      <c r="C7" s="245">
        <v>2115000</v>
      </c>
      <c r="D7" s="245">
        <v>33457.300000000003</v>
      </c>
      <c r="E7" s="245">
        <v>0</v>
      </c>
      <c r="F7" s="119">
        <f t="shared" si="0"/>
        <v>2847771.05</v>
      </c>
    </row>
    <row r="8" spans="1:6" x14ac:dyDescent="0.2">
      <c r="A8" s="18" t="s">
        <v>128</v>
      </c>
      <c r="B8" s="116">
        <v>0</v>
      </c>
      <c r="C8" s="245">
        <v>2458674</v>
      </c>
      <c r="D8" s="245">
        <v>0</v>
      </c>
      <c r="E8" s="245">
        <v>0</v>
      </c>
      <c r="F8" s="119">
        <f t="shared" si="0"/>
        <v>2458674</v>
      </c>
    </row>
    <row r="9" spans="1:6" x14ac:dyDescent="0.2">
      <c r="A9" s="18" t="s">
        <v>64</v>
      </c>
      <c r="B9" s="116">
        <v>1920529.35</v>
      </c>
      <c r="C9" s="116">
        <v>450000</v>
      </c>
      <c r="D9" s="116">
        <v>0</v>
      </c>
      <c r="E9" s="116">
        <v>0</v>
      </c>
      <c r="F9" s="119">
        <f t="shared" si="0"/>
        <v>2370529.35</v>
      </c>
    </row>
    <row r="10" spans="1:6" x14ac:dyDescent="0.2">
      <c r="A10" s="18" t="s">
        <v>81</v>
      </c>
      <c r="B10" s="116">
        <v>1091523</v>
      </c>
      <c r="C10" s="245">
        <v>1089019</v>
      </c>
      <c r="D10" s="245">
        <v>0</v>
      </c>
      <c r="E10" s="245">
        <v>0</v>
      </c>
      <c r="F10" s="119">
        <f t="shared" si="0"/>
        <v>2180542</v>
      </c>
    </row>
    <row r="11" spans="1:6" x14ac:dyDescent="0.2">
      <c r="A11" s="18" t="s">
        <v>114</v>
      </c>
      <c r="B11" s="116">
        <v>0</v>
      </c>
      <c r="C11" s="245">
        <v>0</v>
      </c>
      <c r="D11" s="245">
        <v>0</v>
      </c>
      <c r="E11" s="245">
        <v>1336377.6100000001</v>
      </c>
      <c r="F11" s="119">
        <f t="shared" si="0"/>
        <v>1336377.6100000001</v>
      </c>
    </row>
    <row r="12" spans="1:6" x14ac:dyDescent="0.2">
      <c r="A12" s="18" t="s">
        <v>118</v>
      </c>
      <c r="B12" s="116">
        <v>240000</v>
      </c>
      <c r="C12" s="245">
        <v>0</v>
      </c>
      <c r="D12" s="245">
        <v>0</v>
      </c>
      <c r="E12" s="245">
        <v>506504.13</v>
      </c>
      <c r="F12" s="119">
        <f t="shared" si="0"/>
        <v>746504.13</v>
      </c>
    </row>
    <row r="13" spans="1:6" x14ac:dyDescent="0.2">
      <c r="A13" s="18" t="s">
        <v>77</v>
      </c>
      <c r="B13" s="116">
        <v>299230.18</v>
      </c>
      <c r="C13" s="116">
        <v>0</v>
      </c>
      <c r="D13" s="116">
        <v>117545.43</v>
      </c>
      <c r="E13" s="116">
        <v>171837.72</v>
      </c>
      <c r="F13" s="119">
        <f t="shared" si="0"/>
        <v>588613.32999999996</v>
      </c>
    </row>
    <row r="14" spans="1:6" x14ac:dyDescent="0.2">
      <c r="A14" s="18" t="s">
        <v>76</v>
      </c>
      <c r="B14" s="116">
        <v>33042.18</v>
      </c>
      <c r="C14" s="245">
        <v>0</v>
      </c>
      <c r="D14" s="245">
        <v>127213.03</v>
      </c>
      <c r="E14" s="245">
        <v>249424.5</v>
      </c>
      <c r="F14" s="119">
        <f t="shared" si="0"/>
        <v>409679.70999999996</v>
      </c>
    </row>
    <row r="15" spans="1:6" x14ac:dyDescent="0.2">
      <c r="A15" s="18" t="s">
        <v>105</v>
      </c>
      <c r="B15" s="116">
        <v>400500</v>
      </c>
      <c r="C15" s="245">
        <v>0</v>
      </c>
      <c r="D15" s="245">
        <v>0</v>
      </c>
      <c r="E15" s="245">
        <v>0</v>
      </c>
      <c r="F15" s="119">
        <f t="shared" si="0"/>
        <v>400500</v>
      </c>
    </row>
    <row r="16" spans="1:6" x14ac:dyDescent="0.2">
      <c r="A16" s="18" t="s">
        <v>93</v>
      </c>
      <c r="B16" s="116">
        <v>377247</v>
      </c>
      <c r="C16" s="245">
        <v>0</v>
      </c>
      <c r="D16" s="245">
        <v>0</v>
      </c>
      <c r="E16" s="245">
        <v>0</v>
      </c>
      <c r="F16" s="119">
        <f t="shared" si="0"/>
        <v>377247</v>
      </c>
    </row>
    <row r="17" spans="1:6" x14ac:dyDescent="0.2">
      <c r="A17" s="18" t="s">
        <v>75</v>
      </c>
      <c r="B17" s="116">
        <v>94011.14</v>
      </c>
      <c r="C17" s="116">
        <v>150499.18</v>
      </c>
      <c r="D17" s="116">
        <v>0</v>
      </c>
      <c r="E17" s="116">
        <v>0</v>
      </c>
      <c r="F17" s="119">
        <f t="shared" si="0"/>
        <v>244510.32</v>
      </c>
    </row>
    <row r="18" spans="1:6" x14ac:dyDescent="0.2">
      <c r="A18" s="18" t="s">
        <v>74</v>
      </c>
      <c r="B18" s="116">
        <v>0</v>
      </c>
      <c r="C18" s="245">
        <v>205355</v>
      </c>
      <c r="D18" s="245">
        <v>0</v>
      </c>
      <c r="E18" s="245">
        <v>0</v>
      </c>
      <c r="F18" s="119">
        <f t="shared" si="0"/>
        <v>205355</v>
      </c>
    </row>
    <row r="19" spans="1:6" x14ac:dyDescent="0.2">
      <c r="A19" s="18" t="s">
        <v>134</v>
      </c>
      <c r="B19" s="116">
        <v>0</v>
      </c>
      <c r="C19" s="245">
        <v>0</v>
      </c>
      <c r="D19" s="245">
        <v>0</v>
      </c>
      <c r="E19" s="245">
        <v>155921.48000000001</v>
      </c>
      <c r="F19" s="119">
        <f t="shared" si="0"/>
        <v>155921.48000000001</v>
      </c>
    </row>
    <row r="20" spans="1:6" x14ac:dyDescent="0.2">
      <c r="A20" s="18" t="s">
        <v>70</v>
      </c>
      <c r="B20" s="116">
        <v>0</v>
      </c>
      <c r="C20" s="245">
        <v>131330.85</v>
      </c>
      <c r="D20" s="245">
        <v>0</v>
      </c>
      <c r="E20" s="245">
        <v>0</v>
      </c>
      <c r="F20" s="119">
        <f t="shared" si="0"/>
        <v>131330.85</v>
      </c>
    </row>
    <row r="21" spans="1:6" x14ac:dyDescent="0.2">
      <c r="A21" s="18" t="s">
        <v>96</v>
      </c>
      <c r="B21" s="116">
        <v>0</v>
      </c>
      <c r="C21" s="245">
        <v>107117</v>
      </c>
      <c r="D21" s="245">
        <v>0</v>
      </c>
      <c r="E21" s="245">
        <v>0</v>
      </c>
      <c r="F21" s="119">
        <f t="shared" si="0"/>
        <v>107117</v>
      </c>
    </row>
    <row r="22" spans="1:6" x14ac:dyDescent="0.2">
      <c r="A22" s="18" t="s">
        <v>127</v>
      </c>
      <c r="B22" s="116">
        <v>72546</v>
      </c>
      <c r="C22" s="245">
        <v>0</v>
      </c>
      <c r="D22" s="245">
        <v>0</v>
      </c>
      <c r="E22" s="245">
        <v>0</v>
      </c>
      <c r="F22" s="119">
        <f t="shared" si="0"/>
        <v>72546</v>
      </c>
    </row>
    <row r="23" spans="1:6" x14ac:dyDescent="0.2">
      <c r="A23" s="18" t="s">
        <v>130</v>
      </c>
      <c r="B23" s="116">
        <v>68187.03</v>
      </c>
      <c r="C23" s="245">
        <v>0</v>
      </c>
      <c r="D23" s="245">
        <v>0</v>
      </c>
      <c r="E23" s="245">
        <v>0</v>
      </c>
      <c r="F23" s="119">
        <f t="shared" si="0"/>
        <v>68187.03</v>
      </c>
    </row>
    <row r="24" spans="1:6" x14ac:dyDescent="0.2">
      <c r="A24" s="18" t="s">
        <v>68</v>
      </c>
      <c r="B24" s="116">
        <v>0</v>
      </c>
      <c r="C24" s="116">
        <v>0</v>
      </c>
      <c r="D24" s="116">
        <v>52000</v>
      </c>
      <c r="E24" s="116">
        <v>0</v>
      </c>
      <c r="F24" s="119">
        <f t="shared" si="0"/>
        <v>52000</v>
      </c>
    </row>
    <row r="25" spans="1:6" x14ac:dyDescent="0.2">
      <c r="A25" s="18" t="s">
        <v>107</v>
      </c>
      <c r="B25" s="116">
        <v>40141.78</v>
      </c>
      <c r="C25" s="245">
        <v>0</v>
      </c>
      <c r="D25" s="245">
        <v>0</v>
      </c>
      <c r="E25" s="245">
        <v>0</v>
      </c>
      <c r="F25" s="119">
        <f t="shared" si="0"/>
        <v>40141.78</v>
      </c>
    </row>
    <row r="26" spans="1:6" x14ac:dyDescent="0.2">
      <c r="A26" s="18" t="s">
        <v>73</v>
      </c>
      <c r="B26" s="116">
        <v>0</v>
      </c>
      <c r="C26" s="245">
        <v>0</v>
      </c>
      <c r="D26" s="245">
        <v>11815.52</v>
      </c>
      <c r="E26" s="245">
        <v>0</v>
      </c>
      <c r="F26" s="119">
        <f t="shared" si="0"/>
        <v>11815.52</v>
      </c>
    </row>
    <row r="27" spans="1:6" x14ac:dyDescent="0.2">
      <c r="A27" s="18" t="s">
        <v>87</v>
      </c>
      <c r="B27" s="116">
        <v>0</v>
      </c>
      <c r="C27" s="245">
        <v>0</v>
      </c>
      <c r="D27" s="245">
        <v>0</v>
      </c>
      <c r="E27" s="245">
        <v>10013.959999999999</v>
      </c>
      <c r="F27" s="119">
        <f t="shared" si="0"/>
        <v>10013.959999999999</v>
      </c>
    </row>
    <row r="28" spans="1:6" x14ac:dyDescent="0.2">
      <c r="A28" s="250" t="s">
        <v>91</v>
      </c>
      <c r="B28" s="246">
        <v>2738.38</v>
      </c>
      <c r="C28" s="251">
        <v>0</v>
      </c>
      <c r="D28" s="251">
        <v>0</v>
      </c>
      <c r="E28" s="251">
        <v>0</v>
      </c>
      <c r="F28" s="247">
        <f t="shared" si="0"/>
        <v>2738.38</v>
      </c>
    </row>
    <row r="30" spans="1:6" x14ac:dyDescent="0.2">
      <c r="B30" s="13">
        <f>SUM(B4:B28)</f>
        <v>6764140.7899999991</v>
      </c>
      <c r="C30" s="13">
        <f>SUM(C4:C28)</f>
        <v>51779121</v>
      </c>
      <c r="D30" s="13">
        <f>SUM(D4:D28)</f>
        <v>23697146.539999999</v>
      </c>
      <c r="E30" s="13">
        <f>SUM(E4:E28)</f>
        <v>30117699.879999999</v>
      </c>
      <c r="F30" s="13">
        <f>SUM(F4:F28)</f>
        <v>112358108.20999996</v>
      </c>
    </row>
  </sheetData>
  <mergeCells count="1">
    <mergeCell ref="B2:F2"/>
  </mergeCells>
  <phoneticPr fontId="2" type="noConversion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7"/>
  <sheetViews>
    <sheetView workbookViewId="0"/>
  </sheetViews>
  <sheetFormatPr baseColWidth="10" defaultColWidth="11.42578125" defaultRowHeight="12.75" x14ac:dyDescent="0.2"/>
  <cols>
    <col min="1" max="1" width="35.42578125" style="18" customWidth="1"/>
    <col min="2" max="2" width="11.7109375" style="21" bestFit="1" customWidth="1"/>
    <col min="3" max="4" width="11.42578125" style="21"/>
    <col min="5" max="5" width="15.7109375" style="21" customWidth="1"/>
    <col min="6" max="6" width="11.42578125" style="21"/>
    <col min="7" max="7" width="11.7109375" style="21" bestFit="1" customWidth="1"/>
    <col min="8" max="8" width="13" style="21" customWidth="1"/>
    <col min="9" max="9" width="13.85546875" style="21" customWidth="1"/>
    <col min="10" max="11" width="11.42578125" style="21"/>
    <col min="12" max="12" width="13.28515625" style="21" customWidth="1"/>
    <col min="13" max="13" width="11.42578125" style="21"/>
    <col min="14" max="14" width="14.140625" style="21" customWidth="1"/>
    <col min="15" max="15" width="11.42578125" style="21"/>
    <col min="16" max="16" width="12.85546875" style="21" customWidth="1"/>
    <col min="17" max="33" width="11.42578125" style="21"/>
    <col min="34" max="34" width="14.140625" style="21" customWidth="1"/>
    <col min="35" max="57" width="11.42578125" style="21"/>
    <col min="58" max="58" width="12.7109375" style="21" customWidth="1"/>
    <col min="59" max="16384" width="11.42578125" style="21"/>
  </cols>
  <sheetData>
    <row r="1" spans="1:58" s="90" customFormat="1" x14ac:dyDescent="0.2">
      <c r="A1" s="90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90" t="s">
        <v>10</v>
      </c>
      <c r="L1" s="90" t="s">
        <v>11</v>
      </c>
      <c r="M1" s="90" t="s">
        <v>12</v>
      </c>
      <c r="N1" s="90" t="s">
        <v>13</v>
      </c>
      <c r="O1" s="90" t="s">
        <v>14</v>
      </c>
      <c r="P1" s="90" t="s">
        <v>15</v>
      </c>
      <c r="Q1" s="90" t="s">
        <v>16</v>
      </c>
      <c r="R1" s="90" t="s">
        <v>17</v>
      </c>
      <c r="S1" s="90" t="s">
        <v>18</v>
      </c>
      <c r="T1" s="90" t="s">
        <v>19</v>
      </c>
      <c r="U1" s="90" t="s">
        <v>20</v>
      </c>
      <c r="V1" s="90" t="s">
        <v>21</v>
      </c>
      <c r="W1" s="90" t="s">
        <v>22</v>
      </c>
      <c r="X1" s="90" t="s">
        <v>23</v>
      </c>
      <c r="Y1" s="90" t="s">
        <v>24</v>
      </c>
      <c r="Z1" s="90" t="s">
        <v>25</v>
      </c>
      <c r="AA1" s="90" t="s">
        <v>26</v>
      </c>
      <c r="AB1" s="90" t="s">
        <v>27</v>
      </c>
      <c r="AC1" s="90" t="s">
        <v>28</v>
      </c>
      <c r="AD1" s="90" t="s">
        <v>29</v>
      </c>
      <c r="AE1" s="90" t="s">
        <v>30</v>
      </c>
      <c r="AF1" s="90" t="s">
        <v>31</v>
      </c>
      <c r="AG1" s="90" t="s">
        <v>32</v>
      </c>
      <c r="AH1" s="90" t="s">
        <v>33</v>
      </c>
      <c r="AI1" s="90" t="s">
        <v>34</v>
      </c>
      <c r="AJ1" s="90" t="s">
        <v>35</v>
      </c>
      <c r="AK1" s="90" t="s">
        <v>36</v>
      </c>
      <c r="AL1" s="90" t="s">
        <v>37</v>
      </c>
      <c r="AM1" s="90" t="s">
        <v>38</v>
      </c>
      <c r="AN1" s="90" t="s">
        <v>39</v>
      </c>
      <c r="AO1" s="90" t="s">
        <v>40</v>
      </c>
      <c r="AP1" s="90" t="s">
        <v>41</v>
      </c>
      <c r="AQ1" s="90" t="s">
        <v>135</v>
      </c>
      <c r="AR1" s="90" t="s">
        <v>43</v>
      </c>
      <c r="AS1" s="90" t="s">
        <v>44</v>
      </c>
      <c r="AT1" s="90" t="s">
        <v>45</v>
      </c>
      <c r="AU1" s="90" t="s">
        <v>46</v>
      </c>
      <c r="AV1" s="90" t="s">
        <v>47</v>
      </c>
      <c r="AW1" s="90" t="s">
        <v>48</v>
      </c>
      <c r="AX1" s="90" t="s">
        <v>49</v>
      </c>
      <c r="AY1" s="90" t="s">
        <v>50</v>
      </c>
      <c r="AZ1" s="90" t="s">
        <v>51</v>
      </c>
      <c r="BA1" s="90" t="s">
        <v>52</v>
      </c>
      <c r="BB1" s="90" t="s">
        <v>53</v>
      </c>
      <c r="BC1" s="90" t="s">
        <v>54</v>
      </c>
      <c r="BD1" s="90" t="s">
        <v>55</v>
      </c>
      <c r="BE1" s="90" t="s">
        <v>56</v>
      </c>
      <c r="BF1" s="90" t="s">
        <v>57</v>
      </c>
    </row>
    <row r="2" spans="1:58" x14ac:dyDescent="0.2">
      <c r="A2" s="18" t="s">
        <v>58</v>
      </c>
      <c r="B2" s="91">
        <v>944616</v>
      </c>
      <c r="C2" s="21">
        <v>0</v>
      </c>
      <c r="D2" s="21">
        <v>0</v>
      </c>
      <c r="E2" s="91">
        <v>68394087</v>
      </c>
      <c r="F2" s="21">
        <v>0</v>
      </c>
      <c r="G2" s="91">
        <v>3792143</v>
      </c>
      <c r="H2" s="21">
        <v>0</v>
      </c>
      <c r="I2" s="91">
        <v>7872111</v>
      </c>
      <c r="J2" s="91">
        <v>4919764</v>
      </c>
      <c r="L2" s="91">
        <v>85922721</v>
      </c>
      <c r="M2" s="91">
        <v>7872111</v>
      </c>
      <c r="N2" s="21">
        <v>0</v>
      </c>
      <c r="O2" s="21">
        <v>0</v>
      </c>
      <c r="P2" s="91">
        <v>7872111</v>
      </c>
      <c r="Q2" s="21">
        <v>0</v>
      </c>
      <c r="R2" s="21">
        <v>0</v>
      </c>
      <c r="S2" s="21">
        <v>0</v>
      </c>
      <c r="T2" s="91">
        <v>2629702</v>
      </c>
      <c r="U2" s="91">
        <v>2629702</v>
      </c>
      <c r="V2" s="91">
        <v>2908694</v>
      </c>
      <c r="W2" s="21">
        <v>0</v>
      </c>
      <c r="X2" s="21">
        <v>0</v>
      </c>
      <c r="Y2" s="91">
        <v>2908694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H2" s="91">
        <v>13410507</v>
      </c>
      <c r="AI2" s="21">
        <v>0</v>
      </c>
      <c r="AJ2" s="21">
        <v>0</v>
      </c>
      <c r="AK2" s="21">
        <v>0</v>
      </c>
      <c r="AL2" s="91">
        <v>8571344</v>
      </c>
      <c r="AM2" s="91">
        <v>1425289</v>
      </c>
      <c r="AO2" s="91">
        <v>9996633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V2" s="21">
        <v>0</v>
      </c>
      <c r="AW2" s="91">
        <v>1425131</v>
      </c>
      <c r="AX2" s="91">
        <v>23432180</v>
      </c>
      <c r="AY2" s="91">
        <v>17101712</v>
      </c>
      <c r="AZ2" s="91">
        <v>25650563</v>
      </c>
      <c r="BB2" s="91">
        <v>67609586</v>
      </c>
      <c r="BC2" s="21">
        <v>0</v>
      </c>
      <c r="BE2" s="91">
        <v>77606219</v>
      </c>
      <c r="BF2" s="91">
        <v>91016726</v>
      </c>
    </row>
    <row r="3" spans="1:58" x14ac:dyDescent="0.2">
      <c r="A3" s="18" t="s">
        <v>59</v>
      </c>
      <c r="B3" s="21">
        <v>0</v>
      </c>
      <c r="C3" s="21">
        <v>0</v>
      </c>
      <c r="D3" s="21">
        <v>0</v>
      </c>
      <c r="E3" s="91">
        <v>49584</v>
      </c>
      <c r="F3" s="21">
        <v>0</v>
      </c>
      <c r="G3" s="21">
        <v>0</v>
      </c>
      <c r="H3" s="91">
        <v>507483.03</v>
      </c>
      <c r="I3" s="91">
        <v>89507.86</v>
      </c>
      <c r="J3" s="21">
        <v>0</v>
      </c>
      <c r="L3" s="91">
        <v>646574.89</v>
      </c>
      <c r="M3" s="91">
        <v>89507.86</v>
      </c>
      <c r="N3" s="91">
        <v>21509.35</v>
      </c>
      <c r="O3" s="21">
        <v>0</v>
      </c>
      <c r="P3" s="91">
        <v>111017.21</v>
      </c>
      <c r="Q3" s="21">
        <v>0</v>
      </c>
      <c r="R3" s="91">
        <v>84892.96</v>
      </c>
      <c r="S3" s="91">
        <v>351902</v>
      </c>
      <c r="T3" s="91">
        <v>49178.720000000001</v>
      </c>
      <c r="U3" s="91">
        <v>485973.68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H3" s="91">
        <v>596990.89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O3" s="21">
        <v>0</v>
      </c>
      <c r="AP3" s="21">
        <v>0</v>
      </c>
      <c r="AQ3" s="21">
        <v>0</v>
      </c>
      <c r="AR3" s="91">
        <v>49584</v>
      </c>
      <c r="AS3" s="21">
        <v>0</v>
      </c>
      <c r="AT3" s="21">
        <v>0</v>
      </c>
      <c r="AV3" s="91">
        <v>49584</v>
      </c>
      <c r="AW3" s="21">
        <v>0</v>
      </c>
      <c r="AX3" s="21">
        <v>0</v>
      </c>
      <c r="AY3" s="21">
        <v>0</v>
      </c>
      <c r="AZ3" s="21">
        <v>0</v>
      </c>
      <c r="BB3" s="21">
        <v>0</v>
      </c>
      <c r="BC3" s="21">
        <v>0</v>
      </c>
      <c r="BE3" s="91">
        <v>49584</v>
      </c>
      <c r="BF3" s="91">
        <v>646574.89</v>
      </c>
    </row>
    <row r="4" spans="1:58" x14ac:dyDescent="0.2">
      <c r="A4" s="18" t="s">
        <v>60</v>
      </c>
      <c r="B4" s="21">
        <v>0</v>
      </c>
      <c r="C4" s="21">
        <v>0</v>
      </c>
      <c r="D4" s="21">
        <v>0</v>
      </c>
      <c r="E4" s="91">
        <v>1152490</v>
      </c>
      <c r="F4" s="21">
        <v>0</v>
      </c>
      <c r="G4" s="21">
        <v>0</v>
      </c>
      <c r="H4" s="91">
        <v>51635.75</v>
      </c>
      <c r="I4" s="91">
        <v>146880.51999999999</v>
      </c>
      <c r="J4" s="21">
        <v>0</v>
      </c>
      <c r="L4" s="91">
        <v>1351006.27</v>
      </c>
      <c r="M4" s="91">
        <v>146880.51999999999</v>
      </c>
      <c r="N4" s="21">
        <v>0</v>
      </c>
      <c r="O4" s="21">
        <v>0</v>
      </c>
      <c r="P4" s="91">
        <v>146880.51999999999</v>
      </c>
      <c r="Q4" s="91">
        <v>51635.75</v>
      </c>
      <c r="R4" s="21">
        <v>0</v>
      </c>
      <c r="S4" s="21">
        <v>0</v>
      </c>
      <c r="T4" s="21">
        <v>0</v>
      </c>
      <c r="U4" s="91">
        <v>51635.75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H4" s="91">
        <v>198516.27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O4" s="21">
        <v>0</v>
      </c>
      <c r="AP4" s="21">
        <v>0</v>
      </c>
      <c r="AQ4" s="21">
        <v>0</v>
      </c>
      <c r="AR4" s="91">
        <v>9957</v>
      </c>
      <c r="AS4" s="21">
        <v>0</v>
      </c>
      <c r="AT4" s="21">
        <v>0</v>
      </c>
      <c r="AV4" s="91">
        <v>9957</v>
      </c>
      <c r="AW4" s="21">
        <v>0</v>
      </c>
      <c r="AX4" s="21">
        <v>0</v>
      </c>
      <c r="AY4" s="21">
        <v>0</v>
      </c>
      <c r="AZ4" s="21">
        <v>0</v>
      </c>
      <c r="BB4" s="21">
        <v>0</v>
      </c>
      <c r="BC4" s="21">
        <v>0</v>
      </c>
      <c r="BE4" s="91">
        <v>9957</v>
      </c>
      <c r="BF4" s="91">
        <v>208473.27</v>
      </c>
    </row>
    <row r="5" spans="1:58" x14ac:dyDescent="0.2">
      <c r="A5" s="18" t="s">
        <v>61</v>
      </c>
      <c r="B5" s="21">
        <v>0</v>
      </c>
      <c r="C5" s="91">
        <v>1548.02</v>
      </c>
      <c r="D5" s="91">
        <v>139837.57999999999</v>
      </c>
      <c r="E5" s="91">
        <v>961150.34</v>
      </c>
      <c r="F5" s="21">
        <v>0</v>
      </c>
      <c r="G5" s="21">
        <v>0</v>
      </c>
      <c r="H5" s="91">
        <v>170877.49</v>
      </c>
      <c r="I5" s="21">
        <v>0</v>
      </c>
      <c r="J5" s="21">
        <v>179.95</v>
      </c>
      <c r="L5" s="91">
        <v>1273593.3799999999</v>
      </c>
      <c r="M5" s="91">
        <v>37803.24</v>
      </c>
      <c r="N5" s="21">
        <v>0</v>
      </c>
      <c r="O5" s="91">
        <v>75157</v>
      </c>
      <c r="P5" s="91">
        <v>112960.24</v>
      </c>
      <c r="Q5" s="91">
        <v>19629.310000000001</v>
      </c>
      <c r="R5" s="21">
        <v>0</v>
      </c>
      <c r="S5" s="21">
        <v>0</v>
      </c>
      <c r="T5" s="91">
        <v>38287.94</v>
      </c>
      <c r="U5" s="91">
        <v>57917.25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91">
        <v>139837.57999999999</v>
      </c>
      <c r="AD5" s="91">
        <v>139837.57999999999</v>
      </c>
      <c r="AE5" s="21">
        <v>0</v>
      </c>
      <c r="AF5" s="21">
        <v>0</v>
      </c>
      <c r="AH5" s="91">
        <v>310715.07</v>
      </c>
      <c r="AI5" s="21">
        <v>0</v>
      </c>
      <c r="AJ5" s="91">
        <v>577059</v>
      </c>
      <c r="AK5" s="21">
        <v>0</v>
      </c>
      <c r="AL5" s="21">
        <v>0</v>
      </c>
      <c r="AM5" s="21">
        <v>0</v>
      </c>
      <c r="AO5" s="91">
        <v>577059</v>
      </c>
      <c r="AP5" s="91">
        <v>333000</v>
      </c>
      <c r="AQ5" s="21">
        <v>0</v>
      </c>
      <c r="AR5" s="91">
        <v>10000</v>
      </c>
      <c r="AS5" s="21">
        <v>0</v>
      </c>
      <c r="AT5" s="21">
        <v>0</v>
      </c>
      <c r="AV5" s="91">
        <v>343000</v>
      </c>
      <c r="AW5" s="21">
        <v>0</v>
      </c>
      <c r="AX5" s="21">
        <v>0</v>
      </c>
      <c r="AY5" s="21">
        <v>0</v>
      </c>
      <c r="AZ5" s="21">
        <v>0</v>
      </c>
      <c r="BB5" s="21">
        <v>0</v>
      </c>
      <c r="BC5" s="21">
        <v>0</v>
      </c>
      <c r="BE5" s="91">
        <v>920059</v>
      </c>
      <c r="BF5" s="91">
        <v>1230774.07</v>
      </c>
    </row>
    <row r="6" spans="1:58" x14ac:dyDescent="0.2">
      <c r="A6" s="18" t="s">
        <v>62</v>
      </c>
      <c r="B6" s="21">
        <v>0</v>
      </c>
      <c r="C6" s="91">
        <v>12000</v>
      </c>
      <c r="D6" s="21">
        <v>0</v>
      </c>
      <c r="E6" s="91">
        <v>1282921.94</v>
      </c>
      <c r="F6" s="21">
        <v>0</v>
      </c>
      <c r="G6" s="21">
        <v>0</v>
      </c>
      <c r="H6" s="91">
        <v>7412.88</v>
      </c>
      <c r="I6" s="21">
        <v>0</v>
      </c>
      <c r="J6" s="91">
        <v>4023.94</v>
      </c>
      <c r="L6" s="91">
        <v>1306358.76</v>
      </c>
      <c r="M6" s="21">
        <v>0</v>
      </c>
      <c r="N6" s="21">
        <v>0</v>
      </c>
      <c r="O6" s="21">
        <v>0</v>
      </c>
      <c r="P6" s="21">
        <v>0</v>
      </c>
      <c r="Q6" s="91">
        <v>5102.88</v>
      </c>
      <c r="R6" s="21">
        <v>0</v>
      </c>
      <c r="S6" s="21">
        <v>0</v>
      </c>
      <c r="T6" s="91">
        <v>2310</v>
      </c>
      <c r="U6" s="91">
        <v>7412.88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91">
        <v>12000</v>
      </c>
      <c r="AF6" s="91">
        <v>3407.79</v>
      </c>
      <c r="AH6" s="91">
        <v>22820.67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O6" s="21">
        <v>0</v>
      </c>
      <c r="AP6" s="21">
        <v>0</v>
      </c>
      <c r="AQ6" s="21">
        <v>0</v>
      </c>
      <c r="AR6" s="21">
        <v>0</v>
      </c>
      <c r="AS6" s="91">
        <v>540723</v>
      </c>
      <c r="AT6" s="21">
        <v>0</v>
      </c>
      <c r="AV6" s="91">
        <v>540723</v>
      </c>
      <c r="AW6" s="21">
        <v>0</v>
      </c>
      <c r="AX6" s="21">
        <v>0</v>
      </c>
      <c r="AY6" s="21">
        <v>0</v>
      </c>
      <c r="AZ6" s="21">
        <v>0</v>
      </c>
      <c r="BB6" s="21">
        <v>0</v>
      </c>
      <c r="BC6" s="21">
        <v>0</v>
      </c>
      <c r="BE6" s="91">
        <v>540723</v>
      </c>
      <c r="BF6" s="91">
        <v>563543.67000000004</v>
      </c>
    </row>
    <row r="7" spans="1:58" x14ac:dyDescent="0.2">
      <c r="A7" s="18" t="s">
        <v>63</v>
      </c>
      <c r="B7" s="21">
        <v>0</v>
      </c>
      <c r="C7" s="91">
        <v>50753.46</v>
      </c>
      <c r="D7" s="21">
        <v>0</v>
      </c>
      <c r="E7" s="91">
        <v>3567608.57</v>
      </c>
      <c r="F7" s="21">
        <v>0</v>
      </c>
      <c r="G7" s="91">
        <v>317863.90000000002</v>
      </c>
      <c r="H7" s="91">
        <v>1737871.81</v>
      </c>
      <c r="I7" s="91">
        <v>2946200.92</v>
      </c>
      <c r="J7" s="91">
        <v>382164.23</v>
      </c>
      <c r="L7" s="91">
        <v>9002462.8900000006</v>
      </c>
      <c r="M7" s="91">
        <v>712051.39</v>
      </c>
      <c r="N7" s="91">
        <v>61512.11</v>
      </c>
      <c r="O7" s="91">
        <v>10596.1</v>
      </c>
      <c r="P7" s="91">
        <v>784159.6</v>
      </c>
      <c r="Q7" s="91">
        <v>924999.65</v>
      </c>
      <c r="R7" s="91">
        <v>245970.23</v>
      </c>
      <c r="S7" s="91">
        <v>35462.67</v>
      </c>
      <c r="T7" s="91">
        <v>1883255.82</v>
      </c>
      <c r="U7" s="91">
        <v>3089688.37</v>
      </c>
      <c r="V7" s="91">
        <v>38283</v>
      </c>
      <c r="W7" s="21">
        <v>0</v>
      </c>
      <c r="X7" s="21">
        <v>0</v>
      </c>
      <c r="Y7" s="91">
        <v>38283</v>
      </c>
      <c r="Z7" s="21">
        <v>0</v>
      </c>
      <c r="AA7" s="21">
        <v>0</v>
      </c>
      <c r="AB7" s="91">
        <v>6465</v>
      </c>
      <c r="AC7" s="21">
        <v>0</v>
      </c>
      <c r="AD7" s="91">
        <v>6465</v>
      </c>
      <c r="AE7" s="91">
        <v>44288.46</v>
      </c>
      <c r="AF7" s="21">
        <v>0</v>
      </c>
      <c r="AH7" s="91">
        <v>3962884.43</v>
      </c>
      <c r="AI7" s="21">
        <v>0</v>
      </c>
      <c r="AJ7" s="91">
        <v>313401</v>
      </c>
      <c r="AK7" s="21">
        <v>0</v>
      </c>
      <c r="AL7" s="21">
        <v>0</v>
      </c>
      <c r="AM7" s="21">
        <v>0</v>
      </c>
      <c r="AO7" s="91">
        <v>313401</v>
      </c>
      <c r="AP7" s="91">
        <v>2127518</v>
      </c>
      <c r="AQ7" s="21">
        <v>0</v>
      </c>
      <c r="AR7" s="91">
        <v>410542</v>
      </c>
      <c r="AS7" s="21">
        <v>0</v>
      </c>
      <c r="AT7" s="21">
        <v>0</v>
      </c>
      <c r="AV7" s="91">
        <v>2538060</v>
      </c>
      <c r="AW7" s="21">
        <v>0</v>
      </c>
      <c r="AX7" s="21">
        <v>0</v>
      </c>
      <c r="AY7" s="21">
        <v>0</v>
      </c>
      <c r="AZ7" s="21">
        <v>0</v>
      </c>
      <c r="BB7" s="21">
        <v>0</v>
      </c>
      <c r="BC7" s="21">
        <v>0</v>
      </c>
      <c r="BE7" s="91">
        <v>2851461</v>
      </c>
      <c r="BF7" s="91">
        <v>6814345.4299999997</v>
      </c>
    </row>
    <row r="8" spans="1:58" x14ac:dyDescent="0.2">
      <c r="A8" s="18" t="s">
        <v>64</v>
      </c>
      <c r="B8" s="21">
        <v>0</v>
      </c>
      <c r="C8" s="91">
        <v>143563.28</v>
      </c>
      <c r="D8" s="21">
        <v>0</v>
      </c>
      <c r="E8" s="91">
        <v>8241236.75</v>
      </c>
      <c r="F8" s="21">
        <v>0</v>
      </c>
      <c r="G8" s="91">
        <v>3774.13</v>
      </c>
      <c r="H8" s="91">
        <v>779987.94</v>
      </c>
      <c r="I8" s="21">
        <v>0</v>
      </c>
      <c r="J8" s="91">
        <v>41951.94</v>
      </c>
      <c r="L8" s="91">
        <v>9210514.0399999991</v>
      </c>
      <c r="M8" s="91">
        <v>280290.49</v>
      </c>
      <c r="N8" s="21">
        <v>0</v>
      </c>
      <c r="O8" s="21">
        <v>0</v>
      </c>
      <c r="P8" s="91">
        <v>280290.49</v>
      </c>
      <c r="Q8" s="21">
        <v>0</v>
      </c>
      <c r="R8" s="91">
        <v>5692.37</v>
      </c>
      <c r="S8" s="91">
        <v>3774.13</v>
      </c>
      <c r="T8" s="91">
        <v>345645.21</v>
      </c>
      <c r="U8" s="91">
        <v>355111.71</v>
      </c>
      <c r="V8" s="91">
        <v>45000</v>
      </c>
      <c r="W8" s="91">
        <v>148359.87</v>
      </c>
      <c r="X8" s="21">
        <v>0</v>
      </c>
      <c r="Y8" s="91">
        <v>193359.87</v>
      </c>
      <c r="Z8" s="91">
        <v>82875.73</v>
      </c>
      <c r="AA8" s="21">
        <v>0</v>
      </c>
      <c r="AB8" s="21">
        <v>0</v>
      </c>
      <c r="AC8" s="21">
        <v>0</v>
      </c>
      <c r="AD8" s="91">
        <v>82875.73</v>
      </c>
      <c r="AE8" s="91">
        <v>39088.230000000003</v>
      </c>
      <c r="AF8" s="91">
        <v>21599.32</v>
      </c>
      <c r="AH8" s="91">
        <v>972325.35</v>
      </c>
      <c r="AI8" s="21">
        <v>0</v>
      </c>
      <c r="AJ8" s="91">
        <v>1014535</v>
      </c>
      <c r="AK8" s="21">
        <v>0</v>
      </c>
      <c r="AL8" s="91">
        <v>18540.96</v>
      </c>
      <c r="AM8" s="21">
        <v>0</v>
      </c>
      <c r="AO8" s="91">
        <v>1033075.96</v>
      </c>
      <c r="AP8" s="91">
        <v>374801.95</v>
      </c>
      <c r="AQ8" s="21">
        <v>0</v>
      </c>
      <c r="AR8" s="91">
        <v>29498.03</v>
      </c>
      <c r="AS8" s="21">
        <v>0</v>
      </c>
      <c r="AT8" s="21">
        <v>0</v>
      </c>
      <c r="AV8" s="91">
        <v>404299.98</v>
      </c>
      <c r="AW8" s="91">
        <v>1920529.35</v>
      </c>
      <c r="AX8" s="91">
        <v>450000</v>
      </c>
      <c r="AY8" s="21">
        <v>0</v>
      </c>
      <c r="AZ8" s="21">
        <v>0</v>
      </c>
      <c r="BB8" s="91">
        <v>2370529.35</v>
      </c>
      <c r="BC8" s="21">
        <v>0</v>
      </c>
      <c r="BE8" s="91">
        <v>3807905.29</v>
      </c>
      <c r="BF8" s="91">
        <v>4780230.6399999997</v>
      </c>
    </row>
    <row r="9" spans="1:58" x14ac:dyDescent="0.2">
      <c r="A9" s="18" t="s">
        <v>66</v>
      </c>
      <c r="B9" s="21">
        <v>0</v>
      </c>
      <c r="C9" s="21">
        <v>0</v>
      </c>
      <c r="D9" s="21">
        <v>0</v>
      </c>
      <c r="E9" s="91">
        <v>523031.87</v>
      </c>
      <c r="F9" s="21">
        <v>0</v>
      </c>
      <c r="G9" s="91">
        <v>5775.22</v>
      </c>
      <c r="H9" s="21">
        <v>130</v>
      </c>
      <c r="I9" s="21">
        <v>0</v>
      </c>
      <c r="J9" s="21">
        <v>473.73</v>
      </c>
      <c r="L9" s="91">
        <v>529410.81999999995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H9" s="21">
        <v>0</v>
      </c>
      <c r="AI9" s="91">
        <v>113946.7</v>
      </c>
      <c r="AJ9" s="91">
        <v>409085.17</v>
      </c>
      <c r="AK9" s="21">
        <v>0</v>
      </c>
      <c r="AL9" s="21">
        <v>0</v>
      </c>
      <c r="AM9" s="21">
        <v>0</v>
      </c>
      <c r="AO9" s="91">
        <v>523031.87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B9" s="21">
        <v>0</v>
      </c>
      <c r="BC9" s="21">
        <v>0</v>
      </c>
      <c r="BE9" s="91">
        <v>523031.87</v>
      </c>
      <c r="BF9" s="91">
        <v>523031.87</v>
      </c>
    </row>
    <row r="10" spans="1:58" x14ac:dyDescent="0.2">
      <c r="A10" s="18" t="s">
        <v>67</v>
      </c>
      <c r="B10" s="21">
        <v>0</v>
      </c>
      <c r="C10" s="21">
        <v>0</v>
      </c>
      <c r="D10" s="91">
        <v>26608.99</v>
      </c>
      <c r="E10" s="91">
        <v>635358.53</v>
      </c>
      <c r="F10" s="21">
        <v>0</v>
      </c>
      <c r="G10" s="91">
        <v>287495.56</v>
      </c>
      <c r="H10" s="91">
        <v>72527.55</v>
      </c>
      <c r="I10" s="91">
        <v>44051</v>
      </c>
      <c r="J10" s="91">
        <v>5588.28</v>
      </c>
      <c r="L10" s="91">
        <v>1071629.9099999999</v>
      </c>
      <c r="M10" s="91">
        <v>44051</v>
      </c>
      <c r="N10" s="21">
        <v>0</v>
      </c>
      <c r="O10" s="21">
        <v>0</v>
      </c>
      <c r="P10" s="91">
        <v>44051</v>
      </c>
      <c r="Q10" s="91">
        <v>11233.84</v>
      </c>
      <c r="R10" s="91">
        <v>107236.57</v>
      </c>
      <c r="S10" s="91">
        <v>26608.99</v>
      </c>
      <c r="T10" s="91">
        <v>30293.71</v>
      </c>
      <c r="U10" s="91">
        <v>175373.11</v>
      </c>
      <c r="V10" s="91">
        <v>287495.56</v>
      </c>
      <c r="W10" s="91">
        <v>31000</v>
      </c>
      <c r="X10" s="21">
        <v>0</v>
      </c>
      <c r="Y10" s="91">
        <v>318495.56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H10" s="91">
        <v>537919.67000000004</v>
      </c>
      <c r="AI10" s="21">
        <v>0</v>
      </c>
      <c r="AJ10" s="91">
        <v>298461.78999999998</v>
      </c>
      <c r="AK10" s="21">
        <v>0</v>
      </c>
      <c r="AL10" s="21">
        <v>0</v>
      </c>
      <c r="AM10" s="21">
        <v>0</v>
      </c>
      <c r="AO10" s="91">
        <v>298461.78999999998</v>
      </c>
      <c r="AP10" s="91">
        <v>227487.54</v>
      </c>
      <c r="AQ10" s="21">
        <v>0</v>
      </c>
      <c r="AR10" s="91">
        <v>2172.63</v>
      </c>
      <c r="AS10" s="21">
        <v>0</v>
      </c>
      <c r="AT10" s="21">
        <v>0</v>
      </c>
      <c r="AV10" s="91">
        <v>229660.17</v>
      </c>
      <c r="AW10" s="21">
        <v>0</v>
      </c>
      <c r="AX10" s="21">
        <v>0</v>
      </c>
      <c r="AY10" s="21">
        <v>0</v>
      </c>
      <c r="AZ10" s="21">
        <v>0</v>
      </c>
      <c r="BB10" s="21">
        <v>0</v>
      </c>
      <c r="BC10" s="21">
        <v>0</v>
      </c>
      <c r="BE10" s="91">
        <v>528121.96</v>
      </c>
      <c r="BF10" s="91">
        <v>1066041.6299999999</v>
      </c>
    </row>
    <row r="11" spans="1:58" x14ac:dyDescent="0.2">
      <c r="A11" s="18" t="s">
        <v>68</v>
      </c>
      <c r="B11" s="91">
        <v>358478.11</v>
      </c>
      <c r="C11" s="21">
        <v>0</v>
      </c>
      <c r="D11" s="21">
        <v>0</v>
      </c>
      <c r="E11" s="91">
        <v>284491.89</v>
      </c>
      <c r="F11" s="21">
        <v>0</v>
      </c>
      <c r="G11" s="91">
        <v>63000</v>
      </c>
      <c r="H11" s="91">
        <v>2351258.02</v>
      </c>
      <c r="I11" s="91">
        <v>6988282.2599999998</v>
      </c>
      <c r="J11" s="91">
        <v>4122383.12</v>
      </c>
      <c r="L11" s="91">
        <v>14167893.4</v>
      </c>
      <c r="M11" s="91">
        <v>6685419.4500000002</v>
      </c>
      <c r="N11" s="21">
        <v>0</v>
      </c>
      <c r="O11" s="91">
        <v>302862.81</v>
      </c>
      <c r="P11" s="91">
        <v>6988282.2599999998</v>
      </c>
      <c r="Q11" s="91">
        <v>20074.509999999998</v>
      </c>
      <c r="R11" s="21">
        <v>0</v>
      </c>
      <c r="S11" s="21">
        <v>0</v>
      </c>
      <c r="T11" s="91">
        <v>859198.39</v>
      </c>
      <c r="U11" s="91">
        <v>879272.9</v>
      </c>
      <c r="V11" s="91">
        <v>63000</v>
      </c>
      <c r="W11" s="21">
        <v>0</v>
      </c>
      <c r="X11" s="21">
        <v>0</v>
      </c>
      <c r="Y11" s="91">
        <v>63000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H11" s="91">
        <v>7930555.1600000001</v>
      </c>
      <c r="AI11" s="21">
        <v>0</v>
      </c>
      <c r="AJ11" s="91">
        <v>115000</v>
      </c>
      <c r="AK11" s="21">
        <v>0</v>
      </c>
      <c r="AL11" s="21">
        <v>0</v>
      </c>
      <c r="AM11" s="21">
        <v>0</v>
      </c>
      <c r="AO11" s="91">
        <v>115000</v>
      </c>
      <c r="AP11" s="21">
        <v>0</v>
      </c>
      <c r="AQ11" s="21">
        <v>0</v>
      </c>
      <c r="AR11" s="91">
        <v>108000</v>
      </c>
      <c r="AS11" s="21">
        <v>0</v>
      </c>
      <c r="AT11" s="21">
        <v>0</v>
      </c>
      <c r="AV11" s="91">
        <v>108000</v>
      </c>
      <c r="AW11" s="21">
        <v>0</v>
      </c>
      <c r="AX11" s="21">
        <v>0</v>
      </c>
      <c r="AY11" s="91">
        <v>52000</v>
      </c>
      <c r="AZ11" s="21">
        <v>0</v>
      </c>
      <c r="BB11" s="91">
        <v>52000</v>
      </c>
      <c r="BC11" s="21">
        <v>0</v>
      </c>
      <c r="BE11" s="91">
        <v>275000</v>
      </c>
      <c r="BF11" s="91">
        <v>8205555.1600000001</v>
      </c>
    </row>
    <row r="12" spans="1:58" x14ac:dyDescent="0.2">
      <c r="A12" s="18" t="s">
        <v>69</v>
      </c>
      <c r="B12" s="21">
        <v>0</v>
      </c>
      <c r="C12" s="91">
        <v>120772.67</v>
      </c>
      <c r="D12" s="91">
        <v>12332.61</v>
      </c>
      <c r="E12" s="91">
        <v>723616.12</v>
      </c>
      <c r="F12" s="21">
        <v>0</v>
      </c>
      <c r="G12" s="91">
        <v>320562.98</v>
      </c>
      <c r="H12" s="91">
        <v>90415.61</v>
      </c>
      <c r="I12" s="91">
        <v>82989</v>
      </c>
      <c r="J12" s="91">
        <v>19565.55</v>
      </c>
      <c r="L12" s="91">
        <v>1370254.54</v>
      </c>
      <c r="M12" s="91">
        <v>82989</v>
      </c>
      <c r="N12" s="21">
        <v>0</v>
      </c>
      <c r="O12" s="21">
        <v>0</v>
      </c>
      <c r="P12" s="91">
        <v>82989</v>
      </c>
      <c r="Q12" s="21">
        <v>0</v>
      </c>
      <c r="R12" s="21">
        <v>0</v>
      </c>
      <c r="S12" s="21">
        <v>0</v>
      </c>
      <c r="T12" s="91">
        <v>90415.61</v>
      </c>
      <c r="U12" s="91">
        <v>90415.61</v>
      </c>
      <c r="V12" s="91">
        <v>320562.98</v>
      </c>
      <c r="W12" s="21">
        <v>0</v>
      </c>
      <c r="X12" s="21">
        <v>0</v>
      </c>
      <c r="Y12" s="91">
        <v>320562.98</v>
      </c>
      <c r="Z12" s="21">
        <v>0</v>
      </c>
      <c r="AA12" s="21">
        <v>0</v>
      </c>
      <c r="AB12" s="21">
        <v>0</v>
      </c>
      <c r="AC12" s="91">
        <v>19565.55</v>
      </c>
      <c r="AD12" s="91">
        <v>19565.55</v>
      </c>
      <c r="AE12" s="21">
        <v>0</v>
      </c>
      <c r="AF12" s="21">
        <v>0</v>
      </c>
      <c r="AH12" s="91">
        <v>513533.14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O12" s="21">
        <v>0</v>
      </c>
      <c r="AP12" s="21">
        <v>0</v>
      </c>
      <c r="AQ12" s="21">
        <v>0</v>
      </c>
      <c r="AR12" s="91">
        <v>182762.39</v>
      </c>
      <c r="AS12" s="21">
        <v>0</v>
      </c>
      <c r="AT12" s="91">
        <v>540853.73</v>
      </c>
      <c r="AV12" s="91">
        <v>723616.12</v>
      </c>
      <c r="AW12" s="21">
        <v>0</v>
      </c>
      <c r="AX12" s="21">
        <v>0</v>
      </c>
      <c r="AY12" s="21">
        <v>0</v>
      </c>
      <c r="AZ12" s="21">
        <v>0</v>
      </c>
      <c r="BB12" s="21">
        <v>0</v>
      </c>
      <c r="BC12" s="21">
        <v>0</v>
      </c>
      <c r="BE12" s="91">
        <v>723616.12</v>
      </c>
      <c r="BF12" s="91">
        <v>1237149.26</v>
      </c>
    </row>
    <row r="13" spans="1:58" x14ac:dyDescent="0.2">
      <c r="A13" s="18" t="s">
        <v>70</v>
      </c>
      <c r="B13" s="21">
        <v>0</v>
      </c>
      <c r="C13" s="21">
        <v>0</v>
      </c>
      <c r="D13" s="21">
        <v>0</v>
      </c>
      <c r="E13" s="91">
        <v>6716086.4900000002</v>
      </c>
      <c r="F13" s="21">
        <v>0</v>
      </c>
      <c r="G13" s="91">
        <v>173749.68</v>
      </c>
      <c r="H13" s="21">
        <v>0</v>
      </c>
      <c r="I13" s="91">
        <v>191189.93</v>
      </c>
      <c r="J13" s="91">
        <v>104872.9</v>
      </c>
      <c r="L13" s="91">
        <v>7185899</v>
      </c>
      <c r="M13" s="91">
        <v>191189.93</v>
      </c>
      <c r="N13" s="21">
        <v>0</v>
      </c>
      <c r="O13" s="21">
        <v>0</v>
      </c>
      <c r="P13" s="91">
        <v>191189.93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91">
        <v>71793.3</v>
      </c>
      <c r="W13" s="21">
        <v>0</v>
      </c>
      <c r="X13" s="21">
        <v>0</v>
      </c>
      <c r="Y13" s="91">
        <v>71793.3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H13" s="91">
        <v>262983.23</v>
      </c>
      <c r="AI13" s="21">
        <v>0</v>
      </c>
      <c r="AJ13" s="21">
        <v>0</v>
      </c>
      <c r="AK13" s="21">
        <v>0</v>
      </c>
      <c r="AL13" s="91">
        <v>43735</v>
      </c>
      <c r="AM13" s="21">
        <v>0</v>
      </c>
      <c r="AO13" s="91">
        <v>43735</v>
      </c>
      <c r="AP13" s="91">
        <v>3366716.5</v>
      </c>
      <c r="AQ13" s="21">
        <v>0</v>
      </c>
      <c r="AR13" s="91">
        <v>1188097.8400000001</v>
      </c>
      <c r="AS13" s="21">
        <v>0</v>
      </c>
      <c r="AT13" s="21">
        <v>0</v>
      </c>
      <c r="AV13" s="91">
        <v>4554814.34</v>
      </c>
      <c r="AW13" s="21">
        <v>0</v>
      </c>
      <c r="AX13" s="91">
        <v>131330.85</v>
      </c>
      <c r="AY13" s="21">
        <v>0</v>
      </c>
      <c r="AZ13" s="21">
        <v>0</v>
      </c>
      <c r="BB13" s="91">
        <v>131330.85</v>
      </c>
      <c r="BC13" s="21">
        <v>0</v>
      </c>
      <c r="BE13" s="91">
        <v>4729880.1900000004</v>
      </c>
      <c r="BF13" s="91">
        <v>4992863.42</v>
      </c>
    </row>
    <row r="14" spans="1:58" x14ac:dyDescent="0.2">
      <c r="A14" s="18" t="s">
        <v>71</v>
      </c>
      <c r="B14" s="21">
        <v>0</v>
      </c>
      <c r="C14" s="21">
        <v>0</v>
      </c>
      <c r="D14" s="21">
        <v>0</v>
      </c>
      <c r="E14" s="91">
        <v>1749752.13</v>
      </c>
      <c r="F14" s="21">
        <v>0</v>
      </c>
      <c r="G14" s="21">
        <v>0</v>
      </c>
      <c r="H14" s="91">
        <v>21614.23</v>
      </c>
      <c r="I14" s="91">
        <v>83859.929999999993</v>
      </c>
      <c r="J14" s="91">
        <v>5385.8</v>
      </c>
      <c r="L14" s="91">
        <v>1860612.09</v>
      </c>
      <c r="M14" s="91">
        <v>83859.929999999993</v>
      </c>
      <c r="N14" s="21">
        <v>0</v>
      </c>
      <c r="O14" s="21">
        <v>0</v>
      </c>
      <c r="P14" s="91">
        <v>83859.929999999993</v>
      </c>
      <c r="Q14" s="21">
        <v>0</v>
      </c>
      <c r="R14" s="21">
        <v>0</v>
      </c>
      <c r="S14" s="21">
        <v>0</v>
      </c>
      <c r="T14" s="91">
        <v>21614.23</v>
      </c>
      <c r="U14" s="91">
        <v>21614.23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H14" s="91">
        <v>105474.16</v>
      </c>
      <c r="AI14" s="91">
        <v>625000</v>
      </c>
      <c r="AJ14" s="21">
        <v>0</v>
      </c>
      <c r="AK14" s="21">
        <v>0</v>
      </c>
      <c r="AL14" s="21">
        <v>0</v>
      </c>
      <c r="AM14" s="21">
        <v>0</v>
      </c>
      <c r="AO14" s="91">
        <v>625000</v>
      </c>
      <c r="AP14" s="91">
        <v>1095032.28</v>
      </c>
      <c r="AQ14" s="21">
        <v>0</v>
      </c>
      <c r="AR14" s="91">
        <v>241111.78</v>
      </c>
      <c r="AS14" s="91">
        <v>75467.78</v>
      </c>
      <c r="AT14" s="91">
        <v>4160</v>
      </c>
      <c r="AV14" s="91">
        <v>1415771.84</v>
      </c>
      <c r="AW14" s="21">
        <v>0</v>
      </c>
      <c r="AX14" s="21">
        <v>0</v>
      </c>
      <c r="AY14" s="21">
        <v>0</v>
      </c>
      <c r="AZ14" s="21">
        <v>0</v>
      </c>
      <c r="BB14" s="21">
        <v>0</v>
      </c>
      <c r="BC14" s="21">
        <v>0</v>
      </c>
      <c r="BE14" s="91">
        <v>2040771.84</v>
      </c>
      <c r="BF14" s="21">
        <v>0</v>
      </c>
    </row>
    <row r="15" spans="1:58" x14ac:dyDescent="0.2">
      <c r="A15" s="18" t="s">
        <v>72</v>
      </c>
      <c r="B15" s="21">
        <v>0</v>
      </c>
      <c r="C15" s="21">
        <v>0</v>
      </c>
      <c r="D15" s="21">
        <v>0</v>
      </c>
      <c r="E15" s="91">
        <v>70869.33</v>
      </c>
      <c r="F15" s="21">
        <v>0</v>
      </c>
      <c r="G15" s="91">
        <v>132769</v>
      </c>
      <c r="H15" s="91">
        <v>225955.8</v>
      </c>
      <c r="I15" s="91">
        <v>384510.28</v>
      </c>
      <c r="J15" s="91">
        <v>23327.16</v>
      </c>
      <c r="L15" s="91">
        <v>837431.57</v>
      </c>
      <c r="M15" s="91">
        <v>319661.88</v>
      </c>
      <c r="N15" s="21">
        <v>0</v>
      </c>
      <c r="O15" s="91">
        <v>64848.4</v>
      </c>
      <c r="P15" s="91">
        <v>384510.28</v>
      </c>
      <c r="Q15" s="91">
        <v>30915.97</v>
      </c>
      <c r="R15" s="21">
        <v>0</v>
      </c>
      <c r="S15" s="91">
        <v>20555</v>
      </c>
      <c r="T15" s="91">
        <v>174484.83</v>
      </c>
      <c r="U15" s="91">
        <v>225955.8</v>
      </c>
      <c r="V15" s="91">
        <v>76754</v>
      </c>
      <c r="W15" s="21">
        <v>0</v>
      </c>
      <c r="X15" s="21">
        <v>0</v>
      </c>
      <c r="Y15" s="91">
        <v>76754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H15" s="91">
        <v>687220.08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O15" s="21">
        <v>0</v>
      </c>
      <c r="AP15" s="91">
        <v>62355.85</v>
      </c>
      <c r="AQ15" s="21">
        <v>0</v>
      </c>
      <c r="AR15" s="91">
        <v>45092.19</v>
      </c>
      <c r="AS15" s="21">
        <v>0</v>
      </c>
      <c r="AT15" s="21">
        <v>0</v>
      </c>
      <c r="AV15" s="91">
        <v>107448.04</v>
      </c>
      <c r="AW15" s="21">
        <v>0</v>
      </c>
      <c r="AX15" s="21">
        <v>0</v>
      </c>
      <c r="AY15" s="21">
        <v>0</v>
      </c>
      <c r="AZ15" s="21">
        <v>0</v>
      </c>
      <c r="BB15" s="21">
        <v>0</v>
      </c>
      <c r="BC15" s="21">
        <v>0</v>
      </c>
      <c r="BE15" s="91">
        <v>107448.04</v>
      </c>
      <c r="BF15" s="91">
        <v>794668.12</v>
      </c>
    </row>
    <row r="16" spans="1:58" x14ac:dyDescent="0.2">
      <c r="A16" s="18" t="s">
        <v>73</v>
      </c>
      <c r="B16" s="21">
        <v>0</v>
      </c>
      <c r="C16" s="91">
        <v>744131.47</v>
      </c>
      <c r="D16" s="21">
        <v>0</v>
      </c>
      <c r="E16" s="91">
        <v>5291925.97</v>
      </c>
      <c r="F16" s="21">
        <v>0</v>
      </c>
      <c r="G16" s="91">
        <v>487163.87</v>
      </c>
      <c r="H16" s="91">
        <v>947852.24</v>
      </c>
      <c r="I16" s="91">
        <v>26298214.48</v>
      </c>
      <c r="J16" s="91">
        <v>986583.74</v>
      </c>
      <c r="L16" s="91">
        <v>34755871.770000003</v>
      </c>
      <c r="M16" s="91">
        <v>1389074.22</v>
      </c>
      <c r="N16" s="91">
        <v>24909140.260000002</v>
      </c>
      <c r="O16" s="21">
        <v>0</v>
      </c>
      <c r="P16" s="91">
        <v>26298214.48</v>
      </c>
      <c r="Q16" s="91">
        <v>438378.43</v>
      </c>
      <c r="R16" s="91">
        <v>293284.37</v>
      </c>
      <c r="S16" s="91">
        <v>87657</v>
      </c>
      <c r="T16" s="91">
        <v>218000.69</v>
      </c>
      <c r="U16" s="91">
        <v>1037320.49</v>
      </c>
      <c r="V16" s="91">
        <v>105215.32</v>
      </c>
      <c r="W16" s="91">
        <v>250676.79</v>
      </c>
      <c r="X16" s="91">
        <v>40803.51</v>
      </c>
      <c r="Y16" s="91">
        <v>396695.62</v>
      </c>
      <c r="Z16" s="91">
        <v>11364.96</v>
      </c>
      <c r="AA16" s="21">
        <v>0</v>
      </c>
      <c r="AB16" s="21">
        <v>0</v>
      </c>
      <c r="AC16" s="21">
        <v>0</v>
      </c>
      <c r="AD16" s="91">
        <v>11364.96</v>
      </c>
      <c r="AE16" s="91">
        <v>5720</v>
      </c>
      <c r="AF16" s="91">
        <v>113936.54</v>
      </c>
      <c r="AH16" s="91">
        <v>27863252.09</v>
      </c>
      <c r="AI16" s="91">
        <v>2493097.98</v>
      </c>
      <c r="AJ16" s="91">
        <v>134999.70000000001</v>
      </c>
      <c r="AK16" s="21">
        <v>0</v>
      </c>
      <c r="AL16" s="21">
        <v>0</v>
      </c>
      <c r="AM16" s="21">
        <v>0</v>
      </c>
      <c r="AO16" s="91">
        <v>2628097.6800000002</v>
      </c>
      <c r="AP16" s="91">
        <v>2192774.7599999998</v>
      </c>
      <c r="AQ16" s="21">
        <v>0</v>
      </c>
      <c r="AR16" s="91">
        <v>267632.92</v>
      </c>
      <c r="AS16" s="21">
        <v>0</v>
      </c>
      <c r="AT16" s="21">
        <v>0</v>
      </c>
      <c r="AV16" s="91">
        <v>2460407.6800000002</v>
      </c>
      <c r="AW16" s="21">
        <v>0</v>
      </c>
      <c r="AX16" s="21">
        <v>0</v>
      </c>
      <c r="AY16" s="91">
        <v>11815.52</v>
      </c>
      <c r="AZ16" s="21">
        <v>0</v>
      </c>
      <c r="BB16" s="91">
        <v>203420.61</v>
      </c>
      <c r="BC16" s="21">
        <v>0</v>
      </c>
      <c r="BE16" s="91">
        <v>5291925.97</v>
      </c>
      <c r="BF16" s="21">
        <v>0</v>
      </c>
    </row>
    <row r="17" spans="1:58" x14ac:dyDescent="0.2">
      <c r="A17" s="18" t="s">
        <v>74</v>
      </c>
      <c r="B17" s="21">
        <v>0</v>
      </c>
      <c r="C17" s="21">
        <v>0</v>
      </c>
      <c r="D17" s="21">
        <v>0</v>
      </c>
      <c r="E17" s="91">
        <v>2559292</v>
      </c>
      <c r="F17" s="21">
        <v>0</v>
      </c>
      <c r="G17" s="91">
        <v>1747025</v>
      </c>
      <c r="H17" s="91">
        <v>23459374</v>
      </c>
      <c r="I17" s="21">
        <v>0</v>
      </c>
      <c r="J17" s="21">
        <v>0</v>
      </c>
      <c r="L17" s="91">
        <v>27765691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91">
        <v>23459374</v>
      </c>
      <c r="U17" s="91">
        <v>23459374</v>
      </c>
      <c r="V17" s="91">
        <v>1747025</v>
      </c>
      <c r="W17" s="21">
        <v>0</v>
      </c>
      <c r="X17" s="21">
        <v>0</v>
      </c>
      <c r="Y17" s="91">
        <v>1747025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H17" s="91">
        <v>25206399</v>
      </c>
      <c r="AI17" s="21">
        <v>0</v>
      </c>
      <c r="AJ17" s="91">
        <v>200000</v>
      </c>
      <c r="AK17" s="21">
        <v>0</v>
      </c>
      <c r="AL17" s="21">
        <v>0</v>
      </c>
      <c r="AM17" s="21">
        <v>0</v>
      </c>
      <c r="AO17" s="91">
        <v>200000</v>
      </c>
      <c r="AP17" s="91">
        <v>99500</v>
      </c>
      <c r="AQ17" s="21">
        <v>0</v>
      </c>
      <c r="AR17" s="91">
        <v>64193</v>
      </c>
      <c r="AS17" s="21">
        <v>0</v>
      </c>
      <c r="AT17" s="21">
        <v>0</v>
      </c>
      <c r="AV17" s="91">
        <v>163693</v>
      </c>
      <c r="AW17" s="21">
        <v>0</v>
      </c>
      <c r="AX17" s="91">
        <v>205355</v>
      </c>
      <c r="AY17" s="21">
        <v>0</v>
      </c>
      <c r="AZ17" s="21">
        <v>0</v>
      </c>
      <c r="BB17" s="91">
        <v>205355</v>
      </c>
      <c r="BC17" s="21">
        <v>0</v>
      </c>
      <c r="BE17" s="91">
        <v>569048</v>
      </c>
      <c r="BF17" s="91">
        <v>25775447</v>
      </c>
    </row>
    <row r="18" spans="1:58" x14ac:dyDescent="0.2">
      <c r="A18" s="18" t="s">
        <v>75</v>
      </c>
      <c r="B18" s="21">
        <v>0</v>
      </c>
      <c r="C18" s="91">
        <v>70689.210000000006</v>
      </c>
      <c r="D18" s="21">
        <v>0</v>
      </c>
      <c r="E18" s="91">
        <v>594129.43999999994</v>
      </c>
      <c r="F18" s="21">
        <v>0</v>
      </c>
      <c r="G18" s="91">
        <v>196695.09</v>
      </c>
      <c r="H18" s="91">
        <v>7448.04</v>
      </c>
      <c r="I18" s="91">
        <v>19436</v>
      </c>
      <c r="J18" s="21">
        <v>160.72999999999999</v>
      </c>
      <c r="L18" s="91">
        <v>888558.51</v>
      </c>
      <c r="M18" s="91">
        <v>19436</v>
      </c>
      <c r="N18" s="21">
        <v>0</v>
      </c>
      <c r="O18" s="21">
        <v>0</v>
      </c>
      <c r="P18" s="91">
        <v>19436</v>
      </c>
      <c r="Q18" s="21">
        <v>0</v>
      </c>
      <c r="R18" s="21">
        <v>0</v>
      </c>
      <c r="S18" s="21">
        <v>0</v>
      </c>
      <c r="T18" s="91">
        <v>7448.04</v>
      </c>
      <c r="U18" s="91">
        <v>7448.04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H18" s="91">
        <v>26884.04</v>
      </c>
      <c r="AI18" s="21">
        <v>0</v>
      </c>
      <c r="AJ18" s="91">
        <v>742950</v>
      </c>
      <c r="AK18" s="21">
        <v>0</v>
      </c>
      <c r="AL18" s="91">
        <v>10000</v>
      </c>
      <c r="AM18" s="21">
        <v>0</v>
      </c>
      <c r="AO18" s="91">
        <v>752950</v>
      </c>
      <c r="AP18" s="91">
        <v>60000</v>
      </c>
      <c r="AQ18" s="21">
        <v>0</v>
      </c>
      <c r="AR18" s="91">
        <v>216864.99</v>
      </c>
      <c r="AS18" s="21">
        <v>0</v>
      </c>
      <c r="AT18" s="21">
        <v>0</v>
      </c>
      <c r="AV18" s="91">
        <v>276864.99</v>
      </c>
      <c r="AW18" s="91">
        <v>94011.14</v>
      </c>
      <c r="AX18" s="91">
        <v>150499.18</v>
      </c>
      <c r="AY18" s="21">
        <v>0</v>
      </c>
      <c r="AZ18" s="21">
        <v>0</v>
      </c>
      <c r="BB18" s="91">
        <v>244510.32</v>
      </c>
      <c r="BC18" s="21">
        <v>0</v>
      </c>
      <c r="BE18" s="91">
        <v>1274325.31</v>
      </c>
      <c r="BF18" s="91">
        <v>1301209.3500000001</v>
      </c>
    </row>
    <row r="19" spans="1:58" x14ac:dyDescent="0.2">
      <c r="A19" s="18" t="s">
        <v>76</v>
      </c>
      <c r="B19" s="91">
        <v>40768.33</v>
      </c>
      <c r="C19" s="91">
        <v>27627.05</v>
      </c>
      <c r="D19" s="91">
        <v>1546.5</v>
      </c>
      <c r="E19" s="91">
        <v>6375469.25</v>
      </c>
      <c r="F19" s="91">
        <v>62025.43</v>
      </c>
      <c r="G19" s="91">
        <v>1111565.23</v>
      </c>
      <c r="H19" s="91">
        <v>232610.22</v>
      </c>
      <c r="I19" s="91">
        <v>103024.02</v>
      </c>
      <c r="J19" s="91">
        <v>39876.839999999997</v>
      </c>
      <c r="L19" s="91">
        <v>7994512.8700000001</v>
      </c>
      <c r="M19" s="91">
        <v>99195.54</v>
      </c>
      <c r="N19" s="91">
        <v>3100</v>
      </c>
      <c r="O19" s="91">
        <v>3828.48</v>
      </c>
      <c r="P19" s="91">
        <v>106124.02</v>
      </c>
      <c r="Q19" s="91">
        <v>44700</v>
      </c>
      <c r="R19" s="21">
        <v>0</v>
      </c>
      <c r="S19" s="91">
        <v>113945.46</v>
      </c>
      <c r="T19" s="91">
        <v>16424.14</v>
      </c>
      <c r="U19" s="91">
        <v>175069.6</v>
      </c>
      <c r="V19" s="91">
        <v>594344.24</v>
      </c>
      <c r="W19" s="91">
        <v>62470.83</v>
      </c>
      <c r="X19" s="21">
        <v>0</v>
      </c>
      <c r="Y19" s="91">
        <v>656815.06999999995</v>
      </c>
      <c r="Z19" s="21">
        <v>0</v>
      </c>
      <c r="AA19" s="21">
        <v>0</v>
      </c>
      <c r="AB19" s="21">
        <v>0</v>
      </c>
      <c r="AC19" s="91">
        <v>1546.5</v>
      </c>
      <c r="AD19" s="91">
        <v>1546.5</v>
      </c>
      <c r="AE19" s="21">
        <v>0</v>
      </c>
      <c r="AF19" s="21">
        <v>0</v>
      </c>
      <c r="AH19" s="91">
        <v>939555.19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O19" s="21">
        <v>0</v>
      </c>
      <c r="AP19" s="91">
        <v>333457.84999999998</v>
      </c>
      <c r="AQ19" s="21">
        <v>0</v>
      </c>
      <c r="AR19" s="91">
        <v>90278.04</v>
      </c>
      <c r="AS19" s="21">
        <v>0</v>
      </c>
      <c r="AT19" s="21">
        <v>0</v>
      </c>
      <c r="AV19" s="91">
        <v>423735.89</v>
      </c>
      <c r="AW19" s="91">
        <v>33042.18</v>
      </c>
      <c r="AX19" s="21">
        <v>0</v>
      </c>
      <c r="AY19" s="91">
        <v>127213.03</v>
      </c>
      <c r="AZ19" s="91">
        <v>249424.5</v>
      </c>
      <c r="BB19" s="91">
        <v>409679.71</v>
      </c>
      <c r="BC19" s="91">
        <v>96494.65</v>
      </c>
      <c r="BE19" s="91">
        <v>833415.6</v>
      </c>
      <c r="BF19" s="91">
        <v>1772970.79</v>
      </c>
    </row>
    <row r="20" spans="1:58" x14ac:dyDescent="0.2">
      <c r="A20" s="18" t="s">
        <v>77</v>
      </c>
      <c r="B20" s="21">
        <v>0</v>
      </c>
      <c r="C20" s="21">
        <v>0</v>
      </c>
      <c r="D20" s="21">
        <v>0</v>
      </c>
      <c r="E20" s="91">
        <v>2489670.37</v>
      </c>
      <c r="F20" s="21">
        <v>0</v>
      </c>
      <c r="G20" s="91">
        <v>1140463.94</v>
      </c>
      <c r="H20" s="91">
        <v>202588.6</v>
      </c>
      <c r="I20" s="91">
        <v>185435.71</v>
      </c>
      <c r="J20" s="91">
        <v>483562.1</v>
      </c>
      <c r="L20" s="91">
        <v>4501720.72</v>
      </c>
      <c r="M20" s="91">
        <v>184931.71</v>
      </c>
      <c r="N20" s="21">
        <v>0</v>
      </c>
      <c r="O20" s="21">
        <v>504</v>
      </c>
      <c r="P20" s="91">
        <v>185435.71</v>
      </c>
      <c r="Q20" s="91">
        <v>176428.19</v>
      </c>
      <c r="R20" s="21">
        <v>0</v>
      </c>
      <c r="S20" s="21">
        <v>0</v>
      </c>
      <c r="T20" s="91">
        <v>26160.41</v>
      </c>
      <c r="U20" s="91">
        <v>202588.6</v>
      </c>
      <c r="V20" s="91">
        <v>1140463.94</v>
      </c>
      <c r="W20" s="91">
        <v>289987.89</v>
      </c>
      <c r="X20" s="21">
        <v>0</v>
      </c>
      <c r="Y20" s="91">
        <v>1430451.83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91">
        <v>56902.25</v>
      </c>
      <c r="AH20" s="91">
        <v>1875378.39</v>
      </c>
      <c r="AI20" s="21">
        <v>0</v>
      </c>
      <c r="AJ20" s="91">
        <v>349859.86</v>
      </c>
      <c r="AK20" s="21">
        <v>0</v>
      </c>
      <c r="AL20" s="21">
        <v>0</v>
      </c>
      <c r="AM20" s="21">
        <v>0</v>
      </c>
      <c r="AO20" s="91">
        <v>349859.86</v>
      </c>
      <c r="AP20" s="91">
        <v>70182.95</v>
      </c>
      <c r="AQ20" s="21">
        <v>0</v>
      </c>
      <c r="AR20" s="91">
        <v>20805.3</v>
      </c>
      <c r="AS20" s="21">
        <v>0</v>
      </c>
      <c r="AT20" s="21">
        <v>0</v>
      </c>
      <c r="AV20" s="91">
        <v>70182.95</v>
      </c>
      <c r="AW20" s="91">
        <v>299230.18</v>
      </c>
      <c r="AX20" s="21">
        <v>0</v>
      </c>
      <c r="AY20" s="91">
        <v>117545.43</v>
      </c>
      <c r="AZ20" s="91">
        <v>171837.72</v>
      </c>
      <c r="BB20" s="91">
        <v>588613.32999999996</v>
      </c>
      <c r="BC20" s="21">
        <v>0</v>
      </c>
      <c r="BE20" s="91">
        <v>1008656.14</v>
      </c>
      <c r="BF20" s="91">
        <v>2884034.53</v>
      </c>
    </row>
    <row r="21" spans="1:58" x14ac:dyDescent="0.2">
      <c r="A21" s="18" t="s">
        <v>78</v>
      </c>
      <c r="B21" s="21">
        <v>0</v>
      </c>
      <c r="C21" s="21">
        <v>0</v>
      </c>
      <c r="D21" s="21">
        <v>0</v>
      </c>
      <c r="E21" s="91">
        <v>1000</v>
      </c>
      <c r="F21" s="21">
        <v>0</v>
      </c>
      <c r="G21" s="21">
        <v>0</v>
      </c>
      <c r="H21" s="91">
        <v>14394.82</v>
      </c>
      <c r="I21" s="91">
        <v>2631.77</v>
      </c>
      <c r="J21" s="21">
        <v>3.15</v>
      </c>
      <c r="L21" s="91">
        <v>18029.740000000002</v>
      </c>
      <c r="M21" s="91">
        <v>2631.77</v>
      </c>
      <c r="N21" s="21">
        <v>0</v>
      </c>
      <c r="O21" s="91">
        <v>12100.25</v>
      </c>
      <c r="P21" s="91">
        <v>14732.02</v>
      </c>
      <c r="Q21" s="21">
        <v>619.57000000000005</v>
      </c>
      <c r="R21" s="21">
        <v>0</v>
      </c>
      <c r="S21" s="21">
        <v>0</v>
      </c>
      <c r="T21" s="21">
        <v>0</v>
      </c>
      <c r="U21" s="21">
        <v>619.57000000000005</v>
      </c>
      <c r="V21" s="91">
        <v>1675</v>
      </c>
      <c r="W21" s="21">
        <v>0</v>
      </c>
      <c r="X21" s="21">
        <v>0</v>
      </c>
      <c r="Y21" s="91">
        <v>1675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H21" s="91">
        <v>17026.59</v>
      </c>
      <c r="AI21" s="21">
        <v>0</v>
      </c>
      <c r="AJ21" s="21">
        <v>0</v>
      </c>
      <c r="AK21" s="91">
        <v>1000</v>
      </c>
      <c r="AL21" s="21">
        <v>0</v>
      </c>
      <c r="AM21" s="21">
        <v>0</v>
      </c>
      <c r="AO21" s="91">
        <v>1000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B21" s="21">
        <v>0</v>
      </c>
      <c r="BC21" s="21">
        <v>0</v>
      </c>
      <c r="BE21" s="91">
        <v>1000</v>
      </c>
      <c r="BF21" s="91">
        <v>18026.59</v>
      </c>
    </row>
    <row r="22" spans="1:58" x14ac:dyDescent="0.2">
      <c r="A22" s="18" t="s">
        <v>79</v>
      </c>
      <c r="B22" s="21">
        <v>0</v>
      </c>
      <c r="C22" s="91">
        <v>47677.5</v>
      </c>
      <c r="D22" s="21">
        <v>0</v>
      </c>
      <c r="E22" s="91">
        <v>897501.54</v>
      </c>
      <c r="F22" s="21">
        <v>0</v>
      </c>
      <c r="G22" s="21">
        <v>0</v>
      </c>
      <c r="H22" s="91">
        <v>13991.27</v>
      </c>
      <c r="I22" s="91">
        <v>12353.83</v>
      </c>
      <c r="J22" s="21">
        <v>0</v>
      </c>
      <c r="L22" s="91">
        <v>971524.14</v>
      </c>
      <c r="M22" s="91">
        <v>12353.85</v>
      </c>
      <c r="N22" s="21">
        <v>0</v>
      </c>
      <c r="O22" s="21">
        <v>0</v>
      </c>
      <c r="P22" s="91">
        <v>12353.85</v>
      </c>
      <c r="Q22" s="21">
        <v>0</v>
      </c>
      <c r="R22" s="21">
        <v>0</v>
      </c>
      <c r="S22" s="21">
        <v>0</v>
      </c>
      <c r="T22" s="91">
        <v>13991.27</v>
      </c>
      <c r="U22" s="91">
        <v>13991.27</v>
      </c>
      <c r="V22" s="91">
        <v>25381.54</v>
      </c>
      <c r="W22" s="21">
        <v>0</v>
      </c>
      <c r="X22" s="21">
        <v>0</v>
      </c>
      <c r="Y22" s="91">
        <v>25381.54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H22" s="91">
        <v>51726.66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O22" s="21">
        <v>0</v>
      </c>
      <c r="AP22" s="91">
        <v>121900</v>
      </c>
      <c r="AQ22" s="21">
        <v>0</v>
      </c>
      <c r="AR22" s="91">
        <v>345746</v>
      </c>
      <c r="AS22" s="21">
        <v>0</v>
      </c>
      <c r="AT22" s="21">
        <v>0</v>
      </c>
      <c r="AV22" s="91">
        <v>467646</v>
      </c>
      <c r="AW22" s="21">
        <v>0</v>
      </c>
      <c r="AX22" s="21">
        <v>0</v>
      </c>
      <c r="AY22" s="21">
        <v>0</v>
      </c>
      <c r="AZ22" s="21">
        <v>0</v>
      </c>
      <c r="BB22" s="21">
        <v>0</v>
      </c>
      <c r="BC22" s="21">
        <v>0</v>
      </c>
      <c r="BE22" s="91">
        <v>467646</v>
      </c>
      <c r="BF22" s="91">
        <v>519372.66</v>
      </c>
    </row>
    <row r="23" spans="1:58" x14ac:dyDescent="0.2">
      <c r="A23" s="18" t="s">
        <v>80</v>
      </c>
      <c r="B23" s="21">
        <v>0</v>
      </c>
      <c r="C23" s="91">
        <v>24886</v>
      </c>
      <c r="D23" s="21">
        <v>0</v>
      </c>
      <c r="E23" s="91">
        <v>329122</v>
      </c>
      <c r="F23" s="21">
        <v>0</v>
      </c>
      <c r="G23" s="91">
        <v>234337</v>
      </c>
      <c r="H23" s="91">
        <v>431450</v>
      </c>
      <c r="I23" s="91">
        <v>32429</v>
      </c>
      <c r="J23" s="91">
        <v>363848</v>
      </c>
      <c r="L23" s="91">
        <v>1416072</v>
      </c>
      <c r="M23" s="21">
        <v>0</v>
      </c>
      <c r="N23" s="21">
        <v>0</v>
      </c>
      <c r="O23" s="21">
        <v>0</v>
      </c>
      <c r="P23" s="21">
        <v>0</v>
      </c>
      <c r="Q23" s="91">
        <v>4000</v>
      </c>
      <c r="R23" s="21">
        <v>0</v>
      </c>
      <c r="S23" s="21">
        <v>0</v>
      </c>
      <c r="T23" s="21">
        <v>0</v>
      </c>
      <c r="U23" s="91">
        <v>4000</v>
      </c>
      <c r="V23" s="91">
        <v>33000</v>
      </c>
      <c r="W23" s="21">
        <v>0</v>
      </c>
      <c r="X23" s="21">
        <v>0</v>
      </c>
      <c r="Y23" s="91">
        <v>33000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H23" s="91">
        <v>37000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O23" s="21">
        <v>0</v>
      </c>
      <c r="AP23" s="91">
        <v>55332</v>
      </c>
      <c r="AQ23" s="21">
        <v>0</v>
      </c>
      <c r="AR23" s="21">
        <v>700</v>
      </c>
      <c r="AS23" s="21">
        <v>0</v>
      </c>
      <c r="AT23" s="21">
        <v>0</v>
      </c>
      <c r="AV23" s="91">
        <v>55332</v>
      </c>
      <c r="AW23" s="21">
        <v>0</v>
      </c>
      <c r="AX23" s="21">
        <v>0</v>
      </c>
      <c r="AY23" s="21">
        <v>0</v>
      </c>
      <c r="AZ23" s="21">
        <v>0</v>
      </c>
      <c r="BB23" s="21">
        <v>0</v>
      </c>
      <c r="BC23" s="21">
        <v>0</v>
      </c>
      <c r="BE23" s="91">
        <v>55332</v>
      </c>
      <c r="BF23" s="91">
        <v>92332</v>
      </c>
    </row>
    <row r="24" spans="1:58" x14ac:dyDescent="0.2">
      <c r="A24" s="18" t="s">
        <v>81</v>
      </c>
      <c r="B24" s="21">
        <v>0</v>
      </c>
      <c r="C24" s="91">
        <v>37099</v>
      </c>
      <c r="D24" s="21">
        <v>0</v>
      </c>
      <c r="E24" s="91">
        <v>28498315</v>
      </c>
      <c r="F24" s="21">
        <v>0</v>
      </c>
      <c r="G24" s="21">
        <v>0</v>
      </c>
      <c r="H24" s="21">
        <v>0</v>
      </c>
      <c r="I24" s="21">
        <v>0</v>
      </c>
      <c r="J24" s="91">
        <v>71115</v>
      </c>
      <c r="L24" s="91">
        <v>28606529</v>
      </c>
      <c r="M24" s="91">
        <v>9000880</v>
      </c>
      <c r="N24" s="21">
        <v>0</v>
      </c>
      <c r="O24" s="21">
        <v>0</v>
      </c>
      <c r="P24" s="91">
        <v>9000880</v>
      </c>
      <c r="Q24" s="21">
        <v>0</v>
      </c>
      <c r="R24" s="91">
        <v>6131285</v>
      </c>
      <c r="S24" s="21">
        <v>0</v>
      </c>
      <c r="T24" s="21">
        <v>0</v>
      </c>
      <c r="U24" s="91">
        <v>6131285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91">
        <v>2769487</v>
      </c>
      <c r="AH24" s="91">
        <v>17901652</v>
      </c>
      <c r="AI24" s="91">
        <v>2159563</v>
      </c>
      <c r="AJ24" s="91">
        <v>2136477</v>
      </c>
      <c r="AK24" s="21">
        <v>0</v>
      </c>
      <c r="AL24" s="21">
        <v>0</v>
      </c>
      <c r="AM24" s="21">
        <v>0</v>
      </c>
      <c r="AO24" s="91">
        <v>4296040</v>
      </c>
      <c r="AP24" s="91">
        <v>3059520</v>
      </c>
      <c r="AQ24" s="21">
        <v>0</v>
      </c>
      <c r="AR24" s="21">
        <v>0</v>
      </c>
      <c r="AS24" s="21">
        <v>0</v>
      </c>
      <c r="AT24" s="21">
        <v>0</v>
      </c>
      <c r="AV24" s="91">
        <v>3059520</v>
      </c>
      <c r="AW24" s="91">
        <v>1091523</v>
      </c>
      <c r="AX24" s="91">
        <v>1089019</v>
      </c>
      <c r="AY24" s="21">
        <v>0</v>
      </c>
      <c r="AZ24" s="21">
        <v>0</v>
      </c>
      <c r="BB24" s="21">
        <v>0</v>
      </c>
      <c r="BC24" s="21">
        <v>0</v>
      </c>
      <c r="BE24" s="91">
        <v>7355560</v>
      </c>
      <c r="BF24" s="21">
        <v>0</v>
      </c>
    </row>
    <row r="25" spans="1:58" x14ac:dyDescent="0.2">
      <c r="A25" s="18" t="s">
        <v>82</v>
      </c>
      <c r="B25" s="21">
        <v>0</v>
      </c>
      <c r="C25" s="21">
        <v>0</v>
      </c>
      <c r="D25" s="21">
        <v>0</v>
      </c>
      <c r="E25" s="91">
        <v>49864.54</v>
      </c>
      <c r="F25" s="21">
        <v>0</v>
      </c>
      <c r="G25" s="21">
        <v>0</v>
      </c>
      <c r="H25" s="21">
        <v>800</v>
      </c>
      <c r="I25" s="21">
        <v>0</v>
      </c>
      <c r="J25" s="21">
        <v>0</v>
      </c>
      <c r="L25" s="91">
        <v>50664.54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91">
        <v>14997.61</v>
      </c>
      <c r="W25" s="21">
        <v>0</v>
      </c>
      <c r="X25" s="21">
        <v>0</v>
      </c>
      <c r="Y25" s="91">
        <v>14997.61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800</v>
      </c>
      <c r="AH25" s="91">
        <v>15797.61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91">
        <v>34866.93</v>
      </c>
      <c r="AV25" s="91">
        <v>34866.93</v>
      </c>
      <c r="AW25" s="21">
        <v>0</v>
      </c>
      <c r="AX25" s="21">
        <v>0</v>
      </c>
      <c r="AY25" s="21">
        <v>0</v>
      </c>
      <c r="AZ25" s="21">
        <v>0</v>
      </c>
      <c r="BB25" s="21">
        <v>0</v>
      </c>
      <c r="BC25" s="21">
        <v>0</v>
      </c>
      <c r="BE25" s="91">
        <v>34866.93</v>
      </c>
      <c r="BF25" s="91">
        <v>50664.54</v>
      </c>
    </row>
    <row r="26" spans="1:58" x14ac:dyDescent="0.2">
      <c r="A26" s="18" t="s">
        <v>83</v>
      </c>
      <c r="B26" s="91">
        <v>46474.559999999998</v>
      </c>
      <c r="C26" s="21">
        <v>0</v>
      </c>
      <c r="D26" s="91">
        <v>28936.81</v>
      </c>
      <c r="E26" s="21">
        <v>0</v>
      </c>
      <c r="F26" s="21">
        <v>0</v>
      </c>
      <c r="G26" s="21">
        <v>0</v>
      </c>
      <c r="H26" s="91">
        <v>68537.960000000006</v>
      </c>
      <c r="I26" s="91">
        <v>31321.46</v>
      </c>
      <c r="J26" s="21">
        <v>0</v>
      </c>
      <c r="L26" s="91">
        <v>175270.79</v>
      </c>
      <c r="M26" s="91">
        <v>31321.46</v>
      </c>
      <c r="N26" s="21">
        <v>0</v>
      </c>
      <c r="O26" s="21">
        <v>0</v>
      </c>
      <c r="P26" s="91">
        <v>31321.46</v>
      </c>
      <c r="Q26" s="91">
        <v>68537.960000000006</v>
      </c>
      <c r="R26" s="21">
        <v>322</v>
      </c>
      <c r="S26" s="91">
        <v>28614.81</v>
      </c>
      <c r="T26" s="21">
        <v>0</v>
      </c>
      <c r="U26" s="91">
        <v>97474.77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H26" s="91">
        <v>128796.23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B26" s="21">
        <v>0</v>
      </c>
      <c r="BC26" s="21">
        <v>0</v>
      </c>
      <c r="BE26" s="21">
        <v>0</v>
      </c>
      <c r="BF26" s="91">
        <v>128796.23</v>
      </c>
    </row>
    <row r="27" spans="1:58" x14ac:dyDescent="0.2">
      <c r="A27" s="18" t="s">
        <v>84</v>
      </c>
      <c r="B27" s="21">
        <v>0</v>
      </c>
      <c r="C27" s="21">
        <v>0</v>
      </c>
      <c r="D27" s="21">
        <v>0</v>
      </c>
      <c r="E27" s="91">
        <v>224919</v>
      </c>
      <c r="F27" s="21">
        <v>0</v>
      </c>
      <c r="G27" s="21">
        <v>0</v>
      </c>
      <c r="H27" s="91">
        <v>437372</v>
      </c>
      <c r="I27" s="91">
        <v>22416596</v>
      </c>
      <c r="J27" s="91">
        <v>2212558</v>
      </c>
      <c r="L27" s="91">
        <v>25291445</v>
      </c>
      <c r="M27" s="91">
        <v>632710</v>
      </c>
      <c r="N27" s="91">
        <v>21783886</v>
      </c>
      <c r="O27" s="21">
        <v>0</v>
      </c>
      <c r="P27" s="91">
        <v>22416596</v>
      </c>
      <c r="Q27" s="21">
        <v>0</v>
      </c>
      <c r="R27" s="21">
        <v>0</v>
      </c>
      <c r="S27" s="21">
        <v>0</v>
      </c>
      <c r="T27" s="91">
        <v>436986</v>
      </c>
      <c r="U27" s="91">
        <v>436986</v>
      </c>
      <c r="V27" s="21">
        <v>0</v>
      </c>
      <c r="W27" s="21">
        <v>0</v>
      </c>
      <c r="X27" s="21">
        <v>386</v>
      </c>
      <c r="Y27" s="21">
        <v>386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91">
        <v>21100</v>
      </c>
      <c r="AH27" s="91">
        <v>22875068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O27" s="21">
        <v>0</v>
      </c>
      <c r="AP27" s="21">
        <v>0</v>
      </c>
      <c r="AQ27" s="21">
        <v>0</v>
      </c>
      <c r="AR27" s="91">
        <v>224919</v>
      </c>
      <c r="AS27" s="21">
        <v>0</v>
      </c>
      <c r="AT27" s="21">
        <v>0</v>
      </c>
      <c r="AV27" s="91">
        <v>224919</v>
      </c>
      <c r="AW27" s="21">
        <v>0</v>
      </c>
      <c r="AX27" s="21">
        <v>0</v>
      </c>
      <c r="AY27" s="21">
        <v>0</v>
      </c>
      <c r="AZ27" s="21">
        <v>0</v>
      </c>
      <c r="BB27" s="21">
        <v>0</v>
      </c>
      <c r="BC27" s="21">
        <v>0</v>
      </c>
      <c r="BE27" s="91">
        <v>224919</v>
      </c>
      <c r="BF27" s="91">
        <v>23099987</v>
      </c>
    </row>
    <row r="28" spans="1:58" x14ac:dyDescent="0.2">
      <c r="A28" s="18" t="s">
        <v>85</v>
      </c>
      <c r="B28" s="91">
        <v>165245.5</v>
      </c>
      <c r="C28" s="91">
        <v>9700</v>
      </c>
      <c r="D28" s="21">
        <v>0</v>
      </c>
      <c r="E28" s="91">
        <v>1177036</v>
      </c>
      <c r="F28" s="21">
        <v>0</v>
      </c>
      <c r="G28" s="91">
        <v>165843.5</v>
      </c>
      <c r="H28" s="21">
        <v>0</v>
      </c>
      <c r="I28" s="21">
        <v>0</v>
      </c>
      <c r="J28" s="21">
        <v>0</v>
      </c>
      <c r="L28" s="91">
        <v>1517825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598</v>
      </c>
      <c r="W28" s="21">
        <v>0</v>
      </c>
      <c r="X28" s="21">
        <v>0</v>
      </c>
      <c r="Y28" s="21">
        <v>598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91">
        <v>9700</v>
      </c>
      <c r="AF28" s="21">
        <v>0</v>
      </c>
      <c r="AH28" s="91">
        <v>10298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O28" s="21">
        <v>0</v>
      </c>
      <c r="AP28" s="91">
        <v>339511</v>
      </c>
      <c r="AQ28" s="21">
        <v>0</v>
      </c>
      <c r="AR28" s="91">
        <v>32284</v>
      </c>
      <c r="AS28" s="21">
        <v>0</v>
      </c>
      <c r="AT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B28" s="21">
        <v>0</v>
      </c>
      <c r="BC28" s="21">
        <v>0</v>
      </c>
      <c r="BE28" s="91">
        <v>339511</v>
      </c>
      <c r="BF28" s="91">
        <v>349809</v>
      </c>
    </row>
    <row r="29" spans="1:58" x14ac:dyDescent="0.2">
      <c r="A29" s="252" t="s">
        <v>86</v>
      </c>
      <c r="B29" s="21">
        <v>0</v>
      </c>
      <c r="C29" s="91">
        <v>31169.599999999999</v>
      </c>
      <c r="D29" s="91">
        <v>49774.559999999998</v>
      </c>
      <c r="E29" s="91">
        <v>400</v>
      </c>
      <c r="F29" s="21">
        <v>0</v>
      </c>
      <c r="G29" s="91">
        <v>10000</v>
      </c>
      <c r="H29" s="91">
        <v>136133.78</v>
      </c>
      <c r="I29" s="91">
        <v>61883.14</v>
      </c>
      <c r="J29" s="21">
        <v>57.81</v>
      </c>
      <c r="L29" s="91">
        <v>289418.89</v>
      </c>
      <c r="M29" s="91">
        <v>61883.14</v>
      </c>
      <c r="N29" s="21">
        <v>0</v>
      </c>
      <c r="O29" s="21">
        <v>0</v>
      </c>
      <c r="P29" s="91">
        <v>61883.14</v>
      </c>
      <c r="Q29" s="91">
        <v>129708.7</v>
      </c>
      <c r="R29" s="91">
        <v>34555.980000000003</v>
      </c>
      <c r="S29" s="91">
        <v>49774.559999999998</v>
      </c>
      <c r="T29" s="91">
        <v>6425</v>
      </c>
      <c r="U29" s="91">
        <v>220464.24</v>
      </c>
      <c r="V29" s="91">
        <v>10000</v>
      </c>
      <c r="W29" s="21">
        <v>0</v>
      </c>
      <c r="X29" s="21">
        <v>0</v>
      </c>
      <c r="Y29" s="91">
        <v>10000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91">
        <v>31169.599999999999</v>
      </c>
      <c r="AF29" s="21">
        <v>0</v>
      </c>
      <c r="AH29" s="91">
        <v>323516.98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O29" s="21">
        <v>0</v>
      </c>
      <c r="AP29" s="91">
        <v>80000</v>
      </c>
      <c r="AQ29" s="21">
        <v>0</v>
      </c>
      <c r="AR29" s="21">
        <v>400</v>
      </c>
      <c r="AS29" s="21">
        <v>0</v>
      </c>
      <c r="AT29" s="21">
        <v>0</v>
      </c>
      <c r="AV29" s="91">
        <v>80400</v>
      </c>
      <c r="AW29" s="21">
        <v>0</v>
      </c>
      <c r="AX29" s="21">
        <v>0</v>
      </c>
      <c r="AY29" s="21">
        <v>0</v>
      </c>
      <c r="AZ29" s="21">
        <v>0</v>
      </c>
      <c r="BB29" s="21">
        <v>0</v>
      </c>
      <c r="BC29" s="21">
        <v>0</v>
      </c>
      <c r="BE29" s="91">
        <v>80400</v>
      </c>
      <c r="BF29" s="91">
        <v>403916.98</v>
      </c>
    </row>
    <row r="30" spans="1:58" x14ac:dyDescent="0.2">
      <c r="A30" s="18" t="s">
        <v>87</v>
      </c>
      <c r="B30" s="21">
        <v>0</v>
      </c>
      <c r="C30" s="21">
        <v>0</v>
      </c>
      <c r="D30" s="91">
        <v>1942615.96</v>
      </c>
      <c r="E30" s="91">
        <v>3941255.42</v>
      </c>
      <c r="F30" s="21">
        <v>0</v>
      </c>
      <c r="G30" s="91">
        <v>1353556.71</v>
      </c>
      <c r="H30" s="91">
        <v>115894.7</v>
      </c>
      <c r="I30" s="91">
        <v>310552.5</v>
      </c>
      <c r="J30" s="21">
        <v>0</v>
      </c>
      <c r="L30" s="91">
        <v>7663875.29</v>
      </c>
      <c r="M30" s="91">
        <v>310552.5</v>
      </c>
      <c r="N30" s="21">
        <v>0</v>
      </c>
      <c r="O30" s="21">
        <v>0</v>
      </c>
      <c r="P30" s="91">
        <v>310552.5</v>
      </c>
      <c r="Q30" s="21">
        <v>0</v>
      </c>
      <c r="R30" s="91">
        <v>14302.56</v>
      </c>
      <c r="S30" s="91">
        <v>992664</v>
      </c>
      <c r="T30" s="91">
        <v>115894.7</v>
      </c>
      <c r="U30" s="91">
        <v>1122861.26</v>
      </c>
      <c r="V30" s="21">
        <v>0</v>
      </c>
      <c r="W30" s="91">
        <v>251821.42</v>
      </c>
      <c r="X30" s="21">
        <v>0</v>
      </c>
      <c r="Y30" s="91">
        <v>251821.42</v>
      </c>
      <c r="Z30" s="91">
        <v>1914498.95</v>
      </c>
      <c r="AA30" s="91">
        <v>28117.01</v>
      </c>
      <c r="AB30" s="21">
        <v>0</v>
      </c>
      <c r="AC30" s="21">
        <v>0</v>
      </c>
      <c r="AD30" s="91">
        <v>1942615.96</v>
      </c>
      <c r="AE30" s="21">
        <v>0</v>
      </c>
      <c r="AF30" s="21">
        <v>0</v>
      </c>
      <c r="AH30" s="91">
        <v>3627851.14</v>
      </c>
      <c r="AI30" s="21">
        <v>0</v>
      </c>
      <c r="AJ30" s="91">
        <v>233286</v>
      </c>
      <c r="AK30" s="21">
        <v>0</v>
      </c>
      <c r="AL30" s="21">
        <v>0</v>
      </c>
      <c r="AM30" s="21">
        <v>0</v>
      </c>
      <c r="AO30" s="91">
        <v>233286</v>
      </c>
      <c r="AP30" s="91">
        <v>2394877.63</v>
      </c>
      <c r="AQ30" s="21">
        <v>0</v>
      </c>
      <c r="AR30" s="91">
        <v>726033.32</v>
      </c>
      <c r="AS30" s="21">
        <v>0</v>
      </c>
      <c r="AT30" s="21">
        <v>0</v>
      </c>
      <c r="AV30" s="91">
        <v>3120910.95</v>
      </c>
      <c r="AW30" s="21">
        <v>0</v>
      </c>
      <c r="AX30" s="21">
        <v>0</v>
      </c>
      <c r="AY30" s="21">
        <v>0</v>
      </c>
      <c r="AZ30" s="91">
        <v>10013.959999999999</v>
      </c>
      <c r="BB30" s="91">
        <v>10013.959999999999</v>
      </c>
      <c r="BC30" s="21">
        <v>0</v>
      </c>
      <c r="BE30" s="91">
        <v>3364210.91</v>
      </c>
      <c r="BF30" s="91">
        <v>6992062.0499999998</v>
      </c>
    </row>
    <row r="31" spans="1:58" x14ac:dyDescent="0.2">
      <c r="A31" s="18" t="s">
        <v>88</v>
      </c>
      <c r="B31" s="21">
        <v>0</v>
      </c>
      <c r="C31" s="21">
        <v>0</v>
      </c>
      <c r="D31" s="21">
        <v>0</v>
      </c>
      <c r="E31" s="91">
        <v>86945</v>
      </c>
      <c r="F31" s="21">
        <v>0</v>
      </c>
      <c r="G31" s="91">
        <v>26700</v>
      </c>
      <c r="H31" s="91">
        <v>10200</v>
      </c>
      <c r="I31" s="21">
        <v>0</v>
      </c>
      <c r="J31" s="21">
        <v>0</v>
      </c>
      <c r="L31" s="91">
        <v>123845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91">
        <v>7000</v>
      </c>
      <c r="S31" s="91">
        <v>3200</v>
      </c>
      <c r="T31" s="21">
        <v>0</v>
      </c>
      <c r="U31" s="91">
        <v>10200</v>
      </c>
      <c r="V31" s="91">
        <v>26700</v>
      </c>
      <c r="W31" s="21">
        <v>0</v>
      </c>
      <c r="X31" s="21">
        <v>0</v>
      </c>
      <c r="Y31" s="91">
        <v>26700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H31" s="91">
        <v>36900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O31" s="21">
        <v>0</v>
      </c>
      <c r="AP31" s="91">
        <v>63226</v>
      </c>
      <c r="AQ31" s="21">
        <v>0</v>
      </c>
      <c r="AR31" s="91">
        <v>23719</v>
      </c>
      <c r="AS31" s="21">
        <v>0</v>
      </c>
      <c r="AT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B31" s="21">
        <v>0</v>
      </c>
      <c r="BC31" s="21">
        <v>0</v>
      </c>
      <c r="BE31" s="91">
        <v>63226</v>
      </c>
      <c r="BF31" s="91">
        <v>100126</v>
      </c>
    </row>
    <row r="32" spans="1:58" x14ac:dyDescent="0.2">
      <c r="A32" s="18" t="s">
        <v>89</v>
      </c>
      <c r="B32" s="21">
        <v>0</v>
      </c>
      <c r="C32" s="91">
        <v>342047.46</v>
      </c>
      <c r="D32" s="91">
        <v>40322.910000000003</v>
      </c>
      <c r="E32" s="91">
        <v>553063.56999999995</v>
      </c>
      <c r="F32" s="21">
        <v>0</v>
      </c>
      <c r="G32" s="91">
        <v>45170.63</v>
      </c>
      <c r="H32" s="21">
        <v>0</v>
      </c>
      <c r="I32" s="91">
        <v>128377.42</v>
      </c>
      <c r="J32" s="91">
        <v>1785.79</v>
      </c>
      <c r="L32" s="91">
        <v>1110767.78</v>
      </c>
      <c r="M32" s="91">
        <v>128377.42</v>
      </c>
      <c r="N32" s="21">
        <v>0</v>
      </c>
      <c r="O32" s="21">
        <v>0</v>
      </c>
      <c r="P32" s="91">
        <v>128377.42</v>
      </c>
      <c r="Q32" s="91">
        <v>45170.63</v>
      </c>
      <c r="R32" s="21">
        <v>0</v>
      </c>
      <c r="S32" s="91">
        <v>382370.37</v>
      </c>
      <c r="T32" s="21">
        <v>0</v>
      </c>
      <c r="U32" s="91">
        <v>427541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H32" s="91">
        <v>555918.42000000004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O32" s="21">
        <v>0</v>
      </c>
      <c r="AP32" s="91">
        <v>256708.33</v>
      </c>
      <c r="AQ32" s="21">
        <v>0</v>
      </c>
      <c r="AR32" s="91">
        <v>296355.24</v>
      </c>
      <c r="AS32" s="21">
        <v>0</v>
      </c>
      <c r="AT32" s="21">
        <v>0</v>
      </c>
      <c r="AV32" s="91">
        <v>553063.56999999995</v>
      </c>
      <c r="AW32" s="21">
        <v>0</v>
      </c>
      <c r="AX32" s="21">
        <v>0</v>
      </c>
      <c r="AY32" s="21">
        <v>0</v>
      </c>
      <c r="AZ32" s="21">
        <v>0</v>
      </c>
      <c r="BB32" s="21">
        <v>0</v>
      </c>
      <c r="BC32" s="21">
        <v>0</v>
      </c>
      <c r="BE32" s="91">
        <v>553063.56999999995</v>
      </c>
      <c r="BF32" s="91">
        <v>1108981.99</v>
      </c>
    </row>
    <row r="33" spans="1:58" x14ac:dyDescent="0.2">
      <c r="A33" s="18" t="s">
        <v>90</v>
      </c>
      <c r="B33" s="21">
        <v>0</v>
      </c>
      <c r="C33" s="21">
        <v>0</v>
      </c>
      <c r="D33" s="21">
        <v>0</v>
      </c>
      <c r="E33" s="91">
        <v>246624.33</v>
      </c>
      <c r="F33" s="21">
        <v>0</v>
      </c>
      <c r="G33" s="91">
        <v>35911.629999999997</v>
      </c>
      <c r="H33" s="91">
        <v>536200.03</v>
      </c>
      <c r="I33" s="91">
        <v>11440</v>
      </c>
      <c r="J33" s="21">
        <v>0</v>
      </c>
      <c r="L33" s="91">
        <v>830175.99</v>
      </c>
      <c r="M33" s="91">
        <v>168869.86</v>
      </c>
      <c r="N33" s="21">
        <v>0</v>
      </c>
      <c r="O33" s="91">
        <v>12276.2</v>
      </c>
      <c r="P33" s="91">
        <v>181146.06</v>
      </c>
      <c r="Q33" s="91">
        <v>5973.37</v>
      </c>
      <c r="R33" s="21">
        <v>0</v>
      </c>
      <c r="S33" s="91">
        <v>360520.6</v>
      </c>
      <c r="T33" s="21">
        <v>0</v>
      </c>
      <c r="U33" s="91">
        <v>366493.97</v>
      </c>
      <c r="V33" s="91">
        <v>35911.629999999997</v>
      </c>
      <c r="W33" s="21">
        <v>0</v>
      </c>
      <c r="X33" s="21">
        <v>0</v>
      </c>
      <c r="Y33" s="91">
        <v>35911.629999999997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H33" s="91">
        <v>583551.66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O33" s="21">
        <v>0</v>
      </c>
      <c r="AP33" s="91">
        <v>236267.71</v>
      </c>
      <c r="AQ33" s="21">
        <v>0</v>
      </c>
      <c r="AR33" s="91">
        <v>10356.620000000001</v>
      </c>
      <c r="AS33" s="21">
        <v>0</v>
      </c>
      <c r="AT33" s="21">
        <v>0</v>
      </c>
      <c r="AV33" s="91">
        <v>246624.33</v>
      </c>
      <c r="AW33" s="21">
        <v>0</v>
      </c>
      <c r="AX33" s="21">
        <v>0</v>
      </c>
      <c r="AY33" s="21">
        <v>0</v>
      </c>
      <c r="AZ33" s="21">
        <v>0</v>
      </c>
      <c r="BB33" s="21">
        <v>0</v>
      </c>
      <c r="BC33" s="21">
        <v>0</v>
      </c>
      <c r="BE33" s="91">
        <v>246624.33</v>
      </c>
      <c r="BF33" s="91">
        <v>830175.99</v>
      </c>
    </row>
    <row r="34" spans="1:58" x14ac:dyDescent="0.2">
      <c r="A34" s="18" t="s">
        <v>91</v>
      </c>
      <c r="B34" s="21">
        <v>0</v>
      </c>
      <c r="C34" s="21">
        <v>0</v>
      </c>
      <c r="D34" s="21">
        <v>0</v>
      </c>
      <c r="E34" s="91">
        <v>2738.38</v>
      </c>
      <c r="F34" s="21">
        <v>0</v>
      </c>
      <c r="G34" s="21">
        <v>0</v>
      </c>
      <c r="H34" s="91">
        <v>70131.789999999994</v>
      </c>
      <c r="I34" s="21">
        <v>0</v>
      </c>
      <c r="J34" s="21">
        <v>0</v>
      </c>
      <c r="L34" s="91">
        <v>72870.17</v>
      </c>
      <c r="M34" s="21">
        <v>0</v>
      </c>
      <c r="N34" s="21">
        <v>0</v>
      </c>
      <c r="O34" s="21">
        <v>0</v>
      </c>
      <c r="P34" s="21">
        <v>0</v>
      </c>
      <c r="Q34" s="91">
        <v>70131.789999999994</v>
      </c>
      <c r="R34" s="21">
        <v>0</v>
      </c>
      <c r="S34" s="21">
        <v>0</v>
      </c>
      <c r="T34" s="21">
        <v>0</v>
      </c>
      <c r="U34" s="91">
        <v>70131.789999999994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H34" s="91">
        <v>70131.789999999994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V34" s="21">
        <v>0</v>
      </c>
      <c r="AW34" s="91">
        <v>2738.38</v>
      </c>
      <c r="AX34" s="21">
        <v>0</v>
      </c>
      <c r="AY34" s="21">
        <v>0</v>
      </c>
      <c r="AZ34" s="21">
        <v>0</v>
      </c>
      <c r="BB34" s="91">
        <v>2738.38</v>
      </c>
      <c r="BC34" s="21">
        <v>0</v>
      </c>
      <c r="BE34" s="91">
        <v>2738.38</v>
      </c>
      <c r="BF34" s="91">
        <v>72870.17</v>
      </c>
    </row>
    <row r="35" spans="1:58" x14ac:dyDescent="0.2">
      <c r="A35" s="18" t="s">
        <v>92</v>
      </c>
      <c r="B35" s="21">
        <v>0</v>
      </c>
      <c r="C35" s="91">
        <v>878331.34</v>
      </c>
      <c r="D35" s="21">
        <v>0</v>
      </c>
      <c r="E35" s="91">
        <v>382721.83</v>
      </c>
      <c r="F35" s="21">
        <v>0</v>
      </c>
      <c r="G35" s="21">
        <v>0</v>
      </c>
      <c r="H35" s="91">
        <v>101343.28</v>
      </c>
      <c r="I35" s="21">
        <v>0</v>
      </c>
      <c r="J35" s="91">
        <v>9238.06</v>
      </c>
      <c r="L35" s="91">
        <v>1371634.51</v>
      </c>
      <c r="M35" s="91">
        <v>61843.28</v>
      </c>
      <c r="N35" s="21">
        <v>0</v>
      </c>
      <c r="O35" s="21">
        <v>0</v>
      </c>
      <c r="P35" s="91">
        <v>61843.28</v>
      </c>
      <c r="Q35" s="91">
        <v>39500</v>
      </c>
      <c r="R35" s="21">
        <v>0</v>
      </c>
      <c r="S35" s="21">
        <v>0</v>
      </c>
      <c r="T35" s="21">
        <v>0</v>
      </c>
      <c r="U35" s="91">
        <v>39500</v>
      </c>
      <c r="V35" s="21">
        <v>0</v>
      </c>
      <c r="W35" s="21">
        <v>0</v>
      </c>
      <c r="X35" s="21">
        <v>0</v>
      </c>
      <c r="Y35" s="21">
        <v>0</v>
      </c>
      <c r="Z35" s="91">
        <v>878331.34</v>
      </c>
      <c r="AA35" s="21">
        <v>0</v>
      </c>
      <c r="AB35" s="21">
        <v>0</v>
      </c>
      <c r="AC35" s="21">
        <v>0</v>
      </c>
      <c r="AD35" s="91">
        <v>878331.34</v>
      </c>
      <c r="AE35" s="21">
        <v>0</v>
      </c>
      <c r="AF35" s="21">
        <v>0</v>
      </c>
      <c r="AH35" s="91">
        <v>979674.62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O35" s="21">
        <v>0</v>
      </c>
      <c r="AP35" s="91">
        <v>262807.69</v>
      </c>
      <c r="AQ35" s="21">
        <v>0</v>
      </c>
      <c r="AR35" s="91">
        <v>121443.53</v>
      </c>
      <c r="AS35" s="21">
        <v>0</v>
      </c>
      <c r="AT35" s="21">
        <v>0</v>
      </c>
      <c r="AV35" s="91">
        <v>384251.22</v>
      </c>
      <c r="AW35" s="21">
        <v>0</v>
      </c>
      <c r="AX35" s="21">
        <v>0</v>
      </c>
      <c r="AY35" s="21">
        <v>0</v>
      </c>
      <c r="AZ35" s="21">
        <v>0</v>
      </c>
      <c r="BB35" s="21">
        <v>0</v>
      </c>
      <c r="BC35" s="21">
        <v>0</v>
      </c>
      <c r="BE35" s="91">
        <v>384251.22</v>
      </c>
      <c r="BF35" s="91">
        <v>1363925.84</v>
      </c>
    </row>
    <row r="36" spans="1:58" x14ac:dyDescent="0.2">
      <c r="A36" s="18" t="s">
        <v>93</v>
      </c>
      <c r="B36" s="21">
        <v>0</v>
      </c>
      <c r="C36" s="91">
        <v>622843</v>
      </c>
      <c r="D36" s="21">
        <v>0</v>
      </c>
      <c r="E36" s="91">
        <v>1941220</v>
      </c>
      <c r="F36" s="21">
        <v>0</v>
      </c>
      <c r="G36" s="91">
        <v>26380</v>
      </c>
      <c r="H36" s="91">
        <v>7650</v>
      </c>
      <c r="I36" s="21">
        <v>0</v>
      </c>
      <c r="J36" s="21">
        <v>76</v>
      </c>
      <c r="L36" s="91">
        <v>2598169</v>
      </c>
      <c r="M36" s="21">
        <v>0</v>
      </c>
      <c r="N36" s="21">
        <v>0</v>
      </c>
      <c r="O36" s="21">
        <v>0</v>
      </c>
      <c r="P36" s="21">
        <v>0</v>
      </c>
      <c r="Q36" s="91">
        <v>3500</v>
      </c>
      <c r="R36" s="21">
        <v>0</v>
      </c>
      <c r="S36" s="21">
        <v>0</v>
      </c>
      <c r="T36" s="91">
        <v>4150</v>
      </c>
      <c r="U36" s="91">
        <v>7650</v>
      </c>
      <c r="V36" s="91">
        <v>26380</v>
      </c>
      <c r="W36" s="21">
        <v>0</v>
      </c>
      <c r="X36" s="21">
        <v>0</v>
      </c>
      <c r="Y36" s="91">
        <v>26380</v>
      </c>
      <c r="Z36" s="21">
        <v>0</v>
      </c>
      <c r="AA36" s="21">
        <v>0</v>
      </c>
      <c r="AB36" s="91">
        <v>1097</v>
      </c>
      <c r="AC36" s="21">
        <v>0</v>
      </c>
      <c r="AD36" s="91">
        <v>1097</v>
      </c>
      <c r="AE36" s="91">
        <v>621746</v>
      </c>
      <c r="AF36" s="21">
        <v>0</v>
      </c>
      <c r="AH36" s="91">
        <v>656873</v>
      </c>
      <c r="AI36" s="21">
        <v>0</v>
      </c>
      <c r="AJ36" s="91">
        <v>350740</v>
      </c>
      <c r="AK36" s="91">
        <v>10500</v>
      </c>
      <c r="AL36" s="21">
        <v>0</v>
      </c>
      <c r="AM36" s="21">
        <v>0</v>
      </c>
      <c r="AO36" s="91">
        <v>361240</v>
      </c>
      <c r="AP36" s="91">
        <v>195331</v>
      </c>
      <c r="AQ36" s="21">
        <v>0</v>
      </c>
      <c r="AR36" s="91">
        <v>37435</v>
      </c>
      <c r="AS36" s="21">
        <v>0</v>
      </c>
      <c r="AT36" s="21">
        <v>0</v>
      </c>
      <c r="AV36" s="21">
        <v>0</v>
      </c>
      <c r="AW36" s="91">
        <v>377247</v>
      </c>
      <c r="AX36" s="21">
        <v>0</v>
      </c>
      <c r="AY36" s="21">
        <v>0</v>
      </c>
      <c r="AZ36" s="21">
        <v>0</v>
      </c>
      <c r="BB36" s="21">
        <v>0</v>
      </c>
      <c r="BC36" s="21">
        <v>0</v>
      </c>
      <c r="BE36" s="91">
        <v>556571</v>
      </c>
      <c r="BF36" s="91">
        <v>1213444</v>
      </c>
    </row>
    <row r="37" spans="1:58" x14ac:dyDescent="0.2">
      <c r="A37" s="18" t="s">
        <v>94</v>
      </c>
      <c r="B37" s="21">
        <v>0</v>
      </c>
      <c r="C37" s="21">
        <v>0</v>
      </c>
      <c r="D37" s="21">
        <v>0</v>
      </c>
      <c r="E37" s="91">
        <v>1128580.57</v>
      </c>
      <c r="F37" s="21">
        <v>0</v>
      </c>
      <c r="G37" s="21">
        <v>0</v>
      </c>
      <c r="H37" s="91">
        <v>53475.39</v>
      </c>
      <c r="I37" s="91">
        <v>5638.54</v>
      </c>
      <c r="J37" s="91">
        <v>16266.37</v>
      </c>
      <c r="L37" s="91">
        <v>1203960.8700000001</v>
      </c>
      <c r="M37" s="91">
        <v>5638.54</v>
      </c>
      <c r="N37" s="21">
        <v>0</v>
      </c>
      <c r="O37" s="21">
        <v>0</v>
      </c>
      <c r="P37" s="91">
        <v>5638.54</v>
      </c>
      <c r="Q37" s="21">
        <v>0</v>
      </c>
      <c r="R37" s="21">
        <v>0</v>
      </c>
      <c r="S37" s="91">
        <v>13147</v>
      </c>
      <c r="T37" s="91">
        <v>23193.79</v>
      </c>
      <c r="U37" s="91">
        <v>36340.79</v>
      </c>
      <c r="V37" s="91">
        <v>17134.599999999999</v>
      </c>
      <c r="W37" s="21">
        <v>0</v>
      </c>
      <c r="X37" s="21">
        <v>0</v>
      </c>
      <c r="Y37" s="91">
        <v>17134.599999999999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H37" s="91">
        <v>59113.93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O37" s="21">
        <v>0</v>
      </c>
      <c r="AP37" s="91">
        <v>25000</v>
      </c>
      <c r="AQ37" s="21">
        <v>0</v>
      </c>
      <c r="AR37" s="21">
        <v>0</v>
      </c>
      <c r="AS37" s="21">
        <v>0</v>
      </c>
      <c r="AT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B37" s="21">
        <v>0</v>
      </c>
      <c r="BC37" s="21">
        <v>0</v>
      </c>
      <c r="BE37" s="91">
        <v>25000</v>
      </c>
      <c r="BF37" s="91">
        <v>84113.93</v>
      </c>
    </row>
    <row r="38" spans="1:58" x14ac:dyDescent="0.2">
      <c r="A38" s="18" t="s">
        <v>95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91">
        <v>143621.70000000001</v>
      </c>
      <c r="H38" s="91">
        <v>26017.97</v>
      </c>
      <c r="I38" s="21">
        <v>0</v>
      </c>
      <c r="J38" s="21">
        <v>0</v>
      </c>
      <c r="L38" s="91">
        <v>169639.67</v>
      </c>
      <c r="M38" s="21">
        <v>0</v>
      </c>
      <c r="N38" s="21">
        <v>0</v>
      </c>
      <c r="O38" s="21">
        <v>0</v>
      </c>
      <c r="P38" s="21">
        <v>0</v>
      </c>
      <c r="Q38" s="91">
        <v>123621.7</v>
      </c>
      <c r="R38" s="21">
        <v>0</v>
      </c>
      <c r="S38" s="21">
        <v>0</v>
      </c>
      <c r="T38" s="91">
        <v>20000</v>
      </c>
      <c r="U38" s="91">
        <v>143621.70000000001</v>
      </c>
      <c r="V38" s="91">
        <v>26017.97</v>
      </c>
      <c r="W38" s="21">
        <v>0</v>
      </c>
      <c r="X38" s="21">
        <v>0</v>
      </c>
      <c r="Y38" s="91">
        <v>26017.97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H38" s="91">
        <v>169639.67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B38" s="21">
        <v>0</v>
      </c>
      <c r="BC38" s="21">
        <v>0</v>
      </c>
      <c r="BE38" s="21">
        <v>0</v>
      </c>
      <c r="BF38" s="91">
        <v>169639.67</v>
      </c>
    </row>
    <row r="39" spans="1:58" x14ac:dyDescent="0.2">
      <c r="A39" s="18" t="s">
        <v>96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91">
        <v>1001237</v>
      </c>
      <c r="H39" s="91">
        <v>11388292</v>
      </c>
      <c r="I39" s="91">
        <v>2790771</v>
      </c>
      <c r="J39" s="21">
        <v>0</v>
      </c>
      <c r="L39" s="91">
        <v>15180300</v>
      </c>
      <c r="M39" s="91">
        <v>3447227</v>
      </c>
      <c r="N39" s="21">
        <v>0</v>
      </c>
      <c r="O39" s="91">
        <v>5467748</v>
      </c>
      <c r="P39" s="91">
        <v>8914975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91">
        <v>2088270</v>
      </c>
      <c r="W39" s="21">
        <v>0</v>
      </c>
      <c r="X39" s="21">
        <v>0</v>
      </c>
      <c r="Y39" s="91">
        <v>2088270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91">
        <v>105434</v>
      </c>
      <c r="AH39" s="91">
        <v>11108679</v>
      </c>
      <c r="AI39" s="21">
        <v>0</v>
      </c>
      <c r="AJ39" s="91">
        <v>1682044</v>
      </c>
      <c r="AK39" s="21">
        <v>0</v>
      </c>
      <c r="AL39" s="21">
        <v>0</v>
      </c>
      <c r="AM39" s="21">
        <v>0</v>
      </c>
      <c r="AO39" s="91">
        <v>1682044</v>
      </c>
      <c r="AP39" s="21">
        <v>0</v>
      </c>
      <c r="AQ39" s="21">
        <v>0</v>
      </c>
      <c r="AR39" s="91">
        <v>2403651</v>
      </c>
      <c r="AS39" s="21">
        <v>0</v>
      </c>
      <c r="AT39" s="21">
        <v>0</v>
      </c>
      <c r="AV39" s="91">
        <v>2403651</v>
      </c>
      <c r="AW39" s="21">
        <v>0</v>
      </c>
      <c r="AX39" s="91">
        <v>107117</v>
      </c>
      <c r="AY39" s="21">
        <v>0</v>
      </c>
      <c r="AZ39" s="21">
        <v>0</v>
      </c>
      <c r="BB39" s="91">
        <v>107117</v>
      </c>
      <c r="BC39" s="21">
        <v>0</v>
      </c>
      <c r="BE39" s="91">
        <v>4192812</v>
      </c>
      <c r="BF39" s="91">
        <v>15301491</v>
      </c>
    </row>
    <row r="40" spans="1:58" x14ac:dyDescent="0.2">
      <c r="A40" s="18" t="s">
        <v>97</v>
      </c>
      <c r="B40" s="21">
        <v>0</v>
      </c>
      <c r="C40" s="21">
        <v>0</v>
      </c>
      <c r="D40" s="21">
        <v>0</v>
      </c>
      <c r="E40" s="91">
        <v>23748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L40" s="91">
        <v>23748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0</v>
      </c>
      <c r="BB40" s="21">
        <v>0</v>
      </c>
      <c r="BC40" s="21">
        <v>0</v>
      </c>
      <c r="BE40" s="21">
        <v>0</v>
      </c>
      <c r="BF40" s="21">
        <v>0</v>
      </c>
    </row>
    <row r="41" spans="1:58" x14ac:dyDescent="0.2">
      <c r="A41" s="18" t="s">
        <v>98</v>
      </c>
      <c r="B41" s="21">
        <v>0</v>
      </c>
      <c r="C41" s="91">
        <v>1336.66</v>
      </c>
      <c r="D41" s="21">
        <v>0</v>
      </c>
      <c r="E41" s="91">
        <v>97546.32</v>
      </c>
      <c r="F41" s="21">
        <v>0</v>
      </c>
      <c r="G41" s="91">
        <v>91906.27</v>
      </c>
      <c r="H41" s="91">
        <v>89289.77</v>
      </c>
      <c r="I41" s="91">
        <v>378232.01</v>
      </c>
      <c r="J41" s="91">
        <v>3167.31</v>
      </c>
      <c r="L41" s="91">
        <v>661478.34</v>
      </c>
      <c r="M41" s="21">
        <v>0</v>
      </c>
      <c r="N41" s="91">
        <v>378232.01</v>
      </c>
      <c r="O41" s="21">
        <v>0</v>
      </c>
      <c r="P41" s="91">
        <v>378232.01</v>
      </c>
      <c r="Q41" s="91">
        <v>91906.27</v>
      </c>
      <c r="R41" s="91">
        <v>3167.31</v>
      </c>
      <c r="S41" s="21">
        <v>0</v>
      </c>
      <c r="T41" s="91">
        <v>89289.77</v>
      </c>
      <c r="U41" s="91">
        <v>184363.35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H41" s="91">
        <v>562595.36</v>
      </c>
      <c r="AI41" s="21">
        <v>0</v>
      </c>
      <c r="AJ41" s="21">
        <v>0</v>
      </c>
      <c r="AK41" s="21">
        <v>0</v>
      </c>
      <c r="AL41" s="91">
        <v>57000</v>
      </c>
      <c r="AM41" s="21">
        <v>0</v>
      </c>
      <c r="AO41" s="91">
        <v>57000</v>
      </c>
      <c r="AP41" s="21">
        <v>0</v>
      </c>
      <c r="AQ41" s="21">
        <v>0</v>
      </c>
      <c r="AR41" s="91">
        <v>40564.32</v>
      </c>
      <c r="AS41" s="21">
        <v>0</v>
      </c>
      <c r="AT41" s="21">
        <v>0</v>
      </c>
      <c r="AV41" s="91">
        <v>40564.32</v>
      </c>
      <c r="AW41" s="21">
        <v>0</v>
      </c>
      <c r="AX41" s="21">
        <v>0</v>
      </c>
      <c r="AY41" s="21">
        <v>0</v>
      </c>
      <c r="AZ41" s="21">
        <v>0</v>
      </c>
      <c r="BB41" s="21">
        <v>0</v>
      </c>
      <c r="BC41" s="21">
        <v>0</v>
      </c>
      <c r="BE41" s="91">
        <v>97564.32</v>
      </c>
      <c r="BF41" s="91">
        <v>660159.68000000005</v>
      </c>
    </row>
    <row r="42" spans="1:58" x14ac:dyDescent="0.2">
      <c r="A42" s="18" t="s">
        <v>99</v>
      </c>
      <c r="B42" s="21">
        <v>0</v>
      </c>
      <c r="C42" s="21">
        <v>0</v>
      </c>
      <c r="D42" s="21">
        <v>0</v>
      </c>
      <c r="E42" s="91">
        <v>47100</v>
      </c>
      <c r="F42" s="21">
        <v>0</v>
      </c>
      <c r="G42" s="21">
        <v>0</v>
      </c>
      <c r="H42" s="21">
        <v>0</v>
      </c>
      <c r="I42" s="91">
        <v>13000</v>
      </c>
      <c r="J42" s="91">
        <v>6738</v>
      </c>
      <c r="L42" s="91">
        <v>66838</v>
      </c>
      <c r="M42" s="91">
        <v>13000</v>
      </c>
      <c r="N42" s="21">
        <v>0</v>
      </c>
      <c r="O42" s="21">
        <v>0</v>
      </c>
      <c r="P42" s="91">
        <v>13000</v>
      </c>
      <c r="Q42" s="21">
        <v>0</v>
      </c>
      <c r="R42" s="21">
        <v>0</v>
      </c>
      <c r="S42" s="91">
        <v>6738</v>
      </c>
      <c r="T42" s="21">
        <v>0</v>
      </c>
      <c r="U42" s="91">
        <v>6738</v>
      </c>
      <c r="V42" s="91">
        <v>448200</v>
      </c>
      <c r="W42" s="21">
        <v>0</v>
      </c>
      <c r="X42" s="21">
        <v>0</v>
      </c>
      <c r="Y42" s="91">
        <v>448200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H42" s="91">
        <v>467938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O42" s="21">
        <v>0</v>
      </c>
      <c r="AP42" s="21">
        <v>0</v>
      </c>
      <c r="AQ42" s="21">
        <v>0</v>
      </c>
      <c r="AR42" s="91">
        <v>88622</v>
      </c>
      <c r="AS42" s="21">
        <v>0</v>
      </c>
      <c r="AT42" s="21">
        <v>0</v>
      </c>
      <c r="AV42" s="91">
        <v>88622</v>
      </c>
      <c r="AW42" s="21">
        <v>0</v>
      </c>
      <c r="AX42" s="21">
        <v>0</v>
      </c>
      <c r="AY42" s="21">
        <v>0</v>
      </c>
      <c r="AZ42" s="21">
        <v>0</v>
      </c>
      <c r="BB42" s="21">
        <v>0</v>
      </c>
      <c r="BC42" s="21">
        <v>0</v>
      </c>
      <c r="BE42" s="91">
        <v>88622</v>
      </c>
      <c r="BF42" s="91">
        <v>556560</v>
      </c>
    </row>
    <row r="43" spans="1:58" x14ac:dyDescent="0.2">
      <c r="A43" s="18" t="s">
        <v>100</v>
      </c>
      <c r="B43" s="21">
        <v>0</v>
      </c>
      <c r="C43" s="91">
        <v>440503.45</v>
      </c>
      <c r="D43" s="21">
        <v>0</v>
      </c>
      <c r="E43" s="91">
        <v>843653.99</v>
      </c>
      <c r="F43" s="21">
        <v>0</v>
      </c>
      <c r="G43" s="21">
        <v>0</v>
      </c>
      <c r="H43" s="91">
        <v>73036.22</v>
      </c>
      <c r="I43" s="21">
        <v>0</v>
      </c>
      <c r="J43" s="91">
        <v>17029.27</v>
      </c>
      <c r="L43" s="91">
        <v>1374222.93</v>
      </c>
      <c r="M43" s="21">
        <v>0</v>
      </c>
      <c r="N43" s="21">
        <v>0</v>
      </c>
      <c r="O43" s="21">
        <v>0</v>
      </c>
      <c r="P43" s="21">
        <v>0</v>
      </c>
      <c r="Q43" s="91">
        <v>68302.98</v>
      </c>
      <c r="R43" s="21">
        <v>0</v>
      </c>
      <c r="S43" s="21">
        <v>0</v>
      </c>
      <c r="T43" s="21">
        <v>0</v>
      </c>
      <c r="U43" s="91">
        <v>68302.98</v>
      </c>
      <c r="V43" s="21">
        <v>0</v>
      </c>
      <c r="W43" s="91">
        <v>216394.33</v>
      </c>
      <c r="X43" s="21">
        <v>0</v>
      </c>
      <c r="Y43" s="91">
        <v>216394.33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H43" s="91">
        <v>284697.31</v>
      </c>
      <c r="AI43" s="21">
        <v>0</v>
      </c>
      <c r="AJ43" s="91">
        <v>320000</v>
      </c>
      <c r="AK43" s="21">
        <v>0</v>
      </c>
      <c r="AL43" s="21">
        <v>0</v>
      </c>
      <c r="AM43" s="21">
        <v>0</v>
      </c>
      <c r="AO43" s="91">
        <v>320000</v>
      </c>
      <c r="AP43" s="91">
        <v>99947</v>
      </c>
      <c r="AQ43" s="21">
        <v>0</v>
      </c>
      <c r="AR43" s="91">
        <v>63327.08</v>
      </c>
      <c r="AS43" s="21">
        <v>0</v>
      </c>
      <c r="AT43" s="21">
        <v>0</v>
      </c>
      <c r="AV43" s="21">
        <v>0</v>
      </c>
      <c r="AW43" s="21">
        <v>0</v>
      </c>
      <c r="AX43" s="21">
        <v>0</v>
      </c>
      <c r="AY43" s="21">
        <v>0</v>
      </c>
      <c r="AZ43" s="21">
        <v>0</v>
      </c>
      <c r="BB43" s="21">
        <v>0</v>
      </c>
      <c r="BC43" s="21">
        <v>0</v>
      </c>
      <c r="BE43" s="91">
        <v>419947</v>
      </c>
      <c r="BF43" s="91">
        <v>704644.31</v>
      </c>
    </row>
    <row r="44" spans="1:58" x14ac:dyDescent="0.2">
      <c r="A44" s="18" t="s">
        <v>101</v>
      </c>
      <c r="B44" s="21">
        <v>0</v>
      </c>
      <c r="C44" s="91">
        <v>33169.589999999997</v>
      </c>
      <c r="D44" s="21">
        <v>0</v>
      </c>
      <c r="E44" s="91">
        <v>574182.66</v>
      </c>
      <c r="F44" s="21">
        <v>0</v>
      </c>
      <c r="G44" s="91">
        <v>12398.1</v>
      </c>
      <c r="H44" s="91">
        <v>557506.03</v>
      </c>
      <c r="I44" s="91">
        <v>39128.620000000003</v>
      </c>
      <c r="J44" s="21">
        <v>466.81</v>
      </c>
      <c r="L44" s="91">
        <v>1216851.81</v>
      </c>
      <c r="M44" s="91">
        <v>39128.620000000003</v>
      </c>
      <c r="N44" s="91">
        <v>221578.6</v>
      </c>
      <c r="O44" s="21">
        <v>0</v>
      </c>
      <c r="P44" s="91">
        <v>260707.22</v>
      </c>
      <c r="Q44" s="21">
        <v>0</v>
      </c>
      <c r="R44" s="91">
        <v>63475.65</v>
      </c>
      <c r="S44" s="21">
        <v>0</v>
      </c>
      <c r="T44" s="91">
        <v>272451.78000000003</v>
      </c>
      <c r="U44" s="91">
        <v>335927.43</v>
      </c>
      <c r="V44" s="91">
        <v>12398.1</v>
      </c>
      <c r="W44" s="21">
        <v>0</v>
      </c>
      <c r="X44" s="21">
        <v>0</v>
      </c>
      <c r="Y44" s="91">
        <v>12398.1</v>
      </c>
      <c r="Z44" s="91">
        <v>33169.589999999997</v>
      </c>
      <c r="AA44" s="21">
        <v>0</v>
      </c>
      <c r="AB44" s="21">
        <v>0</v>
      </c>
      <c r="AC44" s="21">
        <v>0</v>
      </c>
      <c r="AD44" s="91">
        <v>33169.589999999997</v>
      </c>
      <c r="AE44" s="21">
        <v>0</v>
      </c>
      <c r="AF44" s="21">
        <v>0</v>
      </c>
      <c r="AH44" s="91">
        <v>642202.34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O44" s="21">
        <v>0</v>
      </c>
      <c r="AP44" s="91">
        <v>574182.66</v>
      </c>
      <c r="AQ44" s="21">
        <v>0</v>
      </c>
      <c r="AR44" s="21">
        <v>0</v>
      </c>
      <c r="AS44" s="21">
        <v>0</v>
      </c>
      <c r="AT44" s="21">
        <v>0</v>
      </c>
      <c r="AV44" s="91">
        <v>574182.66</v>
      </c>
      <c r="AW44" s="21">
        <v>0</v>
      </c>
      <c r="AX44" s="21">
        <v>0</v>
      </c>
      <c r="AY44" s="21">
        <v>0</v>
      </c>
      <c r="AZ44" s="21">
        <v>0</v>
      </c>
      <c r="BB44" s="21">
        <v>0</v>
      </c>
      <c r="BC44" s="21">
        <v>0</v>
      </c>
      <c r="BE44" s="91">
        <v>574182.66</v>
      </c>
      <c r="BF44" s="91">
        <v>1216385</v>
      </c>
    </row>
    <row r="45" spans="1:58" x14ac:dyDescent="0.2">
      <c r="A45" s="18" t="s">
        <v>102</v>
      </c>
      <c r="B45" s="91">
        <v>1180770</v>
      </c>
      <c r="C45" s="21">
        <v>0</v>
      </c>
      <c r="D45" s="21">
        <v>0</v>
      </c>
      <c r="E45" s="91">
        <v>3360022.36</v>
      </c>
      <c r="F45" s="21">
        <v>0</v>
      </c>
      <c r="G45" s="91">
        <v>1503549</v>
      </c>
      <c r="H45" s="21">
        <v>0</v>
      </c>
      <c r="I45" s="21">
        <v>0</v>
      </c>
      <c r="J45" s="21">
        <v>0</v>
      </c>
      <c r="K45" s="21" t="s">
        <v>65</v>
      </c>
      <c r="L45" s="91">
        <f>SUM(B45:J45)</f>
        <v>6044341.3599999994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91">
        <v>935538</v>
      </c>
      <c r="W45" s="21">
        <v>0</v>
      </c>
      <c r="X45" s="21">
        <v>0</v>
      </c>
      <c r="Y45" s="91">
        <v>935538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H45" s="91">
        <v>935538</v>
      </c>
      <c r="AI45" s="21">
        <v>0</v>
      </c>
      <c r="AJ45" s="91">
        <v>329620</v>
      </c>
      <c r="AK45" s="21">
        <v>0</v>
      </c>
      <c r="AL45" s="21">
        <v>0</v>
      </c>
      <c r="AM45" s="21">
        <v>0</v>
      </c>
      <c r="AO45" s="91">
        <v>329620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V45" s="21">
        <v>0</v>
      </c>
      <c r="AW45" s="21">
        <v>0</v>
      </c>
      <c r="AX45" s="21">
        <v>0</v>
      </c>
      <c r="AY45" s="21">
        <v>0</v>
      </c>
      <c r="AZ45" s="21">
        <v>0</v>
      </c>
      <c r="BB45" s="21">
        <v>0</v>
      </c>
      <c r="BC45" s="21">
        <v>0</v>
      </c>
      <c r="BE45" s="91">
        <v>329620</v>
      </c>
      <c r="BF45" s="91">
        <v>1265158</v>
      </c>
    </row>
    <row r="46" spans="1:58" x14ac:dyDescent="0.2">
      <c r="A46" s="18" t="s">
        <v>103</v>
      </c>
      <c r="B46" s="21">
        <v>0</v>
      </c>
      <c r="C46" s="21">
        <v>0</v>
      </c>
      <c r="D46" s="91">
        <v>2561</v>
      </c>
      <c r="E46" s="91">
        <v>1935204</v>
      </c>
      <c r="F46" s="21">
        <v>0</v>
      </c>
      <c r="G46" s="21">
        <v>0</v>
      </c>
      <c r="H46" s="91">
        <v>63125.4</v>
      </c>
      <c r="I46" s="91">
        <v>20526.25</v>
      </c>
      <c r="J46" s="91">
        <v>26823.14</v>
      </c>
      <c r="L46" s="91">
        <v>2048239.79</v>
      </c>
      <c r="M46" s="91">
        <v>20526</v>
      </c>
      <c r="N46" s="21">
        <v>0</v>
      </c>
      <c r="O46" s="21">
        <v>0</v>
      </c>
      <c r="P46" s="91">
        <v>20526</v>
      </c>
      <c r="Q46" s="91">
        <v>9868</v>
      </c>
      <c r="R46" s="21">
        <v>0</v>
      </c>
      <c r="S46" s="21">
        <v>0</v>
      </c>
      <c r="T46" s="91">
        <v>53257</v>
      </c>
      <c r="U46" s="91">
        <v>63125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91">
        <v>2561</v>
      </c>
      <c r="AD46" s="91">
        <v>2561</v>
      </c>
      <c r="AE46" s="21">
        <v>0</v>
      </c>
      <c r="AF46" s="21">
        <v>0</v>
      </c>
      <c r="AH46" s="91">
        <v>86212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O46" s="21">
        <v>0</v>
      </c>
      <c r="AP46" s="91">
        <v>11703</v>
      </c>
      <c r="AQ46" s="21">
        <v>0</v>
      </c>
      <c r="AR46" s="91">
        <v>17750</v>
      </c>
      <c r="AS46" s="21">
        <v>0</v>
      </c>
      <c r="AT46" s="21">
        <v>0</v>
      </c>
      <c r="AV46" s="91">
        <v>29453</v>
      </c>
      <c r="AW46" s="21">
        <v>0</v>
      </c>
      <c r="AX46" s="21">
        <v>0</v>
      </c>
      <c r="AY46" s="21">
        <v>0</v>
      </c>
      <c r="AZ46" s="21">
        <v>0</v>
      </c>
      <c r="BB46" s="21">
        <v>0</v>
      </c>
      <c r="BC46" s="21">
        <v>0</v>
      </c>
      <c r="BE46" s="91">
        <v>29453</v>
      </c>
      <c r="BF46" s="91">
        <v>115665</v>
      </c>
    </row>
    <row r="47" spans="1:58" x14ac:dyDescent="0.2">
      <c r="A47" s="18" t="s">
        <v>104</v>
      </c>
      <c r="B47" s="21">
        <v>0</v>
      </c>
      <c r="C47" s="21">
        <v>0</v>
      </c>
      <c r="D47" s="21">
        <v>0</v>
      </c>
      <c r="E47" s="91">
        <v>-3069.6</v>
      </c>
      <c r="F47" s="21">
        <v>0</v>
      </c>
      <c r="G47" s="91">
        <v>129528.74</v>
      </c>
      <c r="H47" s="21">
        <v>876.39</v>
      </c>
      <c r="I47" s="91">
        <v>206588.7</v>
      </c>
      <c r="J47" s="21">
        <v>0</v>
      </c>
      <c r="L47" s="91">
        <v>333924.23</v>
      </c>
      <c r="M47" s="91">
        <v>206588.7</v>
      </c>
      <c r="N47" s="21">
        <v>0</v>
      </c>
      <c r="O47" s="91">
        <v>129528.74</v>
      </c>
      <c r="P47" s="91">
        <v>336117.44</v>
      </c>
      <c r="Q47" s="21">
        <v>0</v>
      </c>
      <c r="R47" s="21">
        <v>876.39</v>
      </c>
      <c r="S47" s="21">
        <v>0</v>
      </c>
      <c r="T47" s="21">
        <v>0</v>
      </c>
      <c r="U47" s="21">
        <v>876.39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H47" s="91">
        <v>336993.83</v>
      </c>
      <c r="AI47" s="21">
        <v>0</v>
      </c>
      <c r="AJ47" s="21">
        <v>0</v>
      </c>
      <c r="AK47" s="21">
        <v>0</v>
      </c>
      <c r="AL47" s="21">
        <v>800</v>
      </c>
      <c r="AM47" s="21">
        <v>0</v>
      </c>
      <c r="AO47" s="21">
        <v>800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V47" s="21">
        <v>0</v>
      </c>
      <c r="AW47" s="91">
        <v>-3869.6</v>
      </c>
      <c r="AX47" s="21">
        <v>0</v>
      </c>
      <c r="AY47" s="21">
        <v>0</v>
      </c>
      <c r="AZ47" s="21">
        <v>0</v>
      </c>
      <c r="BB47" s="91">
        <v>-3869.6</v>
      </c>
      <c r="BC47" s="21">
        <v>0</v>
      </c>
      <c r="BE47" s="91">
        <v>-3069.6</v>
      </c>
      <c r="BF47" s="91">
        <v>333924.23</v>
      </c>
    </row>
    <row r="48" spans="1:58" x14ac:dyDescent="0.2">
      <c r="A48" s="18" t="s">
        <v>105</v>
      </c>
      <c r="B48" s="21">
        <v>0</v>
      </c>
      <c r="C48" s="91">
        <v>14584.49</v>
      </c>
      <c r="D48" s="21">
        <v>0</v>
      </c>
      <c r="E48" s="91">
        <v>1982286.32</v>
      </c>
      <c r="F48" s="21">
        <v>0</v>
      </c>
      <c r="G48" s="91">
        <v>40750</v>
      </c>
      <c r="H48" s="91">
        <v>609618.68000000005</v>
      </c>
      <c r="I48" s="91">
        <v>410320.88</v>
      </c>
      <c r="J48" s="91">
        <v>20837.849999999999</v>
      </c>
      <c r="L48" s="91">
        <v>3078398.22</v>
      </c>
      <c r="M48" s="91">
        <v>410320.88</v>
      </c>
      <c r="N48" s="21">
        <v>0</v>
      </c>
      <c r="O48" s="91">
        <v>54728.4</v>
      </c>
      <c r="P48" s="91">
        <v>465049.28</v>
      </c>
      <c r="Q48" s="91">
        <v>119620.03</v>
      </c>
      <c r="R48" s="21">
        <v>0</v>
      </c>
      <c r="S48" s="21">
        <v>0</v>
      </c>
      <c r="T48" s="91">
        <v>435270.25</v>
      </c>
      <c r="U48" s="91">
        <v>554890.28</v>
      </c>
      <c r="V48" s="91">
        <v>40750</v>
      </c>
      <c r="W48" s="21">
        <v>0</v>
      </c>
      <c r="X48" s="21">
        <v>0</v>
      </c>
      <c r="Y48" s="91">
        <v>40750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91">
        <v>14584.49</v>
      </c>
      <c r="AF48" s="21">
        <v>0</v>
      </c>
      <c r="AH48" s="91">
        <v>1075274.05</v>
      </c>
      <c r="AI48" s="21">
        <v>0</v>
      </c>
      <c r="AJ48" s="91">
        <v>289007</v>
      </c>
      <c r="AK48" s="21">
        <v>0</v>
      </c>
      <c r="AL48" s="21">
        <v>0</v>
      </c>
      <c r="AM48" s="91">
        <v>3152.03</v>
      </c>
      <c r="AO48" s="91">
        <v>292159.03000000003</v>
      </c>
      <c r="AP48" s="91">
        <v>941212.03</v>
      </c>
      <c r="AQ48" s="21">
        <v>0</v>
      </c>
      <c r="AR48" s="91">
        <v>360661.51</v>
      </c>
      <c r="AS48" s="21">
        <v>0</v>
      </c>
      <c r="AT48" s="21">
        <v>0</v>
      </c>
      <c r="AV48" s="91">
        <v>1301873.54</v>
      </c>
      <c r="AW48" s="91">
        <v>400500</v>
      </c>
      <c r="AX48" s="21">
        <v>0</v>
      </c>
      <c r="AY48" s="21">
        <v>0</v>
      </c>
      <c r="AZ48" s="21">
        <v>0</v>
      </c>
      <c r="BB48" s="91">
        <v>400500</v>
      </c>
      <c r="BC48" s="21">
        <v>0</v>
      </c>
      <c r="BE48" s="91">
        <v>1994532.57</v>
      </c>
      <c r="BF48" s="91">
        <v>3069806.62</v>
      </c>
    </row>
    <row r="49" spans="1:58" x14ac:dyDescent="0.2">
      <c r="A49" s="18" t="s">
        <v>106</v>
      </c>
      <c r="B49" s="21">
        <v>0</v>
      </c>
      <c r="C49" s="21">
        <v>0</v>
      </c>
      <c r="D49" s="21">
        <v>0</v>
      </c>
      <c r="E49" s="91">
        <v>435493.55</v>
      </c>
      <c r="F49" s="21">
        <v>0</v>
      </c>
      <c r="G49" s="91">
        <v>547352.67000000004</v>
      </c>
      <c r="H49" s="91">
        <v>39056.74</v>
      </c>
      <c r="I49" s="91">
        <v>4750.1000000000004</v>
      </c>
      <c r="J49" s="91">
        <v>42778.19</v>
      </c>
      <c r="L49" s="91">
        <v>1069431.25</v>
      </c>
      <c r="M49" s="91">
        <v>4750.1000000000004</v>
      </c>
      <c r="N49" s="21">
        <v>0</v>
      </c>
      <c r="O49" s="21">
        <v>0</v>
      </c>
      <c r="P49" s="91">
        <v>4750.1000000000004</v>
      </c>
      <c r="Q49" s="91">
        <v>9636.8700000000008</v>
      </c>
      <c r="R49" s="21">
        <v>0</v>
      </c>
      <c r="S49" s="21">
        <v>0</v>
      </c>
      <c r="T49" s="91">
        <v>29419.87</v>
      </c>
      <c r="U49" s="91">
        <v>39056.74</v>
      </c>
      <c r="V49" s="91">
        <v>547352.67000000004</v>
      </c>
      <c r="W49" s="21">
        <v>0</v>
      </c>
      <c r="X49" s="21">
        <v>0</v>
      </c>
      <c r="Y49" s="91">
        <v>547352.67000000004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H49" s="91">
        <v>591159.51</v>
      </c>
      <c r="AI49" s="21">
        <v>0</v>
      </c>
      <c r="AJ49" s="91">
        <v>187461.82</v>
      </c>
      <c r="AK49" s="21">
        <v>0</v>
      </c>
      <c r="AL49" s="21">
        <v>0</v>
      </c>
      <c r="AM49" s="21">
        <v>0</v>
      </c>
      <c r="AO49" s="91">
        <v>187461.82</v>
      </c>
      <c r="AP49" s="21">
        <v>0</v>
      </c>
      <c r="AQ49" s="21">
        <v>0</v>
      </c>
      <c r="AR49" s="91">
        <v>248031.73</v>
      </c>
      <c r="AS49" s="21">
        <v>0</v>
      </c>
      <c r="AT49" s="21">
        <v>0</v>
      </c>
      <c r="AV49" s="91">
        <v>248031.73</v>
      </c>
      <c r="AW49" s="21">
        <v>0</v>
      </c>
      <c r="AX49" s="21">
        <v>0</v>
      </c>
      <c r="AY49" s="21">
        <v>0</v>
      </c>
      <c r="AZ49" s="21">
        <v>0</v>
      </c>
      <c r="BB49" s="21">
        <v>0</v>
      </c>
      <c r="BC49" s="21">
        <v>0</v>
      </c>
      <c r="BE49" s="91">
        <v>435493.55</v>
      </c>
      <c r="BF49" s="91">
        <v>1026653.06</v>
      </c>
    </row>
    <row r="50" spans="1:58" x14ac:dyDescent="0.2">
      <c r="A50" s="18" t="s">
        <v>107</v>
      </c>
      <c r="B50" s="21">
        <v>0</v>
      </c>
      <c r="C50" s="21">
        <v>0</v>
      </c>
      <c r="D50" s="21">
        <v>0</v>
      </c>
      <c r="E50" s="91">
        <v>1712985.65</v>
      </c>
      <c r="F50" s="21">
        <v>0</v>
      </c>
      <c r="G50" s="91">
        <v>294576.76</v>
      </c>
      <c r="H50" s="91">
        <v>381498.17</v>
      </c>
      <c r="I50" s="91">
        <v>109366.7</v>
      </c>
      <c r="J50" s="21">
        <v>0</v>
      </c>
      <c r="L50" s="91">
        <v>2498427.2799999998</v>
      </c>
      <c r="M50" s="91">
        <v>109366.7</v>
      </c>
      <c r="N50" s="21">
        <v>0</v>
      </c>
      <c r="O50" s="21">
        <v>0</v>
      </c>
      <c r="P50" s="91">
        <v>109366.7</v>
      </c>
      <c r="Q50" s="91">
        <v>237759.27</v>
      </c>
      <c r="R50" s="21">
        <v>0</v>
      </c>
      <c r="S50" s="21">
        <v>0</v>
      </c>
      <c r="T50" s="91">
        <v>381498.17</v>
      </c>
      <c r="U50" s="91">
        <v>619257.43999999994</v>
      </c>
      <c r="V50" s="21">
        <v>0</v>
      </c>
      <c r="W50" s="21">
        <v>0</v>
      </c>
      <c r="X50" s="91">
        <v>56819.47</v>
      </c>
      <c r="Y50" s="91">
        <v>56819.47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H50" s="91">
        <v>785443.61</v>
      </c>
      <c r="AI50" s="21">
        <v>0</v>
      </c>
      <c r="AJ50" s="91">
        <v>55680</v>
      </c>
      <c r="AK50" s="21">
        <v>0</v>
      </c>
      <c r="AL50" s="21">
        <v>0</v>
      </c>
      <c r="AM50" s="21">
        <v>0</v>
      </c>
      <c r="AO50" s="91">
        <v>55680</v>
      </c>
      <c r="AP50" s="91">
        <v>241423.98</v>
      </c>
      <c r="AQ50" s="21">
        <v>0</v>
      </c>
      <c r="AR50" s="91">
        <v>128346.71</v>
      </c>
      <c r="AS50" s="21">
        <v>0</v>
      </c>
      <c r="AT50" s="21">
        <v>0</v>
      </c>
      <c r="AV50" s="91">
        <v>241423.98</v>
      </c>
      <c r="AW50" s="91">
        <v>40141.78</v>
      </c>
      <c r="AX50" s="21">
        <v>0</v>
      </c>
      <c r="AY50" s="21">
        <v>0</v>
      </c>
      <c r="AZ50" s="21">
        <v>0</v>
      </c>
      <c r="BB50" s="21">
        <v>0</v>
      </c>
      <c r="BC50" s="21">
        <v>0</v>
      </c>
      <c r="BE50" s="21">
        <v>0</v>
      </c>
      <c r="BF50" s="91">
        <v>1082547.5900000001</v>
      </c>
    </row>
    <row r="51" spans="1:58" x14ac:dyDescent="0.2">
      <c r="A51" s="18" t="s">
        <v>108</v>
      </c>
      <c r="B51" s="91">
        <v>3242.97</v>
      </c>
      <c r="C51" s="21">
        <v>0</v>
      </c>
      <c r="D51" s="21">
        <v>0</v>
      </c>
      <c r="E51" s="91">
        <v>68888.009999999995</v>
      </c>
      <c r="F51" s="21">
        <v>0</v>
      </c>
      <c r="G51" s="91">
        <v>1356.27</v>
      </c>
      <c r="H51" s="91">
        <v>1942253.97</v>
      </c>
      <c r="I51" s="91">
        <v>25374.15</v>
      </c>
      <c r="J51" s="91">
        <v>6356.26</v>
      </c>
      <c r="L51" s="91">
        <v>2047471.63</v>
      </c>
      <c r="M51" s="91">
        <v>38616.129999999997</v>
      </c>
      <c r="N51" s="21">
        <v>0</v>
      </c>
      <c r="O51" s="21">
        <v>601.01</v>
      </c>
      <c r="P51" s="91">
        <v>39217.14</v>
      </c>
      <c r="Q51" s="91">
        <v>382791.86</v>
      </c>
      <c r="R51" s="21">
        <v>0</v>
      </c>
      <c r="S51" s="21">
        <v>0</v>
      </c>
      <c r="T51" s="91">
        <v>101560.32000000001</v>
      </c>
      <c r="U51" s="91">
        <v>484352.18</v>
      </c>
      <c r="V51" s="91">
        <v>920406.01</v>
      </c>
      <c r="W51" s="21">
        <v>0</v>
      </c>
      <c r="X51" s="21">
        <v>0</v>
      </c>
      <c r="Y51" s="91">
        <v>920406.01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H51" s="91">
        <v>1443975.33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O51" s="21">
        <v>0</v>
      </c>
      <c r="AP51" s="21">
        <v>0</v>
      </c>
      <c r="AQ51" s="21">
        <v>0</v>
      </c>
      <c r="AR51" s="91">
        <v>79142.7</v>
      </c>
      <c r="AS51" s="21">
        <v>0</v>
      </c>
      <c r="AT51" s="21">
        <v>0</v>
      </c>
      <c r="AV51" s="91">
        <v>79142.7</v>
      </c>
      <c r="AW51" s="21">
        <v>0</v>
      </c>
      <c r="AX51" s="21">
        <v>0</v>
      </c>
      <c r="AY51" s="21">
        <v>0</v>
      </c>
      <c r="AZ51" s="21">
        <v>0</v>
      </c>
      <c r="BB51" s="21">
        <v>0</v>
      </c>
      <c r="BC51" s="21">
        <v>0</v>
      </c>
      <c r="BE51" s="91">
        <v>79142.7</v>
      </c>
      <c r="BF51" s="91">
        <v>1523118.03</v>
      </c>
    </row>
    <row r="52" spans="1:58" x14ac:dyDescent="0.2">
      <c r="A52" s="18" t="s">
        <v>109</v>
      </c>
      <c r="B52" s="91">
        <v>24718</v>
      </c>
      <c r="C52" s="21">
        <v>0</v>
      </c>
      <c r="D52" s="91">
        <v>14160</v>
      </c>
      <c r="E52" s="91">
        <v>5460686</v>
      </c>
      <c r="F52" s="21">
        <v>0</v>
      </c>
      <c r="G52" s="91">
        <v>151730</v>
      </c>
      <c r="H52" s="91">
        <v>29202570</v>
      </c>
      <c r="I52" s="91">
        <v>9120869</v>
      </c>
      <c r="J52" s="91">
        <v>1384840</v>
      </c>
      <c r="L52" s="91">
        <v>45359573</v>
      </c>
      <c r="M52" s="91">
        <v>9018717</v>
      </c>
      <c r="N52" s="21">
        <v>0</v>
      </c>
      <c r="O52" s="91">
        <v>102152</v>
      </c>
      <c r="P52" s="91">
        <v>9120869</v>
      </c>
      <c r="Q52" s="91">
        <v>12765221</v>
      </c>
      <c r="R52" s="91">
        <v>328080</v>
      </c>
      <c r="S52" s="21">
        <v>0</v>
      </c>
      <c r="T52" s="91">
        <v>10009709</v>
      </c>
      <c r="U52" s="91">
        <v>23103010</v>
      </c>
      <c r="V52" s="91">
        <v>151730</v>
      </c>
      <c r="W52" s="91">
        <v>268989</v>
      </c>
      <c r="X52" s="21">
        <v>0</v>
      </c>
      <c r="Y52" s="91">
        <v>420719</v>
      </c>
      <c r="Z52" s="21">
        <v>0</v>
      </c>
      <c r="AA52" s="21">
        <v>0</v>
      </c>
      <c r="AB52" s="21">
        <v>0</v>
      </c>
      <c r="AC52" s="91">
        <v>14160</v>
      </c>
      <c r="AD52" s="91">
        <v>14160</v>
      </c>
      <c r="AE52" s="21">
        <v>0</v>
      </c>
      <c r="AF52" s="91">
        <v>5365129</v>
      </c>
      <c r="AH52" s="91">
        <v>38023887</v>
      </c>
      <c r="AI52" s="91">
        <v>1875000</v>
      </c>
      <c r="AJ52" s="91">
        <v>518950</v>
      </c>
      <c r="AK52" s="21">
        <v>0</v>
      </c>
      <c r="AL52" s="21">
        <v>0</v>
      </c>
      <c r="AM52" s="21">
        <v>0</v>
      </c>
      <c r="AO52" s="91">
        <v>2393950</v>
      </c>
      <c r="AP52" s="91">
        <v>1492139</v>
      </c>
      <c r="AQ52" s="21">
        <v>0</v>
      </c>
      <c r="AR52" s="91">
        <v>1574597</v>
      </c>
      <c r="AS52" s="21">
        <v>0</v>
      </c>
      <c r="AT52" s="21">
        <v>0</v>
      </c>
      <c r="AV52" s="91">
        <v>3066736</v>
      </c>
      <c r="AW52" s="21">
        <v>0</v>
      </c>
      <c r="AX52" s="21">
        <v>0</v>
      </c>
      <c r="AY52" s="21">
        <v>0</v>
      </c>
      <c r="AZ52" s="21">
        <v>0</v>
      </c>
      <c r="BB52" s="21">
        <v>0</v>
      </c>
      <c r="BC52" s="21">
        <v>0</v>
      </c>
      <c r="BE52" s="91">
        <v>5460686</v>
      </c>
      <c r="BF52" s="91">
        <v>43484573</v>
      </c>
    </row>
    <row r="53" spans="1:58" x14ac:dyDescent="0.2">
      <c r="A53" s="18" t="s">
        <v>110</v>
      </c>
      <c r="B53" s="21">
        <v>0</v>
      </c>
      <c r="C53" s="91">
        <v>13388</v>
      </c>
      <c r="D53" s="21">
        <v>0</v>
      </c>
      <c r="E53" s="91">
        <v>12256061</v>
      </c>
      <c r="F53" s="21">
        <v>0</v>
      </c>
      <c r="G53" s="21">
        <v>0</v>
      </c>
      <c r="H53" s="91">
        <v>439898</v>
      </c>
      <c r="I53" s="21">
        <v>0</v>
      </c>
      <c r="J53" s="91">
        <v>30849</v>
      </c>
      <c r="L53" s="91">
        <v>12740196</v>
      </c>
      <c r="M53" s="91">
        <v>7000000</v>
      </c>
      <c r="N53" s="21">
        <v>0</v>
      </c>
      <c r="O53" s="91">
        <v>228000</v>
      </c>
      <c r="P53" s="91">
        <v>7228000</v>
      </c>
      <c r="Q53" s="91">
        <v>660000</v>
      </c>
      <c r="R53" s="91">
        <v>1900000</v>
      </c>
      <c r="S53" s="21">
        <v>0</v>
      </c>
      <c r="T53" s="21">
        <v>0</v>
      </c>
      <c r="U53" s="91">
        <v>2560000</v>
      </c>
      <c r="V53" s="91">
        <v>327000</v>
      </c>
      <c r="W53" s="91">
        <v>333000</v>
      </c>
      <c r="X53" s="21">
        <v>0</v>
      </c>
      <c r="Y53" s="91">
        <v>660000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H53" s="91">
        <v>10448000</v>
      </c>
      <c r="AI53" s="21">
        <v>0</v>
      </c>
      <c r="AJ53" s="91">
        <v>674345</v>
      </c>
      <c r="AK53" s="21">
        <v>0</v>
      </c>
      <c r="AL53" s="21">
        <v>0</v>
      </c>
      <c r="AM53" s="21">
        <v>0</v>
      </c>
      <c r="AO53" s="91">
        <v>674345</v>
      </c>
      <c r="AP53" s="91">
        <v>1231151</v>
      </c>
      <c r="AQ53" s="21">
        <v>0</v>
      </c>
      <c r="AR53" s="91">
        <v>599455</v>
      </c>
      <c r="AS53" s="21">
        <v>0</v>
      </c>
      <c r="AT53" s="21">
        <v>0</v>
      </c>
      <c r="AV53" s="91">
        <v>1830606</v>
      </c>
      <c r="AW53" s="21">
        <v>0</v>
      </c>
      <c r="AX53" s="91">
        <v>11506626</v>
      </c>
      <c r="AY53" s="91">
        <v>561444</v>
      </c>
      <c r="AZ53" s="91">
        <v>1911670</v>
      </c>
      <c r="BB53" s="91">
        <v>13979740</v>
      </c>
      <c r="BC53" s="21">
        <v>0</v>
      </c>
      <c r="BE53" s="91">
        <v>16484691</v>
      </c>
      <c r="BF53" s="91">
        <v>26932691</v>
      </c>
    </row>
    <row r="54" spans="1:58" x14ac:dyDescent="0.2">
      <c r="A54" s="18" t="s">
        <v>111</v>
      </c>
      <c r="B54" s="21">
        <v>0</v>
      </c>
      <c r="C54" s="91">
        <v>116039.83</v>
      </c>
      <c r="D54" s="91">
        <v>74011.92</v>
      </c>
      <c r="E54" s="91">
        <v>12275285.220000001</v>
      </c>
      <c r="F54" s="21">
        <v>0</v>
      </c>
      <c r="G54" s="91">
        <v>502534.48</v>
      </c>
      <c r="H54" s="91">
        <v>1316160.8600000001</v>
      </c>
      <c r="I54" s="91">
        <v>581012.97</v>
      </c>
      <c r="J54" s="91">
        <v>256586.84</v>
      </c>
      <c r="L54" s="91">
        <v>15121632.119999999</v>
      </c>
      <c r="M54" s="91">
        <v>581012.97</v>
      </c>
      <c r="N54" s="21">
        <v>0</v>
      </c>
      <c r="O54" s="21">
        <v>0</v>
      </c>
      <c r="P54" s="91">
        <v>581012.97</v>
      </c>
      <c r="Q54" s="91">
        <v>74145.98</v>
      </c>
      <c r="R54" s="91">
        <v>371216.05</v>
      </c>
      <c r="S54" s="21">
        <v>0</v>
      </c>
      <c r="T54" s="91">
        <v>251184.88</v>
      </c>
      <c r="U54" s="91">
        <v>696546.91</v>
      </c>
      <c r="V54" s="91">
        <v>658977.76</v>
      </c>
      <c r="W54" s="21">
        <v>0</v>
      </c>
      <c r="X54" s="21">
        <v>0</v>
      </c>
      <c r="Y54" s="91">
        <v>658977.76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91">
        <v>24526.86</v>
      </c>
      <c r="AF54" s="91">
        <v>295520.90999999997</v>
      </c>
      <c r="AH54" s="91">
        <v>2256585.41</v>
      </c>
      <c r="AI54" s="21">
        <v>0</v>
      </c>
      <c r="AJ54" s="91">
        <v>566613</v>
      </c>
      <c r="AK54" s="21">
        <v>0</v>
      </c>
      <c r="AL54" s="21">
        <v>0</v>
      </c>
      <c r="AM54" s="21">
        <v>0</v>
      </c>
      <c r="AO54" s="91">
        <v>566613</v>
      </c>
      <c r="AP54" s="91">
        <v>3206075.51</v>
      </c>
      <c r="AQ54" s="21">
        <v>0</v>
      </c>
      <c r="AR54" s="91">
        <v>1736839.26</v>
      </c>
      <c r="AS54" s="21">
        <v>0</v>
      </c>
      <c r="AT54" s="21">
        <v>0</v>
      </c>
      <c r="AV54" s="91">
        <v>4942914.7699999996</v>
      </c>
      <c r="AW54" s="91">
        <v>699313.75</v>
      </c>
      <c r="AX54" s="91">
        <v>2115000</v>
      </c>
      <c r="AY54" s="91">
        <v>33457.300000000003</v>
      </c>
      <c r="AZ54" s="21">
        <v>0</v>
      </c>
      <c r="BB54" s="91">
        <v>2847771.05</v>
      </c>
      <c r="BC54" s="21">
        <v>0</v>
      </c>
      <c r="BE54" s="91">
        <v>8357298.8200000003</v>
      </c>
      <c r="BF54" s="91">
        <v>10613884.23</v>
      </c>
    </row>
    <row r="55" spans="1:58" x14ac:dyDescent="0.2">
      <c r="A55" s="18" t="s">
        <v>112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91">
        <v>1119311.8500000001</v>
      </c>
      <c r="I55" s="91">
        <v>110023.34</v>
      </c>
      <c r="J55" s="21">
        <v>0</v>
      </c>
      <c r="L55" s="91">
        <v>1229335.19</v>
      </c>
      <c r="M55" s="91">
        <v>110023.34</v>
      </c>
      <c r="N55" s="21">
        <v>0</v>
      </c>
      <c r="O55" s="21">
        <v>0</v>
      </c>
      <c r="P55" s="91">
        <v>110023.34</v>
      </c>
      <c r="Q55" s="91">
        <v>250000</v>
      </c>
      <c r="R55" s="21">
        <v>0</v>
      </c>
      <c r="S55" s="21">
        <v>0</v>
      </c>
      <c r="T55" s="91">
        <v>869311.85</v>
      </c>
      <c r="U55" s="91">
        <v>1119311.8500000001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H55" s="91">
        <v>1229335.19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  <c r="BB55" s="21">
        <v>0</v>
      </c>
      <c r="BC55" s="21">
        <v>0</v>
      </c>
      <c r="BE55" s="21">
        <v>0</v>
      </c>
      <c r="BF55" s="91">
        <v>1229335.19</v>
      </c>
    </row>
    <row r="56" spans="1:58" x14ac:dyDescent="0.2">
      <c r="A56" s="18" t="s">
        <v>113</v>
      </c>
      <c r="B56" s="21">
        <v>0</v>
      </c>
      <c r="C56" s="21">
        <v>0</v>
      </c>
      <c r="D56" s="21">
        <v>0</v>
      </c>
      <c r="E56" s="91">
        <v>58963.15</v>
      </c>
      <c r="F56" s="21">
        <v>0</v>
      </c>
      <c r="G56" s="21">
        <v>0</v>
      </c>
      <c r="H56" s="91">
        <v>79060.3</v>
      </c>
      <c r="I56" s="91">
        <v>44655.46</v>
      </c>
      <c r="J56" s="21">
        <v>34.1</v>
      </c>
      <c r="L56" s="91">
        <v>182713.01</v>
      </c>
      <c r="M56" s="91">
        <v>12985.47</v>
      </c>
      <c r="N56" s="91">
        <v>6669.99</v>
      </c>
      <c r="O56" s="91">
        <v>25000</v>
      </c>
      <c r="P56" s="91">
        <v>44655.46</v>
      </c>
      <c r="Q56" s="91">
        <v>25500</v>
      </c>
      <c r="R56" s="21">
        <v>0</v>
      </c>
      <c r="S56" s="21">
        <v>0</v>
      </c>
      <c r="T56" s="91">
        <v>1210.5</v>
      </c>
      <c r="U56" s="91">
        <v>26710.5</v>
      </c>
      <c r="V56" s="91">
        <v>52349.8</v>
      </c>
      <c r="W56" s="21">
        <v>0</v>
      </c>
      <c r="X56" s="21">
        <v>0</v>
      </c>
      <c r="Y56" s="91">
        <v>52349.8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34.1</v>
      </c>
      <c r="AH56" s="91">
        <v>123749.86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O56" s="21">
        <v>0</v>
      </c>
      <c r="AP56" s="21">
        <v>0</v>
      </c>
      <c r="AQ56" s="21">
        <v>0</v>
      </c>
      <c r="AR56" s="91">
        <v>58963.15</v>
      </c>
      <c r="AS56" s="21">
        <v>0</v>
      </c>
      <c r="AT56" s="21">
        <v>0</v>
      </c>
      <c r="AV56" s="91">
        <v>58963.15</v>
      </c>
      <c r="AW56" s="21">
        <v>0</v>
      </c>
      <c r="AX56" s="21">
        <v>0</v>
      </c>
      <c r="AY56" s="21">
        <v>0</v>
      </c>
      <c r="AZ56" s="21">
        <v>0</v>
      </c>
      <c r="BB56" s="21">
        <v>0</v>
      </c>
      <c r="BC56" s="21">
        <v>0</v>
      </c>
      <c r="BE56" s="91">
        <v>58963.15</v>
      </c>
      <c r="BF56" s="91">
        <v>182713.01</v>
      </c>
    </row>
    <row r="57" spans="1:58" x14ac:dyDescent="0.2">
      <c r="A57" s="18" t="s">
        <v>114</v>
      </c>
      <c r="B57" s="21">
        <v>0</v>
      </c>
      <c r="C57" s="21">
        <v>0</v>
      </c>
      <c r="D57" s="21">
        <v>0</v>
      </c>
      <c r="E57" s="91">
        <v>4135969.3</v>
      </c>
      <c r="F57" s="91">
        <v>446798.1</v>
      </c>
      <c r="G57" s="21">
        <v>0</v>
      </c>
      <c r="H57" s="21">
        <v>0</v>
      </c>
      <c r="I57" s="21">
        <v>0</v>
      </c>
      <c r="J57" s="21">
        <v>0</v>
      </c>
      <c r="L57" s="91">
        <v>4582767.4000000004</v>
      </c>
      <c r="M57" s="21">
        <v>30</v>
      </c>
      <c r="N57" s="21">
        <v>0</v>
      </c>
      <c r="O57" s="21">
        <v>0</v>
      </c>
      <c r="P57" s="21">
        <v>30</v>
      </c>
      <c r="Q57" s="91">
        <v>15920</v>
      </c>
      <c r="R57" s="21">
        <v>0</v>
      </c>
      <c r="S57" s="21">
        <v>0</v>
      </c>
      <c r="T57" s="21">
        <v>0</v>
      </c>
      <c r="U57" s="91">
        <v>15920</v>
      </c>
      <c r="V57" s="21">
        <v>0</v>
      </c>
      <c r="W57" s="91">
        <v>86502.68</v>
      </c>
      <c r="X57" s="21">
        <v>0</v>
      </c>
      <c r="Y57" s="91">
        <v>86502.68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91">
        <v>28500</v>
      </c>
      <c r="AH57" s="91">
        <v>130952.68</v>
      </c>
      <c r="AI57" s="21">
        <v>0</v>
      </c>
      <c r="AJ57" s="91">
        <v>300705</v>
      </c>
      <c r="AK57" s="21">
        <v>0</v>
      </c>
      <c r="AL57" s="21">
        <v>0</v>
      </c>
      <c r="AM57" s="21">
        <v>0</v>
      </c>
      <c r="AO57" s="91">
        <v>300705</v>
      </c>
      <c r="AP57" s="91">
        <v>777761.2</v>
      </c>
      <c r="AQ57" s="21">
        <v>0</v>
      </c>
      <c r="AR57" s="91">
        <v>186431.06</v>
      </c>
      <c r="AS57" s="21">
        <v>0</v>
      </c>
      <c r="AT57" s="21">
        <v>0</v>
      </c>
      <c r="AV57" s="91">
        <v>777761.2</v>
      </c>
      <c r="AW57" s="21">
        <v>0</v>
      </c>
      <c r="AX57" s="21">
        <v>0</v>
      </c>
      <c r="AY57" s="21">
        <v>0</v>
      </c>
      <c r="AZ57" s="91">
        <v>1336377.6100000001</v>
      </c>
      <c r="BB57" s="91">
        <v>1336377.6100000001</v>
      </c>
      <c r="BC57" s="21">
        <v>0</v>
      </c>
      <c r="BE57" s="91">
        <v>2414843.81</v>
      </c>
      <c r="BF57" s="91">
        <v>2545796.4900000002</v>
      </c>
    </row>
    <row r="58" spans="1:58" x14ac:dyDescent="0.2">
      <c r="A58" s="18" t="s">
        <v>115</v>
      </c>
      <c r="B58" s="21">
        <v>0</v>
      </c>
      <c r="C58" s="91">
        <v>18170.43</v>
      </c>
      <c r="D58" s="21">
        <v>0</v>
      </c>
      <c r="E58" s="91">
        <v>1539078.14</v>
      </c>
      <c r="F58" s="21">
        <v>0</v>
      </c>
      <c r="G58" s="91">
        <v>9994.48</v>
      </c>
      <c r="H58" s="91">
        <v>75828.039999999994</v>
      </c>
      <c r="I58" s="91">
        <v>9608.58</v>
      </c>
      <c r="J58" s="91">
        <v>1429.46</v>
      </c>
      <c r="L58" s="91">
        <v>1654109.13</v>
      </c>
      <c r="M58" s="91">
        <v>9608.58</v>
      </c>
      <c r="N58" s="21">
        <v>0</v>
      </c>
      <c r="O58" s="21">
        <v>0</v>
      </c>
      <c r="P58" s="91">
        <v>9608.58</v>
      </c>
      <c r="Q58" s="21">
        <v>0</v>
      </c>
      <c r="R58" s="21">
        <v>0</v>
      </c>
      <c r="S58" s="21">
        <v>0</v>
      </c>
      <c r="T58" s="91">
        <v>66219.460000000006</v>
      </c>
      <c r="U58" s="91">
        <v>66219.460000000006</v>
      </c>
      <c r="V58" s="91">
        <v>9994.48</v>
      </c>
      <c r="W58" s="21">
        <v>0</v>
      </c>
      <c r="X58" s="21">
        <v>0</v>
      </c>
      <c r="Y58" s="91">
        <v>9994.48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91">
        <v>18170.43</v>
      </c>
      <c r="AF58" s="21">
        <v>0</v>
      </c>
      <c r="AH58" s="91">
        <v>103992.95</v>
      </c>
      <c r="AI58" s="21">
        <v>0</v>
      </c>
      <c r="AJ58" s="91">
        <v>38695.550000000003</v>
      </c>
      <c r="AK58" s="21">
        <v>0</v>
      </c>
      <c r="AL58" s="91">
        <v>93372</v>
      </c>
      <c r="AM58" s="21">
        <v>0</v>
      </c>
      <c r="AO58" s="91">
        <v>132067.54999999999</v>
      </c>
      <c r="AP58" s="91">
        <v>1254998.3700000001</v>
      </c>
      <c r="AQ58" s="21">
        <v>0</v>
      </c>
      <c r="AR58" s="91">
        <v>152012.22</v>
      </c>
      <c r="AS58" s="21">
        <v>0</v>
      </c>
      <c r="AT58" s="21">
        <v>0</v>
      </c>
      <c r="AV58" s="91">
        <v>1407010.59</v>
      </c>
      <c r="AW58" s="21">
        <v>0</v>
      </c>
      <c r="AX58" s="21">
        <v>0</v>
      </c>
      <c r="AY58" s="21">
        <v>0</v>
      </c>
      <c r="AZ58" s="21">
        <v>0</v>
      </c>
      <c r="BB58" s="21">
        <v>0</v>
      </c>
      <c r="BC58" s="21">
        <v>0</v>
      </c>
      <c r="BE58" s="91">
        <v>1539078.14</v>
      </c>
      <c r="BF58" s="91">
        <v>1643071.09</v>
      </c>
    </row>
    <row r="59" spans="1:58" x14ac:dyDescent="0.2">
      <c r="A59" s="18" t="s">
        <v>116</v>
      </c>
      <c r="B59" s="21">
        <v>0</v>
      </c>
      <c r="C59" s="91">
        <v>24277.279999999999</v>
      </c>
      <c r="D59" s="21">
        <v>0</v>
      </c>
      <c r="E59" s="91">
        <v>3752830</v>
      </c>
      <c r="F59" s="21">
        <v>0</v>
      </c>
      <c r="G59" s="91">
        <v>108144</v>
      </c>
      <c r="H59" s="21">
        <v>0</v>
      </c>
      <c r="I59" s="91">
        <v>184192</v>
      </c>
      <c r="J59" s="91">
        <v>63880</v>
      </c>
      <c r="L59" s="91">
        <v>4133323.28</v>
      </c>
      <c r="M59" s="91">
        <v>105563</v>
      </c>
      <c r="N59" s="21">
        <v>0</v>
      </c>
      <c r="O59" s="21">
        <v>0</v>
      </c>
      <c r="P59" s="91">
        <v>105563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91">
        <v>518755</v>
      </c>
      <c r="W59" s="21">
        <v>0</v>
      </c>
      <c r="X59" s="21">
        <v>0</v>
      </c>
      <c r="Y59" s="91">
        <v>518755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H59" s="91">
        <v>624318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O59" s="21">
        <v>0</v>
      </c>
      <c r="AP59" s="91">
        <v>2391394</v>
      </c>
      <c r="AQ59" s="21">
        <v>0</v>
      </c>
      <c r="AR59" s="91">
        <v>309413</v>
      </c>
      <c r="AS59" s="21">
        <v>0</v>
      </c>
      <c r="AT59" s="21">
        <v>0</v>
      </c>
      <c r="AV59" s="91">
        <v>2700807</v>
      </c>
      <c r="AW59" s="21">
        <v>0</v>
      </c>
      <c r="AX59" s="21">
        <v>0</v>
      </c>
      <c r="AY59" s="21">
        <v>0</v>
      </c>
      <c r="AZ59" s="21">
        <v>0</v>
      </c>
      <c r="BB59" s="21">
        <v>0</v>
      </c>
      <c r="BC59" s="21">
        <v>0</v>
      </c>
      <c r="BE59" s="91">
        <v>2700807</v>
      </c>
      <c r="BF59" s="91">
        <v>3325125</v>
      </c>
    </row>
    <row r="60" spans="1:58" x14ac:dyDescent="0.2">
      <c r="A60" s="18" t="s">
        <v>117</v>
      </c>
      <c r="B60" s="21">
        <v>0</v>
      </c>
      <c r="C60" s="91">
        <v>2884</v>
      </c>
      <c r="D60" s="21">
        <v>0</v>
      </c>
      <c r="E60" s="21">
        <v>0</v>
      </c>
      <c r="F60" s="21">
        <v>0</v>
      </c>
      <c r="G60" s="21">
        <v>0</v>
      </c>
      <c r="H60" s="91">
        <v>109719</v>
      </c>
      <c r="I60" s="91">
        <v>35655</v>
      </c>
      <c r="J60" s="21">
        <v>802</v>
      </c>
      <c r="L60" s="91">
        <v>149060</v>
      </c>
      <c r="M60" s="91">
        <v>66402</v>
      </c>
      <c r="N60" s="21">
        <v>0</v>
      </c>
      <c r="O60" s="21">
        <v>0</v>
      </c>
      <c r="P60" s="91">
        <v>66402</v>
      </c>
      <c r="Q60" s="91">
        <v>28997</v>
      </c>
      <c r="R60" s="21">
        <v>0</v>
      </c>
      <c r="S60" s="21">
        <v>0</v>
      </c>
      <c r="T60" s="91">
        <v>49975</v>
      </c>
      <c r="U60" s="91">
        <v>78972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91">
        <v>2884</v>
      </c>
      <c r="AF60" s="21">
        <v>0</v>
      </c>
      <c r="AH60" s="91">
        <v>148258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V60" s="21">
        <v>0</v>
      </c>
      <c r="AW60" s="21">
        <v>0</v>
      </c>
      <c r="AX60" s="21">
        <v>0</v>
      </c>
      <c r="AY60" s="21">
        <v>0</v>
      </c>
      <c r="AZ60" s="21">
        <v>0</v>
      </c>
      <c r="BB60" s="21">
        <v>0</v>
      </c>
      <c r="BC60" s="21">
        <v>0</v>
      </c>
      <c r="BE60" s="21">
        <v>0</v>
      </c>
      <c r="BF60" s="91">
        <v>148258</v>
      </c>
    </row>
    <row r="61" spans="1:58" x14ac:dyDescent="0.2">
      <c r="A61" s="18" t="s">
        <v>118</v>
      </c>
      <c r="B61" s="21">
        <v>0</v>
      </c>
      <c r="C61" s="91">
        <v>31835.42</v>
      </c>
      <c r="D61" s="91">
        <v>1667.29</v>
      </c>
      <c r="E61" s="91">
        <v>2747989.37</v>
      </c>
      <c r="F61" s="91">
        <v>81525.09</v>
      </c>
      <c r="G61" s="91">
        <v>220155.06</v>
      </c>
      <c r="H61" s="91">
        <v>19885.37</v>
      </c>
      <c r="I61" s="91">
        <v>170162.99</v>
      </c>
      <c r="J61" s="91">
        <v>90332.29</v>
      </c>
      <c r="L61" s="91">
        <v>3363552.88</v>
      </c>
      <c r="M61" s="91">
        <v>170162.99</v>
      </c>
      <c r="N61" s="21">
        <v>0</v>
      </c>
      <c r="O61" s="21">
        <v>0</v>
      </c>
      <c r="P61" s="91">
        <v>170162.99</v>
      </c>
      <c r="Q61" s="91">
        <v>2648.33</v>
      </c>
      <c r="R61" s="21">
        <v>0</v>
      </c>
      <c r="S61" s="91">
        <v>1010</v>
      </c>
      <c r="T61" s="91">
        <v>5548.24</v>
      </c>
      <c r="U61" s="91">
        <v>9206.57</v>
      </c>
      <c r="V61" s="91">
        <v>405728.7</v>
      </c>
      <c r="W61" s="91">
        <v>75115.34</v>
      </c>
      <c r="X61" s="21">
        <v>0</v>
      </c>
      <c r="Y61" s="91">
        <v>480844.04</v>
      </c>
      <c r="Z61" s="21">
        <v>0</v>
      </c>
      <c r="AA61" s="91">
        <v>1667.29</v>
      </c>
      <c r="AB61" s="21">
        <v>0</v>
      </c>
      <c r="AC61" s="21">
        <v>0</v>
      </c>
      <c r="AD61" s="91">
        <v>1667.29</v>
      </c>
      <c r="AE61" s="91">
        <v>102611.41</v>
      </c>
      <c r="AF61" s="21">
        <v>631.57000000000005</v>
      </c>
      <c r="AH61" s="91">
        <v>765123.87</v>
      </c>
      <c r="AI61" s="21">
        <v>0</v>
      </c>
      <c r="AJ61" s="91">
        <v>197450</v>
      </c>
      <c r="AK61" s="21">
        <v>0</v>
      </c>
      <c r="AL61" s="21">
        <v>0</v>
      </c>
      <c r="AM61" s="21">
        <v>0</v>
      </c>
      <c r="AO61" s="91">
        <v>197450</v>
      </c>
      <c r="AP61" s="91">
        <v>544403.11</v>
      </c>
      <c r="AQ61" s="21">
        <v>0</v>
      </c>
      <c r="AR61" s="91">
        <v>151886.96</v>
      </c>
      <c r="AS61" s="21">
        <v>0</v>
      </c>
      <c r="AT61" s="21">
        <v>0</v>
      </c>
      <c r="AV61" s="91">
        <v>696290.07</v>
      </c>
      <c r="AW61" s="91">
        <v>240000</v>
      </c>
      <c r="AX61" s="21">
        <v>0</v>
      </c>
      <c r="AY61" s="21">
        <v>0</v>
      </c>
      <c r="AZ61" s="91">
        <v>506504.13</v>
      </c>
      <c r="BB61" s="91">
        <v>746504.13</v>
      </c>
      <c r="BC61" s="91">
        <v>21500</v>
      </c>
      <c r="BE61" s="91">
        <v>1640244.2</v>
      </c>
      <c r="BF61" s="91">
        <v>2405368.0699999998</v>
      </c>
    </row>
    <row r="62" spans="1:58" x14ac:dyDescent="0.2">
      <c r="A62" s="18" t="s">
        <v>119</v>
      </c>
      <c r="B62" s="91">
        <v>173211.32</v>
      </c>
      <c r="C62" s="91">
        <v>6074599.7999999998</v>
      </c>
      <c r="D62" s="21">
        <v>0</v>
      </c>
      <c r="E62" s="91">
        <v>30203154.73</v>
      </c>
      <c r="F62" s="21">
        <v>0</v>
      </c>
      <c r="G62" s="91">
        <v>12993624.359999999</v>
      </c>
      <c r="H62" s="91">
        <v>3599626.13</v>
      </c>
      <c r="I62" s="91">
        <v>34616864.369999997</v>
      </c>
      <c r="J62" s="91">
        <v>1329858.18</v>
      </c>
      <c r="L62" s="91">
        <v>88990938.890000001</v>
      </c>
      <c r="M62" s="91">
        <v>28950494</v>
      </c>
      <c r="N62" s="21">
        <v>0</v>
      </c>
      <c r="O62" s="91">
        <v>409678</v>
      </c>
      <c r="P62" s="91">
        <v>29360172</v>
      </c>
      <c r="Q62" s="91">
        <v>922871</v>
      </c>
      <c r="R62" s="91">
        <v>3697685</v>
      </c>
      <c r="S62" s="21">
        <v>0</v>
      </c>
      <c r="T62" s="91">
        <v>5668073</v>
      </c>
      <c r="U62" s="91">
        <v>10288629</v>
      </c>
      <c r="V62" s="91">
        <v>5125021</v>
      </c>
      <c r="W62" s="91">
        <v>1506477</v>
      </c>
      <c r="X62" s="91">
        <v>198425</v>
      </c>
      <c r="Y62" s="91">
        <v>6829923</v>
      </c>
      <c r="Z62" s="91">
        <v>5448737</v>
      </c>
      <c r="AA62" s="91">
        <v>44896</v>
      </c>
      <c r="AB62" s="91">
        <v>60635</v>
      </c>
      <c r="AC62" s="91">
        <v>392655</v>
      </c>
      <c r="AD62" s="91">
        <v>5946923</v>
      </c>
      <c r="AE62" s="91">
        <v>241543</v>
      </c>
      <c r="AF62" s="91">
        <v>7891544</v>
      </c>
      <c r="AH62" s="91">
        <v>60558734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O62" s="21">
        <v>0</v>
      </c>
      <c r="AP62" s="91">
        <v>1953129.68</v>
      </c>
      <c r="AQ62" s="21">
        <v>0</v>
      </c>
      <c r="AR62" s="91">
        <v>471517.16</v>
      </c>
      <c r="AS62" s="21">
        <v>0</v>
      </c>
      <c r="AT62" s="91">
        <v>8058.95</v>
      </c>
      <c r="AV62" s="91">
        <v>2432705.79</v>
      </c>
      <c r="AW62" s="21">
        <v>0</v>
      </c>
      <c r="AX62" s="91">
        <v>10133319.970000001</v>
      </c>
      <c r="AY62" s="91">
        <v>5691959.2599999998</v>
      </c>
      <c r="AZ62" s="91">
        <v>125387.48</v>
      </c>
      <c r="BB62" s="91">
        <v>15950666.710000001</v>
      </c>
      <c r="BC62" s="21">
        <v>0</v>
      </c>
      <c r="BE62" s="91">
        <v>18383372.5</v>
      </c>
      <c r="BF62" s="91">
        <v>78942106.5</v>
      </c>
    </row>
    <row r="63" spans="1:58" x14ac:dyDescent="0.2">
      <c r="A63" s="18" t="s">
        <v>120</v>
      </c>
      <c r="B63" s="21">
        <v>0</v>
      </c>
      <c r="C63" s="91">
        <v>14730.16</v>
      </c>
      <c r="D63" s="21">
        <v>0</v>
      </c>
      <c r="E63" s="91">
        <v>849175.12</v>
      </c>
      <c r="F63" s="21">
        <v>0</v>
      </c>
      <c r="G63" s="21">
        <v>0</v>
      </c>
      <c r="H63" s="91">
        <v>25306.57</v>
      </c>
      <c r="I63" s="91">
        <v>6112.5</v>
      </c>
      <c r="J63" s="91">
        <v>4807.78</v>
      </c>
      <c r="L63" s="91">
        <v>900132.13</v>
      </c>
      <c r="M63" s="91">
        <v>6112.5</v>
      </c>
      <c r="N63" s="21">
        <v>0</v>
      </c>
      <c r="O63" s="21">
        <v>0</v>
      </c>
      <c r="P63" s="91">
        <v>6112.5</v>
      </c>
      <c r="Q63" s="21">
        <v>0</v>
      </c>
      <c r="R63" s="21">
        <v>0</v>
      </c>
      <c r="S63" s="21">
        <v>0</v>
      </c>
      <c r="T63" s="91">
        <v>25306.57</v>
      </c>
      <c r="U63" s="91">
        <v>25306.57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91">
        <v>5108.6499999999996</v>
      </c>
      <c r="AC63" s="21">
        <v>231.71</v>
      </c>
      <c r="AD63" s="91">
        <v>5340.36</v>
      </c>
      <c r="AE63" s="91">
        <v>9389.5</v>
      </c>
      <c r="AF63" s="21">
        <v>0</v>
      </c>
      <c r="AH63" s="91">
        <v>46148.93</v>
      </c>
      <c r="AI63" s="21">
        <v>0</v>
      </c>
      <c r="AJ63" s="91">
        <v>30570.65</v>
      </c>
      <c r="AK63" s="21">
        <v>0</v>
      </c>
      <c r="AL63" s="21">
        <v>0</v>
      </c>
      <c r="AM63" s="21">
        <v>0</v>
      </c>
      <c r="AO63" s="91">
        <v>30570.65</v>
      </c>
      <c r="AP63" s="91">
        <v>672597.57</v>
      </c>
      <c r="AQ63" s="21">
        <v>0</v>
      </c>
      <c r="AR63" s="91">
        <v>146006.9</v>
      </c>
      <c r="AS63" s="21">
        <v>0</v>
      </c>
      <c r="AT63" s="21">
        <v>0</v>
      </c>
      <c r="AV63" s="91">
        <v>818604.47</v>
      </c>
      <c r="AW63" s="21">
        <v>0</v>
      </c>
      <c r="AX63" s="21">
        <v>0</v>
      </c>
      <c r="AY63" s="21">
        <v>0</v>
      </c>
      <c r="AZ63" s="21">
        <v>0</v>
      </c>
      <c r="BB63" s="21">
        <v>0</v>
      </c>
      <c r="BC63" s="21">
        <v>0</v>
      </c>
      <c r="BE63" s="91">
        <v>849175.12</v>
      </c>
      <c r="BF63" s="91">
        <v>895324.05</v>
      </c>
    </row>
    <row r="64" spans="1:58" x14ac:dyDescent="0.2">
      <c r="A64" s="18" t="s">
        <v>121</v>
      </c>
      <c r="B64" s="21">
        <v>0</v>
      </c>
      <c r="C64" s="21">
        <v>0</v>
      </c>
      <c r="D64" s="21">
        <v>0</v>
      </c>
      <c r="E64" s="91">
        <v>3372157.14</v>
      </c>
      <c r="F64" s="21">
        <v>0</v>
      </c>
      <c r="G64" s="91">
        <v>253715.53</v>
      </c>
      <c r="H64" s="21">
        <v>0</v>
      </c>
      <c r="I64" s="91">
        <v>12529649.98</v>
      </c>
      <c r="J64" s="91">
        <v>6676.85</v>
      </c>
      <c r="L64" s="91">
        <v>16162199.5</v>
      </c>
      <c r="M64" s="91">
        <v>3119712.57</v>
      </c>
      <c r="N64" s="91">
        <v>8526925.9199999999</v>
      </c>
      <c r="O64" s="21">
        <v>0</v>
      </c>
      <c r="P64" s="91">
        <v>11646638.49</v>
      </c>
      <c r="Q64" s="91">
        <v>45166.6</v>
      </c>
      <c r="R64" s="91">
        <v>614065.94999999995</v>
      </c>
      <c r="S64" s="91">
        <v>345496.36</v>
      </c>
      <c r="T64" s="21">
        <v>0</v>
      </c>
      <c r="U64" s="91">
        <v>1004728.91</v>
      </c>
      <c r="V64" s="91">
        <v>19200</v>
      </c>
      <c r="W64" s="91">
        <v>112798.11</v>
      </c>
      <c r="X64" s="21">
        <v>0</v>
      </c>
      <c r="Y64" s="91">
        <v>131998.10999999999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H64" s="91">
        <v>12783365.51</v>
      </c>
      <c r="AI64" s="21">
        <v>0</v>
      </c>
      <c r="AJ64" s="21">
        <v>0</v>
      </c>
      <c r="AK64" s="21">
        <v>0</v>
      </c>
      <c r="AL64" s="21">
        <v>0</v>
      </c>
      <c r="AM64" s="91">
        <v>4000</v>
      </c>
      <c r="AO64" s="91">
        <v>4000</v>
      </c>
      <c r="AP64" s="91">
        <v>262889</v>
      </c>
      <c r="AQ64" s="21">
        <v>0</v>
      </c>
      <c r="AR64" s="21">
        <v>0</v>
      </c>
      <c r="AS64" s="21">
        <v>0</v>
      </c>
      <c r="AT64" s="21">
        <v>0</v>
      </c>
      <c r="AV64" s="91">
        <v>262889</v>
      </c>
      <c r="AW64" s="21">
        <v>0</v>
      </c>
      <c r="AX64" s="21">
        <v>0</v>
      </c>
      <c r="AY64" s="21">
        <v>0</v>
      </c>
      <c r="AZ64" s="21">
        <v>0</v>
      </c>
      <c r="BB64" s="91">
        <v>5681993</v>
      </c>
      <c r="BC64" s="21">
        <v>0</v>
      </c>
      <c r="BE64" s="91">
        <v>5948882</v>
      </c>
      <c r="BF64" s="91">
        <v>18732247.510000002</v>
      </c>
    </row>
    <row r="65" spans="1:58" x14ac:dyDescent="0.2">
      <c r="A65" s="18" t="s">
        <v>122</v>
      </c>
      <c r="B65" s="21">
        <v>0</v>
      </c>
      <c r="C65" s="91">
        <v>17140.18</v>
      </c>
      <c r="D65" s="21">
        <v>0</v>
      </c>
      <c r="E65" s="91">
        <v>873535.81</v>
      </c>
      <c r="F65" s="21">
        <v>0</v>
      </c>
      <c r="G65" s="91">
        <v>111952.33</v>
      </c>
      <c r="H65" s="91">
        <v>54014.93</v>
      </c>
      <c r="I65" s="91">
        <v>53540.88</v>
      </c>
      <c r="J65" s="91">
        <v>3302.13</v>
      </c>
      <c r="L65" s="91">
        <v>1113486.26</v>
      </c>
      <c r="M65" s="91">
        <v>67895.59</v>
      </c>
      <c r="N65" s="21">
        <v>0</v>
      </c>
      <c r="O65" s="91">
        <v>2974.54</v>
      </c>
      <c r="P65" s="91">
        <v>70870.13</v>
      </c>
      <c r="Q65" s="91">
        <v>12262.8</v>
      </c>
      <c r="R65" s="21">
        <v>0</v>
      </c>
      <c r="S65" s="21">
        <v>0</v>
      </c>
      <c r="T65" s="91">
        <v>22871.5</v>
      </c>
      <c r="U65" s="91">
        <v>35134.300000000003</v>
      </c>
      <c r="V65" s="91">
        <v>10000</v>
      </c>
      <c r="W65" s="21">
        <v>0</v>
      </c>
      <c r="X65" s="21">
        <v>0</v>
      </c>
      <c r="Y65" s="91">
        <v>10000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H65" s="91">
        <v>116004.43</v>
      </c>
      <c r="AI65" s="21">
        <v>0</v>
      </c>
      <c r="AJ65" s="91">
        <v>228431</v>
      </c>
      <c r="AK65" s="21">
        <v>0</v>
      </c>
      <c r="AL65" s="21">
        <v>0</v>
      </c>
      <c r="AM65" s="21">
        <v>0</v>
      </c>
      <c r="AO65" s="91">
        <v>228431</v>
      </c>
      <c r="AP65" s="91">
        <v>24080</v>
      </c>
      <c r="AQ65" s="21">
        <v>0</v>
      </c>
      <c r="AR65" s="91">
        <v>172120.14</v>
      </c>
      <c r="AS65" s="21">
        <v>0</v>
      </c>
      <c r="AT65" s="21">
        <v>0</v>
      </c>
      <c r="AV65" s="91">
        <v>196200.14</v>
      </c>
      <c r="AW65" s="21">
        <v>0</v>
      </c>
      <c r="AX65" s="21">
        <v>0</v>
      </c>
      <c r="AY65" s="21">
        <v>0</v>
      </c>
      <c r="AZ65" s="21">
        <v>0</v>
      </c>
      <c r="BB65" s="21">
        <v>0</v>
      </c>
      <c r="BC65" s="21">
        <v>0</v>
      </c>
      <c r="BE65" s="91">
        <v>424631.14</v>
      </c>
      <c r="BF65" s="91">
        <v>540635.56999999995</v>
      </c>
    </row>
    <row r="66" spans="1:58" x14ac:dyDescent="0.2">
      <c r="A66" s="18" t="s">
        <v>123</v>
      </c>
      <c r="B66" s="21">
        <v>0</v>
      </c>
      <c r="C66" s="91">
        <v>90022</v>
      </c>
      <c r="D66" s="21">
        <v>0</v>
      </c>
      <c r="E66" s="91">
        <v>240712</v>
      </c>
      <c r="F66" s="21">
        <v>0</v>
      </c>
      <c r="G66" s="21">
        <v>0</v>
      </c>
      <c r="H66" s="91">
        <v>1610688</v>
      </c>
      <c r="I66" s="91">
        <v>176601</v>
      </c>
      <c r="J66" s="91">
        <v>71606</v>
      </c>
      <c r="L66" s="91">
        <v>2189629</v>
      </c>
      <c r="M66" s="91">
        <v>176601</v>
      </c>
      <c r="N66" s="21">
        <v>0</v>
      </c>
      <c r="O66" s="21">
        <v>0</v>
      </c>
      <c r="P66" s="91">
        <v>176601</v>
      </c>
      <c r="Q66" s="91">
        <v>1380343</v>
      </c>
      <c r="R66" s="91">
        <v>67107</v>
      </c>
      <c r="S66" s="91">
        <v>369301</v>
      </c>
      <c r="T66" s="91">
        <v>358228</v>
      </c>
      <c r="U66" s="91">
        <v>2174979</v>
      </c>
      <c r="V66" s="21">
        <v>0</v>
      </c>
      <c r="W66" s="21">
        <v>0</v>
      </c>
      <c r="X66" s="21">
        <v>0</v>
      </c>
      <c r="Y66" s="21">
        <v>0</v>
      </c>
      <c r="Z66" s="91">
        <v>90022</v>
      </c>
      <c r="AA66" s="21">
        <v>0</v>
      </c>
      <c r="AB66" s="21">
        <v>0</v>
      </c>
      <c r="AC66" s="21">
        <v>0</v>
      </c>
      <c r="AD66" s="91">
        <v>90022</v>
      </c>
      <c r="AE66" s="21">
        <v>0</v>
      </c>
      <c r="AF66" s="91">
        <v>65713</v>
      </c>
      <c r="AH66" s="91">
        <v>2507315</v>
      </c>
      <c r="AI66" s="21">
        <v>0</v>
      </c>
      <c r="AJ66" s="21">
        <v>0</v>
      </c>
      <c r="AK66" s="21">
        <v>0</v>
      </c>
      <c r="AL66" s="91">
        <v>11650</v>
      </c>
      <c r="AM66" s="21">
        <v>0</v>
      </c>
      <c r="AO66" s="91">
        <v>11650</v>
      </c>
      <c r="AP66" s="91">
        <v>140510</v>
      </c>
      <c r="AQ66" s="21">
        <v>0</v>
      </c>
      <c r="AR66" s="91">
        <v>220976</v>
      </c>
      <c r="AS66" s="21">
        <v>0</v>
      </c>
      <c r="AT66" s="21">
        <v>0</v>
      </c>
      <c r="AV66" s="91">
        <v>361486</v>
      </c>
      <c r="AW66" s="21">
        <v>0</v>
      </c>
      <c r="AX66" s="21">
        <v>0</v>
      </c>
      <c r="AY66" s="21">
        <v>0</v>
      </c>
      <c r="AZ66" s="21">
        <v>0</v>
      </c>
      <c r="BB66" s="21">
        <v>0</v>
      </c>
      <c r="BC66" s="21">
        <v>0</v>
      </c>
      <c r="BE66" s="91">
        <v>373136</v>
      </c>
      <c r="BF66" s="91">
        <v>2880451</v>
      </c>
    </row>
    <row r="67" spans="1:58" x14ac:dyDescent="0.2">
      <c r="A67" s="18" t="s">
        <v>124</v>
      </c>
      <c r="B67" s="21">
        <v>0</v>
      </c>
      <c r="C67" s="21">
        <v>0</v>
      </c>
      <c r="D67" s="21">
        <v>0</v>
      </c>
      <c r="E67" s="91">
        <v>7825.36</v>
      </c>
      <c r="F67" s="21">
        <v>0</v>
      </c>
      <c r="G67" s="21">
        <v>0</v>
      </c>
      <c r="H67" s="91">
        <v>7953.47</v>
      </c>
      <c r="I67" s="91">
        <v>13521.67</v>
      </c>
      <c r="J67" s="21">
        <v>398.5</v>
      </c>
      <c r="L67" s="91">
        <v>29699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V67" s="21">
        <v>0</v>
      </c>
      <c r="AW67" s="21">
        <v>0</v>
      </c>
      <c r="AX67" s="21">
        <v>0</v>
      </c>
      <c r="AY67" s="21">
        <v>0</v>
      </c>
      <c r="AZ67" s="21">
        <v>0</v>
      </c>
      <c r="BB67" s="21">
        <v>0</v>
      </c>
      <c r="BC67" s="21">
        <v>0</v>
      </c>
      <c r="BE67" s="21">
        <v>0</v>
      </c>
      <c r="BF67" s="21">
        <v>0</v>
      </c>
    </row>
    <row r="68" spans="1:58" x14ac:dyDescent="0.2">
      <c r="A68" s="18" t="s">
        <v>125</v>
      </c>
      <c r="B68" s="21">
        <v>0</v>
      </c>
      <c r="C68" s="21">
        <v>0</v>
      </c>
      <c r="D68" s="21">
        <v>0</v>
      </c>
      <c r="E68" s="91">
        <v>144938.5</v>
      </c>
      <c r="F68" s="21">
        <v>0</v>
      </c>
      <c r="G68" s="21">
        <v>0</v>
      </c>
      <c r="H68" s="21">
        <v>0</v>
      </c>
      <c r="I68" s="21">
        <v>0</v>
      </c>
      <c r="J68" s="21">
        <v>0.59</v>
      </c>
      <c r="L68" s="91">
        <v>144939.09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O68" s="21">
        <v>0</v>
      </c>
      <c r="AP68" s="91">
        <v>116640</v>
      </c>
      <c r="AQ68" s="21">
        <v>0</v>
      </c>
      <c r="AR68" s="21">
        <v>0</v>
      </c>
      <c r="AS68" s="21">
        <v>0</v>
      </c>
      <c r="AT68" s="21">
        <v>0</v>
      </c>
      <c r="AV68" s="91">
        <v>116640</v>
      </c>
      <c r="AW68" s="21">
        <v>0</v>
      </c>
      <c r="AX68" s="21">
        <v>0</v>
      </c>
      <c r="AY68" s="21">
        <v>0</v>
      </c>
      <c r="AZ68" s="21">
        <v>0</v>
      </c>
      <c r="BB68" s="21">
        <v>0</v>
      </c>
      <c r="BC68" s="21">
        <v>0</v>
      </c>
      <c r="BE68" s="91">
        <v>116640</v>
      </c>
      <c r="BF68" s="91">
        <v>116640</v>
      </c>
    </row>
    <row r="69" spans="1:58" x14ac:dyDescent="0.2">
      <c r="A69" s="18" t="s">
        <v>126</v>
      </c>
      <c r="B69" s="21">
        <v>0</v>
      </c>
      <c r="C69" s="91">
        <v>1600.61</v>
      </c>
      <c r="D69" s="21">
        <v>0</v>
      </c>
      <c r="E69" s="21">
        <v>0</v>
      </c>
      <c r="F69" s="21">
        <v>0</v>
      </c>
      <c r="G69" s="91">
        <v>38161.01</v>
      </c>
      <c r="H69" s="91">
        <v>91105.06</v>
      </c>
      <c r="I69" s="91">
        <v>104209.03</v>
      </c>
      <c r="J69" s="91">
        <v>44913.26</v>
      </c>
      <c r="L69" s="91">
        <v>279988.96999999997</v>
      </c>
      <c r="M69" s="91">
        <v>104209.03</v>
      </c>
      <c r="N69" s="21">
        <v>0</v>
      </c>
      <c r="O69" s="21">
        <v>0</v>
      </c>
      <c r="P69" s="91">
        <v>104209.03</v>
      </c>
      <c r="Q69" s="91">
        <v>38161.01</v>
      </c>
      <c r="R69" s="21">
        <v>0</v>
      </c>
      <c r="S69" s="91">
        <v>25543.599999999999</v>
      </c>
      <c r="T69" s="91">
        <v>91105.06</v>
      </c>
      <c r="U69" s="91">
        <v>154809.67000000001</v>
      </c>
      <c r="V69" s="21">
        <v>0</v>
      </c>
      <c r="W69" s="21">
        <v>0</v>
      </c>
      <c r="X69" s="21">
        <v>0</v>
      </c>
      <c r="Y69" s="21">
        <v>0</v>
      </c>
      <c r="Z69" s="91">
        <v>1600.61</v>
      </c>
      <c r="AA69" s="21">
        <v>0</v>
      </c>
      <c r="AB69" s="21">
        <v>0</v>
      </c>
      <c r="AC69" s="21">
        <v>0</v>
      </c>
      <c r="AD69" s="91">
        <v>1600.61</v>
      </c>
      <c r="AE69" s="21">
        <v>0</v>
      </c>
      <c r="AF69" s="21">
        <v>0</v>
      </c>
      <c r="AH69" s="91">
        <v>260619.31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V69" s="21">
        <v>0</v>
      </c>
      <c r="AW69" s="21">
        <v>0</v>
      </c>
      <c r="AX69" s="21">
        <v>0</v>
      </c>
      <c r="AY69" s="21">
        <v>0</v>
      </c>
      <c r="AZ69" s="21">
        <v>0</v>
      </c>
      <c r="BB69" s="21">
        <v>0</v>
      </c>
      <c r="BC69" s="21">
        <v>0</v>
      </c>
      <c r="BE69" s="21">
        <v>0</v>
      </c>
      <c r="BF69" s="91">
        <v>260619.31</v>
      </c>
    </row>
    <row r="70" spans="1:58" x14ac:dyDescent="0.2">
      <c r="A70" s="18" t="s">
        <v>127</v>
      </c>
      <c r="B70" s="21">
        <v>0</v>
      </c>
      <c r="C70" s="21">
        <v>0</v>
      </c>
      <c r="D70" s="21">
        <v>0</v>
      </c>
      <c r="E70" s="91">
        <v>1719139.8</v>
      </c>
      <c r="F70" s="21">
        <v>0</v>
      </c>
      <c r="G70" s="91">
        <v>63148.959999999999</v>
      </c>
      <c r="H70" s="21">
        <v>0</v>
      </c>
      <c r="I70" s="91">
        <v>15261.54</v>
      </c>
      <c r="J70" s="91">
        <v>46063.82</v>
      </c>
      <c r="L70" s="91">
        <v>1843614.12</v>
      </c>
      <c r="M70" s="91">
        <v>15261</v>
      </c>
      <c r="N70" s="21">
        <v>0</v>
      </c>
      <c r="O70" s="21">
        <v>0</v>
      </c>
      <c r="P70" s="91">
        <v>15261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91">
        <v>95857</v>
      </c>
      <c r="W70" s="21">
        <v>0</v>
      </c>
      <c r="X70" s="21">
        <v>0</v>
      </c>
      <c r="Y70" s="91">
        <v>95857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H70" s="91">
        <v>111118</v>
      </c>
      <c r="AI70" s="21">
        <v>0</v>
      </c>
      <c r="AJ70" s="91">
        <v>221700</v>
      </c>
      <c r="AK70" s="21">
        <v>0</v>
      </c>
      <c r="AL70" s="21">
        <v>0</v>
      </c>
      <c r="AM70" s="21">
        <v>0</v>
      </c>
      <c r="AO70" s="91">
        <v>221700</v>
      </c>
      <c r="AP70" s="91">
        <v>66528</v>
      </c>
      <c r="AQ70" s="21">
        <v>0</v>
      </c>
      <c r="AR70" s="21">
        <v>0</v>
      </c>
      <c r="AS70" s="21">
        <v>0</v>
      </c>
      <c r="AT70" s="21">
        <v>0</v>
      </c>
      <c r="AV70" s="91">
        <v>66528</v>
      </c>
      <c r="AW70" s="91">
        <v>72546</v>
      </c>
      <c r="AX70" s="21">
        <v>0</v>
      </c>
      <c r="AY70" s="21">
        <v>0</v>
      </c>
      <c r="AZ70" s="21">
        <v>0</v>
      </c>
      <c r="BB70" s="91">
        <v>72546</v>
      </c>
      <c r="BC70" s="21">
        <v>0</v>
      </c>
      <c r="BE70" s="91">
        <v>360774</v>
      </c>
      <c r="BF70" s="91">
        <v>471892</v>
      </c>
    </row>
    <row r="71" spans="1:58" x14ac:dyDescent="0.2">
      <c r="A71" s="18" t="s">
        <v>128</v>
      </c>
      <c r="B71" s="21">
        <v>0</v>
      </c>
      <c r="C71" s="91">
        <v>42392</v>
      </c>
      <c r="D71" s="21">
        <v>0</v>
      </c>
      <c r="E71" s="91">
        <v>9321289</v>
      </c>
      <c r="F71" s="21">
        <v>0</v>
      </c>
      <c r="G71" s="91">
        <v>2065716</v>
      </c>
      <c r="H71" s="91">
        <v>1796380</v>
      </c>
      <c r="I71" s="91">
        <v>11019428</v>
      </c>
      <c r="J71" s="91">
        <v>63794</v>
      </c>
      <c r="L71" s="91">
        <v>24308999</v>
      </c>
      <c r="M71" s="91">
        <v>9152000</v>
      </c>
      <c r="N71" s="21">
        <v>0</v>
      </c>
      <c r="O71" s="21">
        <v>0</v>
      </c>
      <c r="P71" s="91">
        <v>9152000</v>
      </c>
      <c r="Q71" s="91">
        <v>1091000</v>
      </c>
      <c r="R71" s="21">
        <v>0</v>
      </c>
      <c r="S71" s="21">
        <v>0</v>
      </c>
      <c r="T71" s="91">
        <v>2557000</v>
      </c>
      <c r="U71" s="91">
        <v>3648000</v>
      </c>
      <c r="V71" s="21">
        <v>0</v>
      </c>
      <c r="W71" s="91">
        <v>2412000</v>
      </c>
      <c r="X71" s="21">
        <v>0</v>
      </c>
      <c r="Y71" s="91">
        <v>2412000</v>
      </c>
      <c r="Z71" s="21">
        <v>0</v>
      </c>
      <c r="AA71" s="21">
        <v>0</v>
      </c>
      <c r="AB71" s="21">
        <v>0</v>
      </c>
      <c r="AC71" s="91">
        <v>100000</v>
      </c>
      <c r="AD71" s="91">
        <v>100000</v>
      </c>
      <c r="AE71" s="21">
        <v>0</v>
      </c>
      <c r="AF71" s="21">
        <v>0</v>
      </c>
      <c r="AH71" s="91">
        <v>15312000</v>
      </c>
      <c r="AI71" s="21">
        <v>0</v>
      </c>
      <c r="AJ71" s="91">
        <v>1281350</v>
      </c>
      <c r="AK71" s="21">
        <v>0</v>
      </c>
      <c r="AL71" s="21">
        <v>0</v>
      </c>
      <c r="AM71" s="21">
        <v>0</v>
      </c>
      <c r="AO71" s="91">
        <v>1281350</v>
      </c>
      <c r="AP71" s="91">
        <v>529333.82999999996</v>
      </c>
      <c r="AQ71" s="21">
        <v>0</v>
      </c>
      <c r="AR71" s="91">
        <v>364232</v>
      </c>
      <c r="AS71" s="91">
        <v>30000</v>
      </c>
      <c r="AT71" s="21">
        <v>0</v>
      </c>
      <c r="AV71" s="91">
        <v>923565.83</v>
      </c>
      <c r="AW71" s="21">
        <v>0</v>
      </c>
      <c r="AX71" s="91">
        <v>2458674</v>
      </c>
      <c r="AY71" s="21">
        <v>0</v>
      </c>
      <c r="AZ71" s="21">
        <v>0</v>
      </c>
      <c r="BB71" s="91">
        <v>2458674</v>
      </c>
      <c r="BC71" s="91">
        <v>1045437</v>
      </c>
      <c r="BE71" s="91">
        <v>4663589.83</v>
      </c>
      <c r="BF71" s="91">
        <v>19975589.829999998</v>
      </c>
    </row>
    <row r="72" spans="1:58" x14ac:dyDescent="0.2">
      <c r="A72" s="18" t="s">
        <v>129</v>
      </c>
      <c r="B72" s="21">
        <v>0</v>
      </c>
      <c r="C72" s="21">
        <v>0</v>
      </c>
      <c r="D72" s="21">
        <v>0</v>
      </c>
      <c r="E72" s="91">
        <v>390058.59</v>
      </c>
      <c r="F72" s="21">
        <v>0</v>
      </c>
      <c r="G72" s="91">
        <v>177457.44</v>
      </c>
      <c r="H72" s="91">
        <v>1058148</v>
      </c>
      <c r="I72" s="91">
        <v>21180</v>
      </c>
      <c r="J72" s="91">
        <v>4775.57</v>
      </c>
      <c r="L72" s="91">
        <v>1651619.6</v>
      </c>
      <c r="M72" s="91">
        <v>158065.56</v>
      </c>
      <c r="N72" s="21">
        <v>0</v>
      </c>
      <c r="O72" s="21">
        <v>0</v>
      </c>
      <c r="P72" s="91">
        <v>158065.56</v>
      </c>
      <c r="Q72" s="91">
        <v>65448.81</v>
      </c>
      <c r="R72" s="91">
        <v>52575.519999999997</v>
      </c>
      <c r="S72" s="91">
        <v>437327.08</v>
      </c>
      <c r="T72" s="91">
        <v>374032.72</v>
      </c>
      <c r="U72" s="91">
        <v>929384.13</v>
      </c>
      <c r="V72" s="91">
        <v>147281.87</v>
      </c>
      <c r="W72" s="21">
        <v>0</v>
      </c>
      <c r="X72" s="21">
        <v>0</v>
      </c>
      <c r="Y72" s="91">
        <v>147281.87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484</v>
      </c>
      <c r="AF72" s="91">
        <v>3236.57</v>
      </c>
      <c r="AH72" s="91">
        <v>1238452.1299999999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O72" s="21">
        <v>0</v>
      </c>
      <c r="AP72" s="21">
        <v>0</v>
      </c>
      <c r="AQ72" s="21">
        <v>0</v>
      </c>
      <c r="AR72" s="91">
        <v>355688.94</v>
      </c>
      <c r="AS72" s="21">
        <v>0</v>
      </c>
      <c r="AT72" s="21">
        <v>0</v>
      </c>
      <c r="AV72" s="91">
        <v>355688.94</v>
      </c>
      <c r="AW72" s="21">
        <v>0</v>
      </c>
      <c r="AX72" s="21">
        <v>0</v>
      </c>
      <c r="AY72" s="21">
        <v>0</v>
      </c>
      <c r="AZ72" s="21">
        <v>0</v>
      </c>
      <c r="BB72" s="21">
        <v>0</v>
      </c>
      <c r="BC72" s="21">
        <v>0</v>
      </c>
      <c r="BE72" s="91">
        <v>355688.94</v>
      </c>
      <c r="BF72" s="91">
        <v>1594141.07</v>
      </c>
    </row>
    <row r="73" spans="1:58" x14ac:dyDescent="0.2">
      <c r="A73" s="18" t="s">
        <v>130</v>
      </c>
      <c r="B73" s="21">
        <v>0</v>
      </c>
      <c r="C73" s="91">
        <v>355968.51</v>
      </c>
      <c r="D73" s="91">
        <v>19265.43</v>
      </c>
      <c r="E73" s="91">
        <v>1938533.71</v>
      </c>
      <c r="F73" s="21">
        <v>0</v>
      </c>
      <c r="G73" s="91">
        <v>11614.37</v>
      </c>
      <c r="H73" s="91">
        <v>36250.32</v>
      </c>
      <c r="I73" s="91">
        <v>209116.44</v>
      </c>
      <c r="J73" s="91">
        <v>8203.2999999999993</v>
      </c>
      <c r="L73" s="91">
        <v>2578952.08</v>
      </c>
      <c r="M73" s="91">
        <v>109977.37</v>
      </c>
      <c r="N73" s="21">
        <v>0</v>
      </c>
      <c r="O73" s="91">
        <v>4000</v>
      </c>
      <c r="P73" s="91">
        <v>113977.37</v>
      </c>
      <c r="Q73" s="91">
        <v>10174.370000000001</v>
      </c>
      <c r="R73" s="91">
        <v>10140</v>
      </c>
      <c r="S73" s="91">
        <v>4374.7299999999996</v>
      </c>
      <c r="T73" s="91">
        <v>18554.580000000002</v>
      </c>
      <c r="U73" s="91">
        <v>43243.68</v>
      </c>
      <c r="V73" s="21">
        <v>0</v>
      </c>
      <c r="W73" s="91">
        <v>1000</v>
      </c>
      <c r="X73" s="21">
        <v>0</v>
      </c>
      <c r="Y73" s="91">
        <v>1000</v>
      </c>
      <c r="Z73" s="91">
        <v>230149.35</v>
      </c>
      <c r="AA73" s="21">
        <v>0</v>
      </c>
      <c r="AB73" s="21">
        <v>0</v>
      </c>
      <c r="AC73" s="91">
        <v>5714.47</v>
      </c>
      <c r="AD73" s="91">
        <v>235863.82</v>
      </c>
      <c r="AE73" s="91">
        <v>36578.92</v>
      </c>
      <c r="AF73" s="21">
        <v>0</v>
      </c>
      <c r="AH73" s="91">
        <v>430663.79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O73" s="21">
        <v>0</v>
      </c>
      <c r="AP73" s="91">
        <v>1022314.03</v>
      </c>
      <c r="AQ73" s="21">
        <v>0</v>
      </c>
      <c r="AR73" s="91">
        <v>405639.37</v>
      </c>
      <c r="AS73" s="21">
        <v>0</v>
      </c>
      <c r="AT73" s="21">
        <v>0</v>
      </c>
      <c r="AV73" s="91">
        <v>1427953.4</v>
      </c>
      <c r="AW73" s="91">
        <v>68187.03</v>
      </c>
      <c r="AX73" s="21">
        <v>0</v>
      </c>
      <c r="AY73" s="21">
        <v>0</v>
      </c>
      <c r="AZ73" s="21">
        <v>0</v>
      </c>
      <c r="BB73" s="91">
        <v>68187.03</v>
      </c>
      <c r="BC73" s="21">
        <v>0</v>
      </c>
      <c r="BE73" s="91">
        <v>1496140.43</v>
      </c>
      <c r="BF73" s="91">
        <v>1926804.22</v>
      </c>
    </row>
    <row r="74" spans="1:58" x14ac:dyDescent="0.2">
      <c r="A74" s="18" t="s">
        <v>131</v>
      </c>
      <c r="B74" s="21">
        <v>0</v>
      </c>
      <c r="C74" s="91">
        <v>3105.02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91">
        <v>3284.28</v>
      </c>
      <c r="J74" s="21">
        <v>0</v>
      </c>
      <c r="L74" s="91">
        <v>6389.3</v>
      </c>
      <c r="M74" s="91">
        <v>3284.28</v>
      </c>
      <c r="N74" s="21">
        <v>0</v>
      </c>
      <c r="O74" s="21">
        <v>0</v>
      </c>
      <c r="P74" s="91">
        <v>3284.28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91">
        <v>3105.02</v>
      </c>
      <c r="AF74" s="21">
        <v>0</v>
      </c>
      <c r="AH74" s="91">
        <v>6389.3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V74" s="21">
        <v>0</v>
      </c>
      <c r="AW74" s="21">
        <v>0</v>
      </c>
      <c r="AX74" s="21">
        <v>0</v>
      </c>
      <c r="AY74" s="21">
        <v>0</v>
      </c>
      <c r="AZ74" s="21">
        <v>0</v>
      </c>
      <c r="BB74" s="21">
        <v>0</v>
      </c>
      <c r="BC74" s="21">
        <v>0</v>
      </c>
      <c r="BE74" s="21">
        <v>0</v>
      </c>
      <c r="BF74" s="91">
        <v>6389.3</v>
      </c>
    </row>
    <row r="75" spans="1:58" x14ac:dyDescent="0.2">
      <c r="A75" s="18" t="s">
        <v>132</v>
      </c>
      <c r="B75" s="21">
        <v>0</v>
      </c>
      <c r="C75" s="21">
        <v>0</v>
      </c>
      <c r="D75" s="21">
        <v>455.9</v>
      </c>
      <c r="E75" s="91">
        <v>39676.49</v>
      </c>
      <c r="F75" s="21">
        <v>0</v>
      </c>
      <c r="G75" s="91">
        <v>4784.26</v>
      </c>
      <c r="H75" s="91">
        <v>4156.8</v>
      </c>
      <c r="I75" s="91">
        <v>14192.77</v>
      </c>
      <c r="J75" s="21">
        <v>1.88</v>
      </c>
      <c r="L75" s="91">
        <v>63268.1</v>
      </c>
      <c r="M75" s="91">
        <v>14192.77</v>
      </c>
      <c r="N75" s="21">
        <v>0</v>
      </c>
      <c r="O75" s="91">
        <v>40700</v>
      </c>
      <c r="P75" s="91">
        <v>54892.77</v>
      </c>
      <c r="Q75" s="91">
        <v>4784.26</v>
      </c>
      <c r="R75" s="21">
        <v>0</v>
      </c>
      <c r="S75" s="21">
        <v>0</v>
      </c>
      <c r="T75" s="21">
        <v>0</v>
      </c>
      <c r="U75" s="91">
        <v>4784.26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H75" s="91">
        <v>59677.03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O75" s="21">
        <v>0</v>
      </c>
      <c r="AP75" s="21">
        <v>0</v>
      </c>
      <c r="AQ75" s="21">
        <v>0</v>
      </c>
      <c r="AR75" s="91">
        <v>39676.49</v>
      </c>
      <c r="AS75" s="21">
        <v>0</v>
      </c>
      <c r="AT75" s="21">
        <v>0</v>
      </c>
      <c r="AV75" s="91">
        <v>39676.49</v>
      </c>
      <c r="AW75" s="21">
        <v>0</v>
      </c>
      <c r="AX75" s="21">
        <v>0</v>
      </c>
      <c r="AY75" s="21">
        <v>0</v>
      </c>
      <c r="AZ75" s="21">
        <v>0</v>
      </c>
      <c r="BB75" s="21">
        <v>0</v>
      </c>
      <c r="BC75" s="21">
        <v>0</v>
      </c>
      <c r="BE75" s="91">
        <v>39676.49</v>
      </c>
      <c r="BF75" s="91">
        <v>99353.52</v>
      </c>
    </row>
    <row r="76" spans="1:58" x14ac:dyDescent="0.2">
      <c r="A76" s="18" t="s">
        <v>133</v>
      </c>
      <c r="B76" s="21">
        <v>0</v>
      </c>
      <c r="C76" s="21">
        <v>0</v>
      </c>
      <c r="D76" s="91">
        <v>110040.57</v>
      </c>
      <c r="E76" s="91">
        <v>780119.44</v>
      </c>
      <c r="F76" s="21">
        <v>0</v>
      </c>
      <c r="G76" s="91">
        <v>48123</v>
      </c>
      <c r="H76" s="91">
        <v>352693.19</v>
      </c>
      <c r="I76" s="91">
        <v>52770.38</v>
      </c>
      <c r="J76" s="21">
        <v>270</v>
      </c>
      <c r="L76" s="91">
        <v>1344016.58</v>
      </c>
      <c r="M76" s="91">
        <v>52770.38</v>
      </c>
      <c r="N76" s="21">
        <v>0</v>
      </c>
      <c r="O76" s="21">
        <v>0</v>
      </c>
      <c r="P76" s="91">
        <v>52770.38</v>
      </c>
      <c r="Q76" s="91">
        <v>352693.19</v>
      </c>
      <c r="R76" s="21">
        <v>0</v>
      </c>
      <c r="S76" s="91">
        <v>110040.57</v>
      </c>
      <c r="T76" s="21">
        <v>0</v>
      </c>
      <c r="U76" s="91">
        <v>462733.76</v>
      </c>
      <c r="V76" s="91">
        <v>48123</v>
      </c>
      <c r="W76" s="21">
        <v>0</v>
      </c>
      <c r="X76" s="21">
        <v>0</v>
      </c>
      <c r="Y76" s="91">
        <v>48123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H76" s="91">
        <v>563627.14</v>
      </c>
      <c r="AI76" s="21">
        <v>0</v>
      </c>
      <c r="AJ76" s="91">
        <v>200000</v>
      </c>
      <c r="AK76" s="21">
        <v>0</v>
      </c>
      <c r="AL76" s="21">
        <v>0</v>
      </c>
      <c r="AM76" s="21">
        <v>0</v>
      </c>
      <c r="AO76" s="91">
        <v>200000</v>
      </c>
      <c r="AP76" s="91">
        <v>298810</v>
      </c>
      <c r="AQ76" s="21">
        <v>0</v>
      </c>
      <c r="AR76" s="91">
        <v>128181</v>
      </c>
      <c r="AS76" s="21">
        <v>0</v>
      </c>
      <c r="AT76" s="21">
        <v>0</v>
      </c>
      <c r="AV76" s="91">
        <v>426991</v>
      </c>
      <c r="AW76" s="21">
        <v>0</v>
      </c>
      <c r="AX76" s="21">
        <v>0</v>
      </c>
      <c r="AY76" s="21">
        <v>0</v>
      </c>
      <c r="AZ76" s="21">
        <v>0</v>
      </c>
      <c r="BB76" s="21">
        <v>0</v>
      </c>
      <c r="BC76" s="21">
        <v>0</v>
      </c>
      <c r="BE76" s="91">
        <v>626991</v>
      </c>
      <c r="BF76" s="91">
        <v>1190618.1399999999</v>
      </c>
    </row>
    <row r="77" spans="1:58" x14ac:dyDescent="0.2">
      <c r="A77" s="18" t="s">
        <v>134</v>
      </c>
      <c r="B77" s="21">
        <v>0</v>
      </c>
      <c r="C77" s="91">
        <v>5049.32</v>
      </c>
      <c r="D77" s="21">
        <v>0</v>
      </c>
      <c r="E77" s="91">
        <v>2292418.9</v>
      </c>
      <c r="F77" s="21">
        <v>0</v>
      </c>
      <c r="G77" s="91">
        <v>1900</v>
      </c>
      <c r="H77" s="91">
        <v>37845.14</v>
      </c>
      <c r="I77" s="91">
        <v>119749.9</v>
      </c>
      <c r="J77" s="91">
        <v>26681.43</v>
      </c>
      <c r="L77" s="91">
        <v>13589782.74</v>
      </c>
      <c r="M77" s="21">
        <v>0</v>
      </c>
      <c r="N77" s="21">
        <v>0</v>
      </c>
      <c r="O77" s="21">
        <v>0</v>
      </c>
      <c r="P77" s="21">
        <v>0</v>
      </c>
      <c r="Q77" s="91">
        <v>1900</v>
      </c>
      <c r="R77" s="21">
        <v>0</v>
      </c>
      <c r="S77" s="91">
        <v>27845.14</v>
      </c>
      <c r="T77" s="91">
        <v>10000</v>
      </c>
      <c r="U77" s="91">
        <v>55104.23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H77" s="91">
        <v>110208.46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O77" s="91">
        <v>3738500</v>
      </c>
      <c r="AP77" s="91">
        <v>1320429.08</v>
      </c>
      <c r="AQ77" s="21">
        <v>0</v>
      </c>
      <c r="AR77" s="91">
        <v>704619.38</v>
      </c>
      <c r="AS77" s="21">
        <v>0</v>
      </c>
      <c r="AT77" s="21">
        <v>0</v>
      </c>
      <c r="AV77" s="91">
        <v>3839681.56</v>
      </c>
      <c r="AW77" s="21">
        <v>0</v>
      </c>
      <c r="AX77" s="21">
        <v>0</v>
      </c>
      <c r="AY77" s="21">
        <v>0</v>
      </c>
      <c r="AZ77" s="91">
        <v>155921.48000000001</v>
      </c>
      <c r="BB77" s="91">
        <v>155921.48000000001</v>
      </c>
      <c r="BC77" s="21">
        <v>0</v>
      </c>
      <c r="BE77" s="91">
        <v>15468206.08</v>
      </c>
      <c r="BF77" s="91">
        <v>31156829.079999998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2" workbookViewId="0">
      <selection activeCell="A2" sqref="A2"/>
    </sheetView>
  </sheetViews>
  <sheetFormatPr baseColWidth="10" defaultColWidth="11.42578125" defaultRowHeight="12.75" x14ac:dyDescent="0.2"/>
  <cols>
    <col min="1" max="1" width="41.42578125" style="3" customWidth="1"/>
    <col min="2" max="2" width="2.42578125" style="12" customWidth="1"/>
    <col min="3" max="3" width="14.85546875" style="24" customWidth="1"/>
    <col min="4" max="4" width="15.7109375" style="11" customWidth="1"/>
    <col min="5" max="5" width="13.28515625" style="11" customWidth="1"/>
    <col min="6" max="6" width="15.42578125" style="11" customWidth="1"/>
    <col min="7" max="7" width="13.28515625" style="11" customWidth="1"/>
    <col min="8" max="9" width="15" style="11" customWidth="1"/>
    <col min="10" max="10" width="16.7109375" style="11" customWidth="1"/>
    <col min="11" max="11" width="15.42578125" style="11" customWidth="1"/>
    <col min="12" max="12" width="13.7109375" style="11" customWidth="1"/>
    <col min="13" max="13" width="1.28515625" style="13" customWidth="1"/>
    <col min="14" max="16384" width="11.42578125" style="3"/>
  </cols>
  <sheetData>
    <row r="1" spans="1:15" hidden="1" x14ac:dyDescent="0.2">
      <c r="A1" s="1">
        <v>1</v>
      </c>
      <c r="B1" s="2">
        <v>2</v>
      </c>
      <c r="C1" s="22">
        <v>3</v>
      </c>
      <c r="D1" s="1"/>
      <c r="E1" s="1"/>
      <c r="F1" s="1"/>
      <c r="G1" s="1"/>
      <c r="H1" s="1"/>
      <c r="I1" s="1"/>
      <c r="J1" s="1"/>
      <c r="K1" s="1"/>
      <c r="L1" s="1">
        <v>9</v>
      </c>
      <c r="M1" s="1">
        <v>11</v>
      </c>
    </row>
    <row r="2" spans="1:15" s="8" customFormat="1" ht="15" thickBot="1" x14ac:dyDescent="0.25">
      <c r="A2" s="4" t="s">
        <v>136</v>
      </c>
      <c r="B2" s="5"/>
      <c r="C2" s="23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5" s="9" customFormat="1" x14ac:dyDescent="0.2">
      <c r="B3" s="10"/>
      <c r="C3" s="24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5" ht="36" customHeight="1" x14ac:dyDescent="0.2">
      <c r="C4" s="311" t="s">
        <v>137</v>
      </c>
      <c r="D4" s="315" t="s">
        <v>138</v>
      </c>
      <c r="E4" s="315" t="s">
        <v>139</v>
      </c>
      <c r="F4" s="315" t="s">
        <v>140</v>
      </c>
      <c r="G4" s="315" t="s">
        <v>141</v>
      </c>
      <c r="H4" s="315" t="s">
        <v>142</v>
      </c>
      <c r="I4" s="315" t="s">
        <v>143</v>
      </c>
      <c r="J4" s="315" t="s">
        <v>144</v>
      </c>
      <c r="K4" s="315" t="s">
        <v>145</v>
      </c>
      <c r="L4" s="313" t="s">
        <v>146</v>
      </c>
    </row>
    <row r="5" spans="1:15" x14ac:dyDescent="0.2">
      <c r="A5" s="14" t="s">
        <v>147</v>
      </c>
      <c r="B5" s="15"/>
      <c r="C5" s="312"/>
      <c r="D5" s="316"/>
      <c r="E5" s="316"/>
      <c r="F5" s="316"/>
      <c r="G5" s="316"/>
      <c r="H5" s="316"/>
      <c r="I5" s="316"/>
      <c r="J5" s="316"/>
      <c r="K5" s="316"/>
      <c r="L5" s="314"/>
    </row>
    <row r="6" spans="1:15" s="17" customFormat="1" hidden="1" x14ac:dyDescent="0.2">
      <c r="A6" s="16">
        <v>1</v>
      </c>
      <c r="B6" s="16">
        <v>2</v>
      </c>
      <c r="C6" s="25">
        <v>3</v>
      </c>
      <c r="D6" s="16"/>
      <c r="E6" s="16"/>
      <c r="F6" s="16"/>
      <c r="G6" s="16"/>
      <c r="H6" s="16"/>
      <c r="I6" s="16"/>
      <c r="J6" s="16"/>
      <c r="K6" s="16"/>
      <c r="L6" s="16">
        <v>9</v>
      </c>
      <c r="M6" s="16">
        <v>11</v>
      </c>
    </row>
    <row r="7" spans="1:15" x14ac:dyDescent="0.2">
      <c r="A7" s="18" t="s">
        <v>58</v>
      </c>
      <c r="B7" s="19"/>
      <c r="C7" s="30">
        <f>+VLOOKUP($A7,'datos9-2014'!$A$2:$BE$78,2,FALSE)</f>
        <v>918900</v>
      </c>
      <c r="D7" s="30">
        <f>+VLOOKUP($A7,'datos9-2014'!$A$2:$BE$78,3,FALSE)</f>
        <v>0</v>
      </c>
      <c r="E7" s="30">
        <f>+VLOOKUP($A7,'datos9-2014'!$A$2:$BE$78,4,FALSE)</f>
        <v>0</v>
      </c>
      <c r="F7" s="30">
        <f>+VLOOKUP($A7,'datos9-2014'!$A$2:$BE$78,5,FALSE)</f>
        <v>76967016</v>
      </c>
      <c r="G7" s="30">
        <f>+VLOOKUP($A7,'datos9-2014'!$A$2:$BE$78,6,FALSE)</f>
        <v>0</v>
      </c>
      <c r="H7" s="30">
        <f>+VLOOKUP($A7,'datos9-2014'!$A$2:$BE$78,7,FALSE)</f>
        <v>5652821</v>
      </c>
      <c r="I7" s="30">
        <f>+VLOOKUP($A7,'datos9-2014'!$A$2:$BE$78,8,FALSE)</f>
        <v>0</v>
      </c>
      <c r="J7" s="30">
        <f>+VLOOKUP($A7,'datos9-2014'!$A$2:$BE$78,9,FALSE)</f>
        <v>6640239</v>
      </c>
      <c r="K7" s="30">
        <f>+VLOOKUP($A7,'datos9-2014'!$A$2:$BE$78,10,FALSE)</f>
        <v>2722186</v>
      </c>
      <c r="L7" s="20">
        <f>SUM(C7:K7)</f>
        <v>92901162</v>
      </c>
      <c r="O7" s="13"/>
    </row>
    <row r="8" spans="1:15" x14ac:dyDescent="0.2">
      <c r="A8" s="18" t="s">
        <v>59</v>
      </c>
      <c r="B8" s="19"/>
      <c r="C8" s="30">
        <f>+VLOOKUP($A8,'datos9-2014'!$A$2:$BE$78,2,FALSE)</f>
        <v>0</v>
      </c>
      <c r="D8" s="30">
        <f>+VLOOKUP($A8,'datos9-2014'!$A$2:$BE$78,3,FALSE)</f>
        <v>0</v>
      </c>
      <c r="E8" s="30">
        <f>+VLOOKUP($A8,'datos9-2014'!$A$2:$BE$78,4,FALSE)</f>
        <v>0</v>
      </c>
      <c r="F8" s="30">
        <f>+VLOOKUP($A8,'datos9-2014'!$A$2:$BE$78,5,FALSE)</f>
        <v>116895.89</v>
      </c>
      <c r="G8" s="30">
        <f>+VLOOKUP($A8,'datos9-2014'!$A$2:$BE$78,6,FALSE)</f>
        <v>0</v>
      </c>
      <c r="H8" s="30">
        <f>+VLOOKUP($A8,'datos9-2014'!$A$2:$BE$78,7,FALSE)</f>
        <v>0</v>
      </c>
      <c r="I8" s="30">
        <f>+VLOOKUP($A8,'datos9-2014'!$A$2:$BE$78,8,FALSE)</f>
        <v>253100.62</v>
      </c>
      <c r="J8" s="30">
        <f>+VLOOKUP($A8,'datos9-2014'!$A$2:$BE$78,9,FALSE)</f>
        <v>116946.28</v>
      </c>
      <c r="K8" s="30">
        <f>+VLOOKUP($A8,'datos9-2014'!$A$2:$BE$78,10,FALSE)</f>
        <v>0</v>
      </c>
      <c r="L8" s="20">
        <f t="shared" ref="L8:L71" si="0">SUM(C8:K8)</f>
        <v>486942.79000000004</v>
      </c>
    </row>
    <row r="9" spans="1:15" x14ac:dyDescent="0.2">
      <c r="A9" s="18" t="s">
        <v>60</v>
      </c>
      <c r="B9" s="19"/>
      <c r="C9" s="30">
        <f>+VLOOKUP($A9,'datos9-2014'!$A$2:$BE$78,2,FALSE)</f>
        <v>0</v>
      </c>
      <c r="D9" s="30">
        <f>+VLOOKUP($A9,'datos9-2014'!$A$2:$BE$78,3,FALSE)</f>
        <v>0</v>
      </c>
      <c r="E9" s="30">
        <f>+VLOOKUP($A9,'datos9-2014'!$A$2:$BE$78,4,FALSE)</f>
        <v>0</v>
      </c>
      <c r="F9" s="30">
        <f>+VLOOKUP($A9,'datos9-2014'!$A$2:$BE$78,5,FALSE)</f>
        <v>2991338.1</v>
      </c>
      <c r="G9" s="30">
        <f>+VLOOKUP($A9,'datos9-2014'!$A$2:$BE$78,6,FALSE)</f>
        <v>0</v>
      </c>
      <c r="H9" s="30">
        <f>+VLOOKUP($A9,'datos9-2014'!$A$2:$BE$78,7,FALSE)</f>
        <v>0</v>
      </c>
      <c r="I9" s="30">
        <f>+VLOOKUP($A9,'datos9-2014'!$A$2:$BE$78,8,FALSE)</f>
        <v>55385.61</v>
      </c>
      <c r="J9" s="30">
        <f>+VLOOKUP($A9,'datos9-2014'!$A$2:$BE$78,9,FALSE)</f>
        <v>148188.72</v>
      </c>
      <c r="K9" s="30">
        <f>+VLOOKUP($A9,'datos9-2014'!$A$2:$BE$78,10,FALSE)</f>
        <v>215195.81</v>
      </c>
      <c r="L9" s="20">
        <f t="shared" si="0"/>
        <v>3410108.24</v>
      </c>
    </row>
    <row r="10" spans="1:15" x14ac:dyDescent="0.2">
      <c r="A10" s="18" t="s">
        <v>61</v>
      </c>
      <c r="B10" s="19"/>
      <c r="C10" s="30">
        <f>+VLOOKUP($A10,'datos9-2014'!$A$2:$BE$78,2,FALSE)</f>
        <v>0</v>
      </c>
      <c r="D10" s="30">
        <f>+VLOOKUP($A10,'datos9-2014'!$A$2:$BE$78,3,FALSE)</f>
        <v>0</v>
      </c>
      <c r="E10" s="30">
        <f>+VLOOKUP($A10,'datos9-2014'!$A$2:$BE$78,4,FALSE)</f>
        <v>75042.720000000001</v>
      </c>
      <c r="F10" s="30">
        <f>+VLOOKUP($A10,'datos9-2014'!$A$2:$BE$78,5,FALSE)</f>
        <v>599945.99</v>
      </c>
      <c r="G10" s="30">
        <f>+VLOOKUP($A10,'datos9-2014'!$A$2:$BE$78,6,FALSE)</f>
        <v>0</v>
      </c>
      <c r="H10" s="30">
        <f>+VLOOKUP($A10,'datos9-2014'!$A$2:$BE$78,7,FALSE)</f>
        <v>0</v>
      </c>
      <c r="I10" s="30">
        <f>+VLOOKUP($A10,'datos9-2014'!$A$2:$BE$78,8,FALSE)</f>
        <v>162009.24</v>
      </c>
      <c r="J10" s="30">
        <f>+VLOOKUP($A10,'datos9-2014'!$A$2:$BE$78,9,FALSE)</f>
        <v>0</v>
      </c>
      <c r="K10" s="30">
        <f>+VLOOKUP($A10,'datos9-2014'!$A$2:$BE$78,10,FALSE)</f>
        <v>3885.11</v>
      </c>
      <c r="L10" s="20">
        <f t="shared" si="0"/>
        <v>840883.05999999994</v>
      </c>
    </row>
    <row r="11" spans="1:15" x14ac:dyDescent="0.2">
      <c r="A11" s="18" t="s">
        <v>62</v>
      </c>
      <c r="B11" s="19"/>
      <c r="C11" s="30">
        <f>+VLOOKUP($A11,'datos9-2014'!$A$2:$BE$78,2,FALSE)</f>
        <v>0</v>
      </c>
      <c r="D11" s="30">
        <f>+VLOOKUP($A11,'datos9-2014'!$A$2:$BE$78,3,FALSE)</f>
        <v>15884</v>
      </c>
      <c r="E11" s="30">
        <f>+VLOOKUP($A11,'datos9-2014'!$A$2:$BE$78,4,FALSE)</f>
        <v>0</v>
      </c>
      <c r="F11" s="30">
        <f>+VLOOKUP($A11,'datos9-2014'!$A$2:$BE$78,5,FALSE)</f>
        <v>858032.13</v>
      </c>
      <c r="G11" s="30">
        <f>+VLOOKUP($A11,'datos9-2014'!$A$2:$BE$78,6,FALSE)</f>
        <v>0</v>
      </c>
      <c r="H11" s="30">
        <f>+VLOOKUP($A11,'datos9-2014'!$A$2:$BE$78,7,FALSE)</f>
        <v>0</v>
      </c>
      <c r="I11" s="30">
        <f>+VLOOKUP($A11,'datos9-2014'!$A$2:$BE$78,8,FALSE)</f>
        <v>6600.01</v>
      </c>
      <c r="J11" s="30">
        <f>+VLOOKUP($A11,'datos9-2014'!$A$2:$BE$78,9,FALSE)</f>
        <v>500</v>
      </c>
      <c r="K11" s="30">
        <f>+VLOOKUP($A11,'datos9-2014'!$A$2:$BE$78,10,FALSE)</f>
        <v>425.92</v>
      </c>
      <c r="L11" s="20">
        <f t="shared" si="0"/>
        <v>881442.06</v>
      </c>
    </row>
    <row r="12" spans="1:15" x14ac:dyDescent="0.2">
      <c r="A12" s="18" t="s">
        <v>63</v>
      </c>
      <c r="B12" s="19"/>
      <c r="C12" s="30">
        <f>+VLOOKUP($A12,'datos9-2014'!$A$2:$BE$78,2,FALSE)</f>
        <v>0</v>
      </c>
      <c r="D12" s="30">
        <f>+VLOOKUP($A12,'datos9-2014'!$A$2:$BE$78,3,FALSE)</f>
        <v>29696.34</v>
      </c>
      <c r="E12" s="30">
        <f>+VLOOKUP($A12,'datos9-2014'!$A$2:$BE$78,4,FALSE)</f>
        <v>0</v>
      </c>
      <c r="F12" s="30">
        <f>+VLOOKUP($A12,'datos9-2014'!$A$2:$BE$78,5,FALSE)</f>
        <v>2965197.15</v>
      </c>
      <c r="G12" s="30">
        <f>+VLOOKUP($A12,'datos9-2014'!$A$2:$BE$78,6,FALSE)</f>
        <v>0</v>
      </c>
      <c r="H12" s="30">
        <f>+VLOOKUP($A12,'datos9-2014'!$A$2:$BE$78,7,FALSE)</f>
        <v>656144.56000000006</v>
      </c>
      <c r="I12" s="30">
        <f>+VLOOKUP($A12,'datos9-2014'!$A$2:$BE$78,8,FALSE)</f>
        <v>1742331.8</v>
      </c>
      <c r="J12" s="30">
        <f>+VLOOKUP($A12,'datos9-2014'!$A$2:$BE$78,9,FALSE)</f>
        <v>2744175.82</v>
      </c>
      <c r="K12" s="30">
        <f>+VLOOKUP($A12,'datos9-2014'!$A$2:$BE$78,10,FALSE)</f>
        <v>386061.64</v>
      </c>
      <c r="L12" s="20">
        <f t="shared" si="0"/>
        <v>8523607.3100000005</v>
      </c>
    </row>
    <row r="13" spans="1:15" x14ac:dyDescent="0.2">
      <c r="A13" s="18" t="s">
        <v>64</v>
      </c>
      <c r="B13" s="19"/>
      <c r="C13" s="30">
        <f>+VLOOKUP($A13,'datos9-2014'!$A$2:$BE$78,2,FALSE)</f>
        <v>0</v>
      </c>
      <c r="D13" s="30">
        <f>+VLOOKUP($A13,'datos9-2014'!$A$2:$BE$78,3,FALSE)</f>
        <v>140515.76999999999</v>
      </c>
      <c r="E13" s="30">
        <f>+VLOOKUP($A13,'datos9-2014'!$A$2:$BE$78,4,FALSE)</f>
        <v>0</v>
      </c>
      <c r="F13" s="30">
        <f>+VLOOKUP($A13,'datos9-2014'!$A$2:$BE$78,5,FALSE)</f>
        <v>14100815.710000001</v>
      </c>
      <c r="G13" s="30">
        <f>+VLOOKUP($A13,'datos9-2014'!$A$2:$BE$78,6,FALSE)</f>
        <v>0</v>
      </c>
      <c r="H13" s="30">
        <f>+VLOOKUP($A13,'datos9-2014'!$A$2:$BE$78,7,FALSE)</f>
        <v>67063.92</v>
      </c>
      <c r="I13" s="30">
        <f>+VLOOKUP($A13,'datos9-2014'!$A$2:$BE$78,8,FALSE)</f>
        <v>282581.94</v>
      </c>
      <c r="J13" s="30">
        <f>+VLOOKUP($A13,'datos9-2014'!$A$2:$BE$78,9,FALSE)</f>
        <v>0</v>
      </c>
      <c r="K13" s="30">
        <f>+VLOOKUP($A13,'datos9-2014'!$A$2:$BE$78,10,FALSE)</f>
        <v>346695.2</v>
      </c>
      <c r="L13" s="20">
        <f t="shared" si="0"/>
        <v>14937672.539999999</v>
      </c>
    </row>
    <row r="14" spans="1:15" x14ac:dyDescent="0.2">
      <c r="A14" s="18" t="s">
        <v>66</v>
      </c>
      <c r="B14" s="19"/>
      <c r="C14" s="30">
        <f>+VLOOKUP($A14,'datos9-2014'!$A$2:$BE$78,2,FALSE)</f>
        <v>0</v>
      </c>
      <c r="D14" s="30">
        <f>+VLOOKUP($A14,'datos9-2014'!$A$2:$BE$78,3,FALSE)</f>
        <v>0</v>
      </c>
      <c r="E14" s="30">
        <f>+VLOOKUP($A14,'datos9-2014'!$A$2:$BE$78,4,FALSE)</f>
        <v>0</v>
      </c>
      <c r="F14" s="30">
        <f>+VLOOKUP($A14,'datos9-2014'!$A$2:$BE$78,5,FALSE)</f>
        <v>592846.75</v>
      </c>
      <c r="G14" s="30">
        <f>+VLOOKUP($A14,'datos9-2014'!$A$2:$BE$78,6,FALSE)</f>
        <v>0</v>
      </c>
      <c r="H14" s="30">
        <f>+VLOOKUP($A14,'datos9-2014'!$A$2:$BE$78,7,FALSE)</f>
        <v>0</v>
      </c>
      <c r="I14" s="30">
        <f>+VLOOKUP($A14,'datos9-2014'!$A$2:$BE$78,8,FALSE)</f>
        <v>0</v>
      </c>
      <c r="J14" s="30">
        <f>+VLOOKUP($A14,'datos9-2014'!$A$2:$BE$78,9,FALSE)</f>
        <v>0</v>
      </c>
      <c r="K14" s="30">
        <f>+VLOOKUP($A14,'datos9-2014'!$A$2:$BE$78,10,FALSE)</f>
        <v>521.05999999999995</v>
      </c>
      <c r="L14" s="20">
        <f t="shared" si="0"/>
        <v>593367.81000000006</v>
      </c>
    </row>
    <row r="15" spans="1:15" x14ac:dyDescent="0.2">
      <c r="A15" s="18" t="s">
        <v>67</v>
      </c>
      <c r="B15" s="19"/>
      <c r="C15" s="30">
        <f>+VLOOKUP($A15,'datos9-2014'!$A$2:$BE$78,2,FALSE)</f>
        <v>0</v>
      </c>
      <c r="D15" s="30">
        <f>+VLOOKUP($A15,'datos9-2014'!$A$2:$BE$78,3,FALSE)</f>
        <v>0</v>
      </c>
      <c r="E15" s="30">
        <f>+VLOOKUP($A15,'datos9-2014'!$A$2:$BE$78,4,FALSE)</f>
        <v>29495.94</v>
      </c>
      <c r="F15" s="30">
        <f>+VLOOKUP($A15,'datos9-2014'!$A$2:$BE$78,5,FALSE)</f>
        <v>678609.6</v>
      </c>
      <c r="G15" s="30">
        <f>+VLOOKUP($A15,'datos9-2014'!$A$2:$BE$78,6,FALSE)</f>
        <v>0</v>
      </c>
      <c r="H15" s="30">
        <f>+VLOOKUP($A15,'datos9-2014'!$A$2:$BE$78,7,FALSE)</f>
        <v>167235.35999999999</v>
      </c>
      <c r="I15" s="30">
        <f>+VLOOKUP($A15,'datos9-2014'!$A$2:$BE$78,8,FALSE)</f>
        <v>63965.64</v>
      </c>
      <c r="J15" s="30">
        <f>+VLOOKUP($A15,'datos9-2014'!$A$2:$BE$78,9,FALSE)</f>
        <v>44878</v>
      </c>
      <c r="K15" s="30">
        <f>+VLOOKUP($A15,'datos9-2014'!$A$2:$BE$78,10,FALSE)</f>
        <v>8133.11</v>
      </c>
      <c r="L15" s="20">
        <f t="shared" si="0"/>
        <v>992317.64999999991</v>
      </c>
    </row>
    <row r="16" spans="1:15" x14ac:dyDescent="0.2">
      <c r="A16" s="18" t="s">
        <v>68</v>
      </c>
      <c r="B16" s="19"/>
      <c r="C16" s="30">
        <f>+VLOOKUP($A16,'datos9-2014'!$A$2:$BE$78,2,FALSE)</f>
        <v>169704.39</v>
      </c>
      <c r="D16" s="30">
        <f>+VLOOKUP($A16,'datos9-2014'!$A$2:$BE$78,3,FALSE)</f>
        <v>0</v>
      </c>
      <c r="E16" s="30">
        <f>+VLOOKUP($A16,'datos9-2014'!$A$2:$BE$78,4,FALSE)</f>
        <v>0</v>
      </c>
      <c r="F16" s="30">
        <f>+VLOOKUP($A16,'datos9-2014'!$A$2:$BE$78,5,FALSE)</f>
        <v>388164.25</v>
      </c>
      <c r="G16" s="30">
        <f>+VLOOKUP($A16,'datos9-2014'!$A$2:$BE$78,6,FALSE)</f>
        <v>0</v>
      </c>
      <c r="H16" s="30">
        <f>+VLOOKUP($A16,'datos9-2014'!$A$2:$BE$78,7,FALSE)</f>
        <v>0</v>
      </c>
      <c r="I16" s="30">
        <f>+VLOOKUP($A16,'datos9-2014'!$A$2:$BE$78,8,FALSE)</f>
        <v>1222819.98</v>
      </c>
      <c r="J16" s="30">
        <f>+VLOOKUP($A16,'datos9-2014'!$A$2:$BE$78,9,FALSE)</f>
        <v>6939221.1799999997</v>
      </c>
      <c r="K16" s="30">
        <f>+VLOOKUP($A16,'datos9-2014'!$A$2:$BE$78,10,FALSE)</f>
        <v>4546741.57</v>
      </c>
      <c r="L16" s="20">
        <f t="shared" si="0"/>
        <v>13266651.370000001</v>
      </c>
    </row>
    <row r="17" spans="1:12" x14ac:dyDescent="0.2">
      <c r="A17" s="18" t="s">
        <v>69</v>
      </c>
      <c r="B17" s="19"/>
      <c r="C17" s="30">
        <f>+VLOOKUP($A17,'datos9-2014'!$A$2:$BE$78,2,FALSE)</f>
        <v>0</v>
      </c>
      <c r="D17" s="30">
        <f>+VLOOKUP($A17,'datos9-2014'!$A$2:$BE$78,3,FALSE)</f>
        <v>146202.23999999999</v>
      </c>
      <c r="E17" s="30">
        <f>+VLOOKUP($A17,'datos9-2014'!$A$2:$BE$78,4,FALSE)</f>
        <v>34946.74</v>
      </c>
      <c r="F17" s="30">
        <f>+VLOOKUP($A17,'datos9-2014'!$A$2:$BE$78,5,FALSE)</f>
        <v>905740.92</v>
      </c>
      <c r="G17" s="30">
        <f>+VLOOKUP($A17,'datos9-2014'!$A$2:$BE$78,6,FALSE)</f>
        <v>0</v>
      </c>
      <c r="H17" s="30">
        <f>+VLOOKUP($A17,'datos9-2014'!$A$2:$BE$78,7,FALSE)</f>
        <v>176435.23</v>
      </c>
      <c r="I17" s="30">
        <f>+VLOOKUP($A17,'datos9-2014'!$A$2:$BE$78,8,FALSE)</f>
        <v>21752.5</v>
      </c>
      <c r="J17" s="30">
        <f>+VLOOKUP($A17,'datos9-2014'!$A$2:$BE$78,9,FALSE)</f>
        <v>88276</v>
      </c>
      <c r="K17" s="30">
        <f>+VLOOKUP($A17,'datos9-2014'!$A$2:$BE$78,10,FALSE)</f>
        <v>2136.08</v>
      </c>
      <c r="L17" s="20">
        <f t="shared" si="0"/>
        <v>1375489.71</v>
      </c>
    </row>
    <row r="18" spans="1:12" x14ac:dyDescent="0.2">
      <c r="A18" s="18" t="s">
        <v>70</v>
      </c>
      <c r="B18" s="19"/>
      <c r="C18" s="30">
        <f>+VLOOKUP($A18,'datos9-2014'!$A$2:$BE$78,2,FALSE)</f>
        <v>0</v>
      </c>
      <c r="D18" s="30">
        <f>+VLOOKUP($A18,'datos9-2014'!$A$2:$BE$78,3,FALSE)</f>
        <v>0</v>
      </c>
      <c r="E18" s="30">
        <f>+VLOOKUP($A18,'datos9-2014'!$A$2:$BE$78,4,FALSE)</f>
        <v>0</v>
      </c>
      <c r="F18" s="30">
        <f>+VLOOKUP($A18,'datos9-2014'!$A$2:$BE$78,5,FALSE)</f>
        <v>6736281.3099999996</v>
      </c>
      <c r="G18" s="30">
        <f>+VLOOKUP($A18,'datos9-2014'!$A$2:$BE$78,6,FALSE)</f>
        <v>0</v>
      </c>
      <c r="H18" s="30">
        <f>+VLOOKUP($A18,'datos9-2014'!$A$2:$BE$78,7,FALSE)</f>
        <v>65871.100000000006</v>
      </c>
      <c r="I18" s="30">
        <f>+VLOOKUP($A18,'datos9-2014'!$A$2:$BE$78,8,FALSE)</f>
        <v>140548.35</v>
      </c>
      <c r="J18" s="30">
        <f>+VLOOKUP($A18,'datos9-2014'!$A$2:$BE$78,9,FALSE)</f>
        <v>152293.76000000001</v>
      </c>
      <c r="K18" s="30">
        <f>+VLOOKUP($A18,'datos9-2014'!$A$2:$BE$78,10,FALSE)</f>
        <v>240057.21</v>
      </c>
      <c r="L18" s="20">
        <f t="shared" si="0"/>
        <v>7335051.7299999986</v>
      </c>
    </row>
    <row r="19" spans="1:12" x14ac:dyDescent="0.2">
      <c r="A19" s="18" t="s">
        <v>71</v>
      </c>
      <c r="B19" s="19"/>
      <c r="C19" s="30">
        <f>+VLOOKUP($A19,'datos9-2014'!$A$2:$BE$78,2,FALSE)</f>
        <v>0</v>
      </c>
      <c r="D19" s="30">
        <f>+VLOOKUP($A19,'datos9-2014'!$A$2:$BE$78,3,FALSE)</f>
        <v>0</v>
      </c>
      <c r="E19" s="30">
        <f>+VLOOKUP($A19,'datos9-2014'!$A$2:$BE$78,4,FALSE)</f>
        <v>0</v>
      </c>
      <c r="F19" s="30">
        <f>+VLOOKUP($A19,'datos9-2014'!$A$2:$BE$78,5,FALSE)</f>
        <v>1729460.64</v>
      </c>
      <c r="G19" s="30">
        <f>+VLOOKUP($A19,'datos9-2014'!$A$2:$BE$78,6,FALSE)</f>
        <v>0</v>
      </c>
      <c r="H19" s="30">
        <f>+VLOOKUP($A19,'datos9-2014'!$A$2:$BE$78,7,FALSE)</f>
        <v>0</v>
      </c>
      <c r="I19" s="30">
        <f>+VLOOKUP($A19,'datos9-2014'!$A$2:$BE$78,8,FALSE)</f>
        <v>21450.35</v>
      </c>
      <c r="J19" s="30">
        <f>+VLOOKUP($A19,'datos9-2014'!$A$2:$BE$78,9,FALSE)</f>
        <v>86491.66</v>
      </c>
      <c r="K19" s="30">
        <f>+VLOOKUP($A19,'datos9-2014'!$A$2:$BE$78,10,FALSE)</f>
        <v>8132.32</v>
      </c>
      <c r="L19" s="20">
        <f t="shared" si="0"/>
        <v>1845534.97</v>
      </c>
    </row>
    <row r="20" spans="1:12" x14ac:dyDescent="0.2">
      <c r="A20" s="18" t="s">
        <v>72</v>
      </c>
      <c r="B20" s="19"/>
      <c r="C20" s="30">
        <f>+VLOOKUP($A20,'datos9-2014'!$A$2:$BE$78,2,FALSE)</f>
        <v>0</v>
      </c>
      <c r="D20" s="30">
        <f>+VLOOKUP($A20,'datos9-2014'!$A$2:$BE$78,3,FALSE)</f>
        <v>0</v>
      </c>
      <c r="E20" s="30">
        <f>+VLOOKUP($A20,'datos9-2014'!$A$2:$BE$78,4,FALSE)</f>
        <v>4050</v>
      </c>
      <c r="F20" s="30">
        <f>+VLOOKUP($A20,'datos9-2014'!$A$2:$BE$78,5,FALSE)</f>
        <v>166483.13</v>
      </c>
      <c r="G20" s="30">
        <f>+VLOOKUP($A20,'datos9-2014'!$A$2:$BE$78,6,FALSE)</f>
        <v>0</v>
      </c>
      <c r="H20" s="30">
        <f>+VLOOKUP($A20,'datos9-2014'!$A$2:$BE$78,7,FALSE)</f>
        <v>60146.32</v>
      </c>
      <c r="I20" s="30">
        <f>+VLOOKUP($A20,'datos9-2014'!$A$2:$BE$78,8,FALSE)</f>
        <v>331317.62</v>
      </c>
      <c r="J20" s="30">
        <f>+VLOOKUP($A20,'datos9-2014'!$A$2:$BE$78,9,FALSE)</f>
        <v>401738.85</v>
      </c>
      <c r="K20" s="30">
        <f>+VLOOKUP($A20,'datos9-2014'!$A$2:$BE$78,10,FALSE)</f>
        <v>5212.03</v>
      </c>
      <c r="L20" s="20">
        <f t="shared" si="0"/>
        <v>968947.95000000007</v>
      </c>
    </row>
    <row r="21" spans="1:12" x14ac:dyDescent="0.2">
      <c r="A21" s="18" t="s">
        <v>73</v>
      </c>
      <c r="B21" s="19"/>
      <c r="C21" s="30">
        <f>+VLOOKUP($A21,'datos9-2014'!$A$2:$BE$78,2,FALSE)</f>
        <v>0</v>
      </c>
      <c r="D21" s="30">
        <f>+VLOOKUP($A21,'datos9-2014'!$A$2:$BE$78,3,FALSE)</f>
        <v>139957.24</v>
      </c>
      <c r="E21" s="30">
        <f>+VLOOKUP($A21,'datos9-2014'!$A$2:$BE$78,4,FALSE)</f>
        <v>0</v>
      </c>
      <c r="F21" s="30">
        <f>+VLOOKUP($A21,'datos9-2014'!$A$2:$BE$78,5,FALSE)</f>
        <v>8409399.9800000004</v>
      </c>
      <c r="G21" s="30">
        <f>+VLOOKUP($A21,'datos9-2014'!$A$2:$BE$78,6,FALSE)</f>
        <v>0</v>
      </c>
      <c r="H21" s="30">
        <f>+VLOOKUP($A21,'datos9-2014'!$A$2:$BE$78,7,FALSE)</f>
        <v>390482.82</v>
      </c>
      <c r="I21" s="30">
        <f>+VLOOKUP($A21,'datos9-2014'!$A$2:$BE$78,8,FALSE)</f>
        <v>415835.25</v>
      </c>
      <c r="J21" s="30">
        <f>+VLOOKUP($A21,'datos9-2014'!$A$2:$BE$78,9,FALSE)</f>
        <v>26505764.440000001</v>
      </c>
      <c r="K21" s="30">
        <f>+VLOOKUP($A21,'datos9-2014'!$A$2:$BE$78,10,FALSE)</f>
        <v>821172</v>
      </c>
      <c r="L21" s="20">
        <f t="shared" si="0"/>
        <v>36682611.730000004</v>
      </c>
    </row>
    <row r="22" spans="1:12" x14ac:dyDescent="0.2">
      <c r="A22" s="18" t="s">
        <v>74</v>
      </c>
      <c r="B22" s="19"/>
      <c r="C22" s="30">
        <f>+VLOOKUP($A22,'datos9-2014'!$A$2:$BE$78,2,FALSE)</f>
        <v>0</v>
      </c>
      <c r="D22" s="30">
        <f>+VLOOKUP($A22,'datos9-2014'!$A$2:$BE$78,3,FALSE)</f>
        <v>0</v>
      </c>
      <c r="E22" s="30">
        <f>+VLOOKUP($A22,'datos9-2014'!$A$2:$BE$78,4,FALSE)</f>
        <v>0</v>
      </c>
      <c r="F22" s="30">
        <f>+VLOOKUP($A22,'datos9-2014'!$A$2:$BE$78,5,FALSE)</f>
        <v>1532809</v>
      </c>
      <c r="G22" s="30">
        <f>+VLOOKUP($A22,'datos9-2014'!$A$2:$BE$78,6,FALSE)</f>
        <v>0</v>
      </c>
      <c r="H22" s="30">
        <f>+VLOOKUP($A22,'datos9-2014'!$A$2:$BE$78,7,FALSE)</f>
        <v>784935</v>
      </c>
      <c r="I22" s="30">
        <f>+VLOOKUP($A22,'datos9-2014'!$A$2:$BE$78,8,FALSE)</f>
        <v>19679279</v>
      </c>
      <c r="J22" s="30">
        <f>+VLOOKUP($A22,'datos9-2014'!$A$2:$BE$78,9,FALSE)</f>
        <v>0</v>
      </c>
      <c r="K22" s="30">
        <f>+VLOOKUP($A22,'datos9-2014'!$A$2:$BE$78,10,FALSE)</f>
        <v>0</v>
      </c>
      <c r="L22" s="20">
        <f t="shared" si="0"/>
        <v>21997023</v>
      </c>
    </row>
    <row r="23" spans="1:12" x14ac:dyDescent="0.2">
      <c r="A23" s="18" t="s">
        <v>75</v>
      </c>
      <c r="B23" s="19"/>
      <c r="C23" s="30">
        <f>+VLOOKUP($A23,'datos9-2014'!$A$2:$BE$78,2,FALSE)</f>
        <v>0</v>
      </c>
      <c r="D23" s="30">
        <f>+VLOOKUP($A23,'datos9-2014'!$A$2:$BE$78,3,FALSE)</f>
        <v>68115.19</v>
      </c>
      <c r="E23" s="30">
        <f>+VLOOKUP($A23,'datos9-2014'!$A$2:$BE$78,4,FALSE)</f>
        <v>0</v>
      </c>
      <c r="F23" s="30">
        <f>+VLOOKUP($A23,'datos9-2014'!$A$2:$BE$78,5,FALSE)</f>
        <v>812979.23</v>
      </c>
      <c r="G23" s="30">
        <f>+VLOOKUP($A23,'datos9-2014'!$A$2:$BE$78,6,FALSE)</f>
        <v>0</v>
      </c>
      <c r="H23" s="30">
        <f>+VLOOKUP($A23,'datos9-2014'!$A$2:$BE$78,7,FALSE)</f>
        <v>171159.88</v>
      </c>
      <c r="I23" s="30">
        <f>+VLOOKUP($A23,'datos9-2014'!$A$2:$BE$78,8,FALSE)</f>
        <v>3523.68</v>
      </c>
      <c r="J23" s="30">
        <f>+VLOOKUP($A23,'datos9-2014'!$A$2:$BE$78,9,FALSE)</f>
        <v>23145</v>
      </c>
      <c r="K23" s="30">
        <f>+VLOOKUP($A23,'datos9-2014'!$A$2:$BE$78,10,FALSE)</f>
        <v>2547.42</v>
      </c>
      <c r="L23" s="20">
        <f t="shared" si="0"/>
        <v>1081470.3999999997</v>
      </c>
    </row>
    <row r="24" spans="1:12" x14ac:dyDescent="0.2">
      <c r="A24" s="18" t="s">
        <v>76</v>
      </c>
      <c r="B24" s="19"/>
      <c r="C24" s="30">
        <f>+VLOOKUP($A24,'datos9-2014'!$A$2:$BE$78,2,FALSE)</f>
        <v>88497.77</v>
      </c>
      <c r="D24" s="30">
        <f>+VLOOKUP($A24,'datos9-2014'!$A$2:$BE$78,3,FALSE)</f>
        <v>16922</v>
      </c>
      <c r="E24" s="30">
        <f>+VLOOKUP($A24,'datos9-2014'!$A$2:$BE$78,4,FALSE)</f>
        <v>1765.2</v>
      </c>
      <c r="F24" s="30">
        <f>+VLOOKUP($A24,'datos9-2014'!$A$2:$BE$78,5,FALSE)</f>
        <v>5188589.13</v>
      </c>
      <c r="G24" s="30">
        <f>+VLOOKUP($A24,'datos9-2014'!$A$2:$BE$78,6,FALSE)</f>
        <v>0</v>
      </c>
      <c r="H24" s="30">
        <f>+VLOOKUP($A24,'datos9-2014'!$A$2:$BE$78,7,FALSE)</f>
        <v>720710.98</v>
      </c>
      <c r="I24" s="30">
        <f>+VLOOKUP($A24,'datos9-2014'!$A$2:$BE$78,8,FALSE)</f>
        <v>209619.27</v>
      </c>
      <c r="J24" s="30">
        <f>+VLOOKUP($A24,'datos9-2014'!$A$2:$BE$78,9,FALSE)</f>
        <v>106891.03</v>
      </c>
      <c r="K24" s="30">
        <f>+VLOOKUP($A24,'datos9-2014'!$A$2:$BE$78,10,FALSE)</f>
        <v>13705.39</v>
      </c>
      <c r="L24" s="20">
        <f t="shared" si="0"/>
        <v>6346700.7699999996</v>
      </c>
    </row>
    <row r="25" spans="1:12" x14ac:dyDescent="0.2">
      <c r="A25" s="18" t="s">
        <v>77</v>
      </c>
      <c r="B25" s="19"/>
      <c r="C25" s="30">
        <f>+VLOOKUP($A25,'datos9-2014'!$A$2:$BE$78,2,FALSE)</f>
        <v>0</v>
      </c>
      <c r="D25" s="30">
        <f>+VLOOKUP($A25,'datos9-2014'!$A$2:$BE$78,3,FALSE)</f>
        <v>0</v>
      </c>
      <c r="E25" s="30">
        <f>+VLOOKUP($A25,'datos9-2014'!$A$2:$BE$78,4,FALSE)</f>
        <v>0</v>
      </c>
      <c r="F25" s="30">
        <f>+VLOOKUP($A25,'datos9-2014'!$A$2:$BE$78,5,FALSE)</f>
        <v>5976083.7800000003</v>
      </c>
      <c r="G25" s="30">
        <f>+VLOOKUP($A25,'datos9-2014'!$A$2:$BE$78,6,FALSE)</f>
        <v>0</v>
      </c>
      <c r="H25" s="30">
        <f>+VLOOKUP($A25,'datos9-2014'!$A$2:$BE$78,7,FALSE)</f>
        <v>428757.01</v>
      </c>
      <c r="I25" s="30">
        <f>+VLOOKUP($A25,'datos9-2014'!$A$2:$BE$78,8,FALSE)</f>
        <v>94757.68</v>
      </c>
      <c r="J25" s="30">
        <f>+VLOOKUP($A25,'datos9-2014'!$A$2:$BE$78,9,FALSE)</f>
        <v>167199.63</v>
      </c>
      <c r="K25" s="30">
        <f>+VLOOKUP($A25,'datos9-2014'!$A$2:$BE$78,10,FALSE)</f>
        <v>439129.97</v>
      </c>
      <c r="L25" s="20">
        <f t="shared" si="0"/>
        <v>7105928.0699999994</v>
      </c>
    </row>
    <row r="26" spans="1:12" x14ac:dyDescent="0.2">
      <c r="A26" s="18" t="s">
        <v>78</v>
      </c>
      <c r="B26" s="19"/>
      <c r="C26" s="30">
        <f>+VLOOKUP($A26,'datos9-2014'!$A$2:$BE$78,2,FALSE)</f>
        <v>0</v>
      </c>
      <c r="D26" s="30">
        <f>+VLOOKUP($A26,'datos9-2014'!$A$2:$BE$78,3,FALSE)</f>
        <v>0</v>
      </c>
      <c r="E26" s="30">
        <f>+VLOOKUP($A26,'datos9-2014'!$A$2:$BE$78,4,FALSE)</f>
        <v>0</v>
      </c>
      <c r="F26" s="30">
        <f>+VLOOKUP($A26,'datos9-2014'!$A$2:$BE$78,5,FALSE)</f>
        <v>0</v>
      </c>
      <c r="G26" s="30">
        <f>+VLOOKUP($A26,'datos9-2014'!$A$2:$BE$78,6,FALSE)</f>
        <v>0</v>
      </c>
      <c r="H26" s="30">
        <f>+VLOOKUP($A26,'datos9-2014'!$A$2:$BE$78,7,FALSE)</f>
        <v>0</v>
      </c>
      <c r="I26" s="30">
        <f>+VLOOKUP($A26,'datos9-2014'!$A$2:$BE$78,8,FALSE)</f>
        <v>13929.46</v>
      </c>
      <c r="J26" s="30">
        <f>+VLOOKUP($A26,'datos9-2014'!$A$2:$BE$78,9,FALSE)</f>
        <v>2409.15</v>
      </c>
      <c r="K26" s="30">
        <f>+VLOOKUP($A26,'datos9-2014'!$A$2:$BE$78,10,FALSE)</f>
        <v>1.41</v>
      </c>
      <c r="L26" s="20">
        <f t="shared" si="0"/>
        <v>16340.019999999999</v>
      </c>
    </row>
    <row r="27" spans="1:12" x14ac:dyDescent="0.2">
      <c r="A27" s="18" t="s">
        <v>79</v>
      </c>
      <c r="B27" s="19"/>
      <c r="C27" s="30">
        <f>+VLOOKUP($A27,'datos9-2014'!$A$2:$BE$78,2,FALSE)</f>
        <v>0</v>
      </c>
      <c r="D27" s="30">
        <f>+VLOOKUP($A27,'datos9-2014'!$A$2:$BE$78,3,FALSE)</f>
        <v>54836.82</v>
      </c>
      <c r="E27" s="30">
        <f>+VLOOKUP($A27,'datos9-2014'!$A$2:$BE$78,4,FALSE)</f>
        <v>0</v>
      </c>
      <c r="F27" s="30">
        <f>+VLOOKUP($A27,'datos9-2014'!$A$2:$BE$78,5,FALSE)</f>
        <v>1257819.79</v>
      </c>
      <c r="G27" s="30">
        <f>+VLOOKUP($A27,'datos9-2014'!$A$2:$BE$78,6,FALSE)</f>
        <v>0</v>
      </c>
      <c r="H27" s="30">
        <f>+VLOOKUP($A27,'datos9-2014'!$A$2:$BE$78,7,FALSE)</f>
        <v>0</v>
      </c>
      <c r="I27" s="30">
        <f>+VLOOKUP($A27,'datos9-2014'!$A$2:$BE$78,8,FALSE)</f>
        <v>22291.52</v>
      </c>
      <c r="J27" s="30">
        <f>+VLOOKUP($A27,'datos9-2014'!$A$2:$BE$78,9,FALSE)</f>
        <v>15205.59</v>
      </c>
      <c r="K27" s="30">
        <f>+VLOOKUP($A27,'datos9-2014'!$A$2:$BE$78,10,FALSE)</f>
        <v>0</v>
      </c>
      <c r="L27" s="20">
        <f t="shared" si="0"/>
        <v>1350153.7200000002</v>
      </c>
    </row>
    <row r="28" spans="1:12" x14ac:dyDescent="0.2">
      <c r="A28" s="18" t="s">
        <v>80</v>
      </c>
      <c r="B28" s="19"/>
      <c r="C28" s="30">
        <f>+VLOOKUP($A28,'datos9-2014'!$A$2:$BE$78,2,FALSE)</f>
        <v>0</v>
      </c>
      <c r="D28" s="30">
        <f>+VLOOKUP($A28,'datos9-2014'!$A$2:$BE$78,3,FALSE)</f>
        <v>45893</v>
      </c>
      <c r="E28" s="30">
        <f>+VLOOKUP($A28,'datos9-2014'!$A$2:$BE$78,4,FALSE)</f>
        <v>0</v>
      </c>
      <c r="F28" s="30">
        <f>+VLOOKUP($A28,'datos9-2014'!$A$2:$BE$78,5,FALSE)</f>
        <v>311597</v>
      </c>
      <c r="G28" s="30">
        <f>+VLOOKUP($A28,'datos9-2014'!$A$2:$BE$78,6,FALSE)</f>
        <v>0</v>
      </c>
      <c r="H28" s="30">
        <f>+VLOOKUP($A28,'datos9-2014'!$A$2:$BE$78,7,FALSE)</f>
        <v>153746</v>
      </c>
      <c r="I28" s="30">
        <f>+VLOOKUP($A28,'datos9-2014'!$A$2:$BE$78,8,FALSE)</f>
        <v>350754</v>
      </c>
      <c r="J28" s="30">
        <f>+VLOOKUP($A28,'datos9-2014'!$A$2:$BE$78,9,FALSE)</f>
        <v>28479.58</v>
      </c>
      <c r="K28" s="30">
        <f>+VLOOKUP($A28,'datos9-2014'!$A$2:$BE$78,10,FALSE)</f>
        <v>505892.23</v>
      </c>
      <c r="L28" s="20">
        <f t="shared" si="0"/>
        <v>1396361.81</v>
      </c>
    </row>
    <row r="29" spans="1:12" x14ac:dyDescent="0.2">
      <c r="A29" s="18" t="s">
        <v>81</v>
      </c>
      <c r="B29" s="19"/>
      <c r="C29" s="30">
        <f>+VLOOKUP($A29,'datos9-2014'!$A$2:$BE$78,2,FALSE)</f>
        <v>0</v>
      </c>
      <c r="D29" s="30">
        <f>+VLOOKUP($A29,'datos9-2014'!$A$2:$BE$78,3,FALSE)</f>
        <v>11605</v>
      </c>
      <c r="E29" s="30">
        <f>+VLOOKUP($A29,'datos9-2014'!$A$2:$BE$78,4,FALSE)</f>
        <v>0</v>
      </c>
      <c r="F29" s="30">
        <f>+VLOOKUP($A29,'datos9-2014'!$A$2:$BE$78,5,FALSE)</f>
        <v>34132141</v>
      </c>
      <c r="G29" s="30">
        <f>+VLOOKUP($A29,'datos9-2014'!$A$2:$BE$78,6,FALSE)</f>
        <v>0</v>
      </c>
      <c r="H29" s="30">
        <f>+VLOOKUP($A29,'datos9-2014'!$A$2:$BE$78,7,FALSE)</f>
        <v>0</v>
      </c>
      <c r="I29" s="30">
        <f>+VLOOKUP($A29,'datos9-2014'!$A$2:$BE$78,8,FALSE)</f>
        <v>0</v>
      </c>
      <c r="J29" s="30">
        <f>+VLOOKUP($A29,'datos9-2014'!$A$2:$BE$78,9,FALSE)</f>
        <v>0</v>
      </c>
      <c r="K29" s="30">
        <f>+VLOOKUP($A29,'datos9-2014'!$A$2:$BE$78,10,FALSE)</f>
        <v>65044</v>
      </c>
      <c r="L29" s="20">
        <f t="shared" si="0"/>
        <v>34208790</v>
      </c>
    </row>
    <row r="30" spans="1:12" x14ac:dyDescent="0.2">
      <c r="A30" s="18" t="s">
        <v>82</v>
      </c>
      <c r="B30" s="19"/>
      <c r="C30" s="30">
        <f>+VLOOKUP($A30,'datos9-2014'!$A$2:$BE$78,2,FALSE)</f>
        <v>0</v>
      </c>
      <c r="D30" s="30">
        <f>+VLOOKUP($A30,'datos9-2014'!$A$2:$BE$78,3,FALSE)</f>
        <v>0</v>
      </c>
      <c r="E30" s="30">
        <f>+VLOOKUP($A30,'datos9-2014'!$A$2:$BE$78,4,FALSE)</f>
        <v>0</v>
      </c>
      <c r="F30" s="30">
        <f>+VLOOKUP($A30,'datos9-2014'!$A$2:$BE$78,5,FALSE)</f>
        <v>53740.160000000003</v>
      </c>
      <c r="G30" s="30">
        <f>+VLOOKUP($A30,'datos9-2014'!$A$2:$BE$78,6,FALSE)</f>
        <v>0</v>
      </c>
      <c r="H30" s="30">
        <f>+VLOOKUP($A30,'datos9-2014'!$A$2:$BE$78,7,FALSE)</f>
        <v>126954.43</v>
      </c>
      <c r="I30" s="30">
        <f>+VLOOKUP($A30,'datos9-2014'!$A$2:$BE$78,8,FALSE)</f>
        <v>0</v>
      </c>
      <c r="J30" s="30">
        <f>+VLOOKUP($A30,'datos9-2014'!$A$2:$BE$78,9,FALSE)</f>
        <v>0</v>
      </c>
      <c r="K30" s="30">
        <f>+VLOOKUP($A30,'datos9-2014'!$A$2:$BE$78,10,FALSE)</f>
        <v>0</v>
      </c>
      <c r="L30" s="20">
        <f t="shared" si="0"/>
        <v>180694.59</v>
      </c>
    </row>
    <row r="31" spans="1:12" x14ac:dyDescent="0.2">
      <c r="A31" s="18" t="s">
        <v>83</v>
      </c>
      <c r="B31" s="19"/>
      <c r="C31" s="30">
        <f>+VLOOKUP($A31,'datos9-2014'!$A$2:$BE$78,2,FALSE)</f>
        <v>10445.459999999999</v>
      </c>
      <c r="D31" s="30">
        <f>+VLOOKUP($A31,'datos9-2014'!$A$2:$BE$78,3,FALSE)</f>
        <v>0</v>
      </c>
      <c r="E31" s="30">
        <f>+VLOOKUP($A31,'datos9-2014'!$A$2:$BE$78,4,FALSE)</f>
        <v>23673.53</v>
      </c>
      <c r="F31" s="30">
        <f>+VLOOKUP($A31,'datos9-2014'!$A$2:$BE$78,5,FALSE)</f>
        <v>0</v>
      </c>
      <c r="G31" s="30">
        <f>+VLOOKUP($A31,'datos9-2014'!$A$2:$BE$78,6,FALSE)</f>
        <v>0</v>
      </c>
      <c r="H31" s="30">
        <f>+VLOOKUP($A31,'datos9-2014'!$A$2:$BE$78,7,FALSE)</f>
        <v>0</v>
      </c>
      <c r="I31" s="30">
        <f>+VLOOKUP($A31,'datos9-2014'!$A$2:$BE$78,8,FALSE)</f>
        <v>25817.77</v>
      </c>
      <c r="J31" s="30">
        <f>+VLOOKUP($A31,'datos9-2014'!$A$2:$BE$78,9,FALSE)</f>
        <v>32436.46</v>
      </c>
      <c r="K31" s="30">
        <f>+VLOOKUP($A31,'datos9-2014'!$A$2:$BE$78,10,FALSE)</f>
        <v>0</v>
      </c>
      <c r="L31" s="20">
        <f t="shared" si="0"/>
        <v>92373.22</v>
      </c>
    </row>
    <row r="32" spans="1:12" x14ac:dyDescent="0.2">
      <c r="A32" s="18" t="s">
        <v>84</v>
      </c>
      <c r="B32" s="19"/>
      <c r="C32" s="30">
        <f>+VLOOKUP($A32,'datos9-2014'!$A$2:$BE$78,2,FALSE)</f>
        <v>0</v>
      </c>
      <c r="D32" s="30">
        <f>+VLOOKUP($A32,'datos9-2014'!$A$2:$BE$78,3,FALSE)</f>
        <v>0</v>
      </c>
      <c r="E32" s="30">
        <f>+VLOOKUP($A32,'datos9-2014'!$A$2:$BE$78,4,FALSE)</f>
        <v>9518</v>
      </c>
      <c r="F32" s="30">
        <f>+VLOOKUP($A32,'datos9-2014'!$A$2:$BE$78,5,FALSE)</f>
        <v>2615300</v>
      </c>
      <c r="G32" s="30">
        <f>+VLOOKUP($A32,'datos9-2014'!$A$2:$BE$78,6,FALSE)</f>
        <v>0</v>
      </c>
      <c r="H32" s="30">
        <f>+VLOOKUP($A32,'datos9-2014'!$A$2:$BE$78,7,FALSE)</f>
        <v>0</v>
      </c>
      <c r="I32" s="30">
        <f>+VLOOKUP($A32,'datos9-2014'!$A$2:$BE$78,8,FALSE)</f>
        <v>2635525</v>
      </c>
      <c r="J32" s="30">
        <f>+VLOOKUP($A32,'datos9-2014'!$A$2:$BE$78,9,FALSE)</f>
        <v>23350646</v>
      </c>
      <c r="K32" s="30">
        <f>+VLOOKUP($A32,'datos9-2014'!$A$2:$BE$78,10,FALSE)</f>
        <v>4845001</v>
      </c>
      <c r="L32" s="20">
        <f t="shared" si="0"/>
        <v>33455990</v>
      </c>
    </row>
    <row r="33" spans="1:12" x14ac:dyDescent="0.2">
      <c r="A33" s="18" t="s">
        <v>85</v>
      </c>
      <c r="B33" s="19"/>
      <c r="C33" s="30">
        <f>+VLOOKUP($A33,'datos9-2014'!$A$2:$BE$78,2,FALSE)</f>
        <v>132349.5</v>
      </c>
      <c r="D33" s="30">
        <f>+VLOOKUP($A33,'datos9-2014'!$A$2:$BE$78,3,FALSE)</f>
        <v>0</v>
      </c>
      <c r="E33" s="30">
        <f>+VLOOKUP($A33,'datos9-2014'!$A$2:$BE$78,4,FALSE)</f>
        <v>0</v>
      </c>
      <c r="F33" s="30">
        <f>+VLOOKUP($A33,'datos9-2014'!$A$2:$BE$78,5,FALSE)</f>
        <v>2117481</v>
      </c>
      <c r="G33" s="30">
        <f>+VLOOKUP($A33,'datos9-2014'!$A$2:$BE$78,6,FALSE)</f>
        <v>0</v>
      </c>
      <c r="H33" s="30">
        <f>+VLOOKUP($A33,'datos9-2014'!$A$2:$BE$78,7,FALSE)</f>
        <v>139806.5</v>
      </c>
      <c r="I33" s="30">
        <f>+VLOOKUP($A33,'datos9-2014'!$A$2:$BE$78,8,FALSE)</f>
        <v>0</v>
      </c>
      <c r="J33" s="30">
        <f>+VLOOKUP($A33,'datos9-2014'!$A$2:$BE$78,9,FALSE)</f>
        <v>0</v>
      </c>
      <c r="K33" s="30">
        <f>+VLOOKUP($A33,'datos9-2014'!$A$2:$BE$78,10,FALSE)</f>
        <v>0</v>
      </c>
      <c r="L33" s="20">
        <f t="shared" si="0"/>
        <v>2389637</v>
      </c>
    </row>
    <row r="34" spans="1:12" x14ac:dyDescent="0.2">
      <c r="A34" s="18" t="s">
        <v>86</v>
      </c>
      <c r="B34" s="19"/>
      <c r="C34" s="30">
        <f>+VLOOKUP($A34,'datos9-2014'!$A$2:$BE$78,2,FALSE)</f>
        <v>0</v>
      </c>
      <c r="D34" s="30">
        <f>+VLOOKUP($A34,'datos9-2014'!$A$2:$BE$78,3,FALSE)</f>
        <v>32900</v>
      </c>
      <c r="E34" s="30">
        <f>+VLOOKUP($A34,'datos9-2014'!$A$2:$BE$78,4,FALSE)</f>
        <v>0</v>
      </c>
      <c r="F34" s="30">
        <f>+VLOOKUP($A34,'datos9-2014'!$A$2:$BE$78,5,FALSE)</f>
        <v>18536.169999999998</v>
      </c>
      <c r="G34" s="30">
        <f>+VLOOKUP($A34,'datos9-2014'!$A$2:$BE$78,6,FALSE)</f>
        <v>0</v>
      </c>
      <c r="H34" s="30">
        <f>+VLOOKUP($A34,'datos9-2014'!$A$2:$BE$78,7,FALSE)</f>
        <v>0</v>
      </c>
      <c r="I34" s="30">
        <f>+VLOOKUP($A34,'datos9-2014'!$A$2:$BE$78,8,FALSE)</f>
        <v>632470.16</v>
      </c>
      <c r="J34" s="30">
        <f>+VLOOKUP($A34,'datos9-2014'!$A$2:$BE$78,9,FALSE)</f>
        <v>42219.12</v>
      </c>
      <c r="K34" s="30">
        <f>+VLOOKUP($A34,'datos9-2014'!$A$2:$BE$78,10,FALSE)</f>
        <v>0</v>
      </c>
      <c r="L34" s="20">
        <f t="shared" si="0"/>
        <v>726125.45000000007</v>
      </c>
    </row>
    <row r="35" spans="1:12" x14ac:dyDescent="0.2">
      <c r="A35" s="18" t="s">
        <v>87</v>
      </c>
      <c r="B35" s="19"/>
      <c r="C35" s="30">
        <f>+VLOOKUP($A35,'datos9-2014'!$A$2:$BE$78,2,FALSE)</f>
        <v>0</v>
      </c>
      <c r="D35" s="30">
        <f>+VLOOKUP($A35,'datos9-2014'!$A$2:$BE$78,3,FALSE)</f>
        <v>0</v>
      </c>
      <c r="E35" s="30">
        <f>+VLOOKUP($A35,'datos9-2014'!$A$2:$BE$78,4,FALSE)</f>
        <v>1940784.76</v>
      </c>
      <c r="F35" s="30">
        <f>+VLOOKUP($A35,'datos9-2014'!$A$2:$BE$78,5,FALSE)</f>
        <v>3202911.2</v>
      </c>
      <c r="G35" s="30">
        <f>+VLOOKUP($A35,'datos9-2014'!$A$2:$BE$78,6,FALSE)</f>
        <v>0</v>
      </c>
      <c r="H35" s="30">
        <f>+VLOOKUP($A35,'datos9-2014'!$A$2:$BE$78,7,FALSE)</f>
        <v>1516436.02</v>
      </c>
      <c r="I35" s="30">
        <f>+VLOOKUP($A35,'datos9-2014'!$A$2:$BE$78,8,FALSE)</f>
        <v>79330.92</v>
      </c>
      <c r="J35" s="30">
        <f>+VLOOKUP($A35,'datos9-2014'!$A$2:$BE$78,9,FALSE)</f>
        <v>328706.06</v>
      </c>
      <c r="K35" s="30">
        <f>+VLOOKUP($A35,'datos9-2014'!$A$2:$BE$78,10,FALSE)</f>
        <v>180</v>
      </c>
      <c r="L35" s="20">
        <f t="shared" si="0"/>
        <v>7068348.96</v>
      </c>
    </row>
    <row r="36" spans="1:12" x14ac:dyDescent="0.2">
      <c r="A36" s="18" t="s">
        <v>88</v>
      </c>
      <c r="B36" s="19"/>
      <c r="C36" s="30">
        <f>+VLOOKUP($A36,'datos9-2014'!$A$2:$BE$78,2,FALSE)</f>
        <v>0</v>
      </c>
      <c r="D36" s="30">
        <f>+VLOOKUP($A36,'datos9-2014'!$A$2:$BE$78,3,FALSE)</f>
        <v>0</v>
      </c>
      <c r="E36" s="30">
        <f>+VLOOKUP($A36,'datos9-2014'!$A$2:$BE$78,4,FALSE)</f>
        <v>0</v>
      </c>
      <c r="F36" s="30">
        <f>+VLOOKUP($A36,'datos9-2014'!$A$2:$BE$78,5,FALSE)</f>
        <v>2000</v>
      </c>
      <c r="G36" s="30">
        <f>+VLOOKUP($A36,'datos9-2014'!$A$2:$BE$78,6,FALSE)</f>
        <v>0</v>
      </c>
      <c r="H36" s="30">
        <f>+VLOOKUP($A36,'datos9-2014'!$A$2:$BE$78,7,FALSE)</f>
        <v>6000</v>
      </c>
      <c r="I36" s="30">
        <f>+VLOOKUP($A36,'datos9-2014'!$A$2:$BE$78,8,FALSE)</f>
        <v>57175</v>
      </c>
      <c r="J36" s="30">
        <f>+VLOOKUP($A36,'datos9-2014'!$A$2:$BE$78,9,FALSE)</f>
        <v>0</v>
      </c>
      <c r="K36" s="30">
        <f>+VLOOKUP($A36,'datos9-2014'!$A$2:$BE$78,10,FALSE)</f>
        <v>0</v>
      </c>
      <c r="L36" s="20">
        <f t="shared" si="0"/>
        <v>65175</v>
      </c>
    </row>
    <row r="37" spans="1:12" x14ac:dyDescent="0.2">
      <c r="A37" s="18" t="s">
        <v>89</v>
      </c>
      <c r="B37" s="19"/>
      <c r="C37" s="30">
        <f>+VLOOKUP($A37,'datos9-2014'!$A$2:$BE$78,2,FALSE)</f>
        <v>0</v>
      </c>
      <c r="D37" s="30">
        <f>+VLOOKUP($A37,'datos9-2014'!$A$2:$BE$78,3,FALSE)</f>
        <v>258825.7</v>
      </c>
      <c r="E37" s="30">
        <f>+VLOOKUP($A37,'datos9-2014'!$A$2:$BE$78,4,FALSE)</f>
        <v>30386.46</v>
      </c>
      <c r="F37" s="30">
        <f>+VLOOKUP($A37,'datos9-2014'!$A$2:$BE$78,5,FALSE)</f>
        <v>1055590.53</v>
      </c>
      <c r="G37" s="30">
        <f>+VLOOKUP($A37,'datos9-2014'!$A$2:$BE$78,6,FALSE)</f>
        <v>0</v>
      </c>
      <c r="H37" s="30">
        <f>+VLOOKUP($A37,'datos9-2014'!$A$2:$BE$78,7,FALSE)</f>
        <v>107767.36</v>
      </c>
      <c r="I37" s="30">
        <f>+VLOOKUP($A37,'datos9-2014'!$A$2:$BE$78,8,FALSE)</f>
        <v>0</v>
      </c>
      <c r="J37" s="30">
        <f>+VLOOKUP($A37,'datos9-2014'!$A$2:$BE$78,9,FALSE)</f>
        <v>116638.99</v>
      </c>
      <c r="K37" s="30">
        <f>+VLOOKUP($A37,'datos9-2014'!$A$2:$BE$78,10,FALSE)</f>
        <v>19483.63</v>
      </c>
      <c r="L37" s="20">
        <f t="shared" si="0"/>
        <v>1588692.67</v>
      </c>
    </row>
    <row r="38" spans="1:12" x14ac:dyDescent="0.2">
      <c r="A38" s="18" t="s">
        <v>90</v>
      </c>
      <c r="B38" s="19"/>
      <c r="C38" s="30">
        <f>+VLOOKUP($A38,'datos9-2014'!$A$2:$BE$78,2,FALSE)</f>
        <v>0</v>
      </c>
      <c r="D38" s="30">
        <f>+VLOOKUP($A38,'datos9-2014'!$A$2:$BE$78,3,FALSE)</f>
        <v>0</v>
      </c>
      <c r="E38" s="30">
        <f>+VLOOKUP($A38,'datos9-2014'!$A$2:$BE$78,4,FALSE)</f>
        <v>0</v>
      </c>
      <c r="F38" s="30">
        <f>+VLOOKUP($A38,'datos9-2014'!$A$2:$BE$78,5,FALSE)</f>
        <v>86443.94</v>
      </c>
      <c r="G38" s="30">
        <f>+VLOOKUP($A38,'datos9-2014'!$A$2:$BE$78,6,FALSE)</f>
        <v>0</v>
      </c>
      <c r="H38" s="30">
        <f>+VLOOKUP($A38,'datos9-2014'!$A$2:$BE$78,7,FALSE)</f>
        <v>28785.35</v>
      </c>
      <c r="I38" s="30">
        <f>+VLOOKUP($A38,'datos9-2014'!$A$2:$BE$78,8,FALSE)</f>
        <v>508159.54</v>
      </c>
      <c r="J38" s="30">
        <f>+VLOOKUP($A38,'datos9-2014'!$A$2:$BE$78,9,FALSE)</f>
        <v>12500</v>
      </c>
      <c r="K38" s="30">
        <f>+VLOOKUP($A38,'datos9-2014'!$A$2:$BE$78,10,FALSE)</f>
        <v>0</v>
      </c>
      <c r="L38" s="20">
        <f t="shared" si="0"/>
        <v>635888.82999999996</v>
      </c>
    </row>
    <row r="39" spans="1:12" x14ac:dyDescent="0.2">
      <c r="A39" s="18" t="s">
        <v>91</v>
      </c>
      <c r="B39" s="19"/>
      <c r="C39" s="30">
        <f>+VLOOKUP($A39,'datos9-2014'!$A$2:$BE$78,2,FALSE)</f>
        <v>0</v>
      </c>
      <c r="D39" s="30">
        <f>+VLOOKUP($A39,'datos9-2014'!$A$2:$BE$78,3,FALSE)</f>
        <v>0</v>
      </c>
      <c r="E39" s="30">
        <f>+VLOOKUP($A39,'datos9-2014'!$A$2:$BE$78,4,FALSE)</f>
        <v>0</v>
      </c>
      <c r="F39" s="30">
        <f>+VLOOKUP($A39,'datos9-2014'!$A$2:$BE$78,5,FALSE)</f>
        <v>9766.9599999999991</v>
      </c>
      <c r="G39" s="30">
        <f>+VLOOKUP($A39,'datos9-2014'!$A$2:$BE$78,6,FALSE)</f>
        <v>0</v>
      </c>
      <c r="H39" s="30">
        <f>+VLOOKUP($A39,'datos9-2014'!$A$2:$BE$78,7,FALSE)</f>
        <v>0</v>
      </c>
      <c r="I39" s="30">
        <f>+VLOOKUP($A39,'datos9-2014'!$A$2:$BE$78,8,FALSE)</f>
        <v>214533.22</v>
      </c>
      <c r="J39" s="30">
        <f>+VLOOKUP($A39,'datos9-2014'!$A$2:$BE$78,9,FALSE)</f>
        <v>0</v>
      </c>
      <c r="K39" s="30">
        <f>+VLOOKUP($A39,'datos9-2014'!$A$2:$BE$78,10,FALSE)</f>
        <v>0</v>
      </c>
      <c r="L39" s="20">
        <f t="shared" si="0"/>
        <v>224300.18</v>
      </c>
    </row>
    <row r="40" spans="1:12" x14ac:dyDescent="0.2">
      <c r="A40" s="18" t="s">
        <v>92</v>
      </c>
      <c r="B40" s="19"/>
      <c r="C40" s="30">
        <f>+VLOOKUP($A40,'datos9-2014'!$A$2:$BE$78,2,FALSE)</f>
        <v>0</v>
      </c>
      <c r="D40" s="30">
        <f>+VLOOKUP($A40,'datos9-2014'!$A$2:$BE$78,3,FALSE)</f>
        <v>710519.59</v>
      </c>
      <c r="E40" s="30">
        <f>+VLOOKUP($A40,'datos9-2014'!$A$2:$BE$78,4,FALSE)</f>
        <v>0</v>
      </c>
      <c r="F40" s="30">
        <f>+VLOOKUP($A40,'datos9-2014'!$A$2:$BE$78,5,FALSE)</f>
        <v>600846.32999999996</v>
      </c>
      <c r="G40" s="30">
        <f>+VLOOKUP($A40,'datos9-2014'!$A$2:$BE$78,6,FALSE)</f>
        <v>0</v>
      </c>
      <c r="H40" s="30">
        <f>+VLOOKUP($A40,'datos9-2014'!$A$2:$BE$78,7,FALSE)</f>
        <v>5600</v>
      </c>
      <c r="I40" s="30">
        <f>+VLOOKUP($A40,'datos9-2014'!$A$2:$BE$78,8,FALSE)</f>
        <v>72977.850000000006</v>
      </c>
      <c r="J40" s="30">
        <f>+VLOOKUP($A40,'datos9-2014'!$A$2:$BE$78,9,FALSE)</f>
        <v>0</v>
      </c>
      <c r="K40" s="30">
        <f>+VLOOKUP($A40,'datos9-2014'!$A$2:$BE$78,10,FALSE)</f>
        <v>1150.02</v>
      </c>
      <c r="L40" s="20">
        <f t="shared" si="0"/>
        <v>1391093.79</v>
      </c>
    </row>
    <row r="41" spans="1:12" x14ac:dyDescent="0.2">
      <c r="A41" s="18" t="s">
        <v>93</v>
      </c>
      <c r="B41" s="19"/>
      <c r="C41" s="30">
        <f>+VLOOKUP($A41,'datos9-2014'!$A$2:$BE$78,2,FALSE)</f>
        <v>0</v>
      </c>
      <c r="D41" s="30">
        <f>+VLOOKUP($A41,'datos9-2014'!$A$2:$BE$78,3,FALSE)</f>
        <v>248011</v>
      </c>
      <c r="E41" s="30">
        <f>+VLOOKUP($A41,'datos9-2014'!$A$2:$BE$78,4,FALSE)</f>
        <v>0</v>
      </c>
      <c r="F41" s="30">
        <f>+VLOOKUP($A41,'datos9-2014'!$A$2:$BE$78,5,FALSE)</f>
        <v>3063170</v>
      </c>
      <c r="G41" s="30">
        <f>+VLOOKUP($A41,'datos9-2014'!$A$2:$BE$78,6,FALSE)</f>
        <v>0</v>
      </c>
      <c r="H41" s="30">
        <f>+VLOOKUP($A41,'datos9-2014'!$A$2:$BE$78,7,FALSE)</f>
        <v>6516</v>
      </c>
      <c r="I41" s="30">
        <f>+VLOOKUP($A41,'datos9-2014'!$A$2:$BE$78,8,FALSE)</f>
        <v>14595</v>
      </c>
      <c r="J41" s="30">
        <f>+VLOOKUP($A41,'datos9-2014'!$A$2:$BE$78,9,FALSE)</f>
        <v>0</v>
      </c>
      <c r="K41" s="30">
        <f>+VLOOKUP($A41,'datos9-2014'!$A$2:$BE$78,10,FALSE)</f>
        <v>3705</v>
      </c>
      <c r="L41" s="20">
        <f t="shared" si="0"/>
        <v>3335997</v>
      </c>
    </row>
    <row r="42" spans="1:12" x14ac:dyDescent="0.2">
      <c r="A42" s="18" t="s">
        <v>94</v>
      </c>
      <c r="B42" s="19"/>
      <c r="C42" s="30">
        <f>+VLOOKUP($A42,'datos9-2014'!$A$2:$BE$78,2,FALSE)</f>
        <v>0</v>
      </c>
      <c r="D42" s="30">
        <f>+VLOOKUP($A42,'datos9-2014'!$A$2:$BE$78,3,FALSE)</f>
        <v>0</v>
      </c>
      <c r="E42" s="30">
        <f>+VLOOKUP($A42,'datos9-2014'!$A$2:$BE$78,4,FALSE)</f>
        <v>0</v>
      </c>
      <c r="F42" s="30">
        <f>+VLOOKUP($A42,'datos9-2014'!$A$2:$BE$78,5,FALSE)</f>
        <v>1454180.5</v>
      </c>
      <c r="G42" s="30">
        <f>+VLOOKUP($A42,'datos9-2014'!$A$2:$BE$78,6,FALSE)</f>
        <v>0</v>
      </c>
      <c r="H42" s="30">
        <f>+VLOOKUP($A42,'datos9-2014'!$A$2:$BE$78,7,FALSE)</f>
        <v>5000</v>
      </c>
      <c r="I42" s="30">
        <f>+VLOOKUP($A42,'datos9-2014'!$A$2:$BE$78,8,FALSE)</f>
        <v>45666.559999999998</v>
      </c>
      <c r="J42" s="30">
        <f>+VLOOKUP($A42,'datos9-2014'!$A$2:$BE$78,9,FALSE)</f>
        <v>0</v>
      </c>
      <c r="K42" s="30">
        <f>+VLOOKUP($A42,'datos9-2014'!$A$2:$BE$78,10,FALSE)</f>
        <v>52066.07</v>
      </c>
      <c r="L42" s="20">
        <f t="shared" si="0"/>
        <v>1556913.1300000001</v>
      </c>
    </row>
    <row r="43" spans="1:12" x14ac:dyDescent="0.2">
      <c r="A43" s="18" t="s">
        <v>95</v>
      </c>
      <c r="B43" s="19"/>
      <c r="C43" s="30">
        <f>+VLOOKUP($A43,'datos9-2014'!$A$2:$BE$78,2,FALSE)</f>
        <v>0</v>
      </c>
      <c r="D43" s="30">
        <f>+VLOOKUP($A43,'datos9-2014'!$A$2:$BE$78,3,FALSE)</f>
        <v>0</v>
      </c>
      <c r="E43" s="30">
        <f>+VLOOKUP($A43,'datos9-2014'!$A$2:$BE$78,4,FALSE)</f>
        <v>0</v>
      </c>
      <c r="F43" s="30">
        <f>+VLOOKUP($A43,'datos9-2014'!$A$2:$BE$78,5,FALSE)</f>
        <v>1215535</v>
      </c>
      <c r="G43" s="30">
        <f>+VLOOKUP($A43,'datos9-2014'!$A$2:$BE$78,6,FALSE)</f>
        <v>0</v>
      </c>
      <c r="H43" s="30">
        <f>+VLOOKUP($A43,'datos9-2014'!$A$2:$BE$78,7,FALSE)</f>
        <v>223994.4</v>
      </c>
      <c r="I43" s="30">
        <f>+VLOOKUP($A43,'datos9-2014'!$A$2:$BE$78,8,FALSE)</f>
        <v>207699.45</v>
      </c>
      <c r="J43" s="30">
        <f>+VLOOKUP($A43,'datos9-2014'!$A$2:$BE$78,9,FALSE)</f>
        <v>0</v>
      </c>
      <c r="K43" s="30">
        <f>+VLOOKUP($A43,'datos9-2014'!$A$2:$BE$78,10,FALSE)</f>
        <v>0</v>
      </c>
      <c r="L43" s="20">
        <f t="shared" si="0"/>
        <v>1647228.8499999999</v>
      </c>
    </row>
    <row r="44" spans="1:12" x14ac:dyDescent="0.2">
      <c r="A44" s="18" t="s">
        <v>96</v>
      </c>
      <c r="B44" s="19"/>
      <c r="C44" s="30">
        <f>+VLOOKUP($A44,'datos9-2014'!$A$2:$BE$78,2,FALSE)</f>
        <v>0</v>
      </c>
      <c r="D44" s="30">
        <f>+VLOOKUP($A44,'datos9-2014'!$A$2:$BE$78,3,FALSE)</f>
        <v>0</v>
      </c>
      <c r="E44" s="30">
        <f>+VLOOKUP($A44,'datos9-2014'!$A$2:$BE$78,4,FALSE)</f>
        <v>0</v>
      </c>
      <c r="F44" s="30">
        <f>+VLOOKUP($A44,'datos9-2014'!$A$2:$BE$78,5,FALSE)</f>
        <v>4452895</v>
      </c>
      <c r="G44" s="30">
        <f>+VLOOKUP($A44,'datos9-2014'!$A$2:$BE$78,6,FALSE)</f>
        <v>0</v>
      </c>
      <c r="H44" s="30">
        <f>+VLOOKUP($A44,'datos9-2014'!$A$2:$BE$78,7,FALSE)</f>
        <v>1496294</v>
      </c>
      <c r="I44" s="30">
        <f>+VLOOKUP($A44,'datos9-2014'!$A$2:$BE$78,8,FALSE)</f>
        <v>10355905</v>
      </c>
      <c r="J44" s="30">
        <f>+VLOOKUP($A44,'datos9-2014'!$A$2:$BE$78,9,FALSE)</f>
        <v>2423292</v>
      </c>
      <c r="K44" s="30">
        <f>+VLOOKUP($A44,'datos9-2014'!$A$2:$BE$78,10,FALSE)</f>
        <v>11973</v>
      </c>
      <c r="L44" s="20">
        <f t="shared" si="0"/>
        <v>18740359</v>
      </c>
    </row>
    <row r="45" spans="1:12" x14ac:dyDescent="0.2">
      <c r="A45" s="18" t="s">
        <v>97</v>
      </c>
      <c r="B45" s="19"/>
      <c r="C45" s="30">
        <f>+VLOOKUP($A45,'datos9-2014'!$A$2:$BE$78,2,FALSE)</f>
        <v>0</v>
      </c>
      <c r="D45" s="30">
        <f>+VLOOKUP($A45,'datos9-2014'!$A$2:$BE$78,3,FALSE)</f>
        <v>0</v>
      </c>
      <c r="E45" s="30">
        <f>+VLOOKUP($A45,'datos9-2014'!$A$2:$BE$78,4,FALSE)</f>
        <v>0</v>
      </c>
      <c r="F45" s="30">
        <f>+VLOOKUP($A45,'datos9-2014'!$A$2:$BE$78,5,FALSE)</f>
        <v>45847.09</v>
      </c>
      <c r="G45" s="30">
        <f>+VLOOKUP($A45,'datos9-2014'!$A$2:$BE$78,6,FALSE)</f>
        <v>0</v>
      </c>
      <c r="H45" s="30">
        <f>+VLOOKUP($A45,'datos9-2014'!$A$2:$BE$78,7,FALSE)</f>
        <v>0</v>
      </c>
      <c r="I45" s="30">
        <f>+VLOOKUP($A45,'datos9-2014'!$A$2:$BE$78,8,FALSE)</f>
        <v>0</v>
      </c>
      <c r="J45" s="30">
        <f>+VLOOKUP($A45,'datos9-2014'!$A$2:$BE$78,9,FALSE)</f>
        <v>0</v>
      </c>
      <c r="K45" s="30">
        <f>+VLOOKUP($A45,'datos9-2014'!$A$2:$BE$78,10,FALSE)</f>
        <v>0</v>
      </c>
      <c r="L45" s="20">
        <f t="shared" si="0"/>
        <v>45847.09</v>
      </c>
    </row>
    <row r="46" spans="1:12" x14ac:dyDescent="0.2">
      <c r="A46" s="18" t="s">
        <v>98</v>
      </c>
      <c r="B46" s="19"/>
      <c r="C46" s="30">
        <f>+VLOOKUP($A46,'datos9-2014'!$A$2:$BE$78,2,FALSE)</f>
        <v>0</v>
      </c>
      <c r="D46" s="30">
        <f>+VLOOKUP($A46,'datos9-2014'!$A$2:$BE$78,3,FALSE)</f>
        <v>0</v>
      </c>
      <c r="E46" s="30">
        <f>+VLOOKUP($A46,'datos9-2014'!$A$2:$BE$78,4,FALSE)</f>
        <v>0</v>
      </c>
      <c r="F46" s="30">
        <f>+VLOOKUP($A46,'datos9-2014'!$A$2:$BE$78,5,FALSE)</f>
        <v>71067.56</v>
      </c>
      <c r="G46" s="30">
        <f>+VLOOKUP($A46,'datos9-2014'!$A$2:$BE$78,6,FALSE)</f>
        <v>0</v>
      </c>
      <c r="H46" s="30">
        <f>+VLOOKUP($A46,'datos9-2014'!$A$2:$BE$78,7,FALSE)</f>
        <v>53915.55</v>
      </c>
      <c r="I46" s="30">
        <f>+VLOOKUP($A46,'datos9-2014'!$A$2:$BE$78,8,FALSE)</f>
        <v>57912.36</v>
      </c>
      <c r="J46" s="30">
        <f>+VLOOKUP($A46,'datos9-2014'!$A$2:$BE$78,9,FALSE)</f>
        <v>404633.28</v>
      </c>
      <c r="K46" s="30">
        <f>+VLOOKUP($A46,'datos9-2014'!$A$2:$BE$78,10,FALSE)</f>
        <v>32957.61</v>
      </c>
      <c r="L46" s="20">
        <f t="shared" si="0"/>
        <v>620486.36</v>
      </c>
    </row>
    <row r="47" spans="1:12" x14ac:dyDescent="0.2">
      <c r="A47" s="18" t="s">
        <v>99</v>
      </c>
      <c r="B47" s="19"/>
      <c r="C47" s="30">
        <f>+VLOOKUP($A47,'datos9-2014'!$A$2:$BE$78,2,FALSE)</f>
        <v>0</v>
      </c>
      <c r="D47" s="30">
        <f>+VLOOKUP($A47,'datos9-2014'!$A$2:$BE$78,3,FALSE)</f>
        <v>0</v>
      </c>
      <c r="E47" s="30">
        <f>+VLOOKUP($A47,'datos9-2014'!$A$2:$BE$78,4,FALSE)</f>
        <v>0</v>
      </c>
      <c r="F47" s="30">
        <f>+VLOOKUP($A47,'datos9-2014'!$A$2:$BE$78,5,FALSE)</f>
        <v>226919</v>
      </c>
      <c r="G47" s="30">
        <f>+VLOOKUP($A47,'datos9-2014'!$A$2:$BE$78,6,FALSE)</f>
        <v>0</v>
      </c>
      <c r="H47" s="30">
        <f>+VLOOKUP($A47,'datos9-2014'!$A$2:$BE$78,7,FALSE)</f>
        <v>0</v>
      </c>
      <c r="I47" s="30">
        <f>+VLOOKUP($A47,'datos9-2014'!$A$2:$BE$78,8,FALSE)</f>
        <v>3000</v>
      </c>
      <c r="J47" s="30">
        <f>+VLOOKUP($A47,'datos9-2014'!$A$2:$BE$78,9,FALSE)</f>
        <v>12500</v>
      </c>
      <c r="K47" s="30">
        <f>+VLOOKUP($A47,'datos9-2014'!$A$2:$BE$78,10,FALSE)</f>
        <v>6738</v>
      </c>
      <c r="L47" s="20">
        <f t="shared" si="0"/>
        <v>249157</v>
      </c>
    </row>
    <row r="48" spans="1:12" x14ac:dyDescent="0.2">
      <c r="A48" s="18" t="s">
        <v>100</v>
      </c>
      <c r="B48" s="19"/>
      <c r="C48" s="30">
        <f>+VLOOKUP($A48,'datos9-2014'!$A$2:$BE$78,2,FALSE)</f>
        <v>0</v>
      </c>
      <c r="D48" s="30">
        <f>+VLOOKUP($A48,'datos9-2014'!$A$2:$BE$78,3,FALSE)</f>
        <v>555982.32999999996</v>
      </c>
      <c r="E48" s="30">
        <f>+VLOOKUP($A48,'datos9-2014'!$A$2:$BE$78,4,FALSE)</f>
        <v>0</v>
      </c>
      <c r="F48" s="30">
        <f>+VLOOKUP($A48,'datos9-2014'!$A$2:$BE$78,5,FALSE)</f>
        <v>1173042.27</v>
      </c>
      <c r="G48" s="30">
        <f>+VLOOKUP($A48,'datos9-2014'!$A$2:$BE$78,6,FALSE)</f>
        <v>0</v>
      </c>
      <c r="H48" s="30">
        <f>+VLOOKUP($A48,'datos9-2014'!$A$2:$BE$78,7,FALSE)</f>
        <v>0</v>
      </c>
      <c r="I48" s="30">
        <f>+VLOOKUP($A48,'datos9-2014'!$A$2:$BE$78,8,FALSE)</f>
        <v>159300.21</v>
      </c>
      <c r="J48" s="30">
        <f>+VLOOKUP($A48,'datos9-2014'!$A$2:$BE$78,9,FALSE)</f>
        <v>0</v>
      </c>
      <c r="K48" s="30">
        <f>+VLOOKUP($A48,'datos9-2014'!$A$2:$BE$78,10,FALSE)</f>
        <v>39782.03</v>
      </c>
      <c r="L48" s="20">
        <f t="shared" si="0"/>
        <v>1928106.84</v>
      </c>
    </row>
    <row r="49" spans="1:12" x14ac:dyDescent="0.2">
      <c r="A49" s="18" t="s">
        <v>101</v>
      </c>
      <c r="B49" s="19"/>
      <c r="C49" s="30">
        <f>+VLOOKUP($A49,'datos9-2014'!$A$2:$BE$78,2,FALSE)</f>
        <v>0</v>
      </c>
      <c r="D49" s="30">
        <f>+VLOOKUP($A49,'datos9-2014'!$A$2:$BE$78,3,FALSE)</f>
        <v>29861.68</v>
      </c>
      <c r="E49" s="30">
        <f>+VLOOKUP($A49,'datos9-2014'!$A$2:$BE$78,4,FALSE)</f>
        <v>0</v>
      </c>
      <c r="F49" s="30">
        <f>+VLOOKUP($A49,'datos9-2014'!$A$2:$BE$78,5,FALSE)</f>
        <v>424291.66</v>
      </c>
      <c r="G49" s="30">
        <f>+VLOOKUP($A49,'datos9-2014'!$A$2:$BE$78,6,FALSE)</f>
        <v>0</v>
      </c>
      <c r="H49" s="30">
        <f>+VLOOKUP($A49,'datos9-2014'!$A$2:$BE$78,7,FALSE)</f>
        <v>0</v>
      </c>
      <c r="I49" s="30">
        <f>+VLOOKUP($A49,'datos9-2014'!$A$2:$BE$78,8,FALSE)</f>
        <v>664631.36</v>
      </c>
      <c r="J49" s="30">
        <f>+VLOOKUP($A49,'datos9-2014'!$A$2:$BE$78,9,FALSE)</f>
        <v>47695.57</v>
      </c>
      <c r="K49" s="30">
        <f>+VLOOKUP($A49,'datos9-2014'!$A$2:$BE$78,10,FALSE)</f>
        <v>1218.18</v>
      </c>
      <c r="L49" s="20">
        <f t="shared" si="0"/>
        <v>1167698.45</v>
      </c>
    </row>
    <row r="50" spans="1:12" x14ac:dyDescent="0.2">
      <c r="A50" s="18" t="s">
        <v>102</v>
      </c>
      <c r="B50" s="19"/>
      <c r="C50" s="30">
        <f>+VLOOKUP($A50,'datos9-2014'!$A$2:$BE$78,2,FALSE)</f>
        <v>1606250</v>
      </c>
      <c r="D50" s="30">
        <f>+VLOOKUP($A50,'datos9-2014'!$A$2:$BE$78,3,FALSE)</f>
        <v>0</v>
      </c>
      <c r="E50" s="30">
        <f>+VLOOKUP($A50,'datos9-2014'!$A$2:$BE$78,4,FALSE)</f>
        <v>0</v>
      </c>
      <c r="F50" s="30">
        <f>+VLOOKUP($A50,'datos9-2014'!$A$2:$BE$78,5,FALSE)</f>
        <v>3965807.57638</v>
      </c>
      <c r="G50" s="30">
        <f>+VLOOKUP($A50,'datos9-2014'!$A$2:$BE$78,6,FALSE)</f>
        <v>0</v>
      </c>
      <c r="H50" s="30">
        <f>+VLOOKUP($A50,'datos9-2014'!$A$2:$BE$78,7,FALSE)</f>
        <v>1967500.5536199999</v>
      </c>
      <c r="I50" s="30">
        <f>+VLOOKUP($A50,'datos9-2014'!$A$2:$BE$78,8,FALSE)</f>
        <v>0</v>
      </c>
      <c r="J50" s="30">
        <f>+VLOOKUP($A50,'datos9-2014'!$A$2:$BE$78,9,FALSE)</f>
        <v>0</v>
      </c>
      <c r="K50" s="30">
        <f>+VLOOKUP($A50,'datos9-2014'!$A$2:$BE$78,10,FALSE)</f>
        <v>0</v>
      </c>
      <c r="L50" s="20">
        <f t="shared" si="0"/>
        <v>7539558.129999999</v>
      </c>
    </row>
    <row r="51" spans="1:12" x14ac:dyDescent="0.2">
      <c r="A51" s="18" t="s">
        <v>103</v>
      </c>
      <c r="B51" s="19"/>
      <c r="C51" s="30">
        <f>+VLOOKUP($A51,'datos9-2014'!$A$2:$BE$78,2,FALSE)</f>
        <v>0</v>
      </c>
      <c r="D51" s="30">
        <f>+VLOOKUP($A51,'datos9-2014'!$A$2:$BE$78,3,FALSE)</f>
        <v>0</v>
      </c>
      <c r="E51" s="30">
        <f>+VLOOKUP($A51,'datos9-2014'!$A$2:$BE$78,4,FALSE)</f>
        <v>1926.5</v>
      </c>
      <c r="F51" s="30">
        <f>+VLOOKUP($A51,'datos9-2014'!$A$2:$BE$78,5,FALSE)</f>
        <v>2491719.4500000002</v>
      </c>
      <c r="G51" s="30">
        <f>+VLOOKUP($A51,'datos9-2014'!$A$2:$BE$78,6,FALSE)</f>
        <v>0</v>
      </c>
      <c r="H51" s="30">
        <f>+VLOOKUP($A51,'datos9-2014'!$A$2:$BE$78,7,FALSE)</f>
        <v>0</v>
      </c>
      <c r="I51" s="30">
        <f>+VLOOKUP($A51,'datos9-2014'!$A$2:$BE$78,8,FALSE)</f>
        <v>99816.21</v>
      </c>
      <c r="J51" s="30">
        <f>+VLOOKUP($A51,'datos9-2014'!$A$2:$BE$78,9,FALSE)</f>
        <v>21652</v>
      </c>
      <c r="K51" s="30">
        <f>+VLOOKUP($A51,'datos9-2014'!$A$2:$BE$78,10,FALSE)</f>
        <v>15547.56</v>
      </c>
      <c r="L51" s="20">
        <f t="shared" si="0"/>
        <v>2630661.7200000002</v>
      </c>
    </row>
    <row r="52" spans="1:12" x14ac:dyDescent="0.2">
      <c r="A52" s="18" t="s">
        <v>104</v>
      </c>
      <c r="B52" s="19"/>
      <c r="C52" s="30">
        <f>+VLOOKUP($A52,'datos9-2014'!$A$2:$BE$78,2,FALSE)</f>
        <v>0</v>
      </c>
      <c r="D52" s="30">
        <f>+VLOOKUP($A52,'datos9-2014'!$A$2:$BE$78,3,FALSE)</f>
        <v>0</v>
      </c>
      <c r="E52" s="30">
        <f>+VLOOKUP($A52,'datos9-2014'!$A$2:$BE$78,4,FALSE)</f>
        <v>0</v>
      </c>
      <c r="F52" s="30">
        <f>+VLOOKUP($A52,'datos9-2014'!$A$2:$BE$78,5,FALSE)</f>
        <v>18382.79</v>
      </c>
      <c r="G52" s="30">
        <f>+VLOOKUP($A52,'datos9-2014'!$A$2:$BE$78,6,FALSE)</f>
        <v>0</v>
      </c>
      <c r="H52" s="30">
        <f>+VLOOKUP($A52,'datos9-2014'!$A$2:$BE$78,7,FALSE)</f>
        <v>112706.42</v>
      </c>
      <c r="I52" s="30">
        <f>+VLOOKUP($A52,'datos9-2014'!$A$2:$BE$78,8,FALSE)</f>
        <v>623.21</v>
      </c>
      <c r="J52" s="30">
        <f>+VLOOKUP($A52,'datos9-2014'!$A$2:$BE$78,9,FALSE)</f>
        <v>230721.02</v>
      </c>
      <c r="K52" s="30">
        <f>+VLOOKUP($A52,'datos9-2014'!$A$2:$BE$78,10,FALSE)</f>
        <v>7.77</v>
      </c>
      <c r="L52" s="20">
        <f t="shared" si="0"/>
        <v>362441.20999999996</v>
      </c>
    </row>
    <row r="53" spans="1:12" x14ac:dyDescent="0.2">
      <c r="A53" s="18" t="s">
        <v>105</v>
      </c>
      <c r="B53" s="19"/>
      <c r="C53" s="30">
        <f>+VLOOKUP($A53,'datos9-2014'!$A$2:$BE$78,2,FALSE)</f>
        <v>0</v>
      </c>
      <c r="D53" s="30">
        <f>+VLOOKUP($A53,'datos9-2014'!$A$2:$BE$78,3,FALSE)</f>
        <v>4674.46</v>
      </c>
      <c r="E53" s="30">
        <f>+VLOOKUP($A53,'datos9-2014'!$A$2:$BE$78,4,FALSE)</f>
        <v>0</v>
      </c>
      <c r="F53" s="30">
        <f>+VLOOKUP($A53,'datos9-2014'!$A$2:$BE$78,5,FALSE)</f>
        <v>2842987.04</v>
      </c>
      <c r="G53" s="30">
        <f>+VLOOKUP($A53,'datos9-2014'!$A$2:$BE$78,6,FALSE)</f>
        <v>0</v>
      </c>
      <c r="H53" s="30">
        <f>+VLOOKUP($A53,'datos9-2014'!$A$2:$BE$78,7,FALSE)</f>
        <v>35000</v>
      </c>
      <c r="I53" s="30">
        <f>+VLOOKUP($A53,'datos9-2014'!$A$2:$BE$78,8,FALSE)</f>
        <v>589018.18999999994</v>
      </c>
      <c r="J53" s="30">
        <f>+VLOOKUP($A53,'datos9-2014'!$A$2:$BE$78,9,FALSE)</f>
        <v>401881.24</v>
      </c>
      <c r="K53" s="30">
        <f>+VLOOKUP($A53,'datos9-2014'!$A$2:$BE$78,10,FALSE)</f>
        <v>32742.43</v>
      </c>
      <c r="L53" s="20">
        <f t="shared" si="0"/>
        <v>3906303.36</v>
      </c>
    </row>
    <row r="54" spans="1:12" x14ac:dyDescent="0.2">
      <c r="A54" s="18" t="s">
        <v>106</v>
      </c>
      <c r="B54" s="19"/>
      <c r="C54" s="30">
        <f>+VLOOKUP($A54,'datos9-2014'!$A$2:$BE$78,2,FALSE)</f>
        <v>0</v>
      </c>
      <c r="D54" s="30">
        <f>+VLOOKUP($A54,'datos9-2014'!$A$2:$BE$78,3,FALSE)</f>
        <v>0</v>
      </c>
      <c r="E54" s="30">
        <f>+VLOOKUP($A54,'datos9-2014'!$A$2:$BE$78,4,FALSE)</f>
        <v>0</v>
      </c>
      <c r="F54" s="30">
        <f>+VLOOKUP($A54,'datos9-2014'!$A$2:$BE$78,5,FALSE)</f>
        <v>598479.1</v>
      </c>
      <c r="G54" s="30">
        <f>+VLOOKUP($A54,'datos9-2014'!$A$2:$BE$78,6,FALSE)</f>
        <v>0</v>
      </c>
      <c r="H54" s="30">
        <f>+VLOOKUP($A54,'datos9-2014'!$A$2:$BE$78,7,FALSE)</f>
        <v>735910.69</v>
      </c>
      <c r="I54" s="30">
        <f>+VLOOKUP($A54,'datos9-2014'!$A$2:$BE$78,8,FALSE)</f>
        <v>7907.67</v>
      </c>
      <c r="J54" s="30">
        <f>+VLOOKUP($A54,'datos9-2014'!$A$2:$BE$78,9,FALSE)</f>
        <v>5112.1000000000004</v>
      </c>
      <c r="K54" s="30">
        <f>+VLOOKUP($A54,'datos9-2014'!$A$2:$BE$78,10,FALSE)</f>
        <v>38559.599999999999</v>
      </c>
      <c r="L54" s="20">
        <f t="shared" si="0"/>
        <v>1385969.1600000001</v>
      </c>
    </row>
    <row r="55" spans="1:12" x14ac:dyDescent="0.2">
      <c r="A55" s="18" t="s">
        <v>107</v>
      </c>
      <c r="B55" s="19"/>
      <c r="C55" s="30">
        <f>+VLOOKUP($A55,'datos9-2014'!$A$2:$BE$78,2,FALSE)</f>
        <v>28082.21</v>
      </c>
      <c r="D55" s="30">
        <f>+VLOOKUP($A55,'datos9-2014'!$A$2:$BE$78,3,FALSE)</f>
        <v>0</v>
      </c>
      <c r="E55" s="30">
        <f>+VLOOKUP($A55,'datos9-2014'!$A$2:$BE$78,4,FALSE)</f>
        <v>0</v>
      </c>
      <c r="F55" s="30">
        <f>+VLOOKUP($A55,'datos9-2014'!$A$2:$BE$78,5,FALSE)</f>
        <v>1916450.13</v>
      </c>
      <c r="G55" s="30">
        <f>+VLOOKUP($A55,'datos9-2014'!$A$2:$BE$78,6,FALSE)</f>
        <v>0</v>
      </c>
      <c r="H55" s="30">
        <f>+VLOOKUP($A55,'datos9-2014'!$A$2:$BE$78,7,FALSE)</f>
        <v>269553.08</v>
      </c>
      <c r="I55" s="30">
        <f>+VLOOKUP($A55,'datos9-2014'!$A$2:$BE$78,8,FALSE)</f>
        <v>1033465.28</v>
      </c>
      <c r="J55" s="30">
        <f>+VLOOKUP($A55,'datos9-2014'!$A$2:$BE$78,9,FALSE)</f>
        <v>111854.05</v>
      </c>
      <c r="K55" s="30">
        <f>+VLOOKUP($A55,'datos9-2014'!$A$2:$BE$78,10,FALSE)</f>
        <v>8852.24</v>
      </c>
      <c r="L55" s="20">
        <f t="shared" si="0"/>
        <v>3368256.99</v>
      </c>
    </row>
    <row r="56" spans="1:12" x14ac:dyDescent="0.2">
      <c r="A56" s="18" t="s">
        <v>108</v>
      </c>
      <c r="B56" s="19"/>
      <c r="C56" s="30">
        <f>+VLOOKUP($A56,'datos9-2014'!$A$2:$BE$78,2,FALSE)</f>
        <v>0</v>
      </c>
      <c r="D56" s="30">
        <f>+VLOOKUP($A56,'datos9-2014'!$A$2:$BE$78,3,FALSE)</f>
        <v>0</v>
      </c>
      <c r="E56" s="30">
        <f>+VLOOKUP($A56,'datos9-2014'!$A$2:$BE$78,4,FALSE)</f>
        <v>0</v>
      </c>
      <c r="F56" s="30">
        <f>+VLOOKUP($A56,'datos9-2014'!$A$2:$BE$78,5,FALSE)</f>
        <v>54464.27</v>
      </c>
      <c r="G56" s="30">
        <f>+VLOOKUP($A56,'datos9-2014'!$A$2:$BE$78,6,FALSE)</f>
        <v>0</v>
      </c>
      <c r="H56" s="30">
        <f>+VLOOKUP($A56,'datos9-2014'!$A$2:$BE$78,7,FALSE)</f>
        <v>1653020.72</v>
      </c>
      <c r="I56" s="30">
        <f>+VLOOKUP($A56,'datos9-2014'!$A$2:$BE$78,8,FALSE)</f>
        <v>142221.82</v>
      </c>
      <c r="J56" s="30">
        <f>+VLOOKUP($A56,'datos9-2014'!$A$2:$BE$78,9,FALSE)</f>
        <v>35232.47</v>
      </c>
      <c r="K56" s="30">
        <f>+VLOOKUP($A56,'datos9-2014'!$A$2:$BE$78,10,FALSE)</f>
        <v>7948.86</v>
      </c>
      <c r="L56" s="20">
        <f t="shared" si="0"/>
        <v>1892888.1400000001</v>
      </c>
    </row>
    <row r="57" spans="1:12" x14ac:dyDescent="0.2">
      <c r="A57" s="18" t="s">
        <v>109</v>
      </c>
      <c r="B57" s="19"/>
      <c r="C57" s="30">
        <f>+VLOOKUP($A57,'datos9-2014'!$A$2:$BE$78,2,FALSE)</f>
        <v>27405</v>
      </c>
      <c r="D57" s="30">
        <f>+VLOOKUP($A57,'datos9-2014'!$A$2:$BE$78,3,FALSE)</f>
        <v>0</v>
      </c>
      <c r="E57" s="30">
        <f>+VLOOKUP($A57,'datos9-2014'!$A$2:$BE$78,4,FALSE)</f>
        <v>14281</v>
      </c>
      <c r="F57" s="30">
        <f>+VLOOKUP($A57,'datos9-2014'!$A$2:$BE$78,5,FALSE)</f>
        <v>5464755</v>
      </c>
      <c r="G57" s="30">
        <f>+VLOOKUP($A57,'datos9-2014'!$A$2:$BE$78,6,FALSE)</f>
        <v>0</v>
      </c>
      <c r="H57" s="30">
        <f>+VLOOKUP($A57,'datos9-2014'!$A$2:$BE$78,7,FALSE)</f>
        <v>36415</v>
      </c>
      <c r="I57" s="30">
        <f>+VLOOKUP($A57,'datos9-2014'!$A$2:$BE$78,8,FALSE)</f>
        <v>27395470</v>
      </c>
      <c r="J57" s="30">
        <f>+VLOOKUP($A57,'datos9-2014'!$A$2:$BE$78,9,FALSE)</f>
        <v>8891727</v>
      </c>
      <c r="K57" s="30">
        <f>+VLOOKUP($A57,'datos9-2014'!$A$2:$BE$78,10,FALSE)</f>
        <v>1313265</v>
      </c>
      <c r="L57" s="20">
        <f t="shared" si="0"/>
        <v>43143318</v>
      </c>
    </row>
    <row r="58" spans="1:12" x14ac:dyDescent="0.2">
      <c r="A58" s="18" t="s">
        <v>110</v>
      </c>
      <c r="B58" s="19"/>
      <c r="C58" s="30">
        <f>+VLOOKUP($A58,'datos9-2014'!$A$2:$BE$78,2,FALSE)</f>
        <v>0</v>
      </c>
      <c r="D58" s="30">
        <f>+VLOOKUP($A58,'datos9-2014'!$A$2:$BE$78,3,FALSE)</f>
        <v>14408</v>
      </c>
      <c r="E58" s="30">
        <f>+VLOOKUP($A58,'datos9-2014'!$A$2:$BE$78,4,FALSE)</f>
        <v>0</v>
      </c>
      <c r="F58" s="30">
        <f>+VLOOKUP($A58,'datos9-2014'!$A$2:$BE$78,5,FALSE)</f>
        <v>8666752</v>
      </c>
      <c r="G58" s="30">
        <f>+VLOOKUP($A58,'datos9-2014'!$A$2:$BE$78,6,FALSE)</f>
        <v>0</v>
      </c>
      <c r="H58" s="30">
        <f>+VLOOKUP($A58,'datos9-2014'!$A$2:$BE$78,7,FALSE)</f>
        <v>0</v>
      </c>
      <c r="I58" s="30">
        <f>+VLOOKUP($A58,'datos9-2014'!$A$2:$BE$78,8,FALSE)</f>
        <v>151509</v>
      </c>
      <c r="J58" s="30">
        <f>+VLOOKUP($A58,'datos9-2014'!$A$2:$BE$78,9,FALSE)</f>
        <v>0</v>
      </c>
      <c r="K58" s="30">
        <f>+VLOOKUP($A58,'datos9-2014'!$A$2:$BE$78,10,FALSE)</f>
        <v>-2412</v>
      </c>
      <c r="L58" s="20">
        <f t="shared" si="0"/>
        <v>8830257</v>
      </c>
    </row>
    <row r="59" spans="1:12" x14ac:dyDescent="0.2">
      <c r="A59" s="18" t="s">
        <v>111</v>
      </c>
      <c r="B59" s="19"/>
      <c r="C59" s="30">
        <f>+VLOOKUP($A59,'datos9-2014'!$A$2:$BE$78,2,FALSE)</f>
        <v>0</v>
      </c>
      <c r="D59" s="30">
        <f>+VLOOKUP($A59,'datos9-2014'!$A$2:$BE$78,3,FALSE)</f>
        <v>125996.09</v>
      </c>
      <c r="E59" s="30">
        <f>+VLOOKUP($A59,'datos9-2014'!$A$2:$BE$78,4,FALSE)</f>
        <v>53501.4</v>
      </c>
      <c r="F59" s="30">
        <f>+VLOOKUP($A59,'datos9-2014'!$A$2:$BE$78,5,FALSE)</f>
        <v>12906054.640000001</v>
      </c>
      <c r="G59" s="30">
        <f>+VLOOKUP($A59,'datos9-2014'!$A$2:$BE$78,6,FALSE)</f>
        <v>0</v>
      </c>
      <c r="H59" s="30">
        <f>+VLOOKUP($A59,'datos9-2014'!$A$2:$BE$78,7,FALSE)</f>
        <v>823603.06</v>
      </c>
      <c r="I59" s="30">
        <f>+VLOOKUP($A59,'datos9-2014'!$A$2:$BE$78,8,FALSE)</f>
        <v>1105410.18</v>
      </c>
      <c r="J59" s="30">
        <f>+VLOOKUP($A59,'datos9-2014'!$A$2:$BE$78,9,FALSE)</f>
        <v>601997.97</v>
      </c>
      <c r="K59" s="30">
        <f>+VLOOKUP($A59,'datos9-2014'!$A$2:$BE$78,10,FALSE)</f>
        <v>436485.89</v>
      </c>
      <c r="L59" s="20">
        <f t="shared" si="0"/>
        <v>16053049.230000002</v>
      </c>
    </row>
    <row r="60" spans="1:12" x14ac:dyDescent="0.2">
      <c r="A60" s="18" t="s">
        <v>112</v>
      </c>
      <c r="B60" s="19"/>
      <c r="C60" s="30">
        <f>+VLOOKUP($A60,'datos9-2014'!$A$2:$BE$78,2,FALSE)</f>
        <v>0</v>
      </c>
      <c r="D60" s="30">
        <f>+VLOOKUP($A60,'datos9-2014'!$A$2:$BE$78,3,FALSE)</f>
        <v>0</v>
      </c>
      <c r="E60" s="30">
        <f>+VLOOKUP($A60,'datos9-2014'!$A$2:$BE$78,4,FALSE)</f>
        <v>0</v>
      </c>
      <c r="F60" s="30">
        <f>+VLOOKUP($A60,'datos9-2014'!$A$2:$BE$78,5,FALSE)</f>
        <v>0</v>
      </c>
      <c r="G60" s="30">
        <f>+VLOOKUP($A60,'datos9-2014'!$A$2:$BE$78,6,FALSE)</f>
        <v>0</v>
      </c>
      <c r="H60" s="30">
        <f>+VLOOKUP($A60,'datos9-2014'!$A$2:$BE$78,7,FALSE)</f>
        <v>0</v>
      </c>
      <c r="I60" s="30">
        <f>+VLOOKUP($A60,'datos9-2014'!$A$2:$BE$78,8,FALSE)</f>
        <v>596411.21</v>
      </c>
      <c r="J60" s="30">
        <f>+VLOOKUP($A60,'datos9-2014'!$A$2:$BE$78,9,FALSE)</f>
        <v>0</v>
      </c>
      <c r="K60" s="30">
        <f>+VLOOKUP($A60,'datos9-2014'!$A$2:$BE$78,10,FALSE)</f>
        <v>0</v>
      </c>
      <c r="L60" s="20">
        <f t="shared" si="0"/>
        <v>596411.21</v>
      </c>
    </row>
    <row r="61" spans="1:12" x14ac:dyDescent="0.2">
      <c r="A61" s="18" t="s">
        <v>113</v>
      </c>
      <c r="B61" s="19"/>
      <c r="C61" s="30">
        <f>+VLOOKUP($A61,'datos9-2014'!$A$2:$BE$78,2,FALSE)</f>
        <v>0</v>
      </c>
      <c r="D61" s="30">
        <f>+VLOOKUP($A61,'datos9-2014'!$A$2:$BE$78,3,FALSE)</f>
        <v>0</v>
      </c>
      <c r="E61" s="30">
        <f>+VLOOKUP($A61,'datos9-2014'!$A$2:$BE$78,4,FALSE)</f>
        <v>0</v>
      </c>
      <c r="F61" s="30">
        <f>+VLOOKUP($A61,'datos9-2014'!$A$2:$BE$78,5,FALSE)</f>
        <v>79121.899999999994</v>
      </c>
      <c r="G61" s="30">
        <f>+VLOOKUP($A61,'datos9-2014'!$A$2:$BE$78,6,FALSE)</f>
        <v>0</v>
      </c>
      <c r="H61" s="30">
        <f>+VLOOKUP($A61,'datos9-2014'!$A$2:$BE$78,7,FALSE)</f>
        <v>44098.94</v>
      </c>
      <c r="I61" s="30">
        <f>+VLOOKUP($A61,'datos9-2014'!$A$2:$BE$78,8,FALSE)</f>
        <v>0</v>
      </c>
      <c r="J61" s="30">
        <f>+VLOOKUP($A61,'datos9-2014'!$A$2:$BE$78,9,FALSE)</f>
        <v>41255.269999999997</v>
      </c>
      <c r="K61" s="30">
        <f>+VLOOKUP($A61,'datos9-2014'!$A$2:$BE$78,10,FALSE)</f>
        <v>61.43</v>
      </c>
      <c r="L61" s="20">
        <f t="shared" si="0"/>
        <v>164537.53999999998</v>
      </c>
    </row>
    <row r="62" spans="1:12" x14ac:dyDescent="0.2">
      <c r="A62" s="18" t="s">
        <v>114</v>
      </c>
      <c r="B62" s="19"/>
      <c r="C62" s="30">
        <f>+VLOOKUP($A62,'datos9-2014'!$A$2:$BE$78,2,FALSE)</f>
        <v>0</v>
      </c>
      <c r="D62" s="30">
        <f>+VLOOKUP($A62,'datos9-2014'!$A$2:$BE$78,3,FALSE)</f>
        <v>0</v>
      </c>
      <c r="E62" s="30">
        <f>+VLOOKUP($A62,'datos9-2014'!$A$2:$BE$78,4,FALSE)</f>
        <v>0</v>
      </c>
      <c r="F62" s="30">
        <f>+VLOOKUP($A62,'datos9-2014'!$A$2:$BE$78,5,FALSE)</f>
        <v>4525927.58</v>
      </c>
      <c r="G62" s="30">
        <f>+VLOOKUP($A62,'datos9-2014'!$A$2:$BE$78,6,FALSE)</f>
        <v>161758.41</v>
      </c>
      <c r="H62" s="30">
        <f>+VLOOKUP($A62,'datos9-2014'!$A$2:$BE$78,7,FALSE)</f>
        <v>3654.98</v>
      </c>
      <c r="I62" s="30">
        <f>+VLOOKUP($A62,'datos9-2014'!$A$2:$BE$78,8,FALSE)</f>
        <v>12187.54</v>
      </c>
      <c r="J62" s="30">
        <f>+VLOOKUP($A62,'datos9-2014'!$A$2:$BE$78,9,FALSE)</f>
        <v>0</v>
      </c>
      <c r="K62" s="30">
        <f>+VLOOKUP($A62,'datos9-2014'!$A$2:$BE$78,10,FALSE)</f>
        <v>0</v>
      </c>
      <c r="L62" s="20">
        <f t="shared" si="0"/>
        <v>4703528.5100000007</v>
      </c>
    </row>
    <row r="63" spans="1:12" x14ac:dyDescent="0.2">
      <c r="A63" s="18" t="s">
        <v>115</v>
      </c>
      <c r="B63" s="19"/>
      <c r="C63" s="30">
        <f>+VLOOKUP($A63,'datos9-2014'!$A$2:$BE$78,2,FALSE)</f>
        <v>0</v>
      </c>
      <c r="D63" s="30">
        <f>+VLOOKUP($A63,'datos9-2014'!$A$2:$BE$78,3,FALSE)</f>
        <v>0</v>
      </c>
      <c r="E63" s="30">
        <f>+VLOOKUP($A63,'datos9-2014'!$A$2:$BE$78,4,FALSE)</f>
        <v>0</v>
      </c>
      <c r="F63" s="30">
        <f>+VLOOKUP($A63,'datos9-2014'!$A$2:$BE$78,5,FALSE)</f>
        <v>1946670.11</v>
      </c>
      <c r="G63" s="30">
        <f>+VLOOKUP($A63,'datos9-2014'!$A$2:$BE$78,6,FALSE)</f>
        <v>0</v>
      </c>
      <c r="H63" s="30">
        <f>+VLOOKUP($A63,'datos9-2014'!$A$2:$BE$78,7,FALSE)</f>
        <v>0</v>
      </c>
      <c r="I63" s="30">
        <f>+VLOOKUP($A63,'datos9-2014'!$A$2:$BE$78,8,FALSE)</f>
        <v>54306.17</v>
      </c>
      <c r="J63" s="30">
        <f>+VLOOKUP($A63,'datos9-2014'!$A$2:$BE$78,9,FALSE)</f>
        <v>8228</v>
      </c>
      <c r="K63" s="30">
        <f>+VLOOKUP($A63,'datos9-2014'!$A$2:$BE$78,10,FALSE)</f>
        <v>0</v>
      </c>
      <c r="L63" s="20">
        <f t="shared" si="0"/>
        <v>2009204.28</v>
      </c>
    </row>
    <row r="64" spans="1:12" x14ac:dyDescent="0.2">
      <c r="A64" s="18" t="s">
        <v>116</v>
      </c>
      <c r="B64" s="19"/>
      <c r="C64" s="30">
        <f>+VLOOKUP($A64,'datos9-2014'!$A$2:$BE$78,2,FALSE)</f>
        <v>0</v>
      </c>
      <c r="D64" s="30">
        <f>+VLOOKUP($A64,'datos9-2014'!$A$2:$BE$78,3,FALSE)</f>
        <v>6078</v>
      </c>
      <c r="E64" s="30">
        <f>+VLOOKUP($A64,'datos9-2014'!$A$2:$BE$78,4,FALSE)</f>
        <v>0</v>
      </c>
      <c r="F64" s="30">
        <f>+VLOOKUP($A64,'datos9-2014'!$A$2:$BE$78,5,FALSE)</f>
        <v>4388695</v>
      </c>
      <c r="G64" s="30">
        <f>+VLOOKUP($A64,'datos9-2014'!$A$2:$BE$78,6,FALSE)</f>
        <v>0</v>
      </c>
      <c r="H64" s="30">
        <f>+VLOOKUP($A64,'datos9-2014'!$A$2:$BE$78,7,FALSE)</f>
        <v>407043</v>
      </c>
      <c r="I64" s="30">
        <f>+VLOOKUP($A64,'datos9-2014'!$A$2:$BE$78,8,FALSE)</f>
        <v>0</v>
      </c>
      <c r="J64" s="30">
        <f>+VLOOKUP($A64,'datos9-2014'!$A$2:$BE$78,9,FALSE)</f>
        <v>94413</v>
      </c>
      <c r="K64" s="30">
        <f>+VLOOKUP($A64,'datos9-2014'!$A$2:$BE$78,10,FALSE)</f>
        <v>15416</v>
      </c>
      <c r="L64" s="20">
        <f t="shared" si="0"/>
        <v>4911645</v>
      </c>
    </row>
    <row r="65" spans="1:12" x14ac:dyDescent="0.2">
      <c r="A65" s="18" t="s">
        <v>117</v>
      </c>
      <c r="B65" s="19"/>
      <c r="C65" s="30">
        <f>+VLOOKUP($A65,'datos9-2014'!$A$2:$BE$78,2,FALSE)</f>
        <v>0</v>
      </c>
      <c r="D65" s="30">
        <f>+VLOOKUP($A65,'datos9-2014'!$A$2:$BE$78,3,FALSE)</f>
        <v>4657</v>
      </c>
      <c r="E65" s="30">
        <f>+VLOOKUP($A65,'datos9-2014'!$A$2:$BE$78,4,FALSE)</f>
        <v>0</v>
      </c>
      <c r="F65" s="30">
        <f>+VLOOKUP($A65,'datos9-2014'!$A$2:$BE$78,5,FALSE)</f>
        <v>0</v>
      </c>
      <c r="G65" s="30">
        <f>+VLOOKUP($A65,'datos9-2014'!$A$2:$BE$78,6,FALSE)</f>
        <v>0</v>
      </c>
      <c r="H65" s="30">
        <f>+VLOOKUP($A65,'datos9-2014'!$A$2:$BE$78,7,FALSE)</f>
        <v>0</v>
      </c>
      <c r="I65" s="30">
        <f>+VLOOKUP($A65,'datos9-2014'!$A$2:$BE$78,8,FALSE)</f>
        <v>104437</v>
      </c>
      <c r="J65" s="30">
        <f>+VLOOKUP($A65,'datos9-2014'!$A$2:$BE$78,9,FALSE)</f>
        <v>33699</v>
      </c>
      <c r="K65" s="30">
        <f>+VLOOKUP($A65,'datos9-2014'!$A$2:$BE$78,10,FALSE)</f>
        <v>285</v>
      </c>
      <c r="L65" s="20">
        <f t="shared" si="0"/>
        <v>143078</v>
      </c>
    </row>
    <row r="66" spans="1:12" x14ac:dyDescent="0.2">
      <c r="A66" s="18" t="s">
        <v>118</v>
      </c>
      <c r="B66" s="19"/>
      <c r="C66" s="30">
        <f>+VLOOKUP($A66,'datos9-2014'!$A$2:$BE$78,2,FALSE)</f>
        <v>0</v>
      </c>
      <c r="D66" s="30">
        <f>+VLOOKUP($A66,'datos9-2014'!$A$2:$BE$78,3,FALSE)</f>
        <v>15178</v>
      </c>
      <c r="E66" s="30">
        <f>+VLOOKUP($A66,'datos9-2014'!$A$2:$BE$78,4,FALSE)</f>
        <v>6430.29</v>
      </c>
      <c r="F66" s="30">
        <f>+VLOOKUP($A66,'datos9-2014'!$A$2:$BE$78,5,FALSE)</f>
        <v>2412742.15</v>
      </c>
      <c r="G66" s="30">
        <f>+VLOOKUP($A66,'datos9-2014'!$A$2:$BE$78,6,FALSE)</f>
        <v>18250</v>
      </c>
      <c r="H66" s="30">
        <f>+VLOOKUP($A66,'datos9-2014'!$A$2:$BE$78,7,FALSE)</f>
        <v>168973.31</v>
      </c>
      <c r="I66" s="30">
        <f>+VLOOKUP($A66,'datos9-2014'!$A$2:$BE$78,8,FALSE)</f>
        <v>116261.91</v>
      </c>
      <c r="J66" s="30">
        <f>+VLOOKUP($A66,'datos9-2014'!$A$2:$BE$78,9,FALSE)</f>
        <v>172202.04</v>
      </c>
      <c r="K66" s="30">
        <f>+VLOOKUP($A66,'datos9-2014'!$A$2:$BE$78,10,FALSE)</f>
        <v>65038.76</v>
      </c>
      <c r="L66" s="20">
        <f t="shared" si="0"/>
        <v>2975076.46</v>
      </c>
    </row>
    <row r="67" spans="1:12" x14ac:dyDescent="0.2">
      <c r="A67" s="18" t="s">
        <v>119</v>
      </c>
      <c r="B67" s="19"/>
      <c r="C67" s="30">
        <f>+VLOOKUP($A67,'datos9-2014'!$A$2:$BE$78,2,FALSE)</f>
        <v>277000</v>
      </c>
      <c r="D67" s="30">
        <f>+VLOOKUP($A67,'datos9-2014'!$A$2:$BE$78,3,FALSE)</f>
        <v>5676000</v>
      </c>
      <c r="E67" s="30">
        <f>+VLOOKUP($A67,'datos9-2014'!$A$2:$BE$78,4,FALSE)</f>
        <v>0</v>
      </c>
      <c r="F67" s="30">
        <f>+VLOOKUP($A67,'datos9-2014'!$A$2:$BE$78,5,FALSE)</f>
        <v>30488000</v>
      </c>
      <c r="G67" s="30">
        <f>+VLOOKUP($A67,'datos9-2014'!$A$2:$BE$78,6,FALSE)</f>
        <v>0</v>
      </c>
      <c r="H67" s="30">
        <f>+VLOOKUP($A67,'datos9-2014'!$A$2:$BE$78,7,FALSE)</f>
        <v>7852000</v>
      </c>
      <c r="I67" s="30">
        <f>+VLOOKUP($A67,'datos9-2014'!$A$2:$BE$78,8,FALSE)</f>
        <v>2925000</v>
      </c>
      <c r="J67" s="30">
        <f>+VLOOKUP($A67,'datos9-2014'!$A$2:$BE$78,9,FALSE)</f>
        <v>32290000</v>
      </c>
      <c r="K67" s="30">
        <f>+VLOOKUP($A67,'datos9-2014'!$A$2:$BE$78,10,FALSE)</f>
        <v>2813000</v>
      </c>
      <c r="L67" s="20">
        <f t="shared" si="0"/>
        <v>82321000</v>
      </c>
    </row>
    <row r="68" spans="1:12" x14ac:dyDescent="0.2">
      <c r="A68" s="18" t="s">
        <v>120</v>
      </c>
      <c r="B68" s="19"/>
      <c r="C68" s="30">
        <f>+VLOOKUP($A68,'datos9-2014'!$A$2:$BE$78,2,FALSE)</f>
        <v>0</v>
      </c>
      <c r="D68" s="30">
        <f>+VLOOKUP($A68,'datos9-2014'!$A$2:$BE$78,3,FALSE)</f>
        <v>12733.76</v>
      </c>
      <c r="E68" s="30">
        <f>+VLOOKUP($A68,'datos9-2014'!$A$2:$BE$78,4,FALSE)</f>
        <v>0</v>
      </c>
      <c r="F68" s="30">
        <f>+VLOOKUP($A68,'datos9-2014'!$A$2:$BE$78,5,FALSE)</f>
        <v>668964.49</v>
      </c>
      <c r="G68" s="30">
        <f>+VLOOKUP($A68,'datos9-2014'!$A$2:$BE$78,6,FALSE)</f>
        <v>0</v>
      </c>
      <c r="H68" s="30">
        <f>+VLOOKUP($A68,'datos9-2014'!$A$2:$BE$78,7,FALSE)</f>
        <v>0</v>
      </c>
      <c r="I68" s="30">
        <f>+VLOOKUP($A68,'datos9-2014'!$A$2:$BE$78,8,FALSE)</f>
        <v>6800.45</v>
      </c>
      <c r="J68" s="30">
        <f>+VLOOKUP($A68,'datos9-2014'!$A$2:$BE$78,9,FALSE)</f>
        <v>6932.5</v>
      </c>
      <c r="K68" s="30">
        <f>+VLOOKUP($A68,'datos9-2014'!$A$2:$BE$78,10,FALSE)</f>
        <v>2209.34</v>
      </c>
      <c r="L68" s="20">
        <f t="shared" si="0"/>
        <v>697640.53999999992</v>
      </c>
    </row>
    <row r="69" spans="1:12" x14ac:dyDescent="0.2">
      <c r="A69" s="18" t="s">
        <v>121</v>
      </c>
      <c r="B69" s="19"/>
      <c r="C69" s="30">
        <f>+VLOOKUP($A69,'datos9-2014'!$A$2:$BE$78,2,FALSE)</f>
        <v>0</v>
      </c>
      <c r="D69" s="30">
        <f>+VLOOKUP($A69,'datos9-2014'!$A$2:$BE$78,3,FALSE)</f>
        <v>0</v>
      </c>
      <c r="E69" s="30">
        <f>+VLOOKUP($A69,'datos9-2014'!$A$2:$BE$78,4,FALSE)</f>
        <v>0</v>
      </c>
      <c r="F69" s="30">
        <f>+VLOOKUP($A69,'datos9-2014'!$A$2:$BE$78,5,FALSE)</f>
        <v>632850.39</v>
      </c>
      <c r="G69" s="30">
        <f>+VLOOKUP($A69,'datos9-2014'!$A$2:$BE$78,6,FALSE)</f>
        <v>0</v>
      </c>
      <c r="H69" s="30">
        <f>+VLOOKUP($A69,'datos9-2014'!$A$2:$BE$78,7,FALSE)</f>
        <v>286755.96000000002</v>
      </c>
      <c r="I69" s="30">
        <f>+VLOOKUP($A69,'datos9-2014'!$A$2:$BE$78,8,FALSE)</f>
        <v>0</v>
      </c>
      <c r="J69" s="30">
        <f>+VLOOKUP($A69,'datos9-2014'!$A$2:$BE$78,9,FALSE)</f>
        <v>11497053.77</v>
      </c>
      <c r="K69" s="30">
        <f>+VLOOKUP($A69,'datos9-2014'!$A$2:$BE$78,10,FALSE)</f>
        <v>5806.92</v>
      </c>
      <c r="L69" s="20">
        <f t="shared" si="0"/>
        <v>12422467.039999999</v>
      </c>
    </row>
    <row r="70" spans="1:12" x14ac:dyDescent="0.2">
      <c r="A70" s="18" t="s">
        <v>122</v>
      </c>
      <c r="B70" s="19"/>
      <c r="C70" s="30">
        <f>+VLOOKUP($A70,'datos9-2014'!$A$2:$BE$78,2,FALSE)</f>
        <v>0</v>
      </c>
      <c r="D70" s="30">
        <f>+VLOOKUP($A70,'datos9-2014'!$A$2:$BE$78,3,FALSE)</f>
        <v>2383.8000000000002</v>
      </c>
      <c r="E70" s="30">
        <f>+VLOOKUP($A70,'datos9-2014'!$A$2:$BE$78,4,FALSE)</f>
        <v>0</v>
      </c>
      <c r="F70" s="30">
        <f>+VLOOKUP($A70,'datos9-2014'!$A$2:$BE$78,5,FALSE)</f>
        <v>1566056.6</v>
      </c>
      <c r="G70" s="30">
        <f>+VLOOKUP($A70,'datos9-2014'!$A$2:$BE$78,6,FALSE)</f>
        <v>0</v>
      </c>
      <c r="H70" s="30">
        <f>+VLOOKUP($A70,'datos9-2014'!$A$2:$BE$78,7,FALSE)</f>
        <v>189640.95</v>
      </c>
      <c r="I70" s="30">
        <f>+VLOOKUP($A70,'datos9-2014'!$A$2:$BE$78,8,FALSE)</f>
        <v>57635.09</v>
      </c>
      <c r="J70" s="30">
        <f>+VLOOKUP($A70,'datos9-2014'!$A$2:$BE$78,9,FALSE)</f>
        <v>52077.42</v>
      </c>
      <c r="K70" s="30">
        <f>+VLOOKUP($A70,'datos9-2014'!$A$2:$BE$78,10,FALSE)</f>
        <v>23689.19</v>
      </c>
      <c r="L70" s="20">
        <f t="shared" si="0"/>
        <v>1891483.05</v>
      </c>
    </row>
    <row r="71" spans="1:12" x14ac:dyDescent="0.2">
      <c r="A71" s="18" t="s">
        <v>123</v>
      </c>
      <c r="B71" s="19"/>
      <c r="C71" s="30">
        <f>+VLOOKUP($A71,'datos9-2014'!$A$2:$BE$78,2,FALSE)</f>
        <v>0</v>
      </c>
      <c r="D71" s="30">
        <f>+VLOOKUP($A71,'datos9-2014'!$A$2:$BE$78,3,FALSE)</f>
        <v>88444</v>
      </c>
      <c r="E71" s="30">
        <f>+VLOOKUP($A71,'datos9-2014'!$A$2:$BE$78,4,FALSE)</f>
        <v>0</v>
      </c>
      <c r="F71" s="30">
        <f>+VLOOKUP($A71,'datos9-2014'!$A$2:$BE$78,5,FALSE)</f>
        <v>201825</v>
      </c>
      <c r="G71" s="30">
        <f>+VLOOKUP($A71,'datos9-2014'!$A$2:$BE$78,6,FALSE)</f>
        <v>0</v>
      </c>
      <c r="H71" s="30">
        <f>+VLOOKUP($A71,'datos9-2014'!$A$2:$BE$78,7,FALSE)</f>
        <v>0</v>
      </c>
      <c r="I71" s="30">
        <f>+VLOOKUP($A71,'datos9-2014'!$A$2:$BE$78,8,FALSE)</f>
        <v>1383084</v>
      </c>
      <c r="J71" s="30">
        <f>+VLOOKUP($A71,'datos9-2014'!$A$2:$BE$78,9,FALSE)</f>
        <v>170538</v>
      </c>
      <c r="K71" s="30">
        <f>+VLOOKUP($A71,'datos9-2014'!$A$2:$BE$78,10,FALSE)</f>
        <v>80386</v>
      </c>
      <c r="L71" s="20">
        <f t="shared" si="0"/>
        <v>1924277</v>
      </c>
    </row>
    <row r="72" spans="1:12" x14ac:dyDescent="0.2">
      <c r="A72" s="18" t="s">
        <v>124</v>
      </c>
      <c r="B72" s="19"/>
      <c r="C72" s="30">
        <f>+VLOOKUP($A72,'datos9-2014'!$A$2:$BE$78,2,FALSE)</f>
        <v>0</v>
      </c>
      <c r="D72" s="30">
        <f>+VLOOKUP($A72,'datos9-2014'!$A$2:$BE$78,3,FALSE)</f>
        <v>0</v>
      </c>
      <c r="E72" s="30">
        <f>+VLOOKUP($A72,'datos9-2014'!$A$2:$BE$78,4,FALSE)</f>
        <v>0</v>
      </c>
      <c r="F72" s="30">
        <f>+VLOOKUP($A72,'datos9-2014'!$A$2:$BE$78,5,FALSE)</f>
        <v>14742</v>
      </c>
      <c r="G72" s="30">
        <f>+VLOOKUP($A72,'datos9-2014'!$A$2:$BE$78,6,FALSE)</f>
        <v>0</v>
      </c>
      <c r="H72" s="30">
        <f>+VLOOKUP($A72,'datos9-2014'!$A$2:$BE$78,7,FALSE)</f>
        <v>0</v>
      </c>
      <c r="I72" s="30">
        <f>+VLOOKUP($A72,'datos9-2014'!$A$2:$BE$78,8,FALSE)</f>
        <v>0</v>
      </c>
      <c r="J72" s="30">
        <f>+VLOOKUP($A72,'datos9-2014'!$A$2:$BE$78,9,FALSE)</f>
        <v>15141.61</v>
      </c>
      <c r="K72" s="30">
        <f>+VLOOKUP($A72,'datos9-2014'!$A$2:$BE$78,10,FALSE)</f>
        <v>0</v>
      </c>
      <c r="L72" s="20">
        <f t="shared" ref="L72:L82" si="1">SUM(C72:K72)</f>
        <v>29883.61</v>
      </c>
    </row>
    <row r="73" spans="1:12" x14ac:dyDescent="0.2">
      <c r="A73" s="18" t="s">
        <v>125</v>
      </c>
      <c r="B73" s="19"/>
      <c r="C73" s="30">
        <f>+VLOOKUP($A73,'datos9-2014'!$A$2:$BE$78,2,FALSE)</f>
        <v>0</v>
      </c>
      <c r="D73" s="30">
        <f>+VLOOKUP($A73,'datos9-2014'!$A$2:$BE$78,3,FALSE)</f>
        <v>0</v>
      </c>
      <c r="E73" s="30">
        <f>+VLOOKUP($A73,'datos9-2014'!$A$2:$BE$78,4,FALSE)</f>
        <v>0</v>
      </c>
      <c r="F73" s="30">
        <f>+VLOOKUP($A73,'datos9-2014'!$A$2:$BE$78,5,FALSE)</f>
        <v>0</v>
      </c>
      <c r="G73" s="30">
        <f>+VLOOKUP($A73,'datos9-2014'!$A$2:$BE$78,6,FALSE)</f>
        <v>0</v>
      </c>
      <c r="H73" s="30">
        <f>+VLOOKUP($A73,'datos9-2014'!$A$2:$BE$78,7,FALSE)</f>
        <v>0</v>
      </c>
      <c r="I73" s="30">
        <f>+VLOOKUP($A73,'datos9-2014'!$A$2:$BE$78,8,FALSE)</f>
        <v>0</v>
      </c>
      <c r="J73" s="30">
        <f>+VLOOKUP($A73,'datos9-2014'!$A$2:$BE$78,9,FALSE)</f>
        <v>1160</v>
      </c>
      <c r="K73" s="30">
        <f>+VLOOKUP($A73,'datos9-2014'!$A$2:$BE$78,10,FALSE)</f>
        <v>0</v>
      </c>
      <c r="L73" s="20">
        <f t="shared" si="1"/>
        <v>1160</v>
      </c>
    </row>
    <row r="74" spans="1:12" x14ac:dyDescent="0.2">
      <c r="A74" s="18" t="s">
        <v>126</v>
      </c>
      <c r="B74" s="19"/>
      <c r="C74" s="30">
        <f>+VLOOKUP($A74,'datos9-2014'!$A$2:$BE$78,2,FALSE)</f>
        <v>0</v>
      </c>
      <c r="D74" s="30">
        <f>+VLOOKUP($A74,'datos9-2014'!$A$2:$BE$78,3,FALSE)</f>
        <v>2512.2199999999998</v>
      </c>
      <c r="E74" s="30">
        <f>+VLOOKUP($A74,'datos9-2014'!$A$2:$BE$78,4,FALSE)</f>
        <v>0</v>
      </c>
      <c r="F74" s="30">
        <f>+VLOOKUP($A74,'datos9-2014'!$A$2:$BE$78,5,FALSE)</f>
        <v>0</v>
      </c>
      <c r="G74" s="30">
        <f>+VLOOKUP($A74,'datos9-2014'!$A$2:$BE$78,6,FALSE)</f>
        <v>0</v>
      </c>
      <c r="H74" s="30">
        <f>+VLOOKUP($A74,'datos9-2014'!$A$2:$BE$78,7,FALSE)</f>
        <v>34798.07</v>
      </c>
      <c r="I74" s="30">
        <f>+VLOOKUP($A74,'datos9-2014'!$A$2:$BE$78,8,FALSE)</f>
        <v>12940</v>
      </c>
      <c r="J74" s="30">
        <f>+VLOOKUP($A74,'datos9-2014'!$A$2:$BE$78,9,FALSE)</f>
        <v>86089.9</v>
      </c>
      <c r="K74" s="30">
        <f>+VLOOKUP($A74,'datos9-2014'!$A$2:$BE$78,10,FALSE)</f>
        <v>69313.960000000006</v>
      </c>
      <c r="L74" s="20">
        <f t="shared" si="1"/>
        <v>205654.15000000002</v>
      </c>
    </row>
    <row r="75" spans="1:12" x14ac:dyDescent="0.2">
      <c r="A75" s="18" t="s">
        <v>127</v>
      </c>
      <c r="B75" s="19"/>
      <c r="C75" s="30">
        <f>+VLOOKUP($A75,'datos9-2014'!$A$2:$BE$78,2,FALSE)</f>
        <v>0</v>
      </c>
      <c r="D75" s="30">
        <f>+VLOOKUP($A75,'datos9-2014'!$A$2:$BE$78,3,FALSE)</f>
        <v>0</v>
      </c>
      <c r="E75" s="30">
        <f>+VLOOKUP($A75,'datos9-2014'!$A$2:$BE$78,4,FALSE)</f>
        <v>0</v>
      </c>
      <c r="F75" s="30">
        <f>+VLOOKUP($A75,'datos9-2014'!$A$2:$BE$78,5,FALSE)</f>
        <v>2139278.89</v>
      </c>
      <c r="G75" s="30">
        <f>+VLOOKUP($A75,'datos9-2014'!$A$2:$BE$78,6,FALSE)</f>
        <v>0</v>
      </c>
      <c r="H75" s="30">
        <f>+VLOOKUP($A75,'datos9-2014'!$A$2:$BE$78,7,FALSE)</f>
        <v>18465.47</v>
      </c>
      <c r="I75" s="30">
        <f>+VLOOKUP($A75,'datos9-2014'!$A$2:$BE$78,8,FALSE)</f>
        <v>2570.09</v>
      </c>
      <c r="J75" s="30">
        <f>+VLOOKUP($A75,'datos9-2014'!$A$2:$BE$78,9,FALSE)</f>
        <v>32763.35</v>
      </c>
      <c r="K75" s="30">
        <f>+VLOOKUP($A75,'datos9-2014'!$A$2:$BE$78,10,FALSE)</f>
        <v>20054.189999999999</v>
      </c>
      <c r="L75" s="20">
        <f t="shared" si="1"/>
        <v>2213131.9900000002</v>
      </c>
    </row>
    <row r="76" spans="1:12" x14ac:dyDescent="0.2">
      <c r="A76" s="18" t="s">
        <v>128</v>
      </c>
      <c r="B76" s="19"/>
      <c r="C76" s="30">
        <f>+VLOOKUP($A76,'datos9-2014'!$A$2:$BE$78,2,FALSE)</f>
        <v>0</v>
      </c>
      <c r="D76" s="30">
        <f>+VLOOKUP($A76,'datos9-2014'!$A$2:$BE$78,3,FALSE)</f>
        <v>83961</v>
      </c>
      <c r="E76" s="30">
        <f>+VLOOKUP($A76,'datos9-2014'!$A$2:$BE$78,4,FALSE)</f>
        <v>0</v>
      </c>
      <c r="F76" s="30">
        <f>+VLOOKUP($A76,'datos9-2014'!$A$2:$BE$78,5,FALSE)</f>
        <v>11596476</v>
      </c>
      <c r="G76" s="30">
        <f>+VLOOKUP($A76,'datos9-2014'!$A$2:$BE$78,6,FALSE)</f>
        <v>0</v>
      </c>
      <c r="H76" s="30">
        <f>+VLOOKUP($A76,'datos9-2014'!$A$2:$BE$78,7,FALSE)</f>
        <v>1934559</v>
      </c>
      <c r="I76" s="30">
        <f>+VLOOKUP($A76,'datos9-2014'!$A$2:$BE$78,8,FALSE)</f>
        <v>1163277</v>
      </c>
      <c r="J76" s="30">
        <f>+VLOOKUP($A76,'datos9-2014'!$A$2:$BE$78,9,FALSE)</f>
        <v>7477089</v>
      </c>
      <c r="K76" s="30">
        <f>+VLOOKUP($A76,'datos9-2014'!$A$2:$BE$78,10,FALSE)</f>
        <v>57979</v>
      </c>
      <c r="L76" s="20">
        <f t="shared" si="1"/>
        <v>22313341</v>
      </c>
    </row>
    <row r="77" spans="1:12" x14ac:dyDescent="0.2">
      <c r="A77" s="18" t="s">
        <v>129</v>
      </c>
      <c r="B77" s="19"/>
      <c r="C77" s="30">
        <f>+VLOOKUP($A77,'datos9-2014'!$A$2:$BE$78,2,FALSE)</f>
        <v>0</v>
      </c>
      <c r="D77" s="30">
        <f>+VLOOKUP($A77,'datos9-2014'!$A$2:$BE$78,3,FALSE)</f>
        <v>807.08</v>
      </c>
      <c r="E77" s="30">
        <f>+VLOOKUP($A77,'datos9-2014'!$A$2:$BE$78,4,FALSE)</f>
        <v>0</v>
      </c>
      <c r="F77" s="30">
        <f>+VLOOKUP($A77,'datos9-2014'!$A$2:$BE$78,5,FALSE)</f>
        <v>531805.67000000004</v>
      </c>
      <c r="G77" s="30">
        <f>+VLOOKUP($A77,'datos9-2014'!$A$2:$BE$78,6,FALSE)</f>
        <v>0</v>
      </c>
      <c r="H77" s="30">
        <f>+VLOOKUP($A77,'datos9-2014'!$A$2:$BE$78,7,FALSE)</f>
        <v>167543.53</v>
      </c>
      <c r="I77" s="30">
        <f>+VLOOKUP($A77,'datos9-2014'!$A$2:$BE$78,8,FALSE)</f>
        <v>1041668.56</v>
      </c>
      <c r="J77" s="30">
        <f>+VLOOKUP($A77,'datos9-2014'!$A$2:$BE$78,9,FALSE)</f>
        <v>17985</v>
      </c>
      <c r="K77" s="30">
        <f>+VLOOKUP($A77,'datos9-2014'!$A$2:$BE$78,10,FALSE)</f>
        <v>3806.43</v>
      </c>
      <c r="L77" s="20">
        <f t="shared" si="1"/>
        <v>1763616.27</v>
      </c>
    </row>
    <row r="78" spans="1:12" x14ac:dyDescent="0.2">
      <c r="A78" s="18" t="s">
        <v>130</v>
      </c>
      <c r="B78" s="19"/>
      <c r="C78" s="30">
        <f>+VLOOKUP($A78,'datos9-2014'!$A$2:$BE$78,2,FALSE)</f>
        <v>0</v>
      </c>
      <c r="D78" s="30">
        <f>+VLOOKUP($A78,'datos9-2014'!$A$2:$BE$78,3,FALSE)</f>
        <v>313240.68</v>
      </c>
      <c r="E78" s="30">
        <f>+VLOOKUP($A78,'datos9-2014'!$A$2:$BE$78,4,FALSE)</f>
        <v>3936.44</v>
      </c>
      <c r="F78" s="30">
        <f>+VLOOKUP($A78,'datos9-2014'!$A$2:$BE$78,5,FALSE)</f>
        <v>2468469.88</v>
      </c>
      <c r="G78" s="30">
        <f>+VLOOKUP($A78,'datos9-2014'!$A$2:$BE$78,6,FALSE)</f>
        <v>0</v>
      </c>
      <c r="H78" s="30">
        <f>+VLOOKUP($A78,'datos9-2014'!$A$2:$BE$78,7,FALSE)</f>
        <v>0</v>
      </c>
      <c r="I78" s="30">
        <f>+VLOOKUP($A78,'datos9-2014'!$A$2:$BE$78,8,FALSE)</f>
        <v>31442.26</v>
      </c>
      <c r="J78" s="30">
        <f>+VLOOKUP($A78,'datos9-2014'!$A$2:$BE$78,9,FALSE)</f>
        <v>209968</v>
      </c>
      <c r="K78" s="30">
        <f>+VLOOKUP($A78,'datos9-2014'!$A$2:$BE$78,10,FALSE)</f>
        <v>8955.1200000000008</v>
      </c>
      <c r="L78" s="20">
        <f t="shared" si="1"/>
        <v>3036012.38</v>
      </c>
    </row>
    <row r="79" spans="1:12" x14ac:dyDescent="0.2">
      <c r="A79" s="18" t="s">
        <v>131</v>
      </c>
      <c r="B79" s="19"/>
      <c r="C79" s="30">
        <f>+VLOOKUP($A79,'datos9-2014'!$A$2:$BE$78,2,FALSE)</f>
        <v>0</v>
      </c>
      <c r="D79" s="30">
        <f>+VLOOKUP($A79,'datos9-2014'!$A$2:$BE$78,3,FALSE)</f>
        <v>1035.1400000000001</v>
      </c>
      <c r="E79" s="30">
        <f>+VLOOKUP($A79,'datos9-2014'!$A$2:$BE$78,4,FALSE)</f>
        <v>0</v>
      </c>
      <c r="F79" s="30">
        <f>+VLOOKUP($A79,'datos9-2014'!$A$2:$BE$78,5,FALSE)</f>
        <v>0</v>
      </c>
      <c r="G79" s="30">
        <f>+VLOOKUP($A79,'datos9-2014'!$A$2:$BE$78,6,FALSE)</f>
        <v>0</v>
      </c>
      <c r="H79" s="30">
        <f>+VLOOKUP($A79,'datos9-2014'!$A$2:$BE$78,7,FALSE)</f>
        <v>0</v>
      </c>
      <c r="I79" s="30">
        <f>+VLOOKUP($A79,'datos9-2014'!$A$2:$BE$78,8,FALSE)</f>
        <v>2441</v>
      </c>
      <c r="J79" s="30">
        <f>+VLOOKUP($A79,'datos9-2014'!$A$2:$BE$78,9,FALSE)</f>
        <v>5695.67</v>
      </c>
      <c r="K79" s="30">
        <f>+VLOOKUP($A79,'datos9-2014'!$A$2:$BE$78,10,FALSE)</f>
        <v>0</v>
      </c>
      <c r="L79" s="20">
        <f t="shared" si="1"/>
        <v>9171.8100000000013</v>
      </c>
    </row>
    <row r="80" spans="1:12" x14ac:dyDescent="0.2">
      <c r="A80" s="18" t="s">
        <v>132</v>
      </c>
      <c r="B80" s="19"/>
      <c r="C80" s="30">
        <f>+VLOOKUP($A80,'datos9-2014'!$A$2:$BE$78,2,FALSE)</f>
        <v>0</v>
      </c>
      <c r="D80" s="30">
        <f>+VLOOKUP($A80,'datos9-2014'!$A$2:$BE$78,3,FALSE)</f>
        <v>0</v>
      </c>
      <c r="E80" s="30">
        <f>+VLOOKUP($A80,'datos9-2014'!$A$2:$BE$78,4,FALSE)</f>
        <v>4050</v>
      </c>
      <c r="F80" s="30">
        <f>+VLOOKUP($A80,'datos9-2014'!$A$2:$BE$78,5,FALSE)</f>
        <v>19225.53</v>
      </c>
      <c r="G80" s="30">
        <f>+VLOOKUP($A80,'datos9-2014'!$A$2:$BE$78,6,FALSE)</f>
        <v>0</v>
      </c>
      <c r="H80" s="30">
        <f>+VLOOKUP($A80,'datos9-2014'!$A$2:$BE$78,7,FALSE)</f>
        <v>34492.83</v>
      </c>
      <c r="I80" s="30">
        <f>+VLOOKUP($A80,'datos9-2014'!$A$2:$BE$78,8,FALSE)</f>
        <v>63292.73</v>
      </c>
      <c r="J80" s="30">
        <f>+VLOOKUP($A80,'datos9-2014'!$A$2:$BE$78,9,FALSE)</f>
        <v>14699.44</v>
      </c>
      <c r="K80" s="30">
        <f>+VLOOKUP($A80,'datos9-2014'!$A$2:$BE$78,10,FALSE)</f>
        <v>1</v>
      </c>
      <c r="L80" s="20">
        <f t="shared" si="1"/>
        <v>135761.53</v>
      </c>
    </row>
    <row r="81" spans="1:13" x14ac:dyDescent="0.2">
      <c r="A81" s="18" t="s">
        <v>133</v>
      </c>
      <c r="B81" s="19"/>
      <c r="C81" s="30">
        <f>+VLOOKUP($A81,'datos9-2014'!$A$2:$BE$78,2,FALSE)</f>
        <v>0</v>
      </c>
      <c r="D81" s="30">
        <f>+VLOOKUP($A81,'datos9-2014'!$A$2:$BE$78,3,FALSE)</f>
        <v>0</v>
      </c>
      <c r="E81" s="30">
        <f>+VLOOKUP($A81,'datos9-2014'!$A$2:$BE$78,4,FALSE)</f>
        <v>24250</v>
      </c>
      <c r="F81" s="30">
        <f>+VLOOKUP($A81,'datos9-2014'!$A$2:$BE$78,5,FALSE)</f>
        <v>576410.88</v>
      </c>
      <c r="G81" s="30">
        <f>+VLOOKUP($A81,'datos9-2014'!$A$2:$BE$78,6,FALSE)</f>
        <v>0</v>
      </c>
      <c r="H81" s="30">
        <f>+VLOOKUP($A81,'datos9-2014'!$A$2:$BE$78,7,FALSE)</f>
        <v>61486</v>
      </c>
      <c r="I81" s="30">
        <f>+VLOOKUP($A81,'datos9-2014'!$A$2:$BE$78,8,FALSE)</f>
        <v>531456.85</v>
      </c>
      <c r="J81" s="30">
        <f>+VLOOKUP($A81,'datos9-2014'!$A$2:$BE$78,9,FALSE)</f>
        <v>55886.35</v>
      </c>
      <c r="K81" s="30">
        <f>+VLOOKUP($A81,'datos9-2014'!$A$2:$BE$78,10,FALSE)</f>
        <v>1326.43</v>
      </c>
      <c r="L81" s="20">
        <f t="shared" si="1"/>
        <v>1250816.51</v>
      </c>
    </row>
    <row r="82" spans="1:13" x14ac:dyDescent="0.2">
      <c r="A82" s="18" t="s">
        <v>134</v>
      </c>
      <c r="B82" s="19"/>
      <c r="C82" s="30">
        <f>+VLOOKUP($A82,'datos9-2014'!$A$2:$BE$78,2,FALSE)</f>
        <v>0</v>
      </c>
      <c r="D82" s="30">
        <f>+VLOOKUP($A82,'datos9-2014'!$A$2:$BE$78,3,FALSE)</f>
        <v>0</v>
      </c>
      <c r="E82" s="30">
        <f>+VLOOKUP($A82,'datos9-2014'!$A$2:$BE$78,4,FALSE)</f>
        <v>0</v>
      </c>
      <c r="F82" s="30">
        <f>+VLOOKUP($A82,'datos9-2014'!$A$2:$BE$78,5,FALSE)</f>
        <v>4171010.05</v>
      </c>
      <c r="G82" s="30">
        <f>+VLOOKUP($A82,'datos9-2014'!$A$2:$BE$78,6,FALSE)</f>
        <v>0</v>
      </c>
      <c r="H82" s="30">
        <f>+VLOOKUP($A82,'datos9-2014'!$A$2:$BE$78,7,FALSE)</f>
        <v>0</v>
      </c>
      <c r="I82" s="30">
        <f>+VLOOKUP($A82,'datos9-2014'!$A$2:$BE$78,8,FALSE)</f>
        <v>15359.09</v>
      </c>
      <c r="J82" s="30">
        <f>+VLOOKUP($A82,'datos9-2014'!$A$2:$BE$78,9,FALSE)</f>
        <v>124877.54</v>
      </c>
      <c r="K82" s="30">
        <f>+VLOOKUP($A82,'datos9-2014'!$A$2:$BE$78,10,FALSE)</f>
        <v>0</v>
      </c>
      <c r="L82" s="20">
        <f t="shared" si="1"/>
        <v>4311246.68</v>
      </c>
    </row>
    <row r="84" spans="1:13" x14ac:dyDescent="0.2">
      <c r="C84" s="28">
        <f t="shared" ref="C84:L84" si="2">SUM(C7:C82)</f>
        <v>3258634.33</v>
      </c>
      <c r="D84" s="28">
        <f t="shared" si="2"/>
        <v>8857837.1300000008</v>
      </c>
      <c r="E84" s="28">
        <f t="shared" si="2"/>
        <v>2258038.98</v>
      </c>
      <c r="F84" s="28">
        <f t="shared" si="2"/>
        <v>296661934.96638</v>
      </c>
      <c r="G84" s="28">
        <f t="shared" si="2"/>
        <v>180008.41</v>
      </c>
      <c r="H84" s="28">
        <f t="shared" si="2"/>
        <v>30049800.353619996</v>
      </c>
      <c r="I84" s="28">
        <f t="shared" si="2"/>
        <v>79474565.430000022</v>
      </c>
      <c r="J84" s="28">
        <f t="shared" si="2"/>
        <v>133691243.87999998</v>
      </c>
      <c r="K84" s="28">
        <f t="shared" si="2"/>
        <v>20365456.140000008</v>
      </c>
      <c r="L84" s="29">
        <f t="shared" si="2"/>
        <v>574797519.61999989</v>
      </c>
      <c r="M84" s="29"/>
    </row>
  </sheetData>
  <mergeCells count="10">
    <mergeCell ref="C4:C5"/>
    <mergeCell ref="L4:L5"/>
    <mergeCell ref="D4:D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showZeros="0" topLeftCell="D2" workbookViewId="0">
      <selection activeCell="A7" sqref="A7"/>
    </sheetView>
  </sheetViews>
  <sheetFormatPr baseColWidth="10" defaultColWidth="11.42578125" defaultRowHeight="12.75" x14ac:dyDescent="0.2"/>
  <cols>
    <col min="1" max="1" width="36.85546875" style="3" customWidth="1"/>
    <col min="2" max="2" width="2.42578125" style="12" customWidth="1"/>
    <col min="3" max="3" width="15.42578125" style="24" customWidth="1"/>
    <col min="4" max="4" width="15.7109375" style="11" customWidth="1"/>
    <col min="5" max="5" width="13.28515625" style="11" customWidth="1"/>
    <col min="6" max="6" width="15.42578125" style="11" customWidth="1"/>
    <col min="7" max="7" width="13.28515625" style="11" customWidth="1"/>
    <col min="8" max="9" width="15" style="11" customWidth="1"/>
    <col min="10" max="10" width="16" style="11" customWidth="1"/>
    <col min="11" max="11" width="15.140625" style="11" customWidth="1"/>
    <col min="12" max="12" width="13.7109375" style="11" customWidth="1"/>
    <col min="13" max="13" width="1.28515625" style="13" customWidth="1"/>
    <col min="14" max="14" width="8.140625" style="3" customWidth="1"/>
    <col min="15" max="15" width="19.85546875" style="3" customWidth="1"/>
    <col min="16" max="16384" width="11.42578125" style="3"/>
  </cols>
  <sheetData>
    <row r="1" spans="1:15" hidden="1" x14ac:dyDescent="0.2">
      <c r="A1" s="1">
        <v>1</v>
      </c>
      <c r="B1" s="2">
        <v>2</v>
      </c>
      <c r="C1" s="22">
        <v>3</v>
      </c>
      <c r="D1" s="1"/>
      <c r="E1" s="1"/>
      <c r="F1" s="1"/>
      <c r="G1" s="1"/>
      <c r="H1" s="1"/>
      <c r="I1" s="1"/>
      <c r="J1" s="83"/>
      <c r="K1" s="1"/>
      <c r="L1" s="1">
        <v>9</v>
      </c>
      <c r="M1" s="1">
        <v>11</v>
      </c>
    </row>
    <row r="2" spans="1:15" s="8" customFormat="1" ht="15" thickBot="1" x14ac:dyDescent="0.25">
      <c r="A2" s="4" t="s">
        <v>148</v>
      </c>
      <c r="B2" s="5"/>
      <c r="C2" s="23"/>
      <c r="D2" s="6"/>
      <c r="E2" s="6"/>
      <c r="F2" s="6"/>
      <c r="G2" s="6"/>
      <c r="H2" s="6"/>
      <c r="I2" s="6"/>
      <c r="J2" s="84"/>
      <c r="K2" s="6"/>
      <c r="L2" s="6"/>
      <c r="M2" s="7"/>
    </row>
    <row r="3" spans="1:15" s="9" customFormat="1" x14ac:dyDescent="0.2">
      <c r="B3" s="10"/>
      <c r="C3" s="24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5" ht="33.75" customHeight="1" x14ac:dyDescent="0.2">
      <c r="C4" s="311" t="s">
        <v>137</v>
      </c>
      <c r="D4" s="315" t="s">
        <v>138</v>
      </c>
      <c r="E4" s="315" t="s">
        <v>139</v>
      </c>
      <c r="F4" s="315" t="s">
        <v>140</v>
      </c>
      <c r="G4" s="315" t="s">
        <v>141</v>
      </c>
      <c r="H4" s="315" t="s">
        <v>142</v>
      </c>
      <c r="I4" s="315" t="s">
        <v>143</v>
      </c>
      <c r="J4" s="317" t="s">
        <v>144</v>
      </c>
      <c r="K4" s="315" t="s">
        <v>145</v>
      </c>
      <c r="L4" s="313" t="s">
        <v>146</v>
      </c>
      <c r="O4" s="26"/>
    </row>
    <row r="5" spans="1:15" x14ac:dyDescent="0.2">
      <c r="A5" s="14" t="s">
        <v>147</v>
      </c>
      <c r="B5" s="15"/>
      <c r="C5" s="312"/>
      <c r="D5" s="316"/>
      <c r="E5" s="316"/>
      <c r="F5" s="316"/>
      <c r="G5" s="316"/>
      <c r="H5" s="316"/>
      <c r="I5" s="316"/>
      <c r="J5" s="318"/>
      <c r="K5" s="316"/>
      <c r="L5" s="314"/>
      <c r="O5" s="27"/>
    </row>
    <row r="6" spans="1:15" s="17" customFormat="1" hidden="1" x14ac:dyDescent="0.2">
      <c r="A6" s="16">
        <v>1</v>
      </c>
      <c r="B6" s="16">
        <v>2</v>
      </c>
      <c r="C6" s="25">
        <v>3</v>
      </c>
      <c r="D6" s="16"/>
      <c r="E6" s="16"/>
      <c r="F6" s="16"/>
      <c r="G6" s="16"/>
      <c r="H6" s="16"/>
      <c r="I6" s="16"/>
      <c r="J6" s="85"/>
      <c r="K6" s="16"/>
      <c r="L6" s="16">
        <v>9</v>
      </c>
      <c r="M6" s="16">
        <v>11</v>
      </c>
      <c r="O6" s="27"/>
    </row>
    <row r="7" spans="1:15" x14ac:dyDescent="0.2">
      <c r="A7" s="62" t="s">
        <v>58</v>
      </c>
      <c r="B7" s="19"/>
      <c r="C7" s="30">
        <f>+VLOOKUP($A7,'datos9-2015'!$A$2:$BE$78,2,FALSE)</f>
        <v>944616</v>
      </c>
      <c r="D7" s="30">
        <f>+VLOOKUP($A7,'datos9-2015'!$A$2:$BE$78,3,FALSE)</f>
        <v>0</v>
      </c>
      <c r="E7" s="30">
        <f>+VLOOKUP($A7,'datos9-2015'!$A$2:$BE$78,4,FALSE)</f>
        <v>0</v>
      </c>
      <c r="F7" s="30">
        <f>+VLOOKUP($A7,'datos9-2015'!$A$2:$BE$78,5,FALSE)</f>
        <v>68394087</v>
      </c>
      <c r="G7" s="30">
        <f>+VLOOKUP($A7,'datos9-2015'!$A$2:$BE$78,6,FALSE)</f>
        <v>0</v>
      </c>
      <c r="H7" s="30">
        <f>+VLOOKUP($A7,'datos9-2015'!$A$2:$BE$78,7,FALSE)</f>
        <v>3792143</v>
      </c>
      <c r="I7" s="30">
        <f>+VLOOKUP($A7,'datos9-2015'!$A$2:$BE$78,8,FALSE)</f>
        <v>0</v>
      </c>
      <c r="J7" s="86">
        <f>+VLOOKUP($A7,'datos9-2015'!$A$2:$BE$78,9,FALSE)</f>
        <v>7872111</v>
      </c>
      <c r="K7" s="30">
        <f>+VLOOKUP($A7,'datos9-2015'!$A$2:$BE$78,10,FALSE)</f>
        <v>4919764</v>
      </c>
      <c r="L7" s="20">
        <f>SUM(C7:K7)</f>
        <v>85922721</v>
      </c>
      <c r="O7" s="27"/>
    </row>
    <row r="8" spans="1:15" x14ac:dyDescent="0.2">
      <c r="A8" s="62" t="s">
        <v>59</v>
      </c>
      <c r="B8" s="19"/>
      <c r="C8" s="30">
        <f>+VLOOKUP($A8,'datos9-2015'!$A$2:$BE$78,2,FALSE)</f>
        <v>0</v>
      </c>
      <c r="D8" s="30">
        <f>+VLOOKUP($A8,'datos9-2015'!$A$2:$BE$78,3,FALSE)</f>
        <v>0</v>
      </c>
      <c r="E8" s="30">
        <f>+VLOOKUP($A8,'datos9-2015'!$A$2:$BE$78,4,FALSE)</f>
        <v>0</v>
      </c>
      <c r="F8" s="30">
        <f>+VLOOKUP($A8,'datos9-2015'!$A$2:$BE$78,5,FALSE)</f>
        <v>49584</v>
      </c>
      <c r="G8" s="30">
        <f>+VLOOKUP($A8,'datos9-2015'!$A$2:$BE$78,6,FALSE)</f>
        <v>0</v>
      </c>
      <c r="H8" s="30">
        <f>+VLOOKUP($A8,'datos9-2015'!$A$2:$BE$78,7,FALSE)</f>
        <v>0</v>
      </c>
      <c r="I8" s="30">
        <f>+VLOOKUP($A8,'datos9-2015'!$A$2:$BE$78,8,FALSE)</f>
        <v>507483.03</v>
      </c>
      <c r="J8" s="86">
        <f>+VLOOKUP($A8,'datos9-2015'!$A$2:$BE$78,9,FALSE)</f>
        <v>89507.86</v>
      </c>
      <c r="K8" s="30">
        <f>+VLOOKUP($A8,'datos9-2015'!$A$2:$BE$78,10,FALSE)</f>
        <v>0</v>
      </c>
      <c r="L8" s="20">
        <f t="shared" ref="L8:L71" si="0">SUM(C8:K8)</f>
        <v>646574.89</v>
      </c>
      <c r="O8" s="27"/>
    </row>
    <row r="9" spans="1:15" x14ac:dyDescent="0.2">
      <c r="A9" s="62" t="s">
        <v>60</v>
      </c>
      <c r="B9" s="19"/>
      <c r="C9" s="30">
        <f>+VLOOKUP($A9,'datos9-2015'!$A$2:$BE$78,2,FALSE)</f>
        <v>0</v>
      </c>
      <c r="D9" s="30">
        <f>+VLOOKUP($A9,'datos9-2015'!$A$2:$BE$78,3,FALSE)</f>
        <v>0</v>
      </c>
      <c r="E9" s="30">
        <f>+VLOOKUP($A9,'datos9-2015'!$A$2:$BE$78,4,FALSE)</f>
        <v>0</v>
      </c>
      <c r="F9" s="30">
        <f>+VLOOKUP($A9,'datos9-2015'!$A$2:$BE$78,5,FALSE)</f>
        <v>1152490</v>
      </c>
      <c r="G9" s="30">
        <f>+VLOOKUP($A9,'datos9-2015'!$A$2:$BE$78,6,FALSE)</f>
        <v>0</v>
      </c>
      <c r="H9" s="30">
        <f>+VLOOKUP($A9,'datos9-2015'!$A$2:$BE$78,7,FALSE)</f>
        <v>0</v>
      </c>
      <c r="I9" s="30">
        <f>+VLOOKUP($A9,'datos9-2015'!$A$2:$BE$78,8,FALSE)</f>
        <v>51635.75</v>
      </c>
      <c r="J9" s="86">
        <f>+VLOOKUP($A9,'datos9-2015'!$A$2:$BE$78,9,FALSE)</f>
        <v>146880.51999999999</v>
      </c>
      <c r="K9" s="30">
        <f>+VLOOKUP($A9,'datos9-2015'!$A$2:$BE$78,10,FALSE)</f>
        <v>0</v>
      </c>
      <c r="L9" s="20">
        <f t="shared" si="0"/>
        <v>1351006.27</v>
      </c>
      <c r="O9" s="27"/>
    </row>
    <row r="10" spans="1:15" x14ac:dyDescent="0.2">
      <c r="A10" s="62" t="s">
        <v>61</v>
      </c>
      <c r="B10" s="19"/>
      <c r="C10" s="30">
        <f>+VLOOKUP($A10,'datos9-2015'!$A$2:$BE$78,2,FALSE)</f>
        <v>0</v>
      </c>
      <c r="D10" s="30">
        <f>+VLOOKUP($A10,'datos9-2015'!$A$2:$BE$78,3,FALSE)</f>
        <v>1548.02</v>
      </c>
      <c r="E10" s="30">
        <f>+VLOOKUP($A10,'datos9-2015'!$A$2:$BE$78,4,FALSE)</f>
        <v>139837.57999999999</v>
      </c>
      <c r="F10" s="30">
        <f>+VLOOKUP($A10,'datos9-2015'!$A$2:$BE$78,5,FALSE)</f>
        <v>961150.34</v>
      </c>
      <c r="G10" s="30">
        <f>+VLOOKUP($A10,'datos9-2015'!$A$2:$BE$78,6,FALSE)</f>
        <v>0</v>
      </c>
      <c r="H10" s="30">
        <f>+VLOOKUP($A10,'datos9-2015'!$A$2:$BE$78,7,FALSE)</f>
        <v>0</v>
      </c>
      <c r="I10" s="30">
        <f>+VLOOKUP($A10,'datos9-2015'!$A$2:$BE$78,8,FALSE)</f>
        <v>170877.49</v>
      </c>
      <c r="J10" s="86">
        <f>+VLOOKUP($A10,'datos9-2015'!$A$2:$BE$78,9,FALSE)</f>
        <v>0</v>
      </c>
      <c r="K10" s="30">
        <f>+VLOOKUP($A10,'datos9-2015'!$A$2:$BE$78,10,FALSE)</f>
        <v>179.95</v>
      </c>
      <c r="L10" s="20">
        <f t="shared" si="0"/>
        <v>1273593.3799999999</v>
      </c>
      <c r="O10" s="27"/>
    </row>
    <row r="11" spans="1:15" x14ac:dyDescent="0.2">
      <c r="A11" s="62" t="s">
        <v>62</v>
      </c>
      <c r="B11" s="19"/>
      <c r="C11" s="30">
        <f>+VLOOKUP($A11,'datos9-2015'!$A$2:$BE$78,2,FALSE)</f>
        <v>0</v>
      </c>
      <c r="D11" s="30">
        <f>+VLOOKUP($A11,'datos9-2015'!$A$2:$BE$78,3,FALSE)</f>
        <v>12000</v>
      </c>
      <c r="E11" s="30">
        <f>+VLOOKUP($A11,'datos9-2015'!$A$2:$BE$78,4,FALSE)</f>
        <v>0</v>
      </c>
      <c r="F11" s="30">
        <f>+VLOOKUP($A11,'datos9-2015'!$A$2:$BE$78,5,FALSE)</f>
        <v>1282921.94</v>
      </c>
      <c r="G11" s="30">
        <f>+VLOOKUP($A11,'datos9-2015'!$A$2:$BE$78,6,FALSE)</f>
        <v>0</v>
      </c>
      <c r="H11" s="30">
        <f>+VLOOKUP($A11,'datos9-2015'!$A$2:$BE$78,7,FALSE)</f>
        <v>0</v>
      </c>
      <c r="I11" s="30">
        <f>+VLOOKUP($A11,'datos9-2015'!$A$2:$BE$78,8,FALSE)</f>
        <v>7412.88</v>
      </c>
      <c r="J11" s="86">
        <f>+VLOOKUP($A11,'datos9-2015'!$A$2:$BE$78,9,FALSE)</f>
        <v>0</v>
      </c>
      <c r="K11" s="30">
        <f>+VLOOKUP($A11,'datos9-2015'!$A$2:$BE$78,10,FALSE)</f>
        <v>4023.94</v>
      </c>
      <c r="L11" s="20">
        <f t="shared" si="0"/>
        <v>1306358.7599999998</v>
      </c>
      <c r="O11" s="27"/>
    </row>
    <row r="12" spans="1:15" x14ac:dyDescent="0.2">
      <c r="A12" s="62" t="s">
        <v>63</v>
      </c>
      <c r="B12" s="19"/>
      <c r="C12" s="30">
        <f>+VLOOKUP($A12,'datos9-2015'!$A$2:$BE$78,2,FALSE)</f>
        <v>0</v>
      </c>
      <c r="D12" s="30">
        <f>+VLOOKUP($A12,'datos9-2015'!$A$2:$BE$78,3,FALSE)</f>
        <v>50753.46</v>
      </c>
      <c r="E12" s="30">
        <f>+VLOOKUP($A12,'datos9-2015'!$A$2:$BE$78,4,FALSE)</f>
        <v>0</v>
      </c>
      <c r="F12" s="30">
        <f>+VLOOKUP($A12,'datos9-2015'!$A$2:$BE$78,5,FALSE)</f>
        <v>3567608.57</v>
      </c>
      <c r="G12" s="30">
        <f>+VLOOKUP($A12,'datos9-2015'!$A$2:$BE$78,6,FALSE)</f>
        <v>0</v>
      </c>
      <c r="H12" s="30">
        <f>+VLOOKUP($A12,'datos9-2015'!$A$2:$BE$78,7,FALSE)</f>
        <v>317863.90000000002</v>
      </c>
      <c r="I12" s="30">
        <f>+VLOOKUP($A12,'datos9-2015'!$A$2:$BE$78,8,FALSE)</f>
        <v>1737871.81</v>
      </c>
      <c r="J12" s="86">
        <f>+VLOOKUP($A12,'datos9-2015'!$A$2:$BE$78,9,FALSE)</f>
        <v>2946200.92</v>
      </c>
      <c r="K12" s="30">
        <f>+VLOOKUP($A12,'datos9-2015'!$A$2:$BE$78,10,FALSE)</f>
        <v>382164.23</v>
      </c>
      <c r="L12" s="20">
        <f t="shared" si="0"/>
        <v>9002462.8900000006</v>
      </c>
      <c r="O12" s="27"/>
    </row>
    <row r="13" spans="1:15" x14ac:dyDescent="0.2">
      <c r="A13" s="62" t="s">
        <v>64</v>
      </c>
      <c r="B13" s="19"/>
      <c r="C13" s="30">
        <f>+VLOOKUP($A13,'datos9-2015'!$A$2:$BE$78,2,FALSE)</f>
        <v>0</v>
      </c>
      <c r="D13" s="30">
        <f>+VLOOKUP($A13,'datos9-2015'!$A$2:$BE$78,3,FALSE)</f>
        <v>143563.28</v>
      </c>
      <c r="E13" s="30">
        <f>+VLOOKUP($A13,'datos9-2015'!$A$2:$BE$78,4,FALSE)</f>
        <v>0</v>
      </c>
      <c r="F13" s="30">
        <f>+VLOOKUP($A13,'datos9-2015'!$A$2:$BE$78,5,FALSE)</f>
        <v>8241236.75</v>
      </c>
      <c r="G13" s="30">
        <f>+VLOOKUP($A13,'datos9-2015'!$A$2:$BE$78,6,FALSE)</f>
        <v>0</v>
      </c>
      <c r="H13" s="30">
        <f>+VLOOKUP($A13,'datos9-2015'!$A$2:$BE$78,7,FALSE)</f>
        <v>3774.13</v>
      </c>
      <c r="I13" s="30">
        <f>+VLOOKUP($A13,'datos9-2015'!$A$2:$BE$78,8,FALSE)</f>
        <v>779987.94</v>
      </c>
      <c r="J13" s="86">
        <f>+VLOOKUP($A13,'datos9-2015'!$A$2:$BE$78,9,FALSE)</f>
        <v>0</v>
      </c>
      <c r="K13" s="30">
        <f>+VLOOKUP($A13,'datos9-2015'!$A$2:$BE$78,10,FALSE)</f>
        <v>41951.94</v>
      </c>
      <c r="L13" s="20">
        <f t="shared" si="0"/>
        <v>9210514.0399999991</v>
      </c>
      <c r="O13" s="27"/>
    </row>
    <row r="14" spans="1:15" x14ac:dyDescent="0.2">
      <c r="A14" s="62" t="s">
        <v>66</v>
      </c>
      <c r="B14" s="19"/>
      <c r="C14" s="30">
        <f>+VLOOKUP($A14,'datos9-2015'!$A$2:$BE$78,2,FALSE)</f>
        <v>0</v>
      </c>
      <c r="D14" s="30">
        <f>+VLOOKUP($A14,'datos9-2015'!$A$2:$BE$78,3,FALSE)</f>
        <v>0</v>
      </c>
      <c r="E14" s="30">
        <f>+VLOOKUP($A14,'datos9-2015'!$A$2:$BE$78,4,FALSE)</f>
        <v>0</v>
      </c>
      <c r="F14" s="30">
        <f>+VLOOKUP($A14,'datos9-2015'!$A$2:$BE$78,5,FALSE)</f>
        <v>523031.87</v>
      </c>
      <c r="G14" s="30">
        <f>+VLOOKUP($A14,'datos9-2015'!$A$2:$BE$78,6,FALSE)</f>
        <v>0</v>
      </c>
      <c r="H14" s="30">
        <f>+VLOOKUP($A14,'datos9-2015'!$A$2:$BE$78,7,FALSE)</f>
        <v>5775.22</v>
      </c>
      <c r="I14" s="30">
        <f>+VLOOKUP($A14,'datos9-2015'!$A$2:$BE$78,8,FALSE)</f>
        <v>130</v>
      </c>
      <c r="J14" s="86">
        <f>+VLOOKUP($A14,'datos9-2015'!$A$2:$BE$78,9,FALSE)</f>
        <v>0</v>
      </c>
      <c r="K14" s="30">
        <f>+VLOOKUP($A14,'datos9-2015'!$A$2:$BE$78,10,FALSE)</f>
        <v>473.73</v>
      </c>
      <c r="L14" s="20">
        <f t="shared" si="0"/>
        <v>529410.81999999995</v>
      </c>
      <c r="O14" s="27"/>
    </row>
    <row r="15" spans="1:15" x14ac:dyDescent="0.2">
      <c r="A15" s="62" t="s">
        <v>67</v>
      </c>
      <c r="B15" s="19"/>
      <c r="C15" s="30">
        <f>+VLOOKUP($A15,'datos9-2015'!$A$2:$BE$78,2,FALSE)</f>
        <v>0</v>
      </c>
      <c r="D15" s="30">
        <f>+VLOOKUP($A15,'datos9-2015'!$A$2:$BE$78,3,FALSE)</f>
        <v>0</v>
      </c>
      <c r="E15" s="30">
        <f>+VLOOKUP($A15,'datos9-2015'!$A$2:$BE$78,4,FALSE)</f>
        <v>26608.99</v>
      </c>
      <c r="F15" s="30">
        <f>+VLOOKUP($A15,'datos9-2015'!$A$2:$BE$78,5,FALSE)</f>
        <v>635358.53</v>
      </c>
      <c r="G15" s="30">
        <f>+VLOOKUP($A15,'datos9-2015'!$A$2:$BE$78,6,FALSE)</f>
        <v>0</v>
      </c>
      <c r="H15" s="30">
        <f>+VLOOKUP($A15,'datos9-2015'!$A$2:$BE$78,7,FALSE)</f>
        <v>287495.56</v>
      </c>
      <c r="I15" s="30">
        <f>+VLOOKUP($A15,'datos9-2015'!$A$2:$BE$78,8,FALSE)</f>
        <v>72527.55</v>
      </c>
      <c r="J15" s="86">
        <f>+VLOOKUP($A15,'datos9-2015'!$A$2:$BE$78,9,FALSE)</f>
        <v>44051</v>
      </c>
      <c r="K15" s="30">
        <f>+VLOOKUP($A15,'datos9-2015'!$A$2:$BE$78,10,FALSE)</f>
        <v>5588.28</v>
      </c>
      <c r="L15" s="20">
        <f t="shared" si="0"/>
        <v>1071629.9100000001</v>
      </c>
      <c r="O15" s="27"/>
    </row>
    <row r="16" spans="1:15" x14ac:dyDescent="0.2">
      <c r="A16" s="62" t="s">
        <v>68</v>
      </c>
      <c r="B16" s="19"/>
      <c r="C16" s="30">
        <f>+VLOOKUP($A16,'datos9-2015'!$A$2:$BE$78,2,FALSE)</f>
        <v>358478.11</v>
      </c>
      <c r="D16" s="30">
        <f>+VLOOKUP($A16,'datos9-2015'!$A$2:$BE$78,3,FALSE)</f>
        <v>0</v>
      </c>
      <c r="E16" s="30">
        <f>+VLOOKUP($A16,'datos9-2015'!$A$2:$BE$78,4,FALSE)</f>
        <v>0</v>
      </c>
      <c r="F16" s="30">
        <f>+VLOOKUP($A16,'datos9-2015'!$A$2:$BE$78,5,FALSE)</f>
        <v>284491.89</v>
      </c>
      <c r="G16" s="30">
        <f>+VLOOKUP($A16,'datos9-2015'!$A$2:$BE$78,6,FALSE)</f>
        <v>0</v>
      </c>
      <c r="H16" s="30">
        <f>+VLOOKUP($A16,'datos9-2015'!$A$2:$BE$78,7,FALSE)</f>
        <v>63000</v>
      </c>
      <c r="I16" s="30">
        <f>+VLOOKUP($A16,'datos9-2015'!$A$2:$BE$78,8,FALSE)</f>
        <v>2351258.02</v>
      </c>
      <c r="J16" s="86">
        <f>+VLOOKUP($A16,'datos9-2015'!$A$2:$BE$78,9,FALSE)</f>
        <v>6988282.2599999998</v>
      </c>
      <c r="K16" s="30">
        <f>+VLOOKUP($A16,'datos9-2015'!$A$2:$BE$78,10,FALSE)</f>
        <v>4122383.12</v>
      </c>
      <c r="L16" s="20">
        <f t="shared" si="0"/>
        <v>14167893.399999999</v>
      </c>
      <c r="O16" s="27"/>
    </row>
    <row r="17" spans="1:15" x14ac:dyDescent="0.2">
      <c r="A17" s="62" t="s">
        <v>69</v>
      </c>
      <c r="B17" s="19"/>
      <c r="C17" s="30">
        <f>+VLOOKUP($A17,'datos9-2015'!$A$2:$BE$78,2,FALSE)</f>
        <v>0</v>
      </c>
      <c r="D17" s="30">
        <f>+VLOOKUP($A17,'datos9-2015'!$A$2:$BE$78,3,FALSE)</f>
        <v>120772.67</v>
      </c>
      <c r="E17" s="30">
        <f>+VLOOKUP($A17,'datos9-2015'!$A$2:$BE$78,4,FALSE)</f>
        <v>12332.61</v>
      </c>
      <c r="F17" s="30">
        <f>+VLOOKUP($A17,'datos9-2015'!$A$2:$BE$78,5,FALSE)</f>
        <v>723616.12</v>
      </c>
      <c r="G17" s="30">
        <f>+VLOOKUP($A17,'datos9-2015'!$A$2:$BE$78,6,FALSE)</f>
        <v>0</v>
      </c>
      <c r="H17" s="30">
        <f>+VLOOKUP($A17,'datos9-2015'!$A$2:$BE$78,7,FALSE)</f>
        <v>320562.98</v>
      </c>
      <c r="I17" s="30">
        <f>+VLOOKUP($A17,'datos9-2015'!$A$2:$BE$78,8,FALSE)</f>
        <v>90415.61</v>
      </c>
      <c r="J17" s="86">
        <f>+VLOOKUP($A17,'datos9-2015'!$A$2:$BE$78,9,FALSE)</f>
        <v>82989</v>
      </c>
      <c r="K17" s="30">
        <f>+VLOOKUP($A17,'datos9-2015'!$A$2:$BE$78,10,FALSE)</f>
        <v>19565.55</v>
      </c>
      <c r="L17" s="20">
        <f t="shared" si="0"/>
        <v>1370254.54</v>
      </c>
      <c r="O17" s="27"/>
    </row>
    <row r="18" spans="1:15" x14ac:dyDescent="0.2">
      <c r="A18" s="62" t="s">
        <v>70</v>
      </c>
      <c r="B18" s="19"/>
      <c r="C18" s="30">
        <f>+VLOOKUP($A18,'datos9-2015'!$A$2:$BE$78,2,FALSE)</f>
        <v>0</v>
      </c>
      <c r="D18" s="30">
        <f>+VLOOKUP($A18,'datos9-2015'!$A$2:$BE$78,3,FALSE)</f>
        <v>0</v>
      </c>
      <c r="E18" s="30">
        <f>+VLOOKUP($A18,'datos9-2015'!$A$2:$BE$78,4,FALSE)</f>
        <v>0</v>
      </c>
      <c r="F18" s="30">
        <f>+VLOOKUP($A18,'datos9-2015'!$A$2:$BE$78,5,FALSE)</f>
        <v>6716086.4900000002</v>
      </c>
      <c r="G18" s="30">
        <f>+VLOOKUP($A18,'datos9-2015'!$A$2:$BE$78,6,FALSE)</f>
        <v>0</v>
      </c>
      <c r="H18" s="30">
        <f>+VLOOKUP($A18,'datos9-2015'!$A$2:$BE$78,7,FALSE)</f>
        <v>173749.68</v>
      </c>
      <c r="I18" s="30">
        <f>+VLOOKUP($A18,'datos9-2015'!$A$2:$BE$78,8,FALSE)</f>
        <v>0</v>
      </c>
      <c r="J18" s="86">
        <f>+VLOOKUP($A18,'datos9-2015'!$A$2:$BE$78,9,FALSE)</f>
        <v>191189.93</v>
      </c>
      <c r="K18" s="30">
        <f>+VLOOKUP($A18,'datos9-2015'!$A$2:$BE$78,10,FALSE)</f>
        <v>104872.9</v>
      </c>
      <c r="L18" s="20">
        <f t="shared" si="0"/>
        <v>7185899</v>
      </c>
      <c r="O18" s="27"/>
    </row>
    <row r="19" spans="1:15" x14ac:dyDescent="0.2">
      <c r="A19" s="62" t="s">
        <v>71</v>
      </c>
      <c r="B19" s="19"/>
      <c r="C19" s="30">
        <f>+VLOOKUP($A19,'datos9-2015'!$A$2:$BE$78,2,FALSE)</f>
        <v>0</v>
      </c>
      <c r="D19" s="30">
        <f>+VLOOKUP($A19,'datos9-2015'!$A$2:$BE$78,3,FALSE)</f>
        <v>0</v>
      </c>
      <c r="E19" s="30">
        <f>+VLOOKUP($A19,'datos9-2015'!$A$2:$BE$78,4,FALSE)</f>
        <v>0</v>
      </c>
      <c r="F19" s="30">
        <f>+VLOOKUP($A19,'datos9-2015'!$A$2:$BE$78,5,FALSE)</f>
        <v>1749752.13</v>
      </c>
      <c r="G19" s="30">
        <f>+VLOOKUP($A19,'datos9-2015'!$A$2:$BE$78,6,FALSE)</f>
        <v>0</v>
      </c>
      <c r="H19" s="30">
        <f>+VLOOKUP($A19,'datos9-2015'!$A$2:$BE$78,7,FALSE)</f>
        <v>0</v>
      </c>
      <c r="I19" s="30">
        <f>+VLOOKUP($A19,'datos9-2015'!$A$2:$BE$78,8,FALSE)</f>
        <v>21614.23</v>
      </c>
      <c r="J19" s="86">
        <f>+VLOOKUP($A19,'datos9-2015'!$A$2:$BE$78,9,FALSE)</f>
        <v>83859.929999999993</v>
      </c>
      <c r="K19" s="30">
        <f>+VLOOKUP($A19,'datos9-2015'!$A$2:$BE$78,10,FALSE)</f>
        <v>5385.8</v>
      </c>
      <c r="L19" s="20">
        <f t="shared" si="0"/>
        <v>1860612.0899999999</v>
      </c>
      <c r="O19" s="27"/>
    </row>
    <row r="20" spans="1:15" x14ac:dyDescent="0.2">
      <c r="A20" s="62" t="s">
        <v>72</v>
      </c>
      <c r="B20" s="19"/>
      <c r="C20" s="30">
        <f>+VLOOKUP($A20,'datos9-2015'!$A$2:$BE$78,2,FALSE)</f>
        <v>0</v>
      </c>
      <c r="D20" s="30">
        <f>+VLOOKUP($A20,'datos9-2015'!$A$2:$BE$78,3,FALSE)</f>
        <v>0</v>
      </c>
      <c r="E20" s="30">
        <f>+VLOOKUP($A20,'datos9-2015'!$A$2:$BE$78,4,FALSE)</f>
        <v>0</v>
      </c>
      <c r="F20" s="30">
        <f>+VLOOKUP($A20,'datos9-2015'!$A$2:$BE$78,5,FALSE)</f>
        <v>70869.33</v>
      </c>
      <c r="G20" s="30">
        <f>+VLOOKUP($A20,'datos9-2015'!$A$2:$BE$78,6,FALSE)</f>
        <v>0</v>
      </c>
      <c r="H20" s="30">
        <f>+VLOOKUP($A20,'datos9-2015'!$A$2:$BE$78,7,FALSE)</f>
        <v>132769</v>
      </c>
      <c r="I20" s="30">
        <f>+VLOOKUP($A20,'datos9-2015'!$A$2:$BE$78,8,FALSE)</f>
        <v>225955.8</v>
      </c>
      <c r="J20" s="86">
        <f>+VLOOKUP($A20,'datos9-2015'!$A$2:$BE$78,9,FALSE)</f>
        <v>384510.28</v>
      </c>
      <c r="K20" s="30">
        <f>+VLOOKUP($A20,'datos9-2015'!$A$2:$BE$78,10,FALSE)</f>
        <v>23327.16</v>
      </c>
      <c r="L20" s="20">
        <f t="shared" si="0"/>
        <v>837431.57000000007</v>
      </c>
      <c r="O20" s="27"/>
    </row>
    <row r="21" spans="1:15" x14ac:dyDescent="0.2">
      <c r="A21" s="62" t="s">
        <v>73</v>
      </c>
      <c r="B21" s="19"/>
      <c r="C21" s="30">
        <f>+VLOOKUP($A21,'datos9-2015'!$A$2:$BE$78,2,FALSE)</f>
        <v>0</v>
      </c>
      <c r="D21" s="30">
        <f>+VLOOKUP($A21,'datos9-2015'!$A$2:$BE$78,3,FALSE)</f>
        <v>744131.47</v>
      </c>
      <c r="E21" s="30">
        <f>+VLOOKUP($A21,'datos9-2015'!$A$2:$BE$78,4,FALSE)</f>
        <v>0</v>
      </c>
      <c r="F21" s="30">
        <f>+VLOOKUP($A21,'datos9-2015'!$A$2:$BE$78,5,FALSE)</f>
        <v>5291925.97</v>
      </c>
      <c r="G21" s="30">
        <f>+VLOOKUP($A21,'datos9-2015'!$A$2:$BE$78,6,FALSE)</f>
        <v>0</v>
      </c>
      <c r="H21" s="30">
        <f>+VLOOKUP($A21,'datos9-2015'!$A$2:$BE$78,7,FALSE)</f>
        <v>487163.87</v>
      </c>
      <c r="I21" s="30">
        <f>+VLOOKUP($A21,'datos9-2015'!$A$2:$BE$78,8,FALSE)</f>
        <v>947852.24</v>
      </c>
      <c r="J21" s="86">
        <f>+VLOOKUP($A21,'datos9-2015'!$A$2:$BE$78,9,FALSE)</f>
        <v>26298214.48</v>
      </c>
      <c r="K21" s="30">
        <f>+VLOOKUP($A21,'datos9-2015'!$A$2:$BE$78,10,FALSE)</f>
        <v>986583.74</v>
      </c>
      <c r="L21" s="20">
        <f t="shared" si="0"/>
        <v>34755871.770000003</v>
      </c>
      <c r="O21" s="27"/>
    </row>
    <row r="22" spans="1:15" x14ac:dyDescent="0.2">
      <c r="A22" s="62" t="s">
        <v>74</v>
      </c>
      <c r="B22" s="19"/>
      <c r="C22" s="30">
        <f>+VLOOKUP($A22,'datos9-2015'!$A$2:$BE$78,2,FALSE)</f>
        <v>0</v>
      </c>
      <c r="D22" s="30">
        <f>+VLOOKUP($A22,'datos9-2015'!$A$2:$BE$78,3,FALSE)</f>
        <v>0</v>
      </c>
      <c r="E22" s="30">
        <f>+VLOOKUP($A22,'datos9-2015'!$A$2:$BE$78,4,FALSE)</f>
        <v>0</v>
      </c>
      <c r="F22" s="30">
        <f>+VLOOKUP($A22,'datos9-2015'!$A$2:$BE$78,5,FALSE)</f>
        <v>2559292</v>
      </c>
      <c r="G22" s="30">
        <f>+VLOOKUP($A22,'datos9-2015'!$A$2:$BE$78,6,FALSE)</f>
        <v>0</v>
      </c>
      <c r="H22" s="30">
        <f>+VLOOKUP($A22,'datos9-2015'!$A$2:$BE$78,7,FALSE)</f>
        <v>1747025</v>
      </c>
      <c r="I22" s="30">
        <f>+VLOOKUP($A22,'datos9-2015'!$A$2:$BE$78,8,FALSE)</f>
        <v>23459374</v>
      </c>
      <c r="J22" s="86">
        <f>+VLOOKUP($A22,'datos9-2015'!$A$2:$BE$78,9,FALSE)</f>
        <v>0</v>
      </c>
      <c r="K22" s="30">
        <f>+VLOOKUP($A22,'datos9-2015'!$A$2:$BE$78,10,FALSE)</f>
        <v>0</v>
      </c>
      <c r="L22" s="20">
        <f t="shared" si="0"/>
        <v>27765691</v>
      </c>
      <c r="O22" s="27"/>
    </row>
    <row r="23" spans="1:15" x14ac:dyDescent="0.2">
      <c r="A23" s="62" t="s">
        <v>75</v>
      </c>
      <c r="B23" s="19"/>
      <c r="C23" s="30">
        <f>+VLOOKUP($A23,'datos9-2015'!$A$2:$BE$78,2,FALSE)</f>
        <v>0</v>
      </c>
      <c r="D23" s="30">
        <f>+VLOOKUP($A23,'datos9-2015'!$A$2:$BE$78,3,FALSE)</f>
        <v>70689.210000000006</v>
      </c>
      <c r="E23" s="30">
        <f>+VLOOKUP($A23,'datos9-2015'!$A$2:$BE$78,4,FALSE)</f>
        <v>0</v>
      </c>
      <c r="F23" s="30">
        <f>+VLOOKUP($A23,'datos9-2015'!$A$2:$BE$78,5,FALSE)</f>
        <v>594129.43999999994</v>
      </c>
      <c r="G23" s="30">
        <f>+VLOOKUP($A23,'datos9-2015'!$A$2:$BE$78,6,FALSE)</f>
        <v>0</v>
      </c>
      <c r="H23" s="30">
        <f>+VLOOKUP($A23,'datos9-2015'!$A$2:$BE$78,7,FALSE)</f>
        <v>196695.09</v>
      </c>
      <c r="I23" s="30">
        <f>+VLOOKUP($A23,'datos9-2015'!$A$2:$BE$78,8,FALSE)</f>
        <v>7448.04</v>
      </c>
      <c r="J23" s="86">
        <f>+VLOOKUP($A23,'datos9-2015'!$A$2:$BE$78,9,FALSE)</f>
        <v>19436</v>
      </c>
      <c r="K23" s="30">
        <f>+VLOOKUP($A23,'datos9-2015'!$A$2:$BE$78,10,FALSE)</f>
        <v>160.72999999999999</v>
      </c>
      <c r="L23" s="20">
        <f t="shared" si="0"/>
        <v>888558.50999999989</v>
      </c>
      <c r="O23" s="27"/>
    </row>
    <row r="24" spans="1:15" x14ac:dyDescent="0.2">
      <c r="A24" s="62" t="s">
        <v>76</v>
      </c>
      <c r="B24" s="19"/>
      <c r="C24" s="30">
        <f>+VLOOKUP($A24,'datos9-2015'!$A$2:$BE$78,2,FALSE)</f>
        <v>40768.33</v>
      </c>
      <c r="D24" s="30">
        <f>+VLOOKUP($A24,'datos9-2015'!$A$2:$BE$78,3,FALSE)</f>
        <v>27627.05</v>
      </c>
      <c r="E24" s="30">
        <f>+VLOOKUP($A24,'datos9-2015'!$A$2:$BE$78,4,FALSE)</f>
        <v>1546.5</v>
      </c>
      <c r="F24" s="30">
        <f>+VLOOKUP($A24,'datos9-2015'!$A$2:$BE$78,5,FALSE)</f>
        <v>6375469.25</v>
      </c>
      <c r="G24" s="30">
        <f>+VLOOKUP($A24,'datos9-2015'!$A$2:$BE$78,6,FALSE)</f>
        <v>62025.43</v>
      </c>
      <c r="H24" s="30">
        <f>+VLOOKUP($A24,'datos9-2015'!$A$2:$BE$78,7,FALSE)</f>
        <v>1111565.23</v>
      </c>
      <c r="I24" s="30">
        <f>+VLOOKUP($A24,'datos9-2015'!$A$2:$BE$78,8,FALSE)</f>
        <v>232610.22</v>
      </c>
      <c r="J24" s="86">
        <f>+VLOOKUP($A24,'datos9-2015'!$A$2:$BE$78,9,FALSE)</f>
        <v>103024.02</v>
      </c>
      <c r="K24" s="30">
        <f>+VLOOKUP($A24,'datos9-2015'!$A$2:$BE$78,10,FALSE)</f>
        <v>39876.839999999997</v>
      </c>
      <c r="L24" s="20">
        <f t="shared" si="0"/>
        <v>7994512.8699999982</v>
      </c>
      <c r="O24" s="27"/>
    </row>
    <row r="25" spans="1:15" x14ac:dyDescent="0.2">
      <c r="A25" s="62" t="s">
        <v>77</v>
      </c>
      <c r="B25" s="19"/>
      <c r="C25" s="30">
        <f>+VLOOKUP($A25,'datos9-2015'!$A$2:$BE$78,2,FALSE)</f>
        <v>0</v>
      </c>
      <c r="D25" s="30">
        <f>+VLOOKUP($A25,'datos9-2015'!$A$2:$BE$78,3,FALSE)</f>
        <v>0</v>
      </c>
      <c r="E25" s="30">
        <f>+VLOOKUP($A25,'datos9-2015'!$A$2:$BE$78,4,FALSE)</f>
        <v>0</v>
      </c>
      <c r="F25" s="30">
        <f>+VLOOKUP($A25,'datos9-2015'!$A$2:$BE$78,5,FALSE)</f>
        <v>2489670.37</v>
      </c>
      <c r="G25" s="30">
        <f>+VLOOKUP($A25,'datos9-2015'!$A$2:$BE$78,6,FALSE)</f>
        <v>0</v>
      </c>
      <c r="H25" s="30">
        <f>+VLOOKUP($A25,'datos9-2015'!$A$2:$BE$78,7,FALSE)</f>
        <v>1140463.94</v>
      </c>
      <c r="I25" s="30">
        <f>+VLOOKUP($A25,'datos9-2015'!$A$2:$BE$78,8,FALSE)</f>
        <v>202588.6</v>
      </c>
      <c r="J25" s="86">
        <f>+VLOOKUP($A25,'datos9-2015'!$A$2:$BE$78,9,FALSE)</f>
        <v>185435.71</v>
      </c>
      <c r="K25" s="30">
        <f>+VLOOKUP($A25,'datos9-2015'!$A$2:$BE$78,10,FALSE)</f>
        <v>483562.1</v>
      </c>
      <c r="L25" s="20">
        <f t="shared" si="0"/>
        <v>4501720.72</v>
      </c>
      <c r="O25" s="27"/>
    </row>
    <row r="26" spans="1:15" x14ac:dyDescent="0.2">
      <c r="A26" s="62" t="s">
        <v>78</v>
      </c>
      <c r="B26" s="19"/>
      <c r="C26" s="30">
        <f>+VLOOKUP($A26,'datos9-2015'!$A$2:$BE$78,2,FALSE)</f>
        <v>0</v>
      </c>
      <c r="D26" s="30">
        <f>+VLOOKUP($A26,'datos9-2015'!$A$2:$BE$78,3,FALSE)</f>
        <v>0</v>
      </c>
      <c r="E26" s="30">
        <f>+VLOOKUP($A26,'datos9-2015'!$A$2:$BE$78,4,FALSE)</f>
        <v>0</v>
      </c>
      <c r="F26" s="30">
        <f>+VLOOKUP($A26,'datos9-2015'!$A$2:$BE$78,5,FALSE)</f>
        <v>1000</v>
      </c>
      <c r="G26" s="30">
        <f>+VLOOKUP($A26,'datos9-2015'!$A$2:$BE$78,6,FALSE)</f>
        <v>0</v>
      </c>
      <c r="H26" s="30">
        <f>+VLOOKUP($A26,'datos9-2015'!$A$2:$BE$78,7,FALSE)</f>
        <v>0</v>
      </c>
      <c r="I26" s="30">
        <f>+VLOOKUP($A26,'datos9-2015'!$A$2:$BE$78,8,FALSE)</f>
        <v>14394.82</v>
      </c>
      <c r="J26" s="86">
        <f>+VLOOKUP($A26,'datos9-2015'!$A$2:$BE$78,9,FALSE)</f>
        <v>2631.77</v>
      </c>
      <c r="K26" s="30">
        <f>+VLOOKUP($A26,'datos9-2015'!$A$2:$BE$78,10,FALSE)</f>
        <v>3.15</v>
      </c>
      <c r="L26" s="20">
        <f t="shared" si="0"/>
        <v>18029.740000000002</v>
      </c>
      <c r="O26" s="27"/>
    </row>
    <row r="27" spans="1:15" x14ac:dyDescent="0.2">
      <c r="A27" s="62" t="s">
        <v>79</v>
      </c>
      <c r="B27" s="19"/>
      <c r="C27" s="30">
        <f>+VLOOKUP($A27,'datos9-2015'!$A$2:$BE$78,2,FALSE)</f>
        <v>0</v>
      </c>
      <c r="D27" s="30">
        <f>+VLOOKUP($A27,'datos9-2015'!$A$2:$BE$78,3,FALSE)</f>
        <v>47677.5</v>
      </c>
      <c r="E27" s="30">
        <f>+VLOOKUP($A27,'datos9-2015'!$A$2:$BE$78,4,FALSE)</f>
        <v>0</v>
      </c>
      <c r="F27" s="30">
        <f>+VLOOKUP($A27,'datos9-2015'!$A$2:$BE$78,5,FALSE)</f>
        <v>897501.54</v>
      </c>
      <c r="G27" s="30">
        <f>+VLOOKUP($A27,'datos9-2015'!$A$2:$BE$78,6,FALSE)</f>
        <v>0</v>
      </c>
      <c r="H27" s="30">
        <f>+VLOOKUP($A27,'datos9-2015'!$A$2:$BE$78,7,FALSE)</f>
        <v>0</v>
      </c>
      <c r="I27" s="30">
        <f>+VLOOKUP($A27,'datos9-2015'!$A$2:$BE$78,8,FALSE)</f>
        <v>13991.27</v>
      </c>
      <c r="J27" s="86">
        <f>+VLOOKUP($A27,'datos9-2015'!$A$2:$BE$78,9,FALSE)</f>
        <v>12353.83</v>
      </c>
      <c r="K27" s="30">
        <f>+VLOOKUP($A27,'datos9-2015'!$A$2:$BE$78,10,FALSE)</f>
        <v>0</v>
      </c>
      <c r="L27" s="20">
        <f t="shared" si="0"/>
        <v>971524.14</v>
      </c>
      <c r="O27" s="27"/>
    </row>
    <row r="28" spans="1:15" x14ac:dyDescent="0.2">
      <c r="A28" s="62" t="s">
        <v>80</v>
      </c>
      <c r="B28" s="19"/>
      <c r="C28" s="30">
        <f>+VLOOKUP($A28,'datos9-2015'!$A$2:$BE$78,2,FALSE)</f>
        <v>0</v>
      </c>
      <c r="D28" s="30">
        <f>+VLOOKUP($A28,'datos9-2015'!$A$2:$BE$78,3,FALSE)</f>
        <v>24886</v>
      </c>
      <c r="E28" s="30">
        <f>+VLOOKUP($A28,'datos9-2015'!$A$2:$BE$78,4,FALSE)</f>
        <v>0</v>
      </c>
      <c r="F28" s="30">
        <f>+VLOOKUP($A28,'datos9-2015'!$A$2:$BE$78,5,FALSE)</f>
        <v>329122</v>
      </c>
      <c r="G28" s="30">
        <f>+VLOOKUP($A28,'datos9-2015'!$A$2:$BE$78,6,FALSE)</f>
        <v>0</v>
      </c>
      <c r="H28" s="30">
        <f>+VLOOKUP($A28,'datos9-2015'!$A$2:$BE$78,7,FALSE)</f>
        <v>234337</v>
      </c>
      <c r="I28" s="30">
        <f>+VLOOKUP($A28,'datos9-2015'!$A$2:$BE$78,8,FALSE)</f>
        <v>431450</v>
      </c>
      <c r="J28" s="86">
        <f>+VLOOKUP($A28,'datos9-2015'!$A$2:$BE$78,9,FALSE)</f>
        <v>32429</v>
      </c>
      <c r="K28" s="30">
        <f>+VLOOKUP($A28,'datos9-2015'!$A$2:$BE$78,10,FALSE)</f>
        <v>363848</v>
      </c>
      <c r="L28" s="20">
        <f t="shared" si="0"/>
        <v>1416072</v>
      </c>
      <c r="O28" s="27"/>
    </row>
    <row r="29" spans="1:15" x14ac:dyDescent="0.2">
      <c r="A29" s="62" t="s">
        <v>81</v>
      </c>
      <c r="B29" s="19"/>
      <c r="C29" s="30">
        <f>+VLOOKUP($A29,'datos9-2015'!$A$2:$BE$78,2,FALSE)</f>
        <v>0</v>
      </c>
      <c r="D29" s="30">
        <f>+VLOOKUP($A29,'datos9-2015'!$A$2:$BE$78,3,FALSE)</f>
        <v>37099</v>
      </c>
      <c r="E29" s="30">
        <f>+VLOOKUP($A29,'datos9-2015'!$A$2:$BE$78,4,FALSE)</f>
        <v>0</v>
      </c>
      <c r="F29" s="30">
        <f>+VLOOKUP($A29,'datos9-2015'!$A$2:$BE$78,5,FALSE)</f>
        <v>28498315</v>
      </c>
      <c r="G29" s="30">
        <f>+VLOOKUP($A29,'datos9-2015'!$A$2:$BE$78,6,FALSE)</f>
        <v>0</v>
      </c>
      <c r="H29" s="30">
        <f>+VLOOKUP($A29,'datos9-2015'!$A$2:$BE$78,7,FALSE)</f>
        <v>0</v>
      </c>
      <c r="I29" s="30">
        <f>+VLOOKUP($A29,'datos9-2015'!$A$2:$BE$78,8,FALSE)</f>
        <v>0</v>
      </c>
      <c r="J29" s="86">
        <f>+VLOOKUP($A29,'datos9-2015'!$A$2:$BE$78,9,FALSE)</f>
        <v>0</v>
      </c>
      <c r="K29" s="30">
        <f>+VLOOKUP($A29,'datos9-2015'!$A$2:$BE$78,10,FALSE)</f>
        <v>71115</v>
      </c>
      <c r="L29" s="20">
        <f t="shared" si="0"/>
        <v>28606529</v>
      </c>
      <c r="O29" s="27"/>
    </row>
    <row r="30" spans="1:15" x14ac:dyDescent="0.2">
      <c r="A30" s="62" t="s">
        <v>82</v>
      </c>
      <c r="B30" s="19"/>
      <c r="C30" s="30">
        <f>+VLOOKUP($A30,'datos9-2015'!$A$2:$BE$78,2,FALSE)</f>
        <v>0</v>
      </c>
      <c r="D30" s="30">
        <f>+VLOOKUP($A30,'datos9-2015'!$A$2:$BE$78,3,FALSE)</f>
        <v>0</v>
      </c>
      <c r="E30" s="30">
        <f>+VLOOKUP($A30,'datos9-2015'!$A$2:$BE$78,4,FALSE)</f>
        <v>0</v>
      </c>
      <c r="F30" s="30">
        <f>+VLOOKUP($A30,'datos9-2015'!$A$2:$BE$78,5,FALSE)</f>
        <v>49864.54</v>
      </c>
      <c r="G30" s="30">
        <f>+VLOOKUP($A30,'datos9-2015'!$A$2:$BE$78,6,FALSE)</f>
        <v>0</v>
      </c>
      <c r="H30" s="30">
        <f>+VLOOKUP($A30,'datos9-2015'!$A$2:$BE$78,7,FALSE)</f>
        <v>0</v>
      </c>
      <c r="I30" s="30">
        <f>+VLOOKUP($A30,'datos9-2015'!$A$2:$BE$78,8,FALSE)</f>
        <v>800</v>
      </c>
      <c r="J30" s="86">
        <f>+VLOOKUP($A30,'datos9-2015'!$A$2:$BE$78,9,FALSE)</f>
        <v>0</v>
      </c>
      <c r="K30" s="30">
        <f>+VLOOKUP($A30,'datos9-2015'!$A$2:$BE$78,10,FALSE)</f>
        <v>0</v>
      </c>
      <c r="L30" s="20">
        <f t="shared" si="0"/>
        <v>50664.54</v>
      </c>
      <c r="O30" s="27"/>
    </row>
    <row r="31" spans="1:15" x14ac:dyDescent="0.2">
      <c r="A31" s="62" t="s">
        <v>83</v>
      </c>
      <c r="B31" s="19"/>
      <c r="C31" s="30">
        <f>+VLOOKUP($A31,'datos9-2015'!$A$2:$BE$78,2,FALSE)</f>
        <v>46474.559999999998</v>
      </c>
      <c r="D31" s="30">
        <f>+VLOOKUP($A31,'datos9-2015'!$A$2:$BE$78,3,FALSE)</f>
        <v>0</v>
      </c>
      <c r="E31" s="30">
        <f>+VLOOKUP($A31,'datos9-2015'!$A$2:$BE$78,4,FALSE)</f>
        <v>28936.81</v>
      </c>
      <c r="F31" s="30">
        <f>+VLOOKUP($A31,'datos9-2015'!$A$2:$BE$78,5,FALSE)</f>
        <v>0</v>
      </c>
      <c r="G31" s="30">
        <f>+VLOOKUP($A31,'datos9-2015'!$A$2:$BE$78,6,FALSE)</f>
        <v>0</v>
      </c>
      <c r="H31" s="30">
        <f>+VLOOKUP($A31,'datos9-2015'!$A$2:$BE$78,7,FALSE)</f>
        <v>0</v>
      </c>
      <c r="I31" s="30">
        <f>+VLOOKUP($A31,'datos9-2015'!$A$2:$BE$78,8,FALSE)</f>
        <v>68537.960000000006</v>
      </c>
      <c r="J31" s="86">
        <f>+VLOOKUP($A31,'datos9-2015'!$A$2:$BE$78,9,FALSE)</f>
        <v>31321.46</v>
      </c>
      <c r="K31" s="30">
        <f>+VLOOKUP($A31,'datos9-2015'!$A$2:$BE$78,10,FALSE)</f>
        <v>0</v>
      </c>
      <c r="L31" s="20">
        <f t="shared" si="0"/>
        <v>175270.79</v>
      </c>
      <c r="O31" s="27"/>
    </row>
    <row r="32" spans="1:15" x14ac:dyDescent="0.2">
      <c r="A32" s="62" t="s">
        <v>84</v>
      </c>
      <c r="B32" s="19"/>
      <c r="C32" s="30">
        <f>+VLOOKUP($A32,'datos9-2015'!$A$2:$BE$78,2,FALSE)</f>
        <v>0</v>
      </c>
      <c r="D32" s="30">
        <f>+VLOOKUP($A32,'datos9-2015'!$A$2:$BE$78,3,FALSE)</f>
        <v>0</v>
      </c>
      <c r="E32" s="30">
        <f>+VLOOKUP($A32,'datos9-2015'!$A$2:$BE$78,4,FALSE)</f>
        <v>0</v>
      </c>
      <c r="F32" s="30">
        <f>+VLOOKUP($A32,'datos9-2015'!$A$2:$BE$78,5,FALSE)</f>
        <v>224919</v>
      </c>
      <c r="G32" s="30">
        <f>+VLOOKUP($A32,'datos9-2015'!$A$2:$BE$78,6,FALSE)</f>
        <v>0</v>
      </c>
      <c r="H32" s="30">
        <f>+VLOOKUP($A32,'datos9-2015'!$A$2:$BE$78,7,FALSE)</f>
        <v>0</v>
      </c>
      <c r="I32" s="30">
        <f>+VLOOKUP($A32,'datos9-2015'!$A$2:$BE$78,8,FALSE)</f>
        <v>437372</v>
      </c>
      <c r="J32" s="86">
        <f>+VLOOKUP($A32,'datos9-2015'!$A$2:$BE$78,9,FALSE)</f>
        <v>22416596</v>
      </c>
      <c r="K32" s="30">
        <f>+VLOOKUP($A32,'datos9-2015'!$A$2:$BE$78,10,FALSE)</f>
        <v>2212558</v>
      </c>
      <c r="L32" s="20">
        <f t="shared" si="0"/>
        <v>25291445</v>
      </c>
      <c r="O32" s="27"/>
    </row>
    <row r="33" spans="1:15" x14ac:dyDescent="0.2">
      <c r="A33" s="62" t="s">
        <v>85</v>
      </c>
      <c r="B33" s="19"/>
      <c r="C33" s="30">
        <f>+VLOOKUP($A33,'datos9-2015'!$A$2:$BE$78,2,FALSE)</f>
        <v>165245.5</v>
      </c>
      <c r="D33" s="30">
        <f>+VLOOKUP($A33,'datos9-2015'!$A$2:$BE$78,3,FALSE)</f>
        <v>9700</v>
      </c>
      <c r="E33" s="30">
        <f>+VLOOKUP($A33,'datos9-2015'!$A$2:$BE$78,4,FALSE)</f>
        <v>0</v>
      </c>
      <c r="F33" s="30">
        <f>+VLOOKUP($A33,'datos9-2015'!$A$2:$BE$78,5,FALSE)</f>
        <v>1177036</v>
      </c>
      <c r="G33" s="30">
        <f>+VLOOKUP($A33,'datos9-2015'!$A$2:$BE$78,6,FALSE)</f>
        <v>0</v>
      </c>
      <c r="H33" s="30">
        <f>+VLOOKUP($A33,'datos9-2015'!$A$2:$BE$78,7,FALSE)</f>
        <v>165843.5</v>
      </c>
      <c r="I33" s="30">
        <f>+VLOOKUP($A33,'datos9-2015'!$A$2:$BE$78,8,FALSE)</f>
        <v>0</v>
      </c>
      <c r="J33" s="86">
        <f>+VLOOKUP($A33,'datos9-2015'!$A$2:$BE$78,9,FALSE)</f>
        <v>0</v>
      </c>
      <c r="K33" s="30">
        <f>+VLOOKUP($A33,'datos9-2015'!$A$2:$BE$78,10,FALSE)</f>
        <v>0</v>
      </c>
      <c r="L33" s="20">
        <f t="shared" si="0"/>
        <v>1517825</v>
      </c>
      <c r="O33" s="27"/>
    </row>
    <row r="34" spans="1:15" x14ac:dyDescent="0.2">
      <c r="A34" s="62" t="s">
        <v>86</v>
      </c>
      <c r="B34" s="19"/>
      <c r="C34" s="30">
        <f>+VLOOKUP($A34,'datos9-2015'!$A$2:$BE$78,2,FALSE)</f>
        <v>0</v>
      </c>
      <c r="D34" s="30">
        <f>+VLOOKUP($A34,'datos9-2015'!$A$2:$BE$78,3,FALSE)</f>
        <v>31169.599999999999</v>
      </c>
      <c r="E34" s="30">
        <f>+VLOOKUP($A34,'datos9-2015'!$A$2:$BE$78,4,FALSE)</f>
        <v>49774.559999999998</v>
      </c>
      <c r="F34" s="30">
        <f>+VLOOKUP($A34,'datos9-2015'!$A$2:$BE$78,5,FALSE)</f>
        <v>400</v>
      </c>
      <c r="G34" s="30">
        <f>+VLOOKUP($A34,'datos9-2015'!$A$2:$BE$78,6,FALSE)</f>
        <v>0</v>
      </c>
      <c r="H34" s="30">
        <f>+VLOOKUP($A34,'datos9-2015'!$A$2:$BE$78,7,FALSE)</f>
        <v>10000</v>
      </c>
      <c r="I34" s="30">
        <f>+VLOOKUP($A34,'datos9-2015'!$A$2:$BE$78,8,FALSE)</f>
        <v>136133.78</v>
      </c>
      <c r="J34" s="86">
        <f>+VLOOKUP($A34,'datos9-2015'!$A$2:$BE$78,9,FALSE)</f>
        <v>61883.14</v>
      </c>
      <c r="K34" s="30">
        <f>+VLOOKUP($A34,'datos9-2015'!$A$2:$BE$78,10,FALSE)</f>
        <v>57.81</v>
      </c>
      <c r="L34" s="20">
        <f t="shared" si="0"/>
        <v>289418.89</v>
      </c>
      <c r="O34" s="27"/>
    </row>
    <row r="35" spans="1:15" x14ac:dyDescent="0.2">
      <c r="A35" s="62" t="s">
        <v>87</v>
      </c>
      <c r="B35" s="19"/>
      <c r="C35" s="30">
        <f>+VLOOKUP($A35,'datos9-2015'!$A$2:$BE$78,2,FALSE)</f>
        <v>0</v>
      </c>
      <c r="D35" s="30">
        <f>+VLOOKUP($A35,'datos9-2015'!$A$2:$BE$78,3,FALSE)</f>
        <v>0</v>
      </c>
      <c r="E35" s="30">
        <f>+VLOOKUP($A35,'datos9-2015'!$A$2:$BE$78,4,FALSE)</f>
        <v>1942615.96</v>
      </c>
      <c r="F35" s="30">
        <f>+VLOOKUP($A35,'datos9-2015'!$A$2:$BE$78,5,FALSE)</f>
        <v>3941255.42</v>
      </c>
      <c r="G35" s="30">
        <f>+VLOOKUP($A35,'datos9-2015'!$A$2:$BE$78,6,FALSE)</f>
        <v>0</v>
      </c>
      <c r="H35" s="30">
        <f>+VLOOKUP($A35,'datos9-2015'!$A$2:$BE$78,7,FALSE)</f>
        <v>1353556.71</v>
      </c>
      <c r="I35" s="30">
        <f>+VLOOKUP($A35,'datos9-2015'!$A$2:$BE$78,8,FALSE)</f>
        <v>115894.7</v>
      </c>
      <c r="J35" s="86">
        <f>+VLOOKUP($A35,'datos9-2015'!$A$2:$BE$78,9,FALSE)</f>
        <v>310552.5</v>
      </c>
      <c r="K35" s="30">
        <f>+VLOOKUP($A35,'datos9-2015'!$A$2:$BE$78,10,FALSE)</f>
        <v>0</v>
      </c>
      <c r="L35" s="20">
        <f t="shared" si="0"/>
        <v>7663875.29</v>
      </c>
      <c r="O35" s="27"/>
    </row>
    <row r="36" spans="1:15" x14ac:dyDescent="0.2">
      <c r="A36" s="62" t="s">
        <v>88</v>
      </c>
      <c r="B36" s="19"/>
      <c r="C36" s="30">
        <f>+VLOOKUP($A36,'datos9-2015'!$A$2:$BE$78,2,FALSE)</f>
        <v>0</v>
      </c>
      <c r="D36" s="30">
        <f>+VLOOKUP($A36,'datos9-2015'!$A$2:$BE$78,3,FALSE)</f>
        <v>0</v>
      </c>
      <c r="E36" s="30">
        <f>+VLOOKUP($A36,'datos9-2015'!$A$2:$BE$78,4,FALSE)</f>
        <v>0</v>
      </c>
      <c r="F36" s="30">
        <f>+VLOOKUP($A36,'datos9-2015'!$A$2:$BE$78,5,FALSE)</f>
        <v>86945</v>
      </c>
      <c r="G36" s="30">
        <f>+VLOOKUP($A36,'datos9-2015'!$A$2:$BE$78,6,FALSE)</f>
        <v>0</v>
      </c>
      <c r="H36" s="30">
        <f>+VLOOKUP($A36,'datos9-2015'!$A$2:$BE$78,7,FALSE)</f>
        <v>26700</v>
      </c>
      <c r="I36" s="30">
        <f>+VLOOKUP($A36,'datos9-2015'!$A$2:$BE$78,8,FALSE)</f>
        <v>10200</v>
      </c>
      <c r="J36" s="86">
        <f>+VLOOKUP($A36,'datos9-2015'!$A$2:$BE$78,9,FALSE)</f>
        <v>0</v>
      </c>
      <c r="K36" s="30">
        <f>+VLOOKUP($A36,'datos9-2015'!$A$2:$BE$78,10,FALSE)</f>
        <v>0</v>
      </c>
      <c r="L36" s="20">
        <f t="shared" si="0"/>
        <v>123845</v>
      </c>
      <c r="O36" s="27"/>
    </row>
    <row r="37" spans="1:15" x14ac:dyDescent="0.2">
      <c r="A37" s="62" t="s">
        <v>89</v>
      </c>
      <c r="B37" s="19"/>
      <c r="C37" s="30">
        <f>+VLOOKUP($A37,'datos9-2015'!$A$2:$BE$78,2,FALSE)</f>
        <v>0</v>
      </c>
      <c r="D37" s="30">
        <f>+VLOOKUP($A37,'datos9-2015'!$A$2:$BE$78,3,FALSE)</f>
        <v>342047.46</v>
      </c>
      <c r="E37" s="30">
        <f>+VLOOKUP($A37,'datos9-2015'!$A$2:$BE$78,4,FALSE)</f>
        <v>40322.910000000003</v>
      </c>
      <c r="F37" s="30">
        <f>+VLOOKUP($A37,'datos9-2015'!$A$2:$BE$78,5,FALSE)</f>
        <v>553063.56999999995</v>
      </c>
      <c r="G37" s="30">
        <f>+VLOOKUP($A37,'datos9-2015'!$A$2:$BE$78,6,FALSE)</f>
        <v>0</v>
      </c>
      <c r="H37" s="30">
        <f>+VLOOKUP($A37,'datos9-2015'!$A$2:$BE$78,7,FALSE)</f>
        <v>45170.63</v>
      </c>
      <c r="I37" s="30">
        <f>+VLOOKUP($A37,'datos9-2015'!$A$2:$BE$78,8,FALSE)</f>
        <v>0</v>
      </c>
      <c r="J37" s="86">
        <f>+VLOOKUP($A37,'datos9-2015'!$A$2:$BE$78,9,FALSE)</f>
        <v>128377.42</v>
      </c>
      <c r="K37" s="30">
        <f>+VLOOKUP($A37,'datos9-2015'!$A$2:$BE$78,10,FALSE)</f>
        <v>1785.79</v>
      </c>
      <c r="L37" s="20">
        <f t="shared" si="0"/>
        <v>1110767.78</v>
      </c>
      <c r="O37" s="27"/>
    </row>
    <row r="38" spans="1:15" x14ac:dyDescent="0.2">
      <c r="A38" s="62" t="s">
        <v>90</v>
      </c>
      <c r="B38" s="19"/>
      <c r="C38" s="30">
        <f>+VLOOKUP($A38,'datos9-2015'!$A$2:$BE$78,2,FALSE)</f>
        <v>0</v>
      </c>
      <c r="D38" s="30">
        <f>+VLOOKUP($A38,'datos9-2015'!$A$2:$BE$78,3,FALSE)</f>
        <v>0</v>
      </c>
      <c r="E38" s="30">
        <f>+VLOOKUP($A38,'datos9-2015'!$A$2:$BE$78,4,FALSE)</f>
        <v>0</v>
      </c>
      <c r="F38" s="30">
        <f>+VLOOKUP($A38,'datos9-2015'!$A$2:$BE$78,5,FALSE)</f>
        <v>246624.33</v>
      </c>
      <c r="G38" s="30">
        <f>+VLOOKUP($A38,'datos9-2015'!$A$2:$BE$78,6,FALSE)</f>
        <v>0</v>
      </c>
      <c r="H38" s="30">
        <f>+VLOOKUP($A38,'datos9-2015'!$A$2:$BE$78,7,FALSE)</f>
        <v>35911.629999999997</v>
      </c>
      <c r="I38" s="30">
        <f>+VLOOKUP($A38,'datos9-2015'!$A$2:$BE$78,8,FALSE)</f>
        <v>536200.03</v>
      </c>
      <c r="J38" s="86">
        <f>+VLOOKUP($A38,'datos9-2015'!$A$2:$BE$78,9,FALSE)</f>
        <v>11440</v>
      </c>
      <c r="K38" s="30">
        <f>+VLOOKUP($A38,'datos9-2015'!$A$2:$BE$78,10,FALSE)</f>
        <v>0</v>
      </c>
      <c r="L38" s="20">
        <f t="shared" si="0"/>
        <v>830175.99</v>
      </c>
      <c r="O38" s="27"/>
    </row>
    <row r="39" spans="1:15" x14ac:dyDescent="0.2">
      <c r="A39" s="62" t="s">
        <v>91</v>
      </c>
      <c r="B39" s="19"/>
      <c r="C39" s="30">
        <f>+VLOOKUP($A39,'datos9-2015'!$A$2:$BE$78,2,FALSE)</f>
        <v>0</v>
      </c>
      <c r="D39" s="30">
        <f>+VLOOKUP($A39,'datos9-2015'!$A$2:$BE$78,3,FALSE)</f>
        <v>0</v>
      </c>
      <c r="E39" s="30">
        <f>+VLOOKUP($A39,'datos9-2015'!$A$2:$BE$78,4,FALSE)</f>
        <v>0</v>
      </c>
      <c r="F39" s="30">
        <f>+VLOOKUP($A39,'datos9-2015'!$A$2:$BE$78,5,FALSE)</f>
        <v>2738.38</v>
      </c>
      <c r="G39" s="30">
        <f>+VLOOKUP($A39,'datos9-2015'!$A$2:$BE$78,6,FALSE)</f>
        <v>0</v>
      </c>
      <c r="H39" s="30">
        <f>+VLOOKUP($A39,'datos9-2015'!$A$2:$BE$78,7,FALSE)</f>
        <v>0</v>
      </c>
      <c r="I39" s="30">
        <f>+VLOOKUP($A39,'datos9-2015'!$A$2:$BE$78,8,FALSE)</f>
        <v>70131.789999999994</v>
      </c>
      <c r="J39" s="86">
        <f>+VLOOKUP($A39,'datos9-2015'!$A$2:$BE$78,9,FALSE)</f>
        <v>0</v>
      </c>
      <c r="K39" s="30">
        <f>+VLOOKUP($A39,'datos9-2015'!$A$2:$BE$78,10,FALSE)</f>
        <v>0</v>
      </c>
      <c r="L39" s="20">
        <f t="shared" si="0"/>
        <v>72870.17</v>
      </c>
      <c r="O39" s="27"/>
    </row>
    <row r="40" spans="1:15" x14ac:dyDescent="0.2">
      <c r="A40" s="62" t="s">
        <v>92</v>
      </c>
      <c r="B40" s="19"/>
      <c r="C40" s="30">
        <f>+VLOOKUP($A40,'datos9-2015'!$A$2:$BE$78,2,FALSE)</f>
        <v>0</v>
      </c>
      <c r="D40" s="30">
        <f>+VLOOKUP($A40,'datos9-2015'!$A$2:$BE$78,3,FALSE)</f>
        <v>878331.34</v>
      </c>
      <c r="E40" s="30">
        <f>+VLOOKUP($A40,'datos9-2015'!$A$2:$BE$78,4,FALSE)</f>
        <v>0</v>
      </c>
      <c r="F40" s="30">
        <f>+VLOOKUP($A40,'datos9-2015'!$A$2:$BE$78,5,FALSE)</f>
        <v>382721.83</v>
      </c>
      <c r="G40" s="30">
        <f>+VLOOKUP($A40,'datos9-2015'!$A$2:$BE$78,6,FALSE)</f>
        <v>0</v>
      </c>
      <c r="H40" s="30">
        <f>+VLOOKUP($A40,'datos9-2015'!$A$2:$BE$78,7,FALSE)</f>
        <v>0</v>
      </c>
      <c r="I40" s="30">
        <f>+VLOOKUP($A40,'datos9-2015'!$A$2:$BE$78,8,FALSE)</f>
        <v>101343.28</v>
      </c>
      <c r="J40" s="86">
        <f>+VLOOKUP($A40,'datos9-2015'!$A$2:$BE$78,9,FALSE)</f>
        <v>0</v>
      </c>
      <c r="K40" s="30">
        <f>+VLOOKUP($A40,'datos9-2015'!$A$2:$BE$78,10,FALSE)</f>
        <v>9238.06</v>
      </c>
      <c r="L40" s="20">
        <f t="shared" si="0"/>
        <v>1371634.51</v>
      </c>
      <c r="O40" s="27"/>
    </row>
    <row r="41" spans="1:15" x14ac:dyDescent="0.2">
      <c r="A41" s="62" t="s">
        <v>93</v>
      </c>
      <c r="B41" s="19"/>
      <c r="C41" s="30">
        <f>+VLOOKUP($A41,'datos9-2015'!$A$2:$BE$78,2,FALSE)</f>
        <v>0</v>
      </c>
      <c r="D41" s="30">
        <f>+VLOOKUP($A41,'datos9-2015'!$A$2:$BE$78,3,FALSE)</f>
        <v>622843</v>
      </c>
      <c r="E41" s="30">
        <f>+VLOOKUP($A41,'datos9-2015'!$A$2:$BE$78,4,FALSE)</f>
        <v>0</v>
      </c>
      <c r="F41" s="30">
        <f>+VLOOKUP($A41,'datos9-2015'!$A$2:$BE$78,5,FALSE)</f>
        <v>1941220</v>
      </c>
      <c r="G41" s="30">
        <f>+VLOOKUP($A41,'datos9-2015'!$A$2:$BE$78,6,FALSE)</f>
        <v>0</v>
      </c>
      <c r="H41" s="30">
        <f>+VLOOKUP($A41,'datos9-2015'!$A$2:$BE$78,7,FALSE)</f>
        <v>26380</v>
      </c>
      <c r="I41" s="30">
        <f>+VLOOKUP($A41,'datos9-2015'!$A$2:$BE$78,8,FALSE)</f>
        <v>7650</v>
      </c>
      <c r="J41" s="86">
        <f>+VLOOKUP($A41,'datos9-2015'!$A$2:$BE$78,9,FALSE)</f>
        <v>0</v>
      </c>
      <c r="K41" s="30">
        <f>+VLOOKUP($A41,'datos9-2015'!$A$2:$BE$78,10,FALSE)</f>
        <v>76</v>
      </c>
      <c r="L41" s="20">
        <f t="shared" si="0"/>
        <v>2598169</v>
      </c>
      <c r="O41" s="27"/>
    </row>
    <row r="42" spans="1:15" x14ac:dyDescent="0.2">
      <c r="A42" s="62" t="s">
        <v>94</v>
      </c>
      <c r="B42" s="19"/>
      <c r="C42" s="30">
        <f>+VLOOKUP($A42,'datos9-2015'!$A$2:$BE$78,2,FALSE)</f>
        <v>0</v>
      </c>
      <c r="D42" s="30">
        <f>+VLOOKUP($A42,'datos9-2015'!$A$2:$BE$78,3,FALSE)</f>
        <v>0</v>
      </c>
      <c r="E42" s="30">
        <f>+VLOOKUP($A42,'datos9-2015'!$A$2:$BE$78,4,FALSE)</f>
        <v>0</v>
      </c>
      <c r="F42" s="30">
        <f>+VLOOKUP($A42,'datos9-2015'!$A$2:$BE$78,5,FALSE)</f>
        <v>1128580.57</v>
      </c>
      <c r="G42" s="30">
        <f>+VLOOKUP($A42,'datos9-2015'!$A$2:$BE$78,6,FALSE)</f>
        <v>0</v>
      </c>
      <c r="H42" s="30">
        <f>+VLOOKUP($A42,'datos9-2015'!$A$2:$BE$78,7,FALSE)</f>
        <v>0</v>
      </c>
      <c r="I42" s="30">
        <f>+VLOOKUP($A42,'datos9-2015'!$A$2:$BE$78,8,FALSE)</f>
        <v>53475.39</v>
      </c>
      <c r="J42" s="86">
        <f>+VLOOKUP($A42,'datos9-2015'!$A$2:$BE$78,9,FALSE)</f>
        <v>5638.54</v>
      </c>
      <c r="K42" s="30">
        <f>+VLOOKUP($A42,'datos9-2015'!$A$2:$BE$78,10,FALSE)</f>
        <v>16266.37</v>
      </c>
      <c r="L42" s="20">
        <f t="shared" si="0"/>
        <v>1203960.8700000001</v>
      </c>
      <c r="O42" s="27"/>
    </row>
    <row r="43" spans="1:15" x14ac:dyDescent="0.2">
      <c r="A43" s="62" t="s">
        <v>95</v>
      </c>
      <c r="B43" s="19"/>
      <c r="C43" s="30">
        <f>+VLOOKUP($A43,'datos9-2015'!$A$2:$BE$78,2,FALSE)</f>
        <v>0</v>
      </c>
      <c r="D43" s="30">
        <f>+VLOOKUP($A43,'datos9-2015'!$A$2:$BE$78,3,FALSE)</f>
        <v>0</v>
      </c>
      <c r="E43" s="30">
        <f>+VLOOKUP($A43,'datos9-2015'!$A$2:$BE$78,4,FALSE)</f>
        <v>0</v>
      </c>
      <c r="F43" s="30">
        <v>378578.47</v>
      </c>
      <c r="G43" s="30">
        <f>+VLOOKUP($A43,'datos9-2015'!$A$2:$BE$78,6,FALSE)</f>
        <v>0</v>
      </c>
      <c r="H43" s="30">
        <f>+VLOOKUP($A43,'datos9-2015'!$A$2:$BE$78,7,FALSE)</f>
        <v>143621.70000000001</v>
      </c>
      <c r="I43" s="30">
        <f>+VLOOKUP($A43,'datos9-2015'!$A$2:$BE$78,8,FALSE)</f>
        <v>26017.97</v>
      </c>
      <c r="J43" s="86">
        <f>+VLOOKUP($A43,'datos9-2015'!$A$2:$BE$78,9,FALSE)</f>
        <v>0</v>
      </c>
      <c r="K43" s="30">
        <f>+VLOOKUP($A43,'datos9-2015'!$A$2:$BE$78,10,FALSE)</f>
        <v>0</v>
      </c>
      <c r="L43" s="20">
        <f t="shared" si="0"/>
        <v>548218.14</v>
      </c>
      <c r="O43" s="27"/>
    </row>
    <row r="44" spans="1:15" x14ac:dyDescent="0.2">
      <c r="A44" s="62" t="s">
        <v>96</v>
      </c>
      <c r="B44" s="19"/>
      <c r="C44" s="30">
        <f>+VLOOKUP($A44,'datos9-2015'!$A$2:$BE$78,2,FALSE)</f>
        <v>0</v>
      </c>
      <c r="D44" s="30">
        <f>+VLOOKUP($A44,'datos9-2015'!$A$2:$BE$78,3,FALSE)</f>
        <v>0</v>
      </c>
      <c r="E44" s="30">
        <f>+VLOOKUP($A44,'datos9-2015'!$A$2:$BE$78,4,FALSE)</f>
        <v>0</v>
      </c>
      <c r="F44" s="30">
        <f>+VLOOKUP($A44,'datos9-2015'!$A$2:$BE$78,5,FALSE)</f>
        <v>0</v>
      </c>
      <c r="G44" s="30">
        <f>+VLOOKUP($A44,'datos9-2015'!$A$2:$BE$78,6,FALSE)</f>
        <v>0</v>
      </c>
      <c r="H44" s="30">
        <f>+VLOOKUP($A44,'datos9-2015'!$A$2:$BE$78,7,FALSE)</f>
        <v>1001237</v>
      </c>
      <c r="I44" s="30">
        <f>+VLOOKUP($A44,'datos9-2015'!$A$2:$BE$78,8,FALSE)</f>
        <v>11388292</v>
      </c>
      <c r="J44" s="86">
        <f>+VLOOKUP($A44,'datos9-2015'!$A$2:$BE$78,9,FALSE)</f>
        <v>2790771</v>
      </c>
      <c r="K44" s="30">
        <f>+VLOOKUP($A44,'datos9-2015'!$A$2:$BE$78,10,FALSE)</f>
        <v>0</v>
      </c>
      <c r="L44" s="20">
        <f t="shared" si="0"/>
        <v>15180300</v>
      </c>
      <c r="O44" s="27"/>
    </row>
    <row r="45" spans="1:15" x14ac:dyDescent="0.2">
      <c r="A45" s="62" t="s">
        <v>97</v>
      </c>
      <c r="B45" s="19"/>
      <c r="C45" s="30">
        <f>+VLOOKUP($A45,'datos9-2015'!$A$2:$BE$78,2,FALSE)</f>
        <v>0</v>
      </c>
      <c r="D45" s="30">
        <f>+VLOOKUP($A45,'datos9-2015'!$A$2:$BE$78,3,FALSE)</f>
        <v>0</v>
      </c>
      <c r="E45" s="30">
        <f>+VLOOKUP($A45,'datos9-2015'!$A$2:$BE$78,4,FALSE)</f>
        <v>0</v>
      </c>
      <c r="F45" s="30">
        <f>+VLOOKUP($A45,'datos9-2015'!$A$2:$BE$78,5,FALSE)</f>
        <v>23748</v>
      </c>
      <c r="G45" s="30">
        <f>+VLOOKUP($A45,'datos9-2015'!$A$2:$BE$78,6,FALSE)</f>
        <v>0</v>
      </c>
      <c r="H45" s="30">
        <f>+VLOOKUP($A45,'datos9-2015'!$A$2:$BE$78,7,FALSE)</f>
        <v>0</v>
      </c>
      <c r="I45" s="30">
        <f>+VLOOKUP($A45,'datos9-2015'!$A$2:$BE$78,8,FALSE)</f>
        <v>0</v>
      </c>
      <c r="J45" s="86">
        <f>+VLOOKUP($A45,'datos9-2015'!$A$2:$BE$78,9,FALSE)</f>
        <v>0</v>
      </c>
      <c r="K45" s="30">
        <f>+VLOOKUP($A45,'datos9-2015'!$A$2:$BE$78,10,FALSE)</f>
        <v>0</v>
      </c>
      <c r="L45" s="20">
        <f t="shared" si="0"/>
        <v>23748</v>
      </c>
      <c r="O45" s="27"/>
    </row>
    <row r="46" spans="1:15" x14ac:dyDescent="0.2">
      <c r="A46" s="62" t="s">
        <v>98</v>
      </c>
      <c r="B46" s="19"/>
      <c r="C46" s="30">
        <f>+VLOOKUP($A46,'datos9-2015'!$A$2:$BE$78,2,FALSE)</f>
        <v>0</v>
      </c>
      <c r="D46" s="30">
        <f>+VLOOKUP($A46,'datos9-2015'!$A$2:$BE$78,3,FALSE)</f>
        <v>1336.66</v>
      </c>
      <c r="E46" s="30">
        <f>+VLOOKUP($A46,'datos9-2015'!$A$2:$BE$78,4,FALSE)</f>
        <v>0</v>
      </c>
      <c r="F46" s="30">
        <f>+VLOOKUP($A46,'datos9-2015'!$A$2:$BE$78,5,FALSE)</f>
        <v>97546.32</v>
      </c>
      <c r="G46" s="30">
        <f>+VLOOKUP($A46,'datos9-2015'!$A$2:$BE$78,6,FALSE)</f>
        <v>0</v>
      </c>
      <c r="H46" s="30">
        <f>+VLOOKUP($A46,'datos9-2015'!$A$2:$BE$78,7,FALSE)</f>
        <v>91906.27</v>
      </c>
      <c r="I46" s="30">
        <f>+VLOOKUP($A46,'datos9-2015'!$A$2:$BE$78,8,FALSE)</f>
        <v>89289.77</v>
      </c>
      <c r="J46" s="86">
        <f>+VLOOKUP($A46,'datos9-2015'!$A$2:$BE$78,9,FALSE)</f>
        <v>378232.01</v>
      </c>
      <c r="K46" s="30">
        <f>+VLOOKUP($A46,'datos9-2015'!$A$2:$BE$78,10,FALSE)</f>
        <v>3167.31</v>
      </c>
      <c r="L46" s="20">
        <f t="shared" si="0"/>
        <v>661478.34000000008</v>
      </c>
      <c r="O46" s="27"/>
    </row>
    <row r="47" spans="1:15" x14ac:dyDescent="0.2">
      <c r="A47" s="62" t="s">
        <v>99</v>
      </c>
      <c r="B47" s="19"/>
      <c r="C47" s="30">
        <f>+VLOOKUP($A47,'datos9-2015'!$A$2:$BE$78,2,FALSE)</f>
        <v>0</v>
      </c>
      <c r="D47" s="30">
        <f>+VLOOKUP($A47,'datos9-2015'!$A$2:$BE$78,3,FALSE)</f>
        <v>0</v>
      </c>
      <c r="E47" s="30">
        <f>+VLOOKUP($A47,'datos9-2015'!$A$2:$BE$78,4,FALSE)</f>
        <v>0</v>
      </c>
      <c r="F47" s="30">
        <f>+VLOOKUP($A47,'datos9-2015'!$A$2:$BE$78,5,FALSE)</f>
        <v>47100</v>
      </c>
      <c r="G47" s="30">
        <f>+VLOOKUP($A47,'datos9-2015'!$A$2:$BE$78,6,FALSE)</f>
        <v>0</v>
      </c>
      <c r="H47" s="30">
        <f>+VLOOKUP($A47,'datos9-2015'!$A$2:$BE$78,7,FALSE)</f>
        <v>0</v>
      </c>
      <c r="I47" s="30">
        <f>+VLOOKUP($A47,'datos9-2015'!$A$2:$BE$78,8,FALSE)</f>
        <v>0</v>
      </c>
      <c r="J47" s="86">
        <f>+VLOOKUP($A47,'datos9-2015'!$A$2:$BE$78,9,FALSE)</f>
        <v>13000</v>
      </c>
      <c r="K47" s="30">
        <f>+VLOOKUP($A47,'datos9-2015'!$A$2:$BE$78,10,FALSE)</f>
        <v>6738</v>
      </c>
      <c r="L47" s="20">
        <f t="shared" si="0"/>
        <v>66838</v>
      </c>
      <c r="O47" s="27"/>
    </row>
    <row r="48" spans="1:15" x14ac:dyDescent="0.2">
      <c r="A48" s="62" t="s">
        <v>100</v>
      </c>
      <c r="B48" s="19"/>
      <c r="C48" s="30">
        <f>+VLOOKUP($A48,'datos9-2015'!$A$2:$BE$78,2,FALSE)</f>
        <v>0</v>
      </c>
      <c r="D48" s="30">
        <f>+VLOOKUP($A48,'datos9-2015'!$A$2:$BE$78,3,FALSE)</f>
        <v>440503.45</v>
      </c>
      <c r="E48" s="30">
        <f>+VLOOKUP($A48,'datos9-2015'!$A$2:$BE$78,4,FALSE)</f>
        <v>0</v>
      </c>
      <c r="F48" s="30">
        <f>+VLOOKUP($A48,'datos9-2015'!$A$2:$BE$78,5,FALSE)</f>
        <v>843653.99</v>
      </c>
      <c r="G48" s="30">
        <f>+VLOOKUP($A48,'datos9-2015'!$A$2:$BE$78,6,FALSE)</f>
        <v>0</v>
      </c>
      <c r="H48" s="30">
        <f>+VLOOKUP($A48,'datos9-2015'!$A$2:$BE$78,7,FALSE)</f>
        <v>0</v>
      </c>
      <c r="I48" s="30">
        <f>+VLOOKUP($A48,'datos9-2015'!$A$2:$BE$78,8,FALSE)</f>
        <v>73036.22</v>
      </c>
      <c r="J48" s="86">
        <f>+VLOOKUP($A48,'datos9-2015'!$A$2:$BE$78,9,FALSE)</f>
        <v>0</v>
      </c>
      <c r="K48" s="30">
        <f>+VLOOKUP($A48,'datos9-2015'!$A$2:$BE$78,10,FALSE)</f>
        <v>17029.27</v>
      </c>
      <c r="L48" s="20">
        <f t="shared" si="0"/>
        <v>1374222.93</v>
      </c>
      <c r="O48" s="27"/>
    </row>
    <row r="49" spans="1:15" x14ac:dyDescent="0.2">
      <c r="A49" s="62" t="s">
        <v>101</v>
      </c>
      <c r="B49" s="19"/>
      <c r="C49" s="30">
        <f>+VLOOKUP($A49,'datos9-2015'!$A$2:$BE$78,2,FALSE)</f>
        <v>0</v>
      </c>
      <c r="D49" s="30">
        <f>+VLOOKUP($A49,'datos9-2015'!$A$2:$BE$78,3,FALSE)</f>
        <v>33169.589999999997</v>
      </c>
      <c r="E49" s="30">
        <f>+VLOOKUP($A49,'datos9-2015'!$A$2:$BE$78,4,FALSE)</f>
        <v>0</v>
      </c>
      <c r="F49" s="30">
        <f>+VLOOKUP($A49,'datos9-2015'!$A$2:$BE$78,5,FALSE)</f>
        <v>574182.66</v>
      </c>
      <c r="G49" s="30">
        <f>+VLOOKUP($A49,'datos9-2015'!$A$2:$BE$78,6,FALSE)</f>
        <v>0</v>
      </c>
      <c r="H49" s="30">
        <f>+VLOOKUP($A49,'datos9-2015'!$A$2:$BE$78,7,FALSE)</f>
        <v>12398.1</v>
      </c>
      <c r="I49" s="30">
        <f>+VLOOKUP($A49,'datos9-2015'!$A$2:$BE$78,8,FALSE)</f>
        <v>557506.03</v>
      </c>
      <c r="J49" s="86">
        <f>+VLOOKUP($A49,'datos9-2015'!$A$2:$BE$78,9,FALSE)</f>
        <v>39128.620000000003</v>
      </c>
      <c r="K49" s="30">
        <f>+VLOOKUP($A49,'datos9-2015'!$A$2:$BE$78,10,FALSE)</f>
        <v>466.81</v>
      </c>
      <c r="L49" s="20">
        <f t="shared" si="0"/>
        <v>1216851.81</v>
      </c>
      <c r="O49" s="27"/>
    </row>
    <row r="50" spans="1:15" x14ac:dyDescent="0.2">
      <c r="A50" s="62" t="s">
        <v>102</v>
      </c>
      <c r="B50" s="19"/>
      <c r="C50" s="30">
        <f>+VLOOKUP($A50,'datos9-2015'!$A$2:$BE$78,2,FALSE)</f>
        <v>1180770</v>
      </c>
      <c r="D50" s="30">
        <f>+VLOOKUP($A50,'datos9-2015'!$A$2:$BE$78,3,FALSE)</f>
        <v>0</v>
      </c>
      <c r="E50" s="30">
        <f>+VLOOKUP($A50,'datos9-2015'!$A$2:$BE$78,4,FALSE)</f>
        <v>0</v>
      </c>
      <c r="F50" s="30">
        <f>+VLOOKUP($A50,'datos9-2015'!$A$2:$BE$78,5,FALSE)</f>
        <v>3360022.36</v>
      </c>
      <c r="G50" s="30">
        <f>+VLOOKUP($A50,'datos9-2015'!$A$2:$BE$78,6,FALSE)</f>
        <v>0</v>
      </c>
      <c r="H50" s="30">
        <f>+VLOOKUP($A50,'datos9-2015'!$A$2:$BE$78,7,FALSE)</f>
        <v>1503549</v>
      </c>
      <c r="I50" s="30">
        <f>+VLOOKUP($A50,'datos9-2015'!$A$2:$BE$78,8,FALSE)</f>
        <v>0</v>
      </c>
      <c r="J50" s="86">
        <f>+VLOOKUP($A50,'datos9-2015'!$A$2:$BE$78,9,FALSE)</f>
        <v>0</v>
      </c>
      <c r="K50" s="30">
        <f>+VLOOKUP($A50,'datos9-2015'!$A$2:$BE$78,10,FALSE)</f>
        <v>0</v>
      </c>
      <c r="L50" s="20">
        <f t="shared" si="0"/>
        <v>6044341.3599999994</v>
      </c>
      <c r="O50" s="27"/>
    </row>
    <row r="51" spans="1:15" x14ac:dyDescent="0.2">
      <c r="A51" s="62" t="s">
        <v>103</v>
      </c>
      <c r="B51" s="19"/>
      <c r="C51" s="30">
        <f>+VLOOKUP($A51,'datos9-2015'!$A$2:$BE$78,2,FALSE)</f>
        <v>0</v>
      </c>
      <c r="D51" s="30">
        <f>+VLOOKUP($A51,'datos9-2015'!$A$2:$BE$78,3,FALSE)</f>
        <v>0</v>
      </c>
      <c r="E51" s="30">
        <f>+VLOOKUP($A51,'datos9-2015'!$A$2:$BE$78,4,FALSE)</f>
        <v>2561</v>
      </c>
      <c r="F51" s="30">
        <f>+VLOOKUP($A51,'datos9-2015'!$A$2:$BE$78,5,FALSE)</f>
        <v>1935204</v>
      </c>
      <c r="G51" s="30">
        <f>+VLOOKUP($A51,'datos9-2015'!$A$2:$BE$78,6,FALSE)</f>
        <v>0</v>
      </c>
      <c r="H51" s="30">
        <f>+VLOOKUP($A51,'datos9-2015'!$A$2:$BE$78,7,FALSE)</f>
        <v>0</v>
      </c>
      <c r="I51" s="30">
        <f>+VLOOKUP($A51,'datos9-2015'!$A$2:$BE$78,8,FALSE)</f>
        <v>63125.4</v>
      </c>
      <c r="J51" s="86">
        <f>+VLOOKUP($A51,'datos9-2015'!$A$2:$BE$78,9,FALSE)</f>
        <v>20526.25</v>
      </c>
      <c r="K51" s="30">
        <f>+VLOOKUP($A51,'datos9-2015'!$A$2:$BE$78,10,FALSE)</f>
        <v>26823.14</v>
      </c>
      <c r="L51" s="20">
        <f t="shared" si="0"/>
        <v>2048239.7899999998</v>
      </c>
      <c r="O51" s="27"/>
    </row>
    <row r="52" spans="1:15" x14ac:dyDescent="0.2">
      <c r="A52" s="62" t="s">
        <v>104</v>
      </c>
      <c r="B52" s="19"/>
      <c r="C52" s="30">
        <f>+VLOOKUP($A52,'datos9-2015'!$A$2:$BE$78,2,FALSE)</f>
        <v>0</v>
      </c>
      <c r="D52" s="30">
        <f>+VLOOKUP($A52,'datos9-2015'!$A$2:$BE$78,3,FALSE)</f>
        <v>0</v>
      </c>
      <c r="E52" s="30">
        <f>+VLOOKUP($A52,'datos9-2015'!$A$2:$BE$78,4,FALSE)</f>
        <v>0</v>
      </c>
      <c r="F52" s="30">
        <f>+VLOOKUP($A52,'datos9-2015'!$A$2:$BE$78,5,FALSE)</f>
        <v>-3069.6</v>
      </c>
      <c r="G52" s="30">
        <f>+VLOOKUP($A52,'datos9-2015'!$A$2:$BE$78,6,FALSE)</f>
        <v>0</v>
      </c>
      <c r="H52" s="30">
        <f>+VLOOKUP($A52,'datos9-2015'!$A$2:$BE$78,7,FALSE)</f>
        <v>129528.74</v>
      </c>
      <c r="I52" s="30">
        <f>+VLOOKUP($A52,'datos9-2015'!$A$2:$BE$78,8,FALSE)</f>
        <v>876.39</v>
      </c>
      <c r="J52" s="86">
        <f>+VLOOKUP($A52,'datos9-2015'!$A$2:$BE$78,9,FALSE)</f>
        <v>206588.7</v>
      </c>
      <c r="K52" s="30">
        <f>+VLOOKUP($A52,'datos9-2015'!$A$2:$BE$78,10,FALSE)</f>
        <v>0</v>
      </c>
      <c r="L52" s="20">
        <f t="shared" si="0"/>
        <v>333924.23</v>
      </c>
      <c r="O52" s="27"/>
    </row>
    <row r="53" spans="1:15" x14ac:dyDescent="0.2">
      <c r="A53" s="62" t="s">
        <v>105</v>
      </c>
      <c r="B53" s="19"/>
      <c r="C53" s="30">
        <f>+VLOOKUP($A53,'datos9-2015'!$A$2:$BE$78,2,FALSE)</f>
        <v>0</v>
      </c>
      <c r="D53" s="30">
        <f>+VLOOKUP($A53,'datos9-2015'!$A$2:$BE$78,3,FALSE)</f>
        <v>14584.49</v>
      </c>
      <c r="E53" s="30">
        <f>+VLOOKUP($A53,'datos9-2015'!$A$2:$BE$78,4,FALSE)</f>
        <v>0</v>
      </c>
      <c r="F53" s="30">
        <f>+VLOOKUP($A53,'datos9-2015'!$A$2:$BE$78,5,FALSE)</f>
        <v>1982286.32</v>
      </c>
      <c r="G53" s="30">
        <f>+VLOOKUP($A53,'datos9-2015'!$A$2:$BE$78,6,FALSE)</f>
        <v>0</v>
      </c>
      <c r="H53" s="30">
        <f>+VLOOKUP($A53,'datos9-2015'!$A$2:$BE$78,7,FALSE)</f>
        <v>40750</v>
      </c>
      <c r="I53" s="30">
        <f>+VLOOKUP($A53,'datos9-2015'!$A$2:$BE$78,8,FALSE)</f>
        <v>609618.68000000005</v>
      </c>
      <c r="J53" s="86">
        <f>+VLOOKUP($A53,'datos9-2015'!$A$2:$BE$78,9,FALSE)</f>
        <v>410320.88</v>
      </c>
      <c r="K53" s="30">
        <f>+VLOOKUP($A53,'datos9-2015'!$A$2:$BE$78,10,FALSE)</f>
        <v>20837.849999999999</v>
      </c>
      <c r="L53" s="20">
        <f t="shared" si="0"/>
        <v>3078398.22</v>
      </c>
      <c r="O53" s="27"/>
    </row>
    <row r="54" spans="1:15" x14ac:dyDescent="0.2">
      <c r="A54" s="62" t="s">
        <v>106</v>
      </c>
      <c r="B54" s="19"/>
      <c r="C54" s="30">
        <f>+VLOOKUP($A54,'datos9-2015'!$A$2:$BE$78,2,FALSE)</f>
        <v>0</v>
      </c>
      <c r="D54" s="30">
        <f>+VLOOKUP($A54,'datos9-2015'!$A$2:$BE$78,3,FALSE)</f>
        <v>0</v>
      </c>
      <c r="E54" s="30">
        <f>+VLOOKUP($A54,'datos9-2015'!$A$2:$BE$78,4,FALSE)</f>
        <v>0</v>
      </c>
      <c r="F54" s="30">
        <f>+VLOOKUP($A54,'datos9-2015'!$A$2:$BE$78,5,FALSE)</f>
        <v>435493.55</v>
      </c>
      <c r="G54" s="30">
        <f>+VLOOKUP($A54,'datos9-2015'!$A$2:$BE$78,6,FALSE)</f>
        <v>0</v>
      </c>
      <c r="H54" s="30">
        <f>+VLOOKUP($A54,'datos9-2015'!$A$2:$BE$78,7,FALSE)</f>
        <v>547352.67000000004</v>
      </c>
      <c r="I54" s="30">
        <f>+VLOOKUP($A54,'datos9-2015'!$A$2:$BE$78,8,FALSE)</f>
        <v>39056.74</v>
      </c>
      <c r="J54" s="86">
        <f>+VLOOKUP($A54,'datos9-2015'!$A$2:$BE$78,9,FALSE)</f>
        <v>4750.1000000000004</v>
      </c>
      <c r="K54" s="30">
        <f>+VLOOKUP($A54,'datos9-2015'!$A$2:$BE$78,10,FALSE)</f>
        <v>42778.19</v>
      </c>
      <c r="L54" s="20">
        <f t="shared" si="0"/>
        <v>1069431.25</v>
      </c>
      <c r="O54" s="27"/>
    </row>
    <row r="55" spans="1:15" x14ac:dyDescent="0.2">
      <c r="A55" s="62" t="s">
        <v>107</v>
      </c>
      <c r="B55" s="19"/>
      <c r="C55" s="30">
        <f>+VLOOKUP($A55,'datos9-2015'!$A$2:$BE$78,2,FALSE)</f>
        <v>0</v>
      </c>
      <c r="D55" s="30">
        <f>+VLOOKUP($A55,'datos9-2015'!$A$2:$BE$78,3,FALSE)</f>
        <v>0</v>
      </c>
      <c r="E55" s="30">
        <f>+VLOOKUP($A55,'datos9-2015'!$A$2:$BE$78,4,FALSE)</f>
        <v>0</v>
      </c>
      <c r="F55" s="30">
        <f>+VLOOKUP($A55,'datos9-2015'!$A$2:$BE$78,5,FALSE)</f>
        <v>1712985.65</v>
      </c>
      <c r="G55" s="30">
        <f>+VLOOKUP($A55,'datos9-2015'!$A$2:$BE$78,6,FALSE)</f>
        <v>0</v>
      </c>
      <c r="H55" s="30">
        <f>+VLOOKUP($A55,'datos9-2015'!$A$2:$BE$78,7,FALSE)</f>
        <v>294576.76</v>
      </c>
      <c r="I55" s="30">
        <f>+VLOOKUP($A55,'datos9-2015'!$A$2:$BE$78,8,FALSE)</f>
        <v>381498.17</v>
      </c>
      <c r="J55" s="86">
        <f>+VLOOKUP($A55,'datos9-2015'!$A$2:$BE$78,9,FALSE)</f>
        <v>109366.7</v>
      </c>
      <c r="K55" s="30">
        <f>+VLOOKUP($A55,'datos9-2015'!$A$2:$BE$78,10,FALSE)</f>
        <v>0</v>
      </c>
      <c r="L55" s="20">
        <f t="shared" si="0"/>
        <v>2498427.2800000003</v>
      </c>
      <c r="O55" s="27"/>
    </row>
    <row r="56" spans="1:15" x14ac:dyDescent="0.2">
      <c r="A56" s="62" t="s">
        <v>108</v>
      </c>
      <c r="B56" s="19"/>
      <c r="C56" s="30">
        <f>+VLOOKUP($A56,'datos9-2015'!$A$2:$BE$78,2,FALSE)</f>
        <v>3242.97</v>
      </c>
      <c r="D56" s="30">
        <f>+VLOOKUP($A56,'datos9-2015'!$A$2:$BE$78,3,FALSE)</f>
        <v>0</v>
      </c>
      <c r="E56" s="30">
        <f>+VLOOKUP($A56,'datos9-2015'!$A$2:$BE$78,4,FALSE)</f>
        <v>0</v>
      </c>
      <c r="F56" s="30">
        <f>+VLOOKUP($A56,'datos9-2015'!$A$2:$BE$78,5,FALSE)</f>
        <v>68888.009999999995</v>
      </c>
      <c r="G56" s="30">
        <f>+VLOOKUP($A56,'datos9-2015'!$A$2:$BE$78,6,FALSE)</f>
        <v>0</v>
      </c>
      <c r="H56" s="30">
        <f>+VLOOKUP($A56,'datos9-2015'!$A$2:$BE$78,7,FALSE)</f>
        <v>1356.27</v>
      </c>
      <c r="I56" s="30">
        <f>+VLOOKUP($A56,'datos9-2015'!$A$2:$BE$78,8,FALSE)</f>
        <v>1942253.97</v>
      </c>
      <c r="J56" s="86">
        <f>+VLOOKUP($A56,'datos9-2015'!$A$2:$BE$78,9,FALSE)</f>
        <v>25374.15</v>
      </c>
      <c r="K56" s="30">
        <f>+VLOOKUP($A56,'datos9-2015'!$A$2:$BE$78,10,FALSE)</f>
        <v>6356.26</v>
      </c>
      <c r="L56" s="20">
        <f t="shared" si="0"/>
        <v>2047471.63</v>
      </c>
      <c r="O56" s="27"/>
    </row>
    <row r="57" spans="1:15" x14ac:dyDescent="0.2">
      <c r="A57" s="62" t="s">
        <v>109</v>
      </c>
      <c r="B57" s="19"/>
      <c r="C57" s="30">
        <f>+VLOOKUP($A57,'datos9-2015'!$A$2:$BE$78,2,FALSE)</f>
        <v>24718</v>
      </c>
      <c r="D57" s="30">
        <f>+VLOOKUP($A57,'datos9-2015'!$A$2:$BE$78,3,FALSE)</f>
        <v>0</v>
      </c>
      <c r="E57" s="30">
        <f>+VLOOKUP($A57,'datos9-2015'!$A$2:$BE$78,4,FALSE)</f>
        <v>14160</v>
      </c>
      <c r="F57" s="30">
        <f>+VLOOKUP($A57,'datos9-2015'!$A$2:$BE$78,5,FALSE)</f>
        <v>5460686</v>
      </c>
      <c r="G57" s="30">
        <f>+VLOOKUP($A57,'datos9-2015'!$A$2:$BE$78,6,FALSE)</f>
        <v>0</v>
      </c>
      <c r="H57" s="30">
        <f>+VLOOKUP($A57,'datos9-2015'!$A$2:$BE$78,7,FALSE)</f>
        <v>151730</v>
      </c>
      <c r="I57" s="30">
        <f>+VLOOKUP($A57,'datos9-2015'!$A$2:$BE$78,8,FALSE)</f>
        <v>29202570</v>
      </c>
      <c r="J57" s="86">
        <f>+VLOOKUP($A57,'datos9-2015'!$A$2:$BE$78,9,FALSE)</f>
        <v>9120869</v>
      </c>
      <c r="K57" s="30">
        <f>+VLOOKUP($A57,'datos9-2015'!$A$2:$BE$78,10,FALSE)</f>
        <v>1384840</v>
      </c>
      <c r="L57" s="20">
        <f t="shared" si="0"/>
        <v>45359573</v>
      </c>
      <c r="O57" s="27"/>
    </row>
    <row r="58" spans="1:15" x14ac:dyDescent="0.2">
      <c r="A58" s="62" t="s">
        <v>110</v>
      </c>
      <c r="B58" s="19"/>
      <c r="C58" s="30">
        <f>+VLOOKUP($A58,'datos9-2015'!$A$2:$BE$78,2,FALSE)</f>
        <v>0</v>
      </c>
      <c r="D58" s="30">
        <f>+VLOOKUP($A58,'datos9-2015'!$A$2:$BE$78,3,FALSE)</f>
        <v>13388</v>
      </c>
      <c r="E58" s="30">
        <f>+VLOOKUP($A58,'datos9-2015'!$A$2:$BE$78,4,FALSE)</f>
        <v>0</v>
      </c>
      <c r="F58" s="30">
        <f>+VLOOKUP($A58,'datos9-2015'!$A$2:$BE$78,5,FALSE)</f>
        <v>12256061</v>
      </c>
      <c r="G58" s="30">
        <f>+VLOOKUP($A58,'datos9-2015'!$A$2:$BE$78,6,FALSE)</f>
        <v>0</v>
      </c>
      <c r="H58" s="30">
        <f>+VLOOKUP($A58,'datos9-2015'!$A$2:$BE$78,7,FALSE)</f>
        <v>0</v>
      </c>
      <c r="I58" s="30">
        <f>+VLOOKUP($A58,'datos9-2015'!$A$2:$BE$78,8,FALSE)</f>
        <v>439898</v>
      </c>
      <c r="J58" s="86">
        <f>+VLOOKUP($A58,'datos9-2015'!$A$2:$BE$78,9,FALSE)</f>
        <v>0</v>
      </c>
      <c r="K58" s="30">
        <f>+VLOOKUP($A58,'datos9-2015'!$A$2:$BE$78,10,FALSE)</f>
        <v>30849</v>
      </c>
      <c r="L58" s="20">
        <f t="shared" si="0"/>
        <v>12740196</v>
      </c>
      <c r="O58" s="27"/>
    </row>
    <row r="59" spans="1:15" x14ac:dyDescent="0.2">
      <c r="A59" s="62" t="s">
        <v>111</v>
      </c>
      <c r="B59" s="19"/>
      <c r="C59" s="30">
        <f>+VLOOKUP($A59,'datos9-2015'!$A$2:$BE$78,2,FALSE)</f>
        <v>0</v>
      </c>
      <c r="D59" s="30">
        <f>+VLOOKUP($A59,'datos9-2015'!$A$2:$BE$78,3,FALSE)</f>
        <v>116039.83</v>
      </c>
      <c r="E59" s="30">
        <f>+VLOOKUP($A59,'datos9-2015'!$A$2:$BE$78,4,FALSE)</f>
        <v>74011.92</v>
      </c>
      <c r="F59" s="30">
        <f>+VLOOKUP($A59,'datos9-2015'!$A$2:$BE$78,5,FALSE)</f>
        <v>12275285.220000001</v>
      </c>
      <c r="G59" s="30">
        <f>+VLOOKUP($A59,'datos9-2015'!$A$2:$BE$78,6,FALSE)</f>
        <v>0</v>
      </c>
      <c r="H59" s="30">
        <f>+VLOOKUP($A59,'datos9-2015'!$A$2:$BE$78,7,FALSE)</f>
        <v>502534.48</v>
      </c>
      <c r="I59" s="30">
        <f>+VLOOKUP($A59,'datos9-2015'!$A$2:$BE$78,8,FALSE)</f>
        <v>1316160.8600000001</v>
      </c>
      <c r="J59" s="86">
        <f>+VLOOKUP($A59,'datos9-2015'!$A$2:$BE$78,9,FALSE)</f>
        <v>581012.97</v>
      </c>
      <c r="K59" s="30">
        <f>+VLOOKUP($A59,'datos9-2015'!$A$2:$BE$78,10,FALSE)</f>
        <v>256586.84</v>
      </c>
      <c r="L59" s="20">
        <f t="shared" si="0"/>
        <v>15121632.120000001</v>
      </c>
      <c r="O59" s="27"/>
    </row>
    <row r="60" spans="1:15" x14ac:dyDescent="0.2">
      <c r="A60" s="62" t="s">
        <v>112</v>
      </c>
      <c r="B60" s="19"/>
      <c r="C60" s="30">
        <f>+VLOOKUP($A60,'datos9-2015'!$A$2:$BE$78,2,FALSE)</f>
        <v>0</v>
      </c>
      <c r="D60" s="30">
        <f>+VLOOKUP($A60,'datos9-2015'!$A$2:$BE$78,3,FALSE)</f>
        <v>0</v>
      </c>
      <c r="E60" s="30">
        <f>+VLOOKUP($A60,'datos9-2015'!$A$2:$BE$78,4,FALSE)</f>
        <v>0</v>
      </c>
      <c r="F60" s="30">
        <f>+VLOOKUP($A60,'datos9-2015'!$A$2:$BE$78,5,FALSE)</f>
        <v>0</v>
      </c>
      <c r="G60" s="30">
        <f>+VLOOKUP($A60,'datos9-2015'!$A$2:$BE$78,6,FALSE)</f>
        <v>0</v>
      </c>
      <c r="H60" s="30">
        <f>+VLOOKUP($A60,'datos9-2015'!$A$2:$BE$78,7,FALSE)</f>
        <v>0</v>
      </c>
      <c r="I60" s="30">
        <f>+VLOOKUP($A60,'datos9-2015'!$A$2:$BE$78,8,FALSE)</f>
        <v>1119311.8500000001</v>
      </c>
      <c r="J60" s="86">
        <f>+VLOOKUP($A60,'datos9-2015'!$A$2:$BE$78,9,FALSE)</f>
        <v>110023.34</v>
      </c>
      <c r="K60" s="30">
        <f>+VLOOKUP($A60,'datos9-2015'!$A$2:$BE$78,10,FALSE)</f>
        <v>0</v>
      </c>
      <c r="L60" s="20">
        <f t="shared" si="0"/>
        <v>1229335.1900000002</v>
      </c>
      <c r="O60" s="27"/>
    </row>
    <row r="61" spans="1:15" x14ac:dyDescent="0.2">
      <c r="A61" s="62" t="s">
        <v>113</v>
      </c>
      <c r="B61" s="19"/>
      <c r="C61" s="30">
        <f>+VLOOKUP($A61,'datos9-2015'!$A$2:$BE$78,2,FALSE)</f>
        <v>0</v>
      </c>
      <c r="D61" s="30">
        <f>+VLOOKUP($A61,'datos9-2015'!$A$2:$BE$78,3,FALSE)</f>
        <v>0</v>
      </c>
      <c r="E61" s="30">
        <f>+VLOOKUP($A61,'datos9-2015'!$A$2:$BE$78,4,FALSE)</f>
        <v>0</v>
      </c>
      <c r="F61" s="30">
        <f>+VLOOKUP($A61,'datos9-2015'!$A$2:$BE$78,5,FALSE)</f>
        <v>58963.15</v>
      </c>
      <c r="G61" s="30">
        <f>+VLOOKUP($A61,'datos9-2015'!$A$2:$BE$78,6,FALSE)</f>
        <v>0</v>
      </c>
      <c r="H61" s="30">
        <f>+VLOOKUP($A61,'datos9-2015'!$A$2:$BE$78,7,FALSE)</f>
        <v>0</v>
      </c>
      <c r="I61" s="30">
        <f>+VLOOKUP($A61,'datos9-2015'!$A$2:$BE$78,8,FALSE)</f>
        <v>79060.3</v>
      </c>
      <c r="J61" s="86">
        <f>+VLOOKUP($A61,'datos9-2015'!$A$2:$BE$78,9,FALSE)</f>
        <v>44655.46</v>
      </c>
      <c r="K61" s="30">
        <f>+VLOOKUP($A61,'datos9-2015'!$A$2:$BE$78,10,FALSE)</f>
        <v>34.1</v>
      </c>
      <c r="L61" s="20">
        <f t="shared" si="0"/>
        <v>182713.01</v>
      </c>
      <c r="O61" s="27"/>
    </row>
    <row r="62" spans="1:15" x14ac:dyDescent="0.2">
      <c r="A62" s="62" t="s">
        <v>114</v>
      </c>
      <c r="B62" s="19"/>
      <c r="C62" s="30">
        <f>+VLOOKUP($A62,'datos9-2015'!$A$2:$BE$78,2,FALSE)</f>
        <v>0</v>
      </c>
      <c r="D62" s="30">
        <f>+VLOOKUP($A62,'datos9-2015'!$A$2:$BE$78,3,FALSE)</f>
        <v>0</v>
      </c>
      <c r="E62" s="30">
        <f>+VLOOKUP($A62,'datos9-2015'!$A$2:$BE$78,4,FALSE)</f>
        <v>0</v>
      </c>
      <c r="F62" s="30">
        <f>+VLOOKUP($A62,'datos9-2015'!$A$2:$BE$78,5,FALSE)</f>
        <v>4135969.3</v>
      </c>
      <c r="G62" s="30">
        <f>+VLOOKUP($A62,'datos9-2015'!$A$2:$BE$78,6,FALSE)</f>
        <v>446798.1</v>
      </c>
      <c r="H62" s="30">
        <f>+VLOOKUP($A62,'datos9-2015'!$A$2:$BE$78,7,FALSE)</f>
        <v>0</v>
      </c>
      <c r="I62" s="30">
        <f>+VLOOKUP($A62,'datos9-2015'!$A$2:$BE$78,8,FALSE)</f>
        <v>0</v>
      </c>
      <c r="J62" s="86">
        <f>+VLOOKUP($A62,'datos9-2015'!$A$2:$BE$78,9,FALSE)</f>
        <v>0</v>
      </c>
      <c r="K62" s="30">
        <f>+VLOOKUP($A62,'datos9-2015'!$A$2:$BE$78,10,FALSE)</f>
        <v>0</v>
      </c>
      <c r="L62" s="20">
        <f t="shared" si="0"/>
        <v>4582767.3999999994</v>
      </c>
      <c r="O62" s="27"/>
    </row>
    <row r="63" spans="1:15" x14ac:dyDescent="0.2">
      <c r="A63" s="62" t="s">
        <v>115</v>
      </c>
      <c r="B63" s="19"/>
      <c r="C63" s="30">
        <f>+VLOOKUP($A63,'datos9-2015'!$A$2:$BE$78,2,FALSE)</f>
        <v>0</v>
      </c>
      <c r="D63" s="30">
        <f>+VLOOKUP($A63,'datos9-2015'!$A$2:$BE$78,3,FALSE)</f>
        <v>18170.43</v>
      </c>
      <c r="E63" s="30">
        <f>+VLOOKUP($A63,'datos9-2015'!$A$2:$BE$78,4,FALSE)</f>
        <v>0</v>
      </c>
      <c r="F63" s="30">
        <f>+VLOOKUP($A63,'datos9-2015'!$A$2:$BE$78,5,FALSE)</f>
        <v>1539078.14</v>
      </c>
      <c r="G63" s="30">
        <f>+VLOOKUP($A63,'datos9-2015'!$A$2:$BE$78,6,FALSE)</f>
        <v>0</v>
      </c>
      <c r="H63" s="30">
        <f>+VLOOKUP($A63,'datos9-2015'!$A$2:$BE$78,7,FALSE)</f>
        <v>9994.48</v>
      </c>
      <c r="I63" s="30">
        <f>+VLOOKUP($A63,'datos9-2015'!$A$2:$BE$78,8,FALSE)</f>
        <v>75828.039999999994</v>
      </c>
      <c r="J63" s="86">
        <f>+VLOOKUP($A63,'datos9-2015'!$A$2:$BE$78,9,FALSE)</f>
        <v>9608.58</v>
      </c>
      <c r="K63" s="30">
        <f>+VLOOKUP($A63,'datos9-2015'!$A$2:$BE$78,10,FALSE)</f>
        <v>1429.46</v>
      </c>
      <c r="L63" s="20">
        <f t="shared" si="0"/>
        <v>1654109.13</v>
      </c>
      <c r="O63" s="27"/>
    </row>
    <row r="64" spans="1:15" x14ac:dyDescent="0.2">
      <c r="A64" s="62" t="s">
        <v>116</v>
      </c>
      <c r="B64" s="19"/>
      <c r="C64" s="30">
        <f>+VLOOKUP($A64,'datos9-2015'!$A$2:$BE$78,2,FALSE)</f>
        <v>0</v>
      </c>
      <c r="D64" s="30">
        <f>+VLOOKUP($A64,'datos9-2015'!$A$2:$BE$78,3,FALSE)</f>
        <v>24277.279999999999</v>
      </c>
      <c r="E64" s="30">
        <f>+VLOOKUP($A64,'datos9-2015'!$A$2:$BE$78,4,FALSE)</f>
        <v>0</v>
      </c>
      <c r="F64" s="30">
        <f>+VLOOKUP($A64,'datos9-2015'!$A$2:$BE$78,5,FALSE)</f>
        <v>3752830</v>
      </c>
      <c r="G64" s="30">
        <f>+VLOOKUP($A64,'datos9-2015'!$A$2:$BE$78,6,FALSE)</f>
        <v>0</v>
      </c>
      <c r="H64" s="30">
        <f>+VLOOKUP($A64,'datos9-2015'!$A$2:$BE$78,7,FALSE)</f>
        <v>108144</v>
      </c>
      <c r="I64" s="30">
        <f>+VLOOKUP($A64,'datos9-2015'!$A$2:$BE$78,8,FALSE)</f>
        <v>0</v>
      </c>
      <c r="J64" s="86">
        <f>+VLOOKUP($A64,'datos9-2015'!$A$2:$BE$78,9,FALSE)</f>
        <v>184192</v>
      </c>
      <c r="K64" s="30">
        <f>+VLOOKUP($A64,'datos9-2015'!$A$2:$BE$78,10,FALSE)</f>
        <v>63880</v>
      </c>
      <c r="L64" s="20">
        <f t="shared" si="0"/>
        <v>4133323.28</v>
      </c>
      <c r="O64" s="27"/>
    </row>
    <row r="65" spans="1:15" x14ac:dyDescent="0.2">
      <c r="A65" s="62" t="s">
        <v>117</v>
      </c>
      <c r="B65" s="19"/>
      <c r="C65" s="30">
        <f>+VLOOKUP($A65,'datos9-2015'!$A$2:$BE$78,2,FALSE)</f>
        <v>0</v>
      </c>
      <c r="D65" s="30">
        <f>+VLOOKUP($A65,'datos9-2015'!$A$2:$BE$78,3,FALSE)</f>
        <v>2884</v>
      </c>
      <c r="E65" s="30">
        <f>+VLOOKUP($A65,'datos9-2015'!$A$2:$BE$78,4,FALSE)</f>
        <v>0</v>
      </c>
      <c r="F65" s="30">
        <f>+VLOOKUP($A65,'datos9-2015'!$A$2:$BE$78,5,FALSE)</f>
        <v>0</v>
      </c>
      <c r="G65" s="30">
        <f>+VLOOKUP($A65,'datos9-2015'!$A$2:$BE$78,6,FALSE)</f>
        <v>0</v>
      </c>
      <c r="H65" s="30">
        <f>+VLOOKUP($A65,'datos9-2015'!$A$2:$BE$78,7,FALSE)</f>
        <v>0</v>
      </c>
      <c r="I65" s="30">
        <f>+VLOOKUP($A65,'datos9-2015'!$A$2:$BE$78,8,FALSE)</f>
        <v>109719</v>
      </c>
      <c r="J65" s="86">
        <f>+VLOOKUP($A65,'datos9-2015'!$A$2:$BE$78,9,FALSE)</f>
        <v>35655</v>
      </c>
      <c r="K65" s="30">
        <f>+VLOOKUP($A65,'datos9-2015'!$A$2:$BE$78,10,FALSE)</f>
        <v>802</v>
      </c>
      <c r="L65" s="20">
        <f t="shared" si="0"/>
        <v>149060</v>
      </c>
      <c r="O65" s="27"/>
    </row>
    <row r="66" spans="1:15" x14ac:dyDescent="0.2">
      <c r="A66" s="62" t="s">
        <v>118</v>
      </c>
      <c r="B66" s="19"/>
      <c r="C66" s="30">
        <f>+VLOOKUP($A66,'datos9-2015'!$A$2:$BE$78,2,FALSE)</f>
        <v>0</v>
      </c>
      <c r="D66" s="30">
        <f>+VLOOKUP($A66,'datos9-2015'!$A$2:$BE$78,3,FALSE)</f>
        <v>31835.42</v>
      </c>
      <c r="E66" s="30">
        <f>+VLOOKUP($A66,'datos9-2015'!$A$2:$BE$78,4,FALSE)</f>
        <v>1667.29</v>
      </c>
      <c r="F66" s="30">
        <f>+VLOOKUP($A66,'datos9-2015'!$A$2:$BE$78,5,FALSE)</f>
        <v>2747989.37</v>
      </c>
      <c r="G66" s="30">
        <f>+VLOOKUP($A66,'datos9-2015'!$A$2:$BE$78,6,FALSE)</f>
        <v>81525.09</v>
      </c>
      <c r="H66" s="30">
        <f>+VLOOKUP($A66,'datos9-2015'!$A$2:$BE$78,7,FALSE)</f>
        <v>220155.06</v>
      </c>
      <c r="I66" s="30">
        <f>+VLOOKUP($A66,'datos9-2015'!$A$2:$BE$78,8,FALSE)</f>
        <v>19885.37</v>
      </c>
      <c r="J66" s="86">
        <f>+VLOOKUP($A66,'datos9-2015'!$A$2:$BE$78,9,FALSE)</f>
        <v>170162.99</v>
      </c>
      <c r="K66" s="30">
        <f>+VLOOKUP($A66,'datos9-2015'!$A$2:$BE$78,10,FALSE)</f>
        <v>90332.29</v>
      </c>
      <c r="L66" s="20">
        <f t="shared" si="0"/>
        <v>3363552.88</v>
      </c>
      <c r="O66" s="27"/>
    </row>
    <row r="67" spans="1:15" x14ac:dyDescent="0.2">
      <c r="A67" s="62" t="s">
        <v>119</v>
      </c>
      <c r="B67" s="19"/>
      <c r="C67" s="30">
        <f>+VLOOKUP($A67,'datos9-2015'!$A$2:$BE$78,2,FALSE)</f>
        <v>173211.32</v>
      </c>
      <c r="D67" s="30">
        <f>+VLOOKUP($A67,'datos9-2015'!$A$2:$BE$78,3,FALSE)</f>
        <v>6074599.7999999998</v>
      </c>
      <c r="E67" s="30">
        <f>+VLOOKUP($A67,'datos9-2015'!$A$2:$BE$78,4,FALSE)</f>
        <v>0</v>
      </c>
      <c r="F67" s="30">
        <f>+VLOOKUP($A67,'datos9-2015'!$A$2:$BE$78,5,FALSE)</f>
        <v>30203154.73</v>
      </c>
      <c r="G67" s="30">
        <f>+VLOOKUP($A67,'datos9-2015'!$A$2:$BE$78,6,FALSE)</f>
        <v>0</v>
      </c>
      <c r="H67" s="30">
        <f>+VLOOKUP($A67,'datos9-2015'!$A$2:$BE$78,7,FALSE)</f>
        <v>12993624.359999999</v>
      </c>
      <c r="I67" s="30">
        <f>+VLOOKUP($A67,'datos9-2015'!$A$2:$BE$78,8,FALSE)</f>
        <v>3599626.13</v>
      </c>
      <c r="J67" s="86">
        <f>+VLOOKUP($A67,'datos9-2015'!$A$2:$BE$78,9,FALSE)</f>
        <v>34616864.369999997</v>
      </c>
      <c r="K67" s="30">
        <f>+VLOOKUP($A67,'datos9-2015'!$A$2:$BE$78,10,FALSE)</f>
        <v>1329858.18</v>
      </c>
      <c r="L67" s="20">
        <f t="shared" si="0"/>
        <v>88990938.890000015</v>
      </c>
      <c r="O67" s="27"/>
    </row>
    <row r="68" spans="1:15" x14ac:dyDescent="0.2">
      <c r="A68" s="62" t="s">
        <v>120</v>
      </c>
      <c r="B68" s="19"/>
      <c r="C68" s="30">
        <f>+VLOOKUP($A68,'datos9-2015'!$A$2:$BE$78,2,FALSE)</f>
        <v>0</v>
      </c>
      <c r="D68" s="30">
        <f>+VLOOKUP($A68,'datos9-2015'!$A$2:$BE$78,3,FALSE)</f>
        <v>14730.16</v>
      </c>
      <c r="E68" s="30">
        <f>+VLOOKUP($A68,'datos9-2015'!$A$2:$BE$78,4,FALSE)</f>
        <v>0</v>
      </c>
      <c r="F68" s="30">
        <f>+VLOOKUP($A68,'datos9-2015'!$A$2:$BE$78,5,FALSE)</f>
        <v>849175.12</v>
      </c>
      <c r="G68" s="30">
        <f>+VLOOKUP($A68,'datos9-2015'!$A$2:$BE$78,6,FALSE)</f>
        <v>0</v>
      </c>
      <c r="H68" s="30">
        <f>+VLOOKUP($A68,'datos9-2015'!$A$2:$BE$78,7,FALSE)</f>
        <v>0</v>
      </c>
      <c r="I68" s="30">
        <f>+VLOOKUP($A68,'datos9-2015'!$A$2:$BE$78,8,FALSE)</f>
        <v>25306.57</v>
      </c>
      <c r="J68" s="86">
        <f>+VLOOKUP($A68,'datos9-2015'!$A$2:$BE$78,9,FALSE)</f>
        <v>6112.5</v>
      </c>
      <c r="K68" s="30">
        <f>+VLOOKUP($A68,'datos9-2015'!$A$2:$BE$78,10,FALSE)</f>
        <v>4807.78</v>
      </c>
      <c r="L68" s="20">
        <f t="shared" si="0"/>
        <v>900132.13</v>
      </c>
      <c r="O68" s="27"/>
    </row>
    <row r="69" spans="1:15" x14ac:dyDescent="0.2">
      <c r="A69" s="62" t="s">
        <v>121</v>
      </c>
      <c r="B69" s="19"/>
      <c r="C69" s="30">
        <f>+VLOOKUP($A69,'datos9-2015'!$A$2:$BE$78,2,FALSE)</f>
        <v>0</v>
      </c>
      <c r="D69" s="30">
        <f>+VLOOKUP($A69,'datos9-2015'!$A$2:$BE$78,3,FALSE)</f>
        <v>0</v>
      </c>
      <c r="E69" s="30">
        <f>+VLOOKUP($A69,'datos9-2015'!$A$2:$BE$78,4,FALSE)</f>
        <v>0</v>
      </c>
      <c r="F69" s="30">
        <f>+VLOOKUP($A69,'datos9-2015'!$A$2:$BE$78,5,FALSE)</f>
        <v>3372157.14</v>
      </c>
      <c r="G69" s="30">
        <f>+VLOOKUP($A69,'datos9-2015'!$A$2:$BE$78,6,FALSE)</f>
        <v>0</v>
      </c>
      <c r="H69" s="30">
        <f>+VLOOKUP($A69,'datos9-2015'!$A$2:$BE$78,7,FALSE)</f>
        <v>253715.53</v>
      </c>
      <c r="I69" s="30">
        <f>+VLOOKUP($A69,'datos9-2015'!$A$2:$BE$78,8,FALSE)</f>
        <v>0</v>
      </c>
      <c r="J69" s="86">
        <f>+VLOOKUP($A69,'datos9-2015'!$A$2:$BE$78,9,FALSE)</f>
        <v>12529649.98</v>
      </c>
      <c r="K69" s="30">
        <f>+VLOOKUP($A69,'datos9-2015'!$A$2:$BE$78,10,FALSE)</f>
        <v>6676.85</v>
      </c>
      <c r="L69" s="20">
        <f t="shared" si="0"/>
        <v>16162199.5</v>
      </c>
      <c r="O69" s="27"/>
    </row>
    <row r="70" spans="1:15" x14ac:dyDescent="0.2">
      <c r="A70" s="62" t="s">
        <v>122</v>
      </c>
      <c r="B70" s="19"/>
      <c r="C70" s="30">
        <f>+VLOOKUP($A70,'datos9-2015'!$A$2:$BE$78,2,FALSE)</f>
        <v>0</v>
      </c>
      <c r="D70" s="30">
        <f>+VLOOKUP($A70,'datos9-2015'!$A$2:$BE$78,3,FALSE)</f>
        <v>17140.18</v>
      </c>
      <c r="E70" s="30">
        <f>+VLOOKUP($A70,'datos9-2015'!$A$2:$BE$78,4,FALSE)</f>
        <v>0</v>
      </c>
      <c r="F70" s="30">
        <f>+VLOOKUP($A70,'datos9-2015'!$A$2:$BE$78,5,FALSE)</f>
        <v>873535.81</v>
      </c>
      <c r="G70" s="30">
        <f>+VLOOKUP($A70,'datos9-2015'!$A$2:$BE$78,6,FALSE)</f>
        <v>0</v>
      </c>
      <c r="H70" s="30">
        <f>+VLOOKUP($A70,'datos9-2015'!$A$2:$BE$78,7,FALSE)</f>
        <v>111952.33</v>
      </c>
      <c r="I70" s="30">
        <f>+VLOOKUP($A70,'datos9-2015'!$A$2:$BE$78,8,FALSE)</f>
        <v>54014.93</v>
      </c>
      <c r="J70" s="86">
        <f>+VLOOKUP($A70,'datos9-2015'!$A$2:$BE$78,9,FALSE)</f>
        <v>53540.88</v>
      </c>
      <c r="K70" s="30">
        <f>+VLOOKUP($A70,'datos9-2015'!$A$2:$BE$78,10,FALSE)</f>
        <v>3302.13</v>
      </c>
      <c r="L70" s="20">
        <f t="shared" si="0"/>
        <v>1113486.2599999998</v>
      </c>
      <c r="O70" s="27"/>
    </row>
    <row r="71" spans="1:15" x14ac:dyDescent="0.2">
      <c r="A71" s="62" t="s">
        <v>123</v>
      </c>
      <c r="B71" s="19"/>
      <c r="C71" s="30">
        <f>+VLOOKUP($A71,'datos9-2015'!$A$2:$BE$78,2,FALSE)</f>
        <v>0</v>
      </c>
      <c r="D71" s="30">
        <f>+VLOOKUP($A71,'datos9-2015'!$A$2:$BE$78,3,FALSE)</f>
        <v>90022</v>
      </c>
      <c r="E71" s="30">
        <f>+VLOOKUP($A71,'datos9-2015'!$A$2:$BE$78,4,FALSE)</f>
        <v>0</v>
      </c>
      <c r="F71" s="30">
        <f>+VLOOKUP($A71,'datos9-2015'!$A$2:$BE$78,5,FALSE)</f>
        <v>240712</v>
      </c>
      <c r="G71" s="30">
        <f>+VLOOKUP($A71,'datos9-2015'!$A$2:$BE$78,6,FALSE)</f>
        <v>0</v>
      </c>
      <c r="H71" s="30">
        <f>+VLOOKUP($A71,'datos9-2015'!$A$2:$BE$78,7,FALSE)</f>
        <v>0</v>
      </c>
      <c r="I71" s="30">
        <f>+VLOOKUP($A71,'datos9-2015'!$A$2:$BE$78,8,FALSE)</f>
        <v>1610688</v>
      </c>
      <c r="J71" s="86">
        <f>+VLOOKUP($A71,'datos9-2015'!$A$2:$BE$78,9,FALSE)</f>
        <v>176601</v>
      </c>
      <c r="K71" s="30">
        <f>+VLOOKUP($A71,'datos9-2015'!$A$2:$BE$78,10,FALSE)</f>
        <v>71606</v>
      </c>
      <c r="L71" s="20">
        <f t="shared" si="0"/>
        <v>2189629</v>
      </c>
      <c r="O71" s="27"/>
    </row>
    <row r="72" spans="1:15" x14ac:dyDescent="0.2">
      <c r="A72" s="62" t="s">
        <v>124</v>
      </c>
      <c r="B72" s="19"/>
      <c r="C72" s="30">
        <f>+VLOOKUP($A72,'datos9-2015'!$A$2:$BE$78,2,FALSE)</f>
        <v>0</v>
      </c>
      <c r="D72" s="30">
        <f>+VLOOKUP($A72,'datos9-2015'!$A$2:$BE$78,3,FALSE)</f>
        <v>0</v>
      </c>
      <c r="E72" s="30">
        <f>+VLOOKUP($A72,'datos9-2015'!$A$2:$BE$78,4,FALSE)</f>
        <v>0</v>
      </c>
      <c r="F72" s="30">
        <f>+VLOOKUP($A72,'datos9-2015'!$A$2:$BE$78,5,FALSE)</f>
        <v>7825.36</v>
      </c>
      <c r="G72" s="30">
        <f>+VLOOKUP($A72,'datos9-2015'!$A$2:$BE$78,6,FALSE)</f>
        <v>0</v>
      </c>
      <c r="H72" s="30">
        <f>+VLOOKUP($A72,'datos9-2015'!$A$2:$BE$78,7,FALSE)</f>
        <v>0</v>
      </c>
      <c r="I72" s="30">
        <f>+VLOOKUP($A72,'datos9-2015'!$A$2:$BE$78,8,FALSE)</f>
        <v>7953.47</v>
      </c>
      <c r="J72" s="86">
        <f>+VLOOKUP($A72,'datos9-2015'!$A$2:$BE$78,9,FALSE)</f>
        <v>13521.67</v>
      </c>
      <c r="K72" s="30">
        <f>+VLOOKUP($A72,'datos9-2015'!$A$2:$BE$78,10,FALSE)</f>
        <v>398.5</v>
      </c>
      <c r="L72" s="20">
        <f t="shared" ref="L72:L82" si="1">SUM(C72:K72)</f>
        <v>29699</v>
      </c>
      <c r="O72" s="27"/>
    </row>
    <row r="73" spans="1:15" x14ac:dyDescent="0.2">
      <c r="A73" s="62" t="s">
        <v>125</v>
      </c>
      <c r="B73" s="19"/>
      <c r="C73" s="30">
        <f>+VLOOKUP($A73,'datos9-2015'!$A$2:$BE$78,2,FALSE)</f>
        <v>0</v>
      </c>
      <c r="D73" s="30">
        <f>+VLOOKUP($A73,'datos9-2015'!$A$2:$BE$78,3,FALSE)</f>
        <v>0</v>
      </c>
      <c r="E73" s="30">
        <f>+VLOOKUP($A73,'datos9-2015'!$A$2:$BE$78,4,FALSE)</f>
        <v>0</v>
      </c>
      <c r="F73" s="30">
        <f>+VLOOKUP($A73,'datos9-2015'!$A$2:$BE$78,5,FALSE)</f>
        <v>144938.5</v>
      </c>
      <c r="G73" s="30">
        <f>+VLOOKUP($A73,'datos9-2015'!$A$2:$BE$78,6,FALSE)</f>
        <v>0</v>
      </c>
      <c r="H73" s="30">
        <f>+VLOOKUP($A73,'datos9-2015'!$A$2:$BE$78,7,FALSE)</f>
        <v>0</v>
      </c>
      <c r="I73" s="30">
        <f>+VLOOKUP($A73,'datos9-2015'!$A$2:$BE$78,8,FALSE)</f>
        <v>0</v>
      </c>
      <c r="J73" s="86">
        <f>+VLOOKUP($A73,'datos9-2015'!$A$2:$BE$78,9,FALSE)</f>
        <v>0</v>
      </c>
      <c r="K73" s="30">
        <f>+VLOOKUP($A73,'datos9-2015'!$A$2:$BE$78,10,FALSE)</f>
        <v>0.59</v>
      </c>
      <c r="L73" s="20">
        <f t="shared" si="1"/>
        <v>144939.09</v>
      </c>
      <c r="O73" s="27"/>
    </row>
    <row r="74" spans="1:15" x14ac:dyDescent="0.2">
      <c r="A74" s="62" t="s">
        <v>126</v>
      </c>
      <c r="B74" s="19"/>
      <c r="C74" s="30">
        <f>+VLOOKUP($A74,'datos9-2015'!$A$2:$BE$78,2,FALSE)</f>
        <v>0</v>
      </c>
      <c r="D74" s="30">
        <f>+VLOOKUP($A74,'datos9-2015'!$A$2:$BE$78,3,FALSE)</f>
        <v>1600.61</v>
      </c>
      <c r="E74" s="30">
        <f>+VLOOKUP($A74,'datos9-2015'!$A$2:$BE$78,4,FALSE)</f>
        <v>0</v>
      </c>
      <c r="F74" s="30">
        <f>+VLOOKUP($A74,'datos9-2015'!$A$2:$BE$78,5,FALSE)</f>
        <v>0</v>
      </c>
      <c r="G74" s="30">
        <f>+VLOOKUP($A74,'datos9-2015'!$A$2:$BE$78,6,FALSE)</f>
        <v>0</v>
      </c>
      <c r="H74" s="30">
        <f>+VLOOKUP($A74,'datos9-2015'!$A$2:$BE$78,7,FALSE)</f>
        <v>38161.01</v>
      </c>
      <c r="I74" s="30">
        <f>+VLOOKUP($A74,'datos9-2015'!$A$2:$BE$78,8,FALSE)</f>
        <v>91105.06</v>
      </c>
      <c r="J74" s="86">
        <f>+VLOOKUP($A74,'datos9-2015'!$A$2:$BE$78,9,FALSE)</f>
        <v>104209.03</v>
      </c>
      <c r="K74" s="30">
        <f>+VLOOKUP($A74,'datos9-2015'!$A$2:$BE$78,10,FALSE)</f>
        <v>44913.26</v>
      </c>
      <c r="L74" s="20">
        <f t="shared" si="1"/>
        <v>279988.96999999997</v>
      </c>
      <c r="O74" s="27"/>
    </row>
    <row r="75" spans="1:15" x14ac:dyDescent="0.2">
      <c r="A75" s="62" t="s">
        <v>127</v>
      </c>
      <c r="B75" s="19"/>
      <c r="C75" s="30">
        <f>+VLOOKUP($A75,'datos9-2015'!$A$2:$BE$78,2,FALSE)</f>
        <v>0</v>
      </c>
      <c r="D75" s="30">
        <f>+VLOOKUP($A75,'datos9-2015'!$A$2:$BE$78,3,FALSE)</f>
        <v>0</v>
      </c>
      <c r="E75" s="30">
        <f>+VLOOKUP($A75,'datos9-2015'!$A$2:$BE$78,4,FALSE)</f>
        <v>0</v>
      </c>
      <c r="F75" s="30">
        <f>+VLOOKUP($A75,'datos9-2015'!$A$2:$BE$78,5,FALSE)</f>
        <v>1719139.8</v>
      </c>
      <c r="G75" s="30">
        <f>+VLOOKUP($A75,'datos9-2015'!$A$2:$BE$78,6,FALSE)</f>
        <v>0</v>
      </c>
      <c r="H75" s="30">
        <f>+VLOOKUP($A75,'datos9-2015'!$A$2:$BE$78,7,FALSE)</f>
        <v>63148.959999999999</v>
      </c>
      <c r="I75" s="30">
        <f>+VLOOKUP($A75,'datos9-2015'!$A$2:$BE$78,8,FALSE)</f>
        <v>0</v>
      </c>
      <c r="J75" s="86">
        <f>+VLOOKUP($A75,'datos9-2015'!$A$2:$BE$78,9,FALSE)</f>
        <v>15261.54</v>
      </c>
      <c r="K75" s="30">
        <f>+VLOOKUP($A75,'datos9-2015'!$A$2:$BE$78,10,FALSE)</f>
        <v>46063.82</v>
      </c>
      <c r="L75" s="20">
        <f t="shared" si="1"/>
        <v>1843614.12</v>
      </c>
      <c r="O75" s="27"/>
    </row>
    <row r="76" spans="1:15" x14ac:dyDescent="0.2">
      <c r="A76" s="62" t="s">
        <v>128</v>
      </c>
      <c r="B76" s="19"/>
      <c r="C76" s="30">
        <f>+VLOOKUP($A76,'datos9-2015'!$A$2:$BE$78,2,FALSE)</f>
        <v>0</v>
      </c>
      <c r="D76" s="30">
        <f>+VLOOKUP($A76,'datos9-2015'!$A$2:$BE$78,3,FALSE)</f>
        <v>42392</v>
      </c>
      <c r="E76" s="30">
        <f>+VLOOKUP($A76,'datos9-2015'!$A$2:$BE$78,4,FALSE)</f>
        <v>0</v>
      </c>
      <c r="F76" s="30">
        <f>+VLOOKUP($A76,'datos9-2015'!$A$2:$BE$78,5,FALSE)</f>
        <v>9321289</v>
      </c>
      <c r="G76" s="30">
        <f>+VLOOKUP($A76,'datos9-2015'!$A$2:$BE$78,6,FALSE)</f>
        <v>0</v>
      </c>
      <c r="H76" s="30">
        <f>+VLOOKUP($A76,'datos9-2015'!$A$2:$BE$78,7,FALSE)</f>
        <v>2065716</v>
      </c>
      <c r="I76" s="30">
        <f>+VLOOKUP($A76,'datos9-2015'!$A$2:$BE$78,8,FALSE)</f>
        <v>1796380</v>
      </c>
      <c r="J76" s="86">
        <f>+VLOOKUP($A76,'datos9-2015'!$A$2:$BE$78,9,FALSE)</f>
        <v>11019428</v>
      </c>
      <c r="K76" s="30">
        <f>+VLOOKUP($A76,'datos9-2015'!$A$2:$BE$78,10,FALSE)</f>
        <v>63794</v>
      </c>
      <c r="L76" s="20">
        <f t="shared" si="1"/>
        <v>24308999</v>
      </c>
      <c r="O76" s="27"/>
    </row>
    <row r="77" spans="1:15" x14ac:dyDescent="0.2">
      <c r="A77" s="62" t="s">
        <v>129</v>
      </c>
      <c r="B77" s="19"/>
      <c r="C77" s="30">
        <f>+VLOOKUP($A77,'datos9-2015'!$A$2:$BE$78,2,FALSE)</f>
        <v>0</v>
      </c>
      <c r="D77" s="30">
        <f>+VLOOKUP($A77,'datos9-2015'!$A$2:$BE$78,3,FALSE)</f>
        <v>0</v>
      </c>
      <c r="E77" s="30">
        <f>+VLOOKUP($A77,'datos9-2015'!$A$2:$BE$78,4,FALSE)</f>
        <v>0</v>
      </c>
      <c r="F77" s="30">
        <f>+VLOOKUP($A77,'datos9-2015'!$A$2:$BE$78,5,FALSE)</f>
        <v>390058.59</v>
      </c>
      <c r="G77" s="30">
        <f>+VLOOKUP($A77,'datos9-2015'!$A$2:$BE$78,6,FALSE)</f>
        <v>0</v>
      </c>
      <c r="H77" s="30">
        <f>+VLOOKUP($A77,'datos9-2015'!$A$2:$BE$78,7,FALSE)</f>
        <v>177457.44</v>
      </c>
      <c r="I77" s="30">
        <f>+VLOOKUP($A77,'datos9-2015'!$A$2:$BE$78,8,FALSE)</f>
        <v>1058148</v>
      </c>
      <c r="J77" s="86">
        <f>+VLOOKUP($A77,'datos9-2015'!$A$2:$BE$78,9,FALSE)</f>
        <v>21180</v>
      </c>
      <c r="K77" s="30">
        <f>+VLOOKUP($A77,'datos9-2015'!$A$2:$BE$78,10,FALSE)</f>
        <v>4775.57</v>
      </c>
      <c r="L77" s="20">
        <f t="shared" si="1"/>
        <v>1651619.6</v>
      </c>
      <c r="O77" s="27"/>
    </row>
    <row r="78" spans="1:15" x14ac:dyDescent="0.2">
      <c r="A78" s="62" t="s">
        <v>130</v>
      </c>
      <c r="B78" s="19"/>
      <c r="C78" s="30">
        <f>+VLOOKUP($A78,'datos9-2015'!$A$2:$BE$78,2,FALSE)</f>
        <v>0</v>
      </c>
      <c r="D78" s="30">
        <f>+VLOOKUP($A78,'datos9-2015'!$A$2:$BE$78,3,FALSE)</f>
        <v>355968.51</v>
      </c>
      <c r="E78" s="30">
        <f>+VLOOKUP($A78,'datos9-2015'!$A$2:$BE$78,4,FALSE)</f>
        <v>19265.43</v>
      </c>
      <c r="F78" s="30">
        <f>+VLOOKUP($A78,'datos9-2015'!$A$2:$BE$78,5,FALSE)</f>
        <v>1938533.71</v>
      </c>
      <c r="G78" s="30">
        <f>+VLOOKUP($A78,'datos9-2015'!$A$2:$BE$78,6,FALSE)</f>
        <v>0</v>
      </c>
      <c r="H78" s="30">
        <f>+VLOOKUP($A78,'datos9-2015'!$A$2:$BE$78,7,FALSE)</f>
        <v>11614.37</v>
      </c>
      <c r="I78" s="30">
        <f>+VLOOKUP($A78,'datos9-2015'!$A$2:$BE$78,8,FALSE)</f>
        <v>36250.32</v>
      </c>
      <c r="J78" s="86">
        <f>+VLOOKUP($A78,'datos9-2015'!$A$2:$BE$78,9,FALSE)</f>
        <v>209116.44</v>
      </c>
      <c r="K78" s="30">
        <f>+VLOOKUP($A78,'datos9-2015'!$A$2:$BE$78,10,FALSE)</f>
        <v>8203.2999999999993</v>
      </c>
      <c r="L78" s="20">
        <f t="shared" si="1"/>
        <v>2578952.0799999996</v>
      </c>
      <c r="O78" s="27"/>
    </row>
    <row r="79" spans="1:15" x14ac:dyDescent="0.2">
      <c r="A79" s="62" t="s">
        <v>131</v>
      </c>
      <c r="B79" s="19"/>
      <c r="C79" s="30">
        <f>+VLOOKUP($A79,'datos9-2015'!$A$2:$BE$78,2,FALSE)</f>
        <v>0</v>
      </c>
      <c r="D79" s="30">
        <f>+VLOOKUP($A79,'datos9-2015'!$A$2:$BE$78,3,FALSE)</f>
        <v>3105.02</v>
      </c>
      <c r="E79" s="30">
        <f>+VLOOKUP($A79,'datos9-2015'!$A$2:$BE$78,4,FALSE)</f>
        <v>0</v>
      </c>
      <c r="F79" s="30">
        <f>+VLOOKUP($A79,'datos9-2015'!$A$2:$BE$78,5,FALSE)</f>
        <v>0</v>
      </c>
      <c r="G79" s="30">
        <f>+VLOOKUP($A79,'datos9-2015'!$A$2:$BE$78,6,FALSE)</f>
        <v>0</v>
      </c>
      <c r="H79" s="30">
        <f>+VLOOKUP($A79,'datos9-2015'!$A$2:$BE$78,7,FALSE)</f>
        <v>0</v>
      </c>
      <c r="I79" s="30">
        <f>+VLOOKUP($A79,'datos9-2015'!$A$2:$BE$78,8,FALSE)</f>
        <v>0</v>
      </c>
      <c r="J79" s="86">
        <f>+VLOOKUP($A79,'datos9-2015'!$A$2:$BE$78,9,FALSE)</f>
        <v>3284.28</v>
      </c>
      <c r="K79" s="30">
        <f>+VLOOKUP($A79,'datos9-2015'!$A$2:$BE$78,10,FALSE)</f>
        <v>0</v>
      </c>
      <c r="L79" s="20">
        <f t="shared" si="1"/>
        <v>6389.3</v>
      </c>
      <c r="O79" s="27"/>
    </row>
    <row r="80" spans="1:15" x14ac:dyDescent="0.2">
      <c r="A80" s="62" t="s">
        <v>132</v>
      </c>
      <c r="B80" s="19"/>
      <c r="C80" s="30">
        <f>+VLOOKUP($A80,'datos9-2015'!$A$2:$BE$78,2,FALSE)</f>
        <v>0</v>
      </c>
      <c r="D80" s="30">
        <f>+VLOOKUP($A80,'datos9-2015'!$A$2:$BE$78,3,FALSE)</f>
        <v>0</v>
      </c>
      <c r="E80" s="30">
        <f>+VLOOKUP($A80,'datos9-2015'!$A$2:$BE$78,4,FALSE)</f>
        <v>455.9</v>
      </c>
      <c r="F80" s="30">
        <f>+VLOOKUP($A80,'datos9-2015'!$A$2:$BE$78,5,FALSE)</f>
        <v>39676.49</v>
      </c>
      <c r="G80" s="30">
        <f>+VLOOKUP($A80,'datos9-2015'!$A$2:$BE$78,6,FALSE)</f>
        <v>0</v>
      </c>
      <c r="H80" s="30">
        <f>+VLOOKUP($A80,'datos9-2015'!$A$2:$BE$78,7,FALSE)</f>
        <v>4784.26</v>
      </c>
      <c r="I80" s="30">
        <f>+VLOOKUP($A80,'datos9-2015'!$A$2:$BE$78,8,FALSE)</f>
        <v>4156.8</v>
      </c>
      <c r="J80" s="86">
        <f>+VLOOKUP($A80,'datos9-2015'!$A$2:$BE$78,9,FALSE)</f>
        <v>14192.77</v>
      </c>
      <c r="K80" s="30">
        <f>+VLOOKUP($A80,'datos9-2015'!$A$2:$BE$78,10,FALSE)</f>
        <v>1.88</v>
      </c>
      <c r="L80" s="20">
        <f t="shared" si="1"/>
        <v>63268.1</v>
      </c>
      <c r="O80" s="27"/>
    </row>
    <row r="81" spans="1:15" x14ac:dyDescent="0.2">
      <c r="A81" s="62" t="s">
        <v>133</v>
      </c>
      <c r="B81" s="19"/>
      <c r="C81" s="30">
        <f>+VLOOKUP($A81,'datos9-2015'!$A$2:$BE$78,2,FALSE)</f>
        <v>0</v>
      </c>
      <c r="D81" s="30">
        <f>+VLOOKUP($A81,'datos9-2015'!$A$2:$BE$78,3,FALSE)</f>
        <v>0</v>
      </c>
      <c r="E81" s="30">
        <f>+VLOOKUP($A81,'datos9-2015'!$A$2:$BE$78,4,FALSE)</f>
        <v>110040.57</v>
      </c>
      <c r="F81" s="30">
        <f>+VLOOKUP($A81,'datos9-2015'!$A$2:$BE$78,5,FALSE)</f>
        <v>780119.44</v>
      </c>
      <c r="G81" s="30">
        <f>+VLOOKUP($A81,'datos9-2015'!$A$2:$BE$78,6,FALSE)</f>
        <v>0</v>
      </c>
      <c r="H81" s="30">
        <f>+VLOOKUP($A81,'datos9-2015'!$A$2:$BE$78,7,FALSE)</f>
        <v>48123</v>
      </c>
      <c r="I81" s="30">
        <f>+VLOOKUP($A81,'datos9-2015'!$A$2:$BE$78,8,FALSE)</f>
        <v>352693.19</v>
      </c>
      <c r="J81" s="86">
        <f>+VLOOKUP($A81,'datos9-2015'!$A$2:$BE$78,9,FALSE)</f>
        <v>52770.38</v>
      </c>
      <c r="K81" s="30">
        <f>+VLOOKUP($A81,'datos9-2015'!$A$2:$BE$78,10,FALSE)</f>
        <v>270</v>
      </c>
      <c r="L81" s="20">
        <f t="shared" si="1"/>
        <v>1344016.5799999998</v>
      </c>
      <c r="O81" s="27"/>
    </row>
    <row r="82" spans="1:15" x14ac:dyDescent="0.2">
      <c r="A82" s="62" t="s">
        <v>134</v>
      </c>
      <c r="B82" s="19"/>
      <c r="C82" s="30">
        <f>+VLOOKUP($A82,'datos9-2015'!$A$2:$BE$78,2,FALSE)</f>
        <v>0</v>
      </c>
      <c r="D82" s="30">
        <f>+VLOOKUP($A82,'datos9-2015'!$A$2:$BE$78,3,FALSE)</f>
        <v>5049.32</v>
      </c>
      <c r="E82" s="30">
        <f>+VLOOKUP($A82,'datos9-2015'!$A$2:$BE$78,4,FALSE)</f>
        <v>0</v>
      </c>
      <c r="F82" s="30">
        <f>+VLOOKUP($A82,'datos9-2015'!$A$2:$BE$78,5,FALSE)</f>
        <v>2292418.9</v>
      </c>
      <c r="G82" s="30">
        <f>+VLOOKUP($A82,'datos9-2015'!$A$2:$BE$78,6,FALSE)</f>
        <v>0</v>
      </c>
      <c r="H82" s="30">
        <f>+VLOOKUP($A82,'datos9-2015'!$A$2:$BE$78,7,FALSE)</f>
        <v>1900</v>
      </c>
      <c r="I82" s="30">
        <f>+VLOOKUP($A82,'datos9-2015'!$A$2:$BE$78,8,FALSE)</f>
        <v>37845.14</v>
      </c>
      <c r="J82" s="86">
        <f>+VLOOKUP($A82,'datos9-2015'!$A$2:$BE$78,9,FALSE)</f>
        <v>119749.9</v>
      </c>
      <c r="K82" s="30">
        <f>+VLOOKUP($A82,'datos9-2015'!$A$2:$BE$78,10,FALSE)</f>
        <v>26681.43</v>
      </c>
      <c r="L82" s="20">
        <f t="shared" si="1"/>
        <v>2483644.69</v>
      </c>
    </row>
    <row r="84" spans="1:15" x14ac:dyDescent="0.2">
      <c r="C84" s="28">
        <f t="shared" ref="C84:L84" si="2">SUM(C7:C82)</f>
        <v>2937524.79</v>
      </c>
      <c r="D84" s="28">
        <f t="shared" si="2"/>
        <v>10465635.809999999</v>
      </c>
      <c r="E84" s="28">
        <f t="shared" si="2"/>
        <v>2464138.0299999998</v>
      </c>
      <c r="F84" s="28">
        <f t="shared" si="2"/>
        <v>256980295.67000005</v>
      </c>
      <c r="G84" s="28">
        <f t="shared" si="2"/>
        <v>590348.62</v>
      </c>
      <c r="H84" s="28">
        <f t="shared" si="2"/>
        <v>32206977.860000007</v>
      </c>
      <c r="I84" s="28">
        <f t="shared" si="2"/>
        <v>89071790.599999994</v>
      </c>
      <c r="J84" s="28">
        <f t="shared" si="2"/>
        <v>141658637.06000003</v>
      </c>
      <c r="K84" s="28">
        <f t="shared" si="2"/>
        <v>17379116.000000007</v>
      </c>
      <c r="L84" s="29">
        <f t="shared" si="2"/>
        <v>553754464.44000006</v>
      </c>
      <c r="M84" s="29"/>
      <c r="O84" s="87"/>
    </row>
    <row r="86" spans="1:15" x14ac:dyDescent="0.2">
      <c r="A86" s="88"/>
      <c r="B86" s="89"/>
      <c r="C86" s="88"/>
      <c r="D86" s="89"/>
      <c r="E86" s="88"/>
      <c r="F86" s="89"/>
      <c r="G86" s="88"/>
      <c r="H86" s="89"/>
      <c r="I86" s="88"/>
      <c r="J86" s="89"/>
      <c r="K86" s="88"/>
      <c r="L86" s="89"/>
    </row>
  </sheetData>
  <mergeCells count="10">
    <mergeCell ref="J4:J5"/>
    <mergeCell ref="K4:K5"/>
    <mergeCell ref="C4:C5"/>
    <mergeCell ref="I4:I5"/>
    <mergeCell ref="L4:L5"/>
    <mergeCell ref="D4:D5"/>
    <mergeCell ref="E4:E5"/>
    <mergeCell ref="F4:F5"/>
    <mergeCell ref="G4:G5"/>
    <mergeCell ref="H4:H5"/>
  </mergeCells>
  <phoneticPr fontId="0" type="noConversion"/>
  <printOptions horizontalCentered="1"/>
  <pageMargins left="0.75" right="0.75" top="0.19685039370078741" bottom="0.19685039370078741" header="0" footer="0"/>
  <pageSetup paperSize="9" scale="8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showGridLines="0" workbookViewId="0">
      <selection activeCell="B3" sqref="B3"/>
    </sheetView>
  </sheetViews>
  <sheetFormatPr baseColWidth="10" defaultColWidth="11.42578125" defaultRowHeight="12.75" x14ac:dyDescent="0.2"/>
  <cols>
    <col min="1" max="1" width="1.42578125" style="35" customWidth="1"/>
    <col min="2" max="2" width="27" style="46" customWidth="1"/>
    <col min="3" max="3" width="12.7109375" style="98" customWidth="1"/>
    <col min="4" max="4" width="9.85546875" style="98" bestFit="1" customWidth="1"/>
    <col min="5" max="5" width="8.140625" style="35" bestFit="1" customWidth="1"/>
    <col min="6" max="6" width="9.85546875" style="35" bestFit="1" customWidth="1"/>
    <col min="7" max="7" width="10.7109375" style="35" customWidth="1"/>
    <col min="8" max="8" width="10.28515625" style="35" bestFit="1" customWidth="1"/>
    <col min="9" max="16384" width="11.42578125" style="35"/>
  </cols>
  <sheetData>
    <row r="1" spans="2:9" ht="6" customHeight="1" x14ac:dyDescent="0.2">
      <c r="B1" s="33"/>
      <c r="C1" s="92"/>
      <c r="D1" s="92"/>
      <c r="E1" s="33"/>
      <c r="F1" s="33"/>
      <c r="G1" s="33"/>
      <c r="H1" s="33"/>
      <c r="I1" s="33"/>
    </row>
    <row r="2" spans="2:9" ht="37.5" customHeight="1" x14ac:dyDescent="0.2">
      <c r="B2" s="319" t="s">
        <v>149</v>
      </c>
      <c r="C2" s="320"/>
      <c r="D2" s="320"/>
      <c r="E2" s="320"/>
      <c r="F2" s="320"/>
      <c r="G2" s="320"/>
      <c r="H2" s="33"/>
      <c r="I2" s="33"/>
    </row>
    <row r="3" spans="2:9" ht="37.5" customHeight="1" x14ac:dyDescent="0.2">
      <c r="B3" s="296"/>
      <c r="C3" s="320">
        <v>2015</v>
      </c>
      <c r="D3" s="320"/>
      <c r="E3" s="320"/>
      <c r="F3" s="320">
        <v>2014</v>
      </c>
      <c r="G3" s="320"/>
      <c r="H3" s="93" t="s">
        <v>150</v>
      </c>
      <c r="I3" s="33"/>
    </row>
    <row r="4" spans="2:9" x14ac:dyDescent="0.2">
      <c r="B4" s="60"/>
      <c r="C4" s="35"/>
      <c r="D4" s="48" t="s">
        <v>151</v>
      </c>
      <c r="E4" s="49" t="s">
        <v>152</v>
      </c>
      <c r="F4" s="48" t="s">
        <v>151</v>
      </c>
      <c r="G4" s="49" t="s">
        <v>152</v>
      </c>
      <c r="H4" s="33"/>
      <c r="I4" s="33"/>
    </row>
    <row r="5" spans="2:9" ht="21" customHeight="1" x14ac:dyDescent="0.2">
      <c r="B5" s="321" t="s">
        <v>137</v>
      </c>
      <c r="C5" s="321"/>
      <c r="D5" s="31">
        <f>Ingresos2015!$C$84/1000000</f>
        <v>2.9375247899999999</v>
      </c>
      <c r="E5" s="94">
        <f t="shared" ref="E5:E14" si="0">D5/$D$14</f>
        <v>5.3047424059518055E-3</v>
      </c>
      <c r="F5" s="31">
        <f>Ingresos2014!$C$84/1000000</f>
        <v>3.25863433</v>
      </c>
      <c r="G5" s="94">
        <f>F5/$F$14</f>
        <v>5.6691864852762269E-3</v>
      </c>
      <c r="H5" s="95">
        <f>D5-F5</f>
        <v>-0.32110954000000014</v>
      </c>
      <c r="I5" s="33"/>
    </row>
    <row r="6" spans="2:9" ht="21" customHeight="1" x14ac:dyDescent="0.2">
      <c r="B6" s="322" t="s">
        <v>138</v>
      </c>
      <c r="C6" s="322"/>
      <c r="D6" s="31">
        <f>Ingresos2015!$D$84/1000000</f>
        <v>10.465635809999998</v>
      </c>
      <c r="E6" s="94">
        <f t="shared" si="0"/>
        <v>1.8899415683417867E-2</v>
      </c>
      <c r="F6" s="31">
        <f>Ingresos2014!$D$84/1000000</f>
        <v>8.8578371300000001</v>
      </c>
      <c r="G6" s="94">
        <f t="shared" ref="G6:G14" si="1">F6/$F$14</f>
        <v>1.5410360740345469E-2</v>
      </c>
      <c r="H6" s="95">
        <f t="shared" ref="H6:H18" si="2">D6-F6</f>
        <v>1.6077986799999984</v>
      </c>
      <c r="I6" s="33"/>
    </row>
    <row r="7" spans="2:9" ht="21" customHeight="1" x14ac:dyDescent="0.2">
      <c r="B7" s="322" t="s">
        <v>139</v>
      </c>
      <c r="C7" s="322"/>
      <c r="D7" s="31">
        <f>Ingresos2015!$E$84/1000000</f>
        <v>2.46413803</v>
      </c>
      <c r="E7" s="94">
        <f t="shared" si="0"/>
        <v>4.4498747879024858E-3</v>
      </c>
      <c r="F7" s="31">
        <f>Ingresos2014!$E$84/1000000</f>
        <v>2.2580389799999998</v>
      </c>
      <c r="G7" s="94">
        <f t="shared" si="1"/>
        <v>3.9284076616976273E-3</v>
      </c>
      <c r="H7" s="95">
        <f t="shared" si="2"/>
        <v>0.20609905000000017</v>
      </c>
      <c r="I7" s="33"/>
    </row>
    <row r="8" spans="2:9" ht="21" customHeight="1" x14ac:dyDescent="0.2">
      <c r="B8" s="322" t="s">
        <v>140</v>
      </c>
      <c r="C8" s="322"/>
      <c r="D8" s="31">
        <f>Ingresos2015!$F$84/1000000</f>
        <v>256.98029567000003</v>
      </c>
      <c r="E8" s="94">
        <f t="shared" si="0"/>
        <v>0.46406902728970073</v>
      </c>
      <c r="F8" s="31">
        <f>Ingresos2014!$F$84/1000000</f>
        <v>296.66193496637999</v>
      </c>
      <c r="G8" s="94">
        <f t="shared" si="1"/>
        <v>0.51611554476175181</v>
      </c>
      <c r="H8" s="95">
        <f t="shared" si="2"/>
        <v>-39.681639296379956</v>
      </c>
      <c r="I8" s="33"/>
    </row>
    <row r="9" spans="2:9" ht="21" customHeight="1" x14ac:dyDescent="0.2">
      <c r="B9" s="322" t="s">
        <v>141</v>
      </c>
      <c r="C9" s="322"/>
      <c r="D9" s="31">
        <f>Ingresos2015!$G$84/1000000</f>
        <v>0.59034861999999999</v>
      </c>
      <c r="E9" s="94">
        <f t="shared" si="0"/>
        <v>1.0660837210531688E-3</v>
      </c>
      <c r="F9" s="31">
        <f>Ingresos2014!$G$84/1000000</f>
        <v>0.18000841000000001</v>
      </c>
      <c r="G9" s="94">
        <f t="shared" si="1"/>
        <v>3.1316838339699873E-4</v>
      </c>
      <c r="H9" s="95">
        <f t="shared" si="2"/>
        <v>0.41034020999999998</v>
      </c>
      <c r="I9" s="33"/>
    </row>
    <row r="10" spans="2:9" ht="21" customHeight="1" x14ac:dyDescent="0.2">
      <c r="B10" s="322" t="s">
        <v>142</v>
      </c>
      <c r="C10" s="322"/>
      <c r="D10" s="31">
        <f>Ingresos2015!$H$84/1000000</f>
        <v>32.206977860000009</v>
      </c>
      <c r="E10" s="94">
        <f t="shared" si="0"/>
        <v>5.81611163940145E-2</v>
      </c>
      <c r="F10" s="31">
        <f>Ingresos2014!$H$84/1000000</f>
        <v>30.049800353619997</v>
      </c>
      <c r="G10" s="94">
        <f t="shared" si="1"/>
        <v>5.2278931846271706E-2</v>
      </c>
      <c r="H10" s="95">
        <f t="shared" si="2"/>
        <v>2.1571775063800125</v>
      </c>
      <c r="I10" s="33"/>
    </row>
    <row r="11" spans="2:9" ht="21" customHeight="1" x14ac:dyDescent="0.2">
      <c r="B11" s="322" t="s">
        <v>143</v>
      </c>
      <c r="C11" s="322"/>
      <c r="D11" s="31">
        <f>Ingresos2015!$I$84/1000000</f>
        <v>89.0717906</v>
      </c>
      <c r="E11" s="94">
        <f t="shared" si="0"/>
        <v>0.16085069524464488</v>
      </c>
      <c r="F11" s="31">
        <f>Ingresos2014!$I$84/1000000</f>
        <v>79.474565430000027</v>
      </c>
      <c r="G11" s="94">
        <f t="shared" si="1"/>
        <v>0.13826532425286189</v>
      </c>
      <c r="H11" s="95">
        <f t="shared" si="2"/>
        <v>9.5972251699999731</v>
      </c>
      <c r="I11" s="33"/>
    </row>
    <row r="12" spans="2:9" ht="21" customHeight="1" x14ac:dyDescent="0.2">
      <c r="B12" s="322" t="s">
        <v>144</v>
      </c>
      <c r="C12" s="322"/>
      <c r="D12" s="31">
        <f>Ingresos2015!$J$84/1000000</f>
        <v>141.65863706000002</v>
      </c>
      <c r="E12" s="94">
        <f t="shared" si="0"/>
        <v>0.25581488937205471</v>
      </c>
      <c r="F12" s="31">
        <f>Ingresos2014!$J$84/1000000</f>
        <v>133.69124387999997</v>
      </c>
      <c r="G12" s="94">
        <f t="shared" si="1"/>
        <v>0.23258841473147551</v>
      </c>
      <c r="H12" s="95">
        <f t="shared" si="2"/>
        <v>7.9673931800000446</v>
      </c>
      <c r="I12" s="33"/>
    </row>
    <row r="13" spans="2:9" ht="21" customHeight="1" x14ac:dyDescent="0.2">
      <c r="B13" s="322" t="s">
        <v>145</v>
      </c>
      <c r="C13" s="322"/>
      <c r="D13" s="31">
        <f>Ingresos2015!$K$84/1000000</f>
        <v>17.379116000000007</v>
      </c>
      <c r="E13" s="94">
        <f t="shared" si="0"/>
        <v>3.1384155101259782E-2</v>
      </c>
      <c r="F13" s="31">
        <f>Ingresos2014!$K$84/1000000</f>
        <v>20.36545614000001</v>
      </c>
      <c r="G13" s="94">
        <f t="shared" si="1"/>
        <v>3.5430661136922906E-2</v>
      </c>
      <c r="H13" s="95">
        <f t="shared" si="2"/>
        <v>-2.9863401400000029</v>
      </c>
      <c r="I13" s="33"/>
    </row>
    <row r="14" spans="2:9" ht="21" customHeight="1" x14ac:dyDescent="0.2">
      <c r="B14" s="36" t="s">
        <v>153</v>
      </c>
      <c r="C14" s="32"/>
      <c r="D14" s="32">
        <f>Ingresos2015!$L$84/1000000</f>
        <v>553.75446444000011</v>
      </c>
      <c r="E14" s="96">
        <f t="shared" si="0"/>
        <v>1</v>
      </c>
      <c r="F14" s="32">
        <f>Ingresos2014!$L$84/1000000</f>
        <v>574.79751961999989</v>
      </c>
      <c r="G14" s="96">
        <f t="shared" si="1"/>
        <v>1</v>
      </c>
      <c r="H14" s="95">
        <f t="shared" si="2"/>
        <v>-21.043055179999783</v>
      </c>
      <c r="I14" s="33"/>
    </row>
    <row r="15" spans="2:9" ht="21" customHeight="1" x14ac:dyDescent="0.2">
      <c r="B15" s="36"/>
      <c r="C15" s="32"/>
      <c r="D15" s="32"/>
      <c r="E15" s="94"/>
      <c r="F15" s="51" t="s">
        <v>65</v>
      </c>
      <c r="G15" s="302"/>
      <c r="H15" s="95"/>
      <c r="I15" s="33"/>
    </row>
    <row r="16" spans="2:9" ht="21" customHeight="1" x14ac:dyDescent="0.2">
      <c r="B16" s="36" t="s">
        <v>154</v>
      </c>
      <c r="C16" s="32"/>
      <c r="D16" s="32">
        <f>D8+D9</f>
        <v>257.57064429000002</v>
      </c>
      <c r="E16" s="32"/>
      <c r="F16" s="32">
        <f>F8+F9</f>
        <v>296.84194337638002</v>
      </c>
      <c r="G16" s="302"/>
      <c r="H16" s="95">
        <f t="shared" si="2"/>
        <v>-39.271299086379997</v>
      </c>
      <c r="I16" s="33"/>
    </row>
    <row r="17" spans="2:9" ht="21" customHeight="1" x14ac:dyDescent="0.2">
      <c r="B17" s="36" t="s">
        <v>155</v>
      </c>
      <c r="C17" s="32"/>
      <c r="D17" s="32">
        <f>D5+D6+D7+D10+D11+D12+D13</f>
        <v>296.18382015000003</v>
      </c>
      <c r="E17" s="32"/>
      <c r="F17" s="32">
        <f>F5+F6+F7+F10+F11+F12+F13</f>
        <v>277.95557624361999</v>
      </c>
      <c r="G17" s="302"/>
      <c r="H17" s="95">
        <f t="shared" si="2"/>
        <v>18.228243906380044</v>
      </c>
      <c r="I17" s="33"/>
    </row>
    <row r="18" spans="2:9" ht="14.25" customHeight="1" x14ac:dyDescent="0.2">
      <c r="B18" s="39"/>
      <c r="C18" s="31"/>
      <c r="D18" s="32">
        <f>SUM(D16:D17)</f>
        <v>553.75446443999999</v>
      </c>
      <c r="E18" s="32"/>
      <c r="F18" s="32">
        <f>SUM(F16:F17)</f>
        <v>574.79751962</v>
      </c>
      <c r="G18" s="302"/>
      <c r="H18" s="95">
        <f t="shared" si="2"/>
        <v>-21.04305518000001</v>
      </c>
      <c r="I18" s="33"/>
    </row>
    <row r="19" spans="2:9" ht="44.25" customHeight="1" x14ac:dyDescent="0.2">
      <c r="B19" s="43"/>
      <c r="C19" s="31"/>
      <c r="D19" s="31"/>
      <c r="E19" s="94"/>
      <c r="F19" s="302"/>
      <c r="G19" s="302"/>
      <c r="H19" s="33"/>
      <c r="I19" s="33"/>
    </row>
    <row r="20" spans="2:9" ht="28.5" customHeight="1" x14ac:dyDescent="0.2">
      <c r="B20" s="294"/>
      <c r="C20" s="51"/>
      <c r="D20" s="51"/>
      <c r="E20" s="97"/>
      <c r="F20" s="302"/>
      <c r="G20" s="302"/>
      <c r="H20" s="33"/>
      <c r="I20" s="33"/>
    </row>
    <row r="21" spans="2:9" ht="33" customHeight="1" x14ac:dyDescent="0.2">
      <c r="B21" s="36" t="s">
        <v>149</v>
      </c>
      <c r="C21" s="32"/>
      <c r="D21" s="32"/>
      <c r="E21" s="94"/>
      <c r="F21" s="302"/>
      <c r="G21" s="302"/>
      <c r="H21" s="33"/>
      <c r="I21" s="33"/>
    </row>
    <row r="22" spans="2:9" ht="24" customHeight="1" x14ac:dyDescent="0.2">
      <c r="B22" s="61"/>
      <c r="C22" s="255">
        <v>2015</v>
      </c>
      <c r="D22" s="296">
        <v>2014</v>
      </c>
      <c r="E22" s="296">
        <v>2013</v>
      </c>
      <c r="F22" s="255">
        <v>2012</v>
      </c>
    </row>
    <row r="23" spans="2:9" ht="25.5" x14ac:dyDescent="0.2">
      <c r="B23" s="60"/>
      <c r="C23" s="48" t="s">
        <v>151</v>
      </c>
      <c r="D23" s="48" t="s">
        <v>151</v>
      </c>
      <c r="E23" s="48" t="s">
        <v>151</v>
      </c>
      <c r="F23" s="48" t="s">
        <v>151</v>
      </c>
    </row>
    <row r="24" spans="2:9" ht="14.25" customHeight="1" x14ac:dyDescent="0.2">
      <c r="B24" s="297" t="s">
        <v>137</v>
      </c>
      <c r="C24" s="31">
        <v>2.9375247899999999</v>
      </c>
      <c r="D24" s="31">
        <v>3.25863433</v>
      </c>
      <c r="E24" s="31">
        <v>1.3358461699999999</v>
      </c>
      <c r="F24" s="31">
        <v>1.3913516800000001</v>
      </c>
    </row>
    <row r="25" spans="2:9" x14ac:dyDescent="0.2">
      <c r="B25" s="294" t="s">
        <v>138</v>
      </c>
      <c r="C25" s="31">
        <v>10.465635809999998</v>
      </c>
      <c r="D25" s="31">
        <v>8.8578371300000001</v>
      </c>
      <c r="E25" s="31">
        <v>10.038581039999999</v>
      </c>
      <c r="F25" s="31">
        <v>11.907693890000003</v>
      </c>
    </row>
    <row r="26" spans="2:9" x14ac:dyDescent="0.2">
      <c r="B26" s="294" t="s">
        <v>139</v>
      </c>
      <c r="C26" s="31">
        <v>2.46413803</v>
      </c>
      <c r="D26" s="31">
        <v>2.2580389799999998</v>
      </c>
      <c r="E26" s="31">
        <v>1.95643199</v>
      </c>
      <c r="F26" s="31">
        <v>1.7976466299999998</v>
      </c>
    </row>
    <row r="27" spans="2:9" ht="12" customHeight="1" x14ac:dyDescent="0.2">
      <c r="B27" s="294" t="s">
        <v>140</v>
      </c>
      <c r="C27" s="31">
        <v>256.98029567000003</v>
      </c>
      <c r="D27" s="31">
        <v>296.66193496637999</v>
      </c>
      <c r="E27" s="31">
        <v>277.72891828999991</v>
      </c>
      <c r="F27" s="31">
        <v>303.09229163000003</v>
      </c>
    </row>
    <row r="28" spans="2:9" x14ac:dyDescent="0.2">
      <c r="B28" s="294" t="s">
        <v>141</v>
      </c>
      <c r="C28" s="31">
        <v>0.59034861999999999</v>
      </c>
      <c r="D28" s="31">
        <v>0.18000841000000001</v>
      </c>
      <c r="E28" s="31">
        <v>0.50622412999999999</v>
      </c>
      <c r="F28" s="31">
        <v>9.4359342399999999</v>
      </c>
    </row>
    <row r="29" spans="2:9" x14ac:dyDescent="0.2">
      <c r="B29" s="294" t="s">
        <v>142</v>
      </c>
      <c r="C29" s="31">
        <v>32.206977860000009</v>
      </c>
      <c r="D29" s="31">
        <v>30.049800353619997</v>
      </c>
      <c r="E29" s="31">
        <v>21.961067530000001</v>
      </c>
      <c r="F29" s="31">
        <v>26.790077199999999</v>
      </c>
    </row>
    <row r="30" spans="2:9" x14ac:dyDescent="0.2">
      <c r="B30" s="294" t="s">
        <v>143</v>
      </c>
      <c r="C30" s="31">
        <v>89.0717906</v>
      </c>
      <c r="D30" s="31">
        <v>79.474565430000027</v>
      </c>
      <c r="E30" s="31">
        <v>86.343717889999979</v>
      </c>
      <c r="F30" s="31">
        <v>99.110399010000009</v>
      </c>
    </row>
    <row r="31" spans="2:9" x14ac:dyDescent="0.2">
      <c r="B31" s="294" t="s">
        <v>144</v>
      </c>
      <c r="C31" s="31">
        <v>141.65863706000005</v>
      </c>
      <c r="D31" s="31">
        <v>133.69124387999997</v>
      </c>
      <c r="E31" s="31">
        <v>99.097545619999977</v>
      </c>
      <c r="F31" s="31">
        <v>85.706217759999987</v>
      </c>
    </row>
    <row r="32" spans="2:9" x14ac:dyDescent="0.2">
      <c r="B32" s="294" t="s">
        <v>145</v>
      </c>
      <c r="C32" s="31">
        <v>17.379116000000007</v>
      </c>
      <c r="D32" s="31">
        <v>20.36545614000001</v>
      </c>
      <c r="E32" s="31">
        <v>4.9790655199999989</v>
      </c>
      <c r="F32" s="31">
        <v>6.5201537499999986</v>
      </c>
    </row>
    <row r="33" spans="2:10" x14ac:dyDescent="0.2">
      <c r="B33" s="36" t="s">
        <v>153</v>
      </c>
      <c r="C33" s="32">
        <v>553.75446444000011</v>
      </c>
      <c r="D33" s="32">
        <v>574.79751961999989</v>
      </c>
      <c r="E33" s="32">
        <v>503.94739817999977</v>
      </c>
      <c r="F33" s="32">
        <v>545.75176578999992</v>
      </c>
    </row>
    <row r="34" spans="2:10" x14ac:dyDescent="0.2">
      <c r="B34" s="36"/>
      <c r="C34" s="32"/>
      <c r="D34" s="51" t="s">
        <v>65</v>
      </c>
      <c r="E34" s="51" t="s">
        <v>65</v>
      </c>
      <c r="F34" s="51"/>
    </row>
    <row r="35" spans="2:10" x14ac:dyDescent="0.2">
      <c r="B35" s="36" t="s">
        <v>154</v>
      </c>
      <c r="C35" s="32">
        <v>257.57064429000002</v>
      </c>
      <c r="D35" s="32">
        <v>296.84194337638002</v>
      </c>
      <c r="E35" s="32">
        <v>225.71225575999995</v>
      </c>
      <c r="F35" s="32">
        <v>233.22353991999998</v>
      </c>
    </row>
    <row r="36" spans="2:10" x14ac:dyDescent="0.2">
      <c r="B36" s="36" t="s">
        <v>155</v>
      </c>
      <c r="C36" s="32">
        <v>296.18382015000003</v>
      </c>
      <c r="D36" s="32">
        <v>277.95557624361999</v>
      </c>
      <c r="E36" s="32">
        <v>278.23514241999993</v>
      </c>
      <c r="F36" s="32">
        <v>312.52822587000003</v>
      </c>
    </row>
    <row r="37" spans="2:10" x14ac:dyDescent="0.2">
      <c r="B37" s="39"/>
      <c r="C37" s="32">
        <v>553.75446443999999</v>
      </c>
      <c r="D37" s="32">
        <v>574.79751962</v>
      </c>
      <c r="E37" s="32">
        <v>503.94739817999988</v>
      </c>
      <c r="F37" s="32">
        <v>545.75176579000004</v>
      </c>
    </row>
    <row r="39" spans="2:10" x14ac:dyDescent="0.2">
      <c r="B39" s="257"/>
      <c r="C39" s="188">
        <v>2008</v>
      </c>
      <c r="D39" s="188">
        <v>2009</v>
      </c>
      <c r="E39" s="188">
        <v>2010</v>
      </c>
      <c r="F39" s="188">
        <v>2011</v>
      </c>
      <c r="G39" s="188">
        <v>2012</v>
      </c>
      <c r="H39" s="188">
        <v>2013</v>
      </c>
      <c r="I39" s="188">
        <v>2014</v>
      </c>
      <c r="J39" s="188">
        <v>2015</v>
      </c>
    </row>
    <row r="40" spans="2:10" x14ac:dyDescent="0.2">
      <c r="B40" s="46" t="s">
        <v>156</v>
      </c>
      <c r="C40" s="159">
        <v>0.57240666433742671</v>
      </c>
      <c r="D40" s="159">
        <v>0.59320985542244509</v>
      </c>
      <c r="E40" s="159">
        <v>0.58303578302139003</v>
      </c>
      <c r="F40" s="159">
        <v>0.41081811396342283</v>
      </c>
      <c r="G40" s="159">
        <v>0.50312020858832696</v>
      </c>
      <c r="H40" s="159">
        <v>0.50658436520445571</v>
      </c>
      <c r="I40" s="159">
        <v>0.54414994889494284</v>
      </c>
      <c r="J40" s="160">
        <v>0.39881632101655234</v>
      </c>
    </row>
    <row r="41" spans="2:10" x14ac:dyDescent="0.2">
      <c r="B41" s="46" t="s">
        <v>157</v>
      </c>
      <c r="C41" s="159">
        <v>0.42759333566257335</v>
      </c>
      <c r="D41" s="159">
        <v>0.40679014457755497</v>
      </c>
      <c r="E41" s="159">
        <v>0.41696421697861002</v>
      </c>
      <c r="F41" s="159">
        <v>0.58918188603657717</v>
      </c>
      <c r="G41" s="159">
        <v>0.49687979141167293</v>
      </c>
      <c r="H41" s="159">
        <v>0.49341563479554423</v>
      </c>
      <c r="I41" s="159">
        <v>0.45585005110505727</v>
      </c>
      <c r="J41" s="160">
        <v>0.6011836789834476</v>
      </c>
    </row>
    <row r="42" spans="2:10" x14ac:dyDescent="0.2">
      <c r="B42" s="256" t="s">
        <v>158</v>
      </c>
      <c r="C42" s="189">
        <v>625.3882853099999</v>
      </c>
      <c r="D42" s="189">
        <v>648.65075400000001</v>
      </c>
      <c r="E42" s="189">
        <v>817.3001569999999</v>
      </c>
      <c r="F42" s="189">
        <v>530.519499</v>
      </c>
      <c r="G42" s="189">
        <v>458.06621561999998</v>
      </c>
      <c r="H42" s="189">
        <v>465.25853819999998</v>
      </c>
      <c r="I42" s="189">
        <v>606.03010081999992</v>
      </c>
      <c r="J42" s="190">
        <v>498.57178699000002</v>
      </c>
    </row>
    <row r="43" spans="2:10" x14ac:dyDescent="0.2">
      <c r="B43" s="46" t="s">
        <v>156</v>
      </c>
      <c r="C43" s="167">
        <v>357.97642230999998</v>
      </c>
      <c r="D43" s="167">
        <v>384.78602000000001</v>
      </c>
      <c r="E43" s="167">
        <v>476.51523699999996</v>
      </c>
      <c r="F43" s="167">
        <v>217.94701999999998</v>
      </c>
      <c r="G43" s="167">
        <v>230.46236994999995</v>
      </c>
      <c r="H43" s="167">
        <v>235.69270122999998</v>
      </c>
      <c r="I43" s="167">
        <v>329.77124838999998</v>
      </c>
      <c r="J43" s="168">
        <v>198.83856585000001</v>
      </c>
    </row>
    <row r="44" spans="2:10" x14ac:dyDescent="0.2">
      <c r="B44" s="256" t="s">
        <v>157</v>
      </c>
      <c r="C44" s="175">
        <v>267.41186299999998</v>
      </c>
      <c r="D44" s="175">
        <v>263.86473400000006</v>
      </c>
      <c r="E44" s="175">
        <v>340.78492</v>
      </c>
      <c r="F44" s="175">
        <v>312.57247899999999</v>
      </c>
      <c r="G44" s="175">
        <v>227.60384567</v>
      </c>
      <c r="H44" s="175">
        <v>229.56583696999996</v>
      </c>
      <c r="I44" s="175">
        <v>276.25885242999999</v>
      </c>
      <c r="J44" s="176">
        <v>299.73322114000001</v>
      </c>
    </row>
  </sheetData>
  <mergeCells count="12">
    <mergeCell ref="B13:C13"/>
    <mergeCell ref="B7:C7"/>
    <mergeCell ref="B8:C8"/>
    <mergeCell ref="B9:C9"/>
    <mergeCell ref="B10:C10"/>
    <mergeCell ref="B11:C11"/>
    <mergeCell ref="B12:C12"/>
    <mergeCell ref="B2:G2"/>
    <mergeCell ref="C3:E3"/>
    <mergeCell ref="F3:G3"/>
    <mergeCell ref="B5:C5"/>
    <mergeCell ref="B6:C6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2"/>
  <sheetViews>
    <sheetView showGridLines="0" showZeros="0" tabSelected="1" topLeftCell="AA2" workbookViewId="0">
      <selection activeCell="AP7" sqref="AP7"/>
    </sheetView>
  </sheetViews>
  <sheetFormatPr baseColWidth="10" defaultColWidth="11.42578125" defaultRowHeight="12.75" x14ac:dyDescent="0.2"/>
  <cols>
    <col min="1" max="1" width="2.28515625" style="3" customWidth="1"/>
    <col min="2" max="2" width="44.85546875" style="3" customWidth="1"/>
    <col min="3" max="3" width="2" style="12" bestFit="1" customWidth="1"/>
    <col min="4" max="4" width="11.85546875" style="13" bestFit="1" customWidth="1"/>
    <col min="5" max="5" width="12.42578125" style="13" bestFit="1" customWidth="1"/>
    <col min="6" max="6" width="10.7109375" style="11" bestFit="1" customWidth="1"/>
    <col min="7" max="7" width="13" style="11" bestFit="1" customWidth="1"/>
    <col min="8" max="8" width="12.7109375" style="11" customWidth="1"/>
    <col min="9" max="9" width="12.7109375" style="13" bestFit="1" customWidth="1"/>
    <col min="10" max="10" width="13.42578125" style="13" bestFit="1" customWidth="1"/>
    <col min="11" max="11" width="11.85546875" style="11" bestFit="1" customWidth="1"/>
    <col min="12" max="12" width="12.42578125" style="11" customWidth="1"/>
    <col min="13" max="13" width="13.7109375" style="13" bestFit="1" customWidth="1"/>
    <col min="14" max="14" width="10.7109375" style="13" bestFit="1" customWidth="1"/>
    <col min="15" max="15" width="11.140625" style="13" bestFit="1" customWidth="1"/>
    <col min="16" max="16" width="11.85546875" style="13" bestFit="1" customWidth="1"/>
    <col min="17" max="17" width="10.7109375" style="11" bestFit="1" customWidth="1"/>
    <col min="18" max="18" width="10" style="13" bestFit="1" customWidth="1"/>
    <col min="19" max="19" width="9.42578125" style="13" bestFit="1" customWidth="1"/>
    <col min="20" max="20" width="9" style="11" bestFit="1" customWidth="1"/>
    <col min="21" max="22" width="10.7109375" style="11" bestFit="1" customWidth="1"/>
    <col min="23" max="23" width="11.85546875" style="131" bestFit="1" customWidth="1"/>
    <col min="24" max="24" width="11.85546875" style="132" bestFit="1" customWidth="1"/>
    <col min="25" max="25" width="26.140625" style="11" bestFit="1" customWidth="1"/>
    <col min="26" max="26" width="13.85546875" style="13" customWidth="1"/>
    <col min="27" max="27" width="11.42578125" style="13" bestFit="1" customWidth="1"/>
    <col min="28" max="28" width="11.28515625" style="13" bestFit="1" customWidth="1"/>
    <col min="29" max="29" width="10.7109375" style="13" bestFit="1" customWidth="1"/>
    <col min="30" max="30" width="11.42578125" style="11" bestFit="1" customWidth="1"/>
    <col min="31" max="31" width="14.42578125" style="11" customWidth="1"/>
    <col min="32" max="32" width="12.42578125" style="13" bestFit="1" customWidth="1"/>
    <col min="33" max="33" width="11.85546875" style="13" bestFit="1" customWidth="1"/>
    <col min="34" max="34" width="13.140625" style="13" customWidth="1"/>
    <col min="35" max="35" width="11.140625" style="13" customWidth="1"/>
    <col min="36" max="36" width="11.85546875" style="13" bestFit="1" customWidth="1"/>
    <col min="37" max="38" width="11.85546875" style="13" customWidth="1"/>
    <col min="39" max="39" width="11.85546875" style="13" bestFit="1" customWidth="1"/>
    <col min="40" max="40" width="12.28515625" style="13" customWidth="1"/>
    <col min="41" max="41" width="13.28515625" style="13" customWidth="1"/>
    <col min="42" max="42" width="12.85546875" style="13" customWidth="1"/>
    <col min="43" max="43" width="14.42578125" style="11" customWidth="1"/>
    <col min="44" max="44" width="1.28515625" style="13" customWidth="1"/>
    <col min="45" max="45" width="15.7109375" style="11" customWidth="1"/>
    <col min="46" max="46" width="5.140625" style="3" customWidth="1"/>
    <col min="47" max="48" width="11.42578125" style="3"/>
    <col min="49" max="49" width="0" style="3" hidden="1" customWidth="1"/>
    <col min="50" max="16384" width="11.42578125" style="3"/>
  </cols>
  <sheetData>
    <row r="1" spans="1:49" s="78" customFormat="1" hidden="1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/>
      <c r="AB1" s="1"/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</row>
    <row r="2" spans="1:49" ht="58.5" customHeight="1" thickBot="1" x14ac:dyDescent="0.25">
      <c r="B2" s="134" t="s">
        <v>159</v>
      </c>
      <c r="C2" s="135"/>
      <c r="D2" s="136"/>
      <c r="E2" s="136"/>
      <c r="F2" s="100"/>
      <c r="G2" s="100"/>
      <c r="H2" s="100"/>
      <c r="I2" s="136"/>
      <c r="J2" s="136"/>
      <c r="K2" s="100"/>
      <c r="L2" s="100"/>
      <c r="M2" s="136"/>
      <c r="N2" s="136"/>
      <c r="O2" s="136"/>
      <c r="P2" s="136"/>
      <c r="Q2" s="100"/>
      <c r="R2" s="136"/>
      <c r="S2" s="136"/>
      <c r="T2" s="100"/>
      <c r="U2" s="100"/>
      <c r="V2" s="100"/>
      <c r="W2" s="137"/>
      <c r="X2" s="138"/>
      <c r="Y2" s="100"/>
      <c r="Z2" s="136"/>
      <c r="AA2" s="136"/>
      <c r="AB2" s="136"/>
      <c r="AC2" s="136"/>
      <c r="AD2" s="100"/>
      <c r="AE2" s="100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00"/>
      <c r="AR2" s="136"/>
      <c r="AS2" s="100"/>
    </row>
    <row r="3" spans="1:49" s="101" customFormat="1" ht="13.5" thickBot="1" x14ac:dyDescent="0.25">
      <c r="C3" s="102"/>
      <c r="E3" s="102"/>
      <c r="G3" s="102"/>
      <c r="I3" s="102"/>
      <c r="K3" s="102"/>
      <c r="M3" s="102"/>
      <c r="O3" s="102"/>
      <c r="Q3" s="102"/>
      <c r="S3" s="102"/>
      <c r="U3" s="102"/>
      <c r="W3" s="102"/>
      <c r="Y3" s="102"/>
      <c r="AA3" s="102"/>
      <c r="AC3" s="102"/>
      <c r="AE3" s="102"/>
      <c r="AG3" s="102"/>
      <c r="AI3" s="102"/>
      <c r="AK3" s="102"/>
      <c r="AM3" s="102"/>
      <c r="AO3" s="102"/>
      <c r="AQ3" s="102"/>
      <c r="AS3" s="102"/>
    </row>
    <row r="4" spans="1:49" ht="15" customHeight="1" x14ac:dyDescent="0.2">
      <c r="D4" s="337" t="s">
        <v>160</v>
      </c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139"/>
      <c r="Y4" s="331" t="s">
        <v>161</v>
      </c>
      <c r="Z4" s="329" t="s">
        <v>162</v>
      </c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299"/>
      <c r="AQ4" s="323" t="s">
        <v>163</v>
      </c>
      <c r="AR4" s="82"/>
    </row>
    <row r="5" spans="1:49" ht="30" customHeight="1" thickBot="1" x14ac:dyDescent="0.25">
      <c r="D5" s="326" t="s">
        <v>164</v>
      </c>
      <c r="E5" s="335"/>
      <c r="F5" s="335"/>
      <c r="G5" s="336"/>
      <c r="H5" s="326" t="s">
        <v>165</v>
      </c>
      <c r="I5" s="339"/>
      <c r="J5" s="339"/>
      <c r="K5" s="339"/>
      <c r="L5" s="340"/>
      <c r="M5" s="326" t="s">
        <v>166</v>
      </c>
      <c r="N5" s="335"/>
      <c r="O5" s="335"/>
      <c r="P5" s="336"/>
      <c r="Q5" s="326" t="s">
        <v>167</v>
      </c>
      <c r="R5" s="335"/>
      <c r="S5" s="335"/>
      <c r="T5" s="335"/>
      <c r="U5" s="336"/>
      <c r="V5" s="326" t="s">
        <v>168</v>
      </c>
      <c r="W5" s="335"/>
      <c r="X5" s="335"/>
      <c r="Y5" s="332"/>
      <c r="Z5" s="334" t="s">
        <v>169</v>
      </c>
      <c r="AA5" s="335"/>
      <c r="AB5" s="335"/>
      <c r="AC5" s="335"/>
      <c r="AD5" s="335"/>
      <c r="AE5" s="336"/>
      <c r="AF5" s="326" t="s">
        <v>170</v>
      </c>
      <c r="AG5" s="335"/>
      <c r="AH5" s="335"/>
      <c r="AI5" s="335"/>
      <c r="AJ5" s="336"/>
      <c r="AK5" s="326" t="s">
        <v>171</v>
      </c>
      <c r="AL5" s="327"/>
      <c r="AM5" s="327"/>
      <c r="AN5" s="327"/>
      <c r="AO5" s="328"/>
      <c r="AP5" s="298"/>
      <c r="AQ5" s="324"/>
      <c r="AW5" s="298" t="s">
        <v>173</v>
      </c>
    </row>
    <row r="6" spans="1:49" ht="53.25" customHeight="1" thickBot="1" x14ac:dyDescent="0.25">
      <c r="B6" s="103" t="s">
        <v>147</v>
      </c>
      <c r="C6" s="104"/>
      <c r="D6" s="293" t="s">
        <v>174</v>
      </c>
      <c r="E6" s="105" t="s">
        <v>175</v>
      </c>
      <c r="F6" s="105" t="s">
        <v>176</v>
      </c>
      <c r="G6" s="307" t="s">
        <v>283</v>
      </c>
      <c r="H6" s="106" t="s">
        <v>178</v>
      </c>
      <c r="I6" s="293" t="s">
        <v>179</v>
      </c>
      <c r="J6" s="293" t="s">
        <v>180</v>
      </c>
      <c r="K6" s="107" t="s">
        <v>181</v>
      </c>
      <c r="L6" s="307" t="s">
        <v>284</v>
      </c>
      <c r="M6" s="105" t="s">
        <v>182</v>
      </c>
      <c r="N6" s="106" t="s">
        <v>183</v>
      </c>
      <c r="O6" s="106" t="s">
        <v>184</v>
      </c>
      <c r="P6" s="308" t="s">
        <v>285</v>
      </c>
      <c r="Q6" s="108" t="s">
        <v>185</v>
      </c>
      <c r="R6" s="108" t="s">
        <v>186</v>
      </c>
      <c r="S6" s="108" t="s">
        <v>187</v>
      </c>
      <c r="T6" s="108" t="s">
        <v>188</v>
      </c>
      <c r="U6" s="308" t="s">
        <v>291</v>
      </c>
      <c r="V6" s="108" t="s">
        <v>168</v>
      </c>
      <c r="W6" s="108" t="s">
        <v>189</v>
      </c>
      <c r="X6" s="309" t="s">
        <v>292</v>
      </c>
      <c r="Y6" s="333"/>
      <c r="Z6" s="109" t="s">
        <v>190</v>
      </c>
      <c r="AA6" s="109" t="s">
        <v>191</v>
      </c>
      <c r="AB6" s="109" t="s">
        <v>192</v>
      </c>
      <c r="AC6" s="108" t="s">
        <v>193</v>
      </c>
      <c r="AD6" s="108" t="s">
        <v>194</v>
      </c>
      <c r="AE6" s="308" t="s">
        <v>286</v>
      </c>
      <c r="AF6" s="105" t="s">
        <v>195</v>
      </c>
      <c r="AG6" s="108" t="s">
        <v>196</v>
      </c>
      <c r="AH6" s="108" t="s">
        <v>197</v>
      </c>
      <c r="AI6" s="110" t="s">
        <v>198</v>
      </c>
      <c r="AJ6" s="308" t="s">
        <v>287</v>
      </c>
      <c r="AK6" s="111" t="s">
        <v>199</v>
      </c>
      <c r="AL6" s="111" t="s">
        <v>200</v>
      </c>
      <c r="AM6" s="111" t="s">
        <v>201</v>
      </c>
      <c r="AN6" s="112" t="s">
        <v>202</v>
      </c>
      <c r="AO6" s="309" t="s">
        <v>288</v>
      </c>
      <c r="AP6" s="310" t="s">
        <v>172</v>
      </c>
      <c r="AQ6" s="325"/>
      <c r="AS6" s="113" t="s">
        <v>203</v>
      </c>
      <c r="AU6" s="114">
        <f>+COUNTA(B7:B82)-COUNTBLANK(T7:T82)-COUNTIF(T7:T82,0)+3</f>
        <v>13</v>
      </c>
      <c r="AV6" s="114">
        <f>+COUNTA(B7:B82)-COUNTBLANK(AS7:AS82)-COUNTIF(AS7:AS82,0)</f>
        <v>76</v>
      </c>
      <c r="AW6" s="112" t="s">
        <v>204</v>
      </c>
    </row>
    <row r="7" spans="1:49" x14ac:dyDescent="0.2">
      <c r="B7" s="121" t="s">
        <v>58</v>
      </c>
      <c r="C7" s="115"/>
      <c r="D7" s="116">
        <f>+VLOOKUP($B7,'datos9-2014'!$A$2:$BE$78,13,FALSE)</f>
        <v>6640239</v>
      </c>
      <c r="E7" s="116">
        <f>+VLOOKUP($B7,'datos9-2014'!$A$2:$BE$78,14,FALSE)</f>
        <v>0</v>
      </c>
      <c r="F7" s="116">
        <f>+VLOOKUP($B7,'datos9-2014'!$A$2:$BE$78,15,FALSE)</f>
        <v>0</v>
      </c>
      <c r="G7" s="68">
        <f t="shared" ref="G7:G38" si="0">SUM(D7:F7)</f>
        <v>6640239</v>
      </c>
      <c r="H7" s="116">
        <f>+VLOOKUP($B7,'datos9-2014'!$A$2:$BE$78,17,FALSE)</f>
        <v>0</v>
      </c>
      <c r="I7" s="116">
        <f>+VLOOKUP($B7,'datos9-2014'!$A$2:$BE$78,18,FALSE)</f>
        <v>0</v>
      </c>
      <c r="J7" s="116">
        <f>+VLOOKUP($B7,'datos9-2014'!$A$2:$BE$78,19,FALSE)</f>
        <v>0</v>
      </c>
      <c r="K7" s="116">
        <f>+VLOOKUP($B7,'datos9-2014'!$A$2:$BE$78,20,FALSE)</f>
        <v>1897978</v>
      </c>
      <c r="L7" s="68">
        <f t="shared" ref="L7:L38" si="1">SUM(H7:K7)</f>
        <v>1897978</v>
      </c>
      <c r="M7" s="116">
        <f>+VLOOKUP($B7,'datos9-2014'!$A$2:$BE$78,22,FALSE)</f>
        <v>4410756</v>
      </c>
      <c r="N7" s="116">
        <f>+VLOOKUP($B7,'datos9-2014'!$A$2:$BE$78,23,FALSE)</f>
        <v>0</v>
      </c>
      <c r="O7" s="116">
        <f>+VLOOKUP($B7,'datos9-2014'!$A$2:$BE$78,24,FALSE)</f>
        <v>0</v>
      </c>
      <c r="P7" s="68">
        <f t="shared" ref="P7:P38" si="2">SUM(M7:O7)</f>
        <v>4410756</v>
      </c>
      <c r="Q7" s="116">
        <f>+VLOOKUP($B7,'datos9-2014'!$A$2:$BE$78,26,FALSE)</f>
        <v>0</v>
      </c>
      <c r="R7" s="116">
        <f>+VLOOKUP($B7,'datos9-2014'!$A$2:$BE$78,27,FALSE)</f>
        <v>0</v>
      </c>
      <c r="S7" s="116">
        <f>+VLOOKUP($B7,'datos9-2014'!$A$2:$BE$78,28,FALSE)</f>
        <v>0</v>
      </c>
      <c r="T7" s="116">
        <f>+VLOOKUP($B7,'datos9-2014'!$A$2:$BE$78,29,FALSE)</f>
        <v>0</v>
      </c>
      <c r="U7" s="68">
        <f t="shared" ref="U7:U38" si="3">SUM(Q7:T7)</f>
        <v>0</v>
      </c>
      <c r="V7" s="116">
        <f>+VLOOKUP($B7,'datos9-2014'!$A$2:$BE$78,31,FALSE)</f>
        <v>0</v>
      </c>
      <c r="W7" s="116">
        <f>+VLOOKUP($B7,'datos9-2014'!$A$2:$BE$78,32,FALSE)</f>
        <v>0</v>
      </c>
      <c r="X7" s="117">
        <f t="shared" ref="X7:X38" si="4">SUM(V7:W7)</f>
        <v>0</v>
      </c>
      <c r="Y7" s="118">
        <f t="shared" ref="Y7:Y38" si="5">+U7+P7+L7+G7+X7</f>
        <v>12948973</v>
      </c>
      <c r="Z7" s="116">
        <f>+VLOOKUP($B7,'datos9-2014'!$A$2:$BE$78,35,FALSE)</f>
        <v>6250000</v>
      </c>
      <c r="AA7" s="116">
        <f>+VLOOKUP($B7,'datos9-2014'!$A$2:$BE$78,36,FALSE)</f>
        <v>0</v>
      </c>
      <c r="AB7" s="116">
        <f>+VLOOKUP($B7,'datos9-2014'!$A$2:$BE$78,37,FALSE)</f>
        <v>0</v>
      </c>
      <c r="AC7" s="116">
        <f>+VLOOKUP($B7,'datos9-2014'!$A$2:$BE$78,38,FALSE)</f>
        <v>0</v>
      </c>
      <c r="AD7" s="116">
        <f>+VLOOKUP($B7,'datos9-2014'!$A$2:$BE$78,39,FALSE)</f>
        <v>1417997</v>
      </c>
      <c r="AE7" s="68">
        <f t="shared" ref="AE7:AE38" si="6">SUM(Z7:AD7)</f>
        <v>7667997</v>
      </c>
      <c r="AF7" s="116">
        <f>+VLOOKUP($B7,'datos9-2014'!$A$2:$BE$78,42,FALSE)</f>
        <v>0</v>
      </c>
      <c r="AG7" s="116">
        <f>+VLOOKUP($B7,'datos9-2014'!$A$2:$BE$78,44,FALSE)</f>
        <v>0</v>
      </c>
      <c r="AH7" s="116">
        <f>+VLOOKUP($B7,'datos9-2014'!$A$2:$BE$78,45,FALSE)</f>
        <v>0</v>
      </c>
      <c r="AI7" s="116">
        <f>+VLOOKUP($B7,'datos9-2014'!$A$2:$BE$78,46,FALSE)</f>
        <v>0</v>
      </c>
      <c r="AJ7" s="68">
        <f t="shared" ref="AJ7:AJ38" si="7">SUM(AF7:AI7)</f>
        <v>0</v>
      </c>
      <c r="AK7" s="116">
        <f>+VLOOKUP($B7,'datos9-2014'!$A$2:$BE$78,49,FALSE)</f>
        <v>4846575</v>
      </c>
      <c r="AL7" s="116">
        <f>+VLOOKUP($B7,'datos9-2014'!$A$2:$BE$78,50,FALSE)</f>
        <v>23129200</v>
      </c>
      <c r="AM7" s="116">
        <f>+VLOOKUP($B7,'datos9-2014'!$A$2:$BE$78,51,FALSE)</f>
        <v>23380000</v>
      </c>
      <c r="AN7" s="116">
        <f>+VLOOKUP($B7,'datos9-2014'!$A$2:$BE$78,52,FALSE)</f>
        <v>15137021</v>
      </c>
      <c r="AO7" s="119">
        <f t="shared" ref="AO7:AO38" si="8">SUM(AK7:AN7)</f>
        <v>66492796</v>
      </c>
      <c r="AP7" s="116">
        <f>+VLOOKUP($B7,'datos9-2014'!$A$2:$BE$78,55,FALSE)</f>
        <v>0</v>
      </c>
      <c r="AQ7" s="118">
        <f t="shared" ref="AQ7:AQ38" si="9">AO7+AJ7+AE7+AP7</f>
        <v>74160793</v>
      </c>
      <c r="AS7" s="120">
        <f t="shared" ref="AS7:AS38" si="10">+Y7+AQ7</f>
        <v>87109766</v>
      </c>
      <c r="AU7" s="13"/>
      <c r="AW7" s="3">
        <v>0</v>
      </c>
    </row>
    <row r="8" spans="1:49" x14ac:dyDescent="0.2">
      <c r="B8" s="121" t="s">
        <v>59</v>
      </c>
      <c r="C8" s="115"/>
      <c r="D8" s="116">
        <f>+VLOOKUP($B8,'datos9-2014'!$A$2:$BE$78,13,FALSE)</f>
        <v>91720.75</v>
      </c>
      <c r="E8" s="116">
        <f>+VLOOKUP($B8,'datos9-2014'!$A$2:$BE$78,14,FALSE)</f>
        <v>25225.53</v>
      </c>
      <c r="F8" s="116">
        <f>+VLOOKUP($B8,'datos9-2014'!$A$2:$BE$78,15,FALSE)</f>
        <v>0</v>
      </c>
      <c r="G8" s="68">
        <f t="shared" si="0"/>
        <v>116946.28</v>
      </c>
      <c r="H8" s="116">
        <f>+VLOOKUP($B8,'datos9-2014'!$A$2:$BE$78,17,FALSE)</f>
        <v>0</v>
      </c>
      <c r="I8" s="116">
        <f>+VLOOKUP($B8,'datos9-2014'!$A$2:$BE$78,18,FALSE)</f>
        <v>11350.69</v>
      </c>
      <c r="J8" s="116">
        <f>+VLOOKUP($B8,'datos9-2014'!$A$2:$BE$78,19,FALSE)</f>
        <v>193373.31</v>
      </c>
      <c r="K8" s="116">
        <f>+VLOOKUP($B8,'datos9-2014'!$A$2:$BE$78,20,FALSE)</f>
        <v>23151.09</v>
      </c>
      <c r="L8" s="68">
        <f t="shared" si="1"/>
        <v>227875.09</v>
      </c>
      <c r="M8" s="116">
        <f>+VLOOKUP($B8,'datos9-2014'!$A$2:$BE$78,22,FALSE)</f>
        <v>0</v>
      </c>
      <c r="N8" s="116">
        <f>+VLOOKUP($B8,'datos9-2014'!$A$2:$BE$78,23,FALSE)</f>
        <v>0</v>
      </c>
      <c r="O8" s="116">
        <f>+VLOOKUP($B8,'datos9-2014'!$A$2:$BE$78,24,FALSE)</f>
        <v>0</v>
      </c>
      <c r="P8" s="68">
        <f t="shared" si="2"/>
        <v>0</v>
      </c>
      <c r="Q8" s="116">
        <f>+VLOOKUP($B8,'datos9-2014'!$A$2:$BE$78,26,FALSE)</f>
        <v>0</v>
      </c>
      <c r="R8" s="116">
        <f>+VLOOKUP($B8,'datos9-2014'!$A$2:$BE$78,27,FALSE)</f>
        <v>0</v>
      </c>
      <c r="S8" s="116">
        <f>+VLOOKUP($B8,'datos9-2014'!$A$2:$BE$78,28,FALSE)</f>
        <v>0</v>
      </c>
      <c r="T8" s="116">
        <f>+VLOOKUP($B8,'datos9-2014'!$A$2:$BE$78,29,FALSE)</f>
        <v>0</v>
      </c>
      <c r="U8" s="68">
        <f t="shared" si="3"/>
        <v>0</v>
      </c>
      <c r="V8" s="116">
        <f>+VLOOKUP($B8,'datos9-2014'!$A$2:$BE$78,31,FALSE)</f>
        <v>0</v>
      </c>
      <c r="W8" s="116">
        <f>+VLOOKUP($B8,'datos9-2014'!$A$2:$BE$78,32,FALSE)</f>
        <v>0</v>
      </c>
      <c r="X8" s="117">
        <f t="shared" si="4"/>
        <v>0</v>
      </c>
      <c r="Y8" s="118">
        <f t="shared" si="5"/>
        <v>344821.37</v>
      </c>
      <c r="Z8" s="116">
        <f>+VLOOKUP($B8,'datos9-2014'!$A$2:$BE$78,35,FALSE)</f>
        <v>0</v>
      </c>
      <c r="AA8" s="116">
        <f>+VLOOKUP($B8,'datos9-2014'!$A$2:$BE$78,36,FALSE)</f>
        <v>0</v>
      </c>
      <c r="AB8" s="116">
        <f>+VLOOKUP($B8,'datos9-2014'!$A$2:$BE$78,37,FALSE)</f>
        <v>0</v>
      </c>
      <c r="AC8" s="116">
        <f>+VLOOKUP($B8,'datos9-2014'!$A$2:$BE$78,38,FALSE)</f>
        <v>0</v>
      </c>
      <c r="AD8" s="116">
        <f>+VLOOKUP($B8,'datos9-2014'!$A$2:$BE$78,39,FALSE)</f>
        <v>0</v>
      </c>
      <c r="AE8" s="68">
        <f t="shared" si="6"/>
        <v>0</v>
      </c>
      <c r="AF8" s="116">
        <f>+VLOOKUP($B8,'datos9-2014'!$A$2:$BE$78,42,FALSE)</f>
        <v>79000</v>
      </c>
      <c r="AG8" s="116">
        <f>+VLOOKUP($B8,'datos9-2014'!$A$2:$BE$78,44,FALSE)</f>
        <v>37895.589999999997</v>
      </c>
      <c r="AH8" s="116">
        <f>+VLOOKUP($B8,'datos9-2014'!$A$2:$BE$78,45,FALSE)</f>
        <v>0</v>
      </c>
      <c r="AI8" s="116">
        <f>+VLOOKUP($B8,'datos9-2014'!$A$2:$BE$78,46,FALSE)</f>
        <v>0</v>
      </c>
      <c r="AJ8" s="68">
        <f t="shared" si="7"/>
        <v>116895.59</v>
      </c>
      <c r="AK8" s="116">
        <f>+VLOOKUP($B8,'datos9-2014'!$A$2:$BE$78,49,FALSE)</f>
        <v>0</v>
      </c>
      <c r="AL8" s="116">
        <f>+VLOOKUP($B8,'datos9-2014'!$A$2:$BE$78,50,FALSE)</f>
        <v>0</v>
      </c>
      <c r="AM8" s="116">
        <f>+VLOOKUP($B8,'datos9-2014'!$A$2:$BE$78,51,FALSE)</f>
        <v>0</v>
      </c>
      <c r="AN8" s="116">
        <f>+VLOOKUP($B8,'datos9-2014'!$A$2:$BE$78,52,FALSE)</f>
        <v>0</v>
      </c>
      <c r="AO8" s="119">
        <f t="shared" si="8"/>
        <v>0</v>
      </c>
      <c r="AP8" s="116">
        <f>+VLOOKUP($B8,'datos9-2014'!$A$2:$BE$78,55,FALSE)</f>
        <v>0</v>
      </c>
      <c r="AQ8" s="118">
        <f t="shared" si="9"/>
        <v>116895.59</v>
      </c>
      <c r="AS8" s="120">
        <f t="shared" si="10"/>
        <v>461716.95999999996</v>
      </c>
      <c r="AW8" s="116">
        <v>0</v>
      </c>
    </row>
    <row r="9" spans="1:49" x14ac:dyDescent="0.2">
      <c r="B9" s="121" t="s">
        <v>60</v>
      </c>
      <c r="C9" s="115"/>
      <c r="D9" s="116">
        <f>+VLOOKUP($B9,'datos9-2014'!$A$2:$BE$78,13,FALSE)</f>
        <v>148188.72</v>
      </c>
      <c r="E9" s="116">
        <f>+VLOOKUP($B9,'datos9-2014'!$A$2:$BE$78,14,FALSE)</f>
        <v>0</v>
      </c>
      <c r="F9" s="116">
        <f>+VLOOKUP($B9,'datos9-2014'!$A$2:$BE$78,15,FALSE)</f>
        <v>0</v>
      </c>
      <c r="G9" s="68">
        <f t="shared" si="0"/>
        <v>148188.72</v>
      </c>
      <c r="H9" s="116">
        <f>+VLOOKUP($B9,'datos9-2014'!$A$2:$BE$78,17,FALSE)</f>
        <v>55385.61</v>
      </c>
      <c r="I9" s="116">
        <f>+VLOOKUP($B9,'datos9-2014'!$A$2:$BE$78,18,FALSE)</f>
        <v>0</v>
      </c>
      <c r="J9" s="116">
        <f>+VLOOKUP($B9,'datos9-2014'!$A$2:$BE$78,19,FALSE)</f>
        <v>0</v>
      </c>
      <c r="K9" s="116">
        <f>+VLOOKUP($B9,'datos9-2014'!$A$2:$BE$78,20,FALSE)</f>
        <v>0</v>
      </c>
      <c r="L9" s="68">
        <f t="shared" si="1"/>
        <v>55385.61</v>
      </c>
      <c r="M9" s="116">
        <f>+VLOOKUP($B9,'datos9-2014'!$A$2:$BE$78,22,FALSE)</f>
        <v>0</v>
      </c>
      <c r="N9" s="116">
        <f>+VLOOKUP($B9,'datos9-2014'!$A$2:$BE$78,23,FALSE)</f>
        <v>0</v>
      </c>
      <c r="O9" s="116">
        <f>+VLOOKUP($B9,'datos9-2014'!$A$2:$BE$78,24,FALSE)</f>
        <v>0</v>
      </c>
      <c r="P9" s="68">
        <f t="shared" si="2"/>
        <v>0</v>
      </c>
      <c r="Q9" s="116">
        <f>+VLOOKUP($B9,'datos9-2014'!$A$2:$BE$78,26,FALSE)</f>
        <v>0</v>
      </c>
      <c r="R9" s="116">
        <f>+VLOOKUP($B9,'datos9-2014'!$A$2:$BE$78,27,FALSE)</f>
        <v>0</v>
      </c>
      <c r="S9" s="116">
        <f>+VLOOKUP($B9,'datos9-2014'!$A$2:$BE$78,28,FALSE)</f>
        <v>0</v>
      </c>
      <c r="T9" s="116">
        <f>+VLOOKUP($B9,'datos9-2014'!$A$2:$BE$78,29,FALSE)</f>
        <v>0</v>
      </c>
      <c r="U9" s="68">
        <f t="shared" si="3"/>
        <v>0</v>
      </c>
      <c r="V9" s="116">
        <f>+VLOOKUP($B9,'datos9-2014'!$A$2:$BE$78,31,FALSE)</f>
        <v>0</v>
      </c>
      <c r="W9" s="116">
        <f>+VLOOKUP($B9,'datos9-2014'!$A$2:$BE$78,32,FALSE)</f>
        <v>0</v>
      </c>
      <c r="X9" s="117">
        <f t="shared" si="4"/>
        <v>0</v>
      </c>
      <c r="Y9" s="118">
        <f t="shared" si="5"/>
        <v>203574.33000000002</v>
      </c>
      <c r="Z9" s="116">
        <f>+VLOOKUP($B9,'datos9-2014'!$A$2:$BE$78,35,FALSE)</f>
        <v>2500000</v>
      </c>
      <c r="AA9" s="116">
        <f>+VLOOKUP($B9,'datos9-2014'!$A$2:$BE$78,36,FALSE)</f>
        <v>0</v>
      </c>
      <c r="AB9" s="116">
        <f>+VLOOKUP($B9,'datos9-2014'!$A$2:$BE$78,37,FALSE)</f>
        <v>0</v>
      </c>
      <c r="AC9" s="116">
        <f>+VLOOKUP($B9,'datos9-2014'!$A$2:$BE$78,38,FALSE)</f>
        <v>0</v>
      </c>
      <c r="AD9" s="116">
        <f>+VLOOKUP($B9,'datos9-2014'!$A$2:$BE$78,39,FALSE)</f>
        <v>0</v>
      </c>
      <c r="AE9" s="68">
        <f t="shared" si="6"/>
        <v>2500000</v>
      </c>
      <c r="AF9" s="116">
        <f>+VLOOKUP($B9,'datos9-2014'!$A$2:$BE$78,42,FALSE)</f>
        <v>113214</v>
      </c>
      <c r="AG9" s="116">
        <f>+VLOOKUP($B9,'datos9-2014'!$A$2:$BE$78,44,FALSE)</f>
        <v>16054.19</v>
      </c>
      <c r="AH9" s="116">
        <f>+VLOOKUP($B9,'datos9-2014'!$A$2:$BE$78,45,FALSE)</f>
        <v>0</v>
      </c>
      <c r="AI9" s="116">
        <f>+VLOOKUP($B9,'datos9-2014'!$A$2:$BE$78,46,FALSE)</f>
        <v>0</v>
      </c>
      <c r="AJ9" s="68">
        <f t="shared" si="7"/>
        <v>129268.19</v>
      </c>
      <c r="AK9" s="116">
        <f>+VLOOKUP($B9,'datos9-2014'!$A$2:$BE$78,49,FALSE)</f>
        <v>0</v>
      </c>
      <c r="AL9" s="116">
        <f>+VLOOKUP($B9,'datos9-2014'!$A$2:$BE$78,50,FALSE)</f>
        <v>0</v>
      </c>
      <c r="AM9" s="116">
        <f>+VLOOKUP($B9,'datos9-2014'!$A$2:$BE$78,51,FALSE)</f>
        <v>0</v>
      </c>
      <c r="AN9" s="116">
        <f>+VLOOKUP($B9,'datos9-2014'!$A$2:$BE$78,52,FALSE)</f>
        <v>0</v>
      </c>
      <c r="AO9" s="119">
        <f t="shared" si="8"/>
        <v>0</v>
      </c>
      <c r="AP9" s="116">
        <f>+VLOOKUP($B9,'datos9-2014'!$A$2:$BE$78,55,FALSE)</f>
        <v>0</v>
      </c>
      <c r="AQ9" s="118">
        <f t="shared" si="9"/>
        <v>2629268.19</v>
      </c>
      <c r="AS9" s="120">
        <f t="shared" si="10"/>
        <v>2832842.52</v>
      </c>
      <c r="AW9" s="116">
        <v>0</v>
      </c>
    </row>
    <row r="10" spans="1:49" x14ac:dyDescent="0.2">
      <c r="B10" s="121" t="s">
        <v>61</v>
      </c>
      <c r="C10" s="115"/>
      <c r="D10" s="116">
        <f>+VLOOKUP($B10,'datos9-2014'!$A$2:$BE$78,13,FALSE)</f>
        <v>29057</v>
      </c>
      <c r="E10" s="116">
        <f>+VLOOKUP($B10,'datos9-2014'!$A$2:$BE$78,14,FALSE)</f>
        <v>0</v>
      </c>
      <c r="F10" s="116">
        <f>+VLOOKUP($B10,'datos9-2014'!$A$2:$BE$78,15,FALSE)</f>
        <v>30002.95</v>
      </c>
      <c r="G10" s="68">
        <f t="shared" si="0"/>
        <v>59059.95</v>
      </c>
      <c r="H10" s="116">
        <f>+VLOOKUP($B10,'datos9-2014'!$A$2:$BE$78,17,FALSE)</f>
        <v>30019</v>
      </c>
      <c r="I10" s="116">
        <f>+VLOOKUP($B10,'datos9-2014'!$A$2:$BE$78,18,FALSE)</f>
        <v>0</v>
      </c>
      <c r="J10" s="116">
        <f>+VLOOKUP($B10,'datos9-2014'!$A$2:$BE$78,19,FALSE)</f>
        <v>0</v>
      </c>
      <c r="K10" s="116">
        <f>+VLOOKUP($B10,'datos9-2014'!$A$2:$BE$78,20,FALSE)</f>
        <v>72930.289999999994</v>
      </c>
      <c r="L10" s="68">
        <f t="shared" si="1"/>
        <v>102949.29</v>
      </c>
      <c r="M10" s="116">
        <f>+VLOOKUP($B10,'datos9-2014'!$A$2:$BE$78,22,FALSE)</f>
        <v>85000</v>
      </c>
      <c r="N10" s="116">
        <f>+VLOOKUP($B10,'datos9-2014'!$A$2:$BE$78,23,FALSE)</f>
        <v>0</v>
      </c>
      <c r="O10" s="116">
        <f>+VLOOKUP($B10,'datos9-2014'!$A$2:$BE$78,24,FALSE)</f>
        <v>0</v>
      </c>
      <c r="P10" s="68">
        <f t="shared" si="2"/>
        <v>85000</v>
      </c>
      <c r="Q10" s="116">
        <f>+VLOOKUP($B10,'datos9-2014'!$A$2:$BE$78,26,FALSE)</f>
        <v>0</v>
      </c>
      <c r="R10" s="116">
        <f>+VLOOKUP($B10,'datos9-2014'!$A$2:$BE$78,27,FALSE)</f>
        <v>0</v>
      </c>
      <c r="S10" s="116">
        <f>+VLOOKUP($B10,'datos9-2014'!$A$2:$BE$78,28,FALSE)</f>
        <v>0</v>
      </c>
      <c r="T10" s="116">
        <f>+VLOOKUP($B10,'datos9-2014'!$A$2:$BE$78,29,FALSE)</f>
        <v>75042.720000000001</v>
      </c>
      <c r="U10" s="68">
        <f t="shared" si="3"/>
        <v>75042.720000000001</v>
      </c>
      <c r="V10" s="116">
        <f>+VLOOKUP($B10,'datos9-2014'!$A$2:$BE$78,31,FALSE)</f>
        <v>0</v>
      </c>
      <c r="W10" s="116">
        <f>+VLOOKUP($B10,'datos9-2014'!$A$2:$BE$78,32,FALSE)</f>
        <v>0</v>
      </c>
      <c r="X10" s="117">
        <f t="shared" si="4"/>
        <v>0</v>
      </c>
      <c r="Y10" s="118">
        <f t="shared" si="5"/>
        <v>322051.96000000002</v>
      </c>
      <c r="Z10" s="116">
        <f>+VLOOKUP($B10,'datos9-2014'!$A$2:$BE$78,35,FALSE)</f>
        <v>0</v>
      </c>
      <c r="AA10" s="116">
        <f>+VLOOKUP($B10,'datos9-2014'!$A$2:$BE$78,36,FALSE)</f>
        <v>224800</v>
      </c>
      <c r="AB10" s="116">
        <f>+VLOOKUP($B10,'datos9-2014'!$A$2:$BE$78,37,FALSE)</f>
        <v>0</v>
      </c>
      <c r="AC10" s="116">
        <f>+VLOOKUP($B10,'datos9-2014'!$A$2:$BE$78,38,FALSE)</f>
        <v>0</v>
      </c>
      <c r="AD10" s="116">
        <f>+VLOOKUP($B10,'datos9-2014'!$A$2:$BE$78,39,FALSE)</f>
        <v>0</v>
      </c>
      <c r="AE10" s="68">
        <f t="shared" si="6"/>
        <v>224800</v>
      </c>
      <c r="AF10" s="116">
        <f>+VLOOKUP($B10,'datos9-2014'!$A$2:$BE$78,42,FALSE)</f>
        <v>155788</v>
      </c>
      <c r="AG10" s="116">
        <f>+VLOOKUP($B10,'datos9-2014'!$A$2:$BE$78,44,FALSE)</f>
        <v>0</v>
      </c>
      <c r="AH10" s="116">
        <f>+VLOOKUP($B10,'datos9-2014'!$A$2:$BE$78,45,FALSE)</f>
        <v>0</v>
      </c>
      <c r="AI10" s="116">
        <f>+VLOOKUP($B10,'datos9-2014'!$A$2:$BE$78,46,FALSE)</f>
        <v>0</v>
      </c>
      <c r="AJ10" s="68">
        <f t="shared" si="7"/>
        <v>155788</v>
      </c>
      <c r="AK10" s="116">
        <f>+VLOOKUP($B10,'datos9-2014'!$A$2:$BE$78,49,FALSE)</f>
        <v>700000</v>
      </c>
      <c r="AL10" s="116">
        <f>+VLOOKUP($B10,'datos9-2014'!$A$2:$BE$78,50,FALSE)</f>
        <v>0</v>
      </c>
      <c r="AM10" s="116">
        <f>+VLOOKUP($B10,'datos9-2014'!$A$2:$BE$78,51,FALSE)</f>
        <v>295696</v>
      </c>
      <c r="AN10" s="116">
        <f>+VLOOKUP($B10,'datos9-2014'!$A$2:$BE$78,52,FALSE)</f>
        <v>0</v>
      </c>
      <c r="AO10" s="119">
        <f t="shared" si="8"/>
        <v>995696</v>
      </c>
      <c r="AP10" s="116">
        <f>+VLOOKUP($B10,'datos9-2014'!$A$2:$BE$78,55,FALSE)</f>
        <v>0</v>
      </c>
      <c r="AQ10" s="118">
        <f t="shared" si="9"/>
        <v>1376284</v>
      </c>
      <c r="AS10" s="120">
        <f t="shared" si="10"/>
        <v>1698335.96</v>
      </c>
      <c r="AW10" s="116">
        <v>33887</v>
      </c>
    </row>
    <row r="11" spans="1:49" x14ac:dyDescent="0.2">
      <c r="B11" s="121" t="s">
        <v>62</v>
      </c>
      <c r="C11" s="115"/>
      <c r="D11" s="116">
        <f>+VLOOKUP($B11,'datos9-2014'!$A$2:$BE$78,13,FALSE)</f>
        <v>500</v>
      </c>
      <c r="E11" s="116">
        <f>+VLOOKUP($B11,'datos9-2014'!$A$2:$BE$78,14,FALSE)</f>
        <v>0</v>
      </c>
      <c r="F11" s="116">
        <f>+VLOOKUP($B11,'datos9-2014'!$A$2:$BE$78,15,FALSE)</f>
        <v>0</v>
      </c>
      <c r="G11" s="68">
        <f t="shared" si="0"/>
        <v>500</v>
      </c>
      <c r="H11" s="116">
        <f>+VLOOKUP($B11,'datos9-2014'!$A$2:$BE$78,17,FALSE)</f>
        <v>0</v>
      </c>
      <c r="I11" s="116">
        <f>+VLOOKUP($B11,'datos9-2014'!$A$2:$BE$78,18,FALSE)</f>
        <v>0</v>
      </c>
      <c r="J11" s="116">
        <f>+VLOOKUP($B11,'datos9-2014'!$A$2:$BE$78,19,FALSE)</f>
        <v>0</v>
      </c>
      <c r="K11" s="116">
        <f>+VLOOKUP($B11,'datos9-2014'!$A$2:$BE$78,20,FALSE)</f>
        <v>6600.01</v>
      </c>
      <c r="L11" s="68">
        <f t="shared" si="1"/>
        <v>6600.01</v>
      </c>
      <c r="M11" s="116">
        <f>+VLOOKUP($B11,'datos9-2014'!$A$2:$BE$78,22,FALSE)</f>
        <v>0</v>
      </c>
      <c r="N11" s="116">
        <f>+VLOOKUP($B11,'datos9-2014'!$A$2:$BE$78,23,FALSE)</f>
        <v>0</v>
      </c>
      <c r="O11" s="116">
        <f>+VLOOKUP($B11,'datos9-2014'!$A$2:$BE$78,24,FALSE)</f>
        <v>0</v>
      </c>
      <c r="P11" s="68">
        <f t="shared" si="2"/>
        <v>0</v>
      </c>
      <c r="Q11" s="116">
        <f>+VLOOKUP($B11,'datos9-2014'!$A$2:$BE$78,26,FALSE)</f>
        <v>0</v>
      </c>
      <c r="R11" s="116">
        <f>+VLOOKUP($B11,'datos9-2014'!$A$2:$BE$78,27,FALSE)</f>
        <v>0</v>
      </c>
      <c r="S11" s="116">
        <f>+VLOOKUP($B11,'datos9-2014'!$A$2:$BE$78,28,FALSE)</f>
        <v>0</v>
      </c>
      <c r="T11" s="116">
        <f>+VLOOKUP($B11,'datos9-2014'!$A$2:$BE$78,29,FALSE)</f>
        <v>0</v>
      </c>
      <c r="U11" s="68">
        <f t="shared" si="3"/>
        <v>0</v>
      </c>
      <c r="V11" s="116">
        <f>+VLOOKUP($B11,'datos9-2014'!$A$2:$BE$78,31,FALSE)</f>
        <v>15884</v>
      </c>
      <c r="W11" s="116">
        <f>+VLOOKUP($B11,'datos9-2014'!$A$2:$BE$78,32,FALSE)</f>
        <v>140000</v>
      </c>
      <c r="X11" s="117">
        <f t="shared" si="4"/>
        <v>155884</v>
      </c>
      <c r="Y11" s="118">
        <f t="shared" si="5"/>
        <v>162984.01</v>
      </c>
      <c r="Z11" s="116">
        <f>+VLOOKUP($B11,'datos9-2014'!$A$2:$BE$78,35,FALSE)</f>
        <v>3250000</v>
      </c>
      <c r="AA11" s="116">
        <f>+VLOOKUP($B11,'datos9-2014'!$A$2:$BE$78,36,FALSE)</f>
        <v>297700</v>
      </c>
      <c r="AB11" s="116">
        <f>+VLOOKUP($B11,'datos9-2014'!$A$2:$BE$78,37,FALSE)</f>
        <v>0</v>
      </c>
      <c r="AC11" s="116">
        <f>+VLOOKUP($B11,'datos9-2014'!$A$2:$BE$78,38,FALSE)</f>
        <v>0</v>
      </c>
      <c r="AD11" s="116">
        <f>+VLOOKUP($B11,'datos9-2014'!$A$2:$BE$78,39,FALSE)</f>
        <v>0</v>
      </c>
      <c r="AE11" s="68">
        <f t="shared" si="6"/>
        <v>3547700</v>
      </c>
      <c r="AF11" s="116">
        <f>+VLOOKUP($B11,'datos9-2014'!$A$2:$BE$78,42,FALSE)</f>
        <v>0</v>
      </c>
      <c r="AG11" s="116">
        <f>+VLOOKUP($B11,'datos9-2014'!$A$2:$BE$78,44,FALSE)</f>
        <v>0</v>
      </c>
      <c r="AH11" s="116">
        <f>+VLOOKUP($B11,'datos9-2014'!$A$2:$BE$78,45,FALSE)</f>
        <v>0</v>
      </c>
      <c r="AI11" s="116">
        <f>+VLOOKUP($B11,'datos9-2014'!$A$2:$BE$78,46,FALSE)</f>
        <v>0</v>
      </c>
      <c r="AJ11" s="68">
        <f t="shared" si="7"/>
        <v>0</v>
      </c>
      <c r="AK11" s="116">
        <f>+VLOOKUP($B11,'datos9-2014'!$A$2:$BE$78,49,FALSE)</f>
        <v>0</v>
      </c>
      <c r="AL11" s="116">
        <f>+VLOOKUP($B11,'datos9-2014'!$A$2:$BE$78,50,FALSE)</f>
        <v>0</v>
      </c>
      <c r="AM11" s="116">
        <f>+VLOOKUP($B11,'datos9-2014'!$A$2:$BE$78,51,FALSE)</f>
        <v>0</v>
      </c>
      <c r="AN11" s="116">
        <f>+VLOOKUP($B11,'datos9-2014'!$A$2:$BE$78,52,FALSE)</f>
        <v>0</v>
      </c>
      <c r="AO11" s="119">
        <f t="shared" si="8"/>
        <v>0</v>
      </c>
      <c r="AP11" s="116">
        <f>+VLOOKUP($B11,'datos9-2014'!$A$2:$BE$78,55,FALSE)</f>
        <v>0</v>
      </c>
      <c r="AQ11" s="118">
        <f t="shared" si="9"/>
        <v>3547700</v>
      </c>
      <c r="AS11" s="120">
        <f t="shared" si="10"/>
        <v>3710684.01</v>
      </c>
      <c r="AW11" s="116">
        <v>1400</v>
      </c>
    </row>
    <row r="12" spans="1:49" x14ac:dyDescent="0.2">
      <c r="B12" s="121" t="s">
        <v>63</v>
      </c>
      <c r="C12" s="115"/>
      <c r="D12" s="116">
        <f>+VLOOKUP($B12,'datos9-2014'!$A$2:$BE$78,13,FALSE)</f>
        <v>699706.25</v>
      </c>
      <c r="E12" s="116">
        <f>+VLOOKUP($B12,'datos9-2014'!$A$2:$BE$78,14,FALSE)</f>
        <v>60882.79</v>
      </c>
      <c r="F12" s="116">
        <f>+VLOOKUP($B12,'datos9-2014'!$A$2:$BE$78,15,FALSE)</f>
        <v>8550.9500000000007</v>
      </c>
      <c r="G12" s="68">
        <f t="shared" si="0"/>
        <v>769139.99</v>
      </c>
      <c r="H12" s="116">
        <f>+VLOOKUP($B12,'datos9-2014'!$A$2:$BE$78,17,FALSE)</f>
        <v>2408704.63</v>
      </c>
      <c r="I12" s="116">
        <f>+VLOOKUP($B12,'datos9-2014'!$A$2:$BE$78,18,FALSE)</f>
        <v>29737.87</v>
      </c>
      <c r="J12" s="116">
        <f>+VLOOKUP($B12,'datos9-2014'!$A$2:$BE$78,19,FALSE)</f>
        <v>35731.5</v>
      </c>
      <c r="K12" s="116">
        <f>+VLOOKUP($B12,'datos9-2014'!$A$2:$BE$78,20,FALSE)</f>
        <v>2376678.7400000002</v>
      </c>
      <c r="L12" s="68">
        <f t="shared" si="1"/>
        <v>4850852.74</v>
      </c>
      <c r="M12" s="116">
        <f>+VLOOKUP($B12,'datos9-2014'!$A$2:$BE$78,22,FALSE)</f>
        <v>450765</v>
      </c>
      <c r="N12" s="116">
        <f>+VLOOKUP($B12,'datos9-2014'!$A$2:$BE$78,23,FALSE)</f>
        <v>0</v>
      </c>
      <c r="O12" s="116">
        <f>+VLOOKUP($B12,'datos9-2014'!$A$2:$BE$78,24,FALSE)</f>
        <v>0</v>
      </c>
      <c r="P12" s="68">
        <f t="shared" si="2"/>
        <v>450765</v>
      </c>
      <c r="Q12" s="116">
        <f>+VLOOKUP($B12,'datos9-2014'!$A$2:$BE$78,26,FALSE)</f>
        <v>0</v>
      </c>
      <c r="R12" s="116">
        <f>+VLOOKUP($B12,'datos9-2014'!$A$2:$BE$78,27,FALSE)</f>
        <v>0</v>
      </c>
      <c r="S12" s="116">
        <f>+VLOOKUP($B12,'datos9-2014'!$A$2:$BE$78,28,FALSE)</f>
        <v>6179.62</v>
      </c>
      <c r="T12" s="116">
        <f>+VLOOKUP($B12,'datos9-2014'!$A$2:$BE$78,29,FALSE)</f>
        <v>0</v>
      </c>
      <c r="U12" s="68">
        <f t="shared" si="3"/>
        <v>6179.62</v>
      </c>
      <c r="V12" s="116">
        <f>+VLOOKUP($B12,'datos9-2014'!$A$2:$BE$78,31,FALSE)</f>
        <v>23516.720000000001</v>
      </c>
      <c r="W12" s="116">
        <f>+VLOOKUP($B12,'datos9-2014'!$A$2:$BE$78,32,FALSE)</f>
        <v>0</v>
      </c>
      <c r="X12" s="117">
        <f t="shared" si="4"/>
        <v>23516.720000000001</v>
      </c>
      <c r="Y12" s="118">
        <f t="shared" si="5"/>
        <v>6100454.0700000003</v>
      </c>
      <c r="Z12" s="116">
        <f>+VLOOKUP($B12,'datos9-2014'!$A$2:$BE$78,35,FALSE)</f>
        <v>480940</v>
      </c>
      <c r="AA12" s="116">
        <f>+VLOOKUP($B12,'datos9-2014'!$A$2:$BE$78,36,FALSE)</f>
        <v>0</v>
      </c>
      <c r="AB12" s="116">
        <f>+VLOOKUP($B12,'datos9-2014'!$A$2:$BE$78,37,FALSE)</f>
        <v>0</v>
      </c>
      <c r="AC12" s="116">
        <f>+VLOOKUP($B12,'datos9-2014'!$A$2:$BE$78,38,FALSE)</f>
        <v>0</v>
      </c>
      <c r="AD12" s="116">
        <f>+VLOOKUP($B12,'datos9-2014'!$A$2:$BE$78,39,FALSE)</f>
        <v>0</v>
      </c>
      <c r="AE12" s="68">
        <f t="shared" si="6"/>
        <v>480940</v>
      </c>
      <c r="AF12" s="116">
        <f>+VLOOKUP($B12,'datos9-2014'!$A$2:$BE$78,42,FALSE)</f>
        <v>3611725</v>
      </c>
      <c r="AG12" s="116">
        <f>+VLOOKUP($B12,'datos9-2014'!$A$2:$BE$78,44,FALSE)</f>
        <v>429633</v>
      </c>
      <c r="AH12" s="116">
        <f>+VLOOKUP($B12,'datos9-2014'!$A$2:$BE$78,45,FALSE)</f>
        <v>0</v>
      </c>
      <c r="AI12" s="116">
        <f>+VLOOKUP($B12,'datos9-2014'!$A$2:$BE$78,46,FALSE)</f>
        <v>0</v>
      </c>
      <c r="AJ12" s="68">
        <f t="shared" si="7"/>
        <v>4041358</v>
      </c>
      <c r="AK12" s="116">
        <f>+VLOOKUP($B12,'datos9-2014'!$A$2:$BE$78,49,FALSE)</f>
        <v>0</v>
      </c>
      <c r="AL12" s="116">
        <f>+VLOOKUP($B12,'datos9-2014'!$A$2:$BE$78,50,FALSE)</f>
        <v>0</v>
      </c>
      <c r="AM12" s="116">
        <f>+VLOOKUP($B12,'datos9-2014'!$A$2:$BE$78,51,FALSE)</f>
        <v>0</v>
      </c>
      <c r="AN12" s="116">
        <f>+VLOOKUP($B12,'datos9-2014'!$A$2:$BE$78,52,FALSE)</f>
        <v>0</v>
      </c>
      <c r="AO12" s="119">
        <f t="shared" si="8"/>
        <v>0</v>
      </c>
      <c r="AP12" s="116">
        <f>+VLOOKUP($B12,'datos9-2014'!$A$2:$BE$78,55,FALSE)</f>
        <v>0</v>
      </c>
      <c r="AQ12" s="118">
        <f t="shared" si="9"/>
        <v>4522298</v>
      </c>
      <c r="AS12" s="120">
        <f t="shared" si="10"/>
        <v>10622752.07</v>
      </c>
      <c r="AW12" s="116">
        <v>411703</v>
      </c>
    </row>
    <row r="13" spans="1:49" x14ac:dyDescent="0.2">
      <c r="B13" s="121" t="s">
        <v>64</v>
      </c>
      <c r="C13" s="115"/>
      <c r="D13" s="116">
        <f>+VLOOKUP($B13,'datos9-2014'!$A$2:$BE$78,13,FALSE)</f>
        <v>196277.28</v>
      </c>
      <c r="E13" s="116">
        <f>+VLOOKUP($B13,'datos9-2014'!$A$2:$BE$78,14,FALSE)</f>
        <v>0</v>
      </c>
      <c r="F13" s="116">
        <f>+VLOOKUP($B13,'datos9-2014'!$A$2:$BE$78,15,FALSE)</f>
        <v>0</v>
      </c>
      <c r="G13" s="68">
        <f t="shared" si="0"/>
        <v>196277.28</v>
      </c>
      <c r="H13" s="116">
        <f>+VLOOKUP($B13,'datos9-2014'!$A$2:$BE$78,17,FALSE)</f>
        <v>89342.74</v>
      </c>
      <c r="I13" s="116">
        <f>+VLOOKUP($B13,'datos9-2014'!$A$2:$BE$78,18,FALSE)</f>
        <v>15636.16</v>
      </c>
      <c r="J13" s="116">
        <f>+VLOOKUP($B13,'datos9-2014'!$A$2:$BE$78,19,FALSE)</f>
        <v>3317.58</v>
      </c>
      <c r="K13" s="116">
        <f>+VLOOKUP($B13,'datos9-2014'!$A$2:$BE$78,20,FALSE)</f>
        <v>48081.66</v>
      </c>
      <c r="L13" s="68">
        <f t="shared" si="1"/>
        <v>156378.14000000001</v>
      </c>
      <c r="M13" s="116">
        <f>+VLOOKUP($B13,'datos9-2014'!$A$2:$BE$78,22,FALSE)</f>
        <v>180155.72</v>
      </c>
      <c r="N13" s="116">
        <f>+VLOOKUP($B13,'datos9-2014'!$A$2:$BE$78,23,FALSE)</f>
        <v>32000</v>
      </c>
      <c r="O13" s="116">
        <f>+VLOOKUP($B13,'datos9-2014'!$A$2:$BE$78,24,FALSE)</f>
        <v>0</v>
      </c>
      <c r="P13" s="68">
        <f t="shared" si="2"/>
        <v>212155.72</v>
      </c>
      <c r="Q13" s="116">
        <f>+VLOOKUP($B13,'datos9-2014'!$A$2:$BE$78,26,FALSE)</f>
        <v>108561.48</v>
      </c>
      <c r="R13" s="116">
        <f>+VLOOKUP($B13,'datos9-2014'!$A$2:$BE$78,27,FALSE)</f>
        <v>0</v>
      </c>
      <c r="S13" s="116">
        <f>+VLOOKUP($B13,'datos9-2014'!$A$2:$BE$78,28,FALSE)</f>
        <v>0</v>
      </c>
      <c r="T13" s="116">
        <f>+VLOOKUP($B13,'datos9-2014'!$A$2:$BE$78,29,FALSE)</f>
        <v>0</v>
      </c>
      <c r="U13" s="68">
        <f t="shared" si="3"/>
        <v>108561.48</v>
      </c>
      <c r="V13" s="116">
        <f>+VLOOKUP($B13,'datos9-2014'!$A$2:$BE$78,31,FALSE)</f>
        <v>18183.7</v>
      </c>
      <c r="W13" s="116">
        <f>+VLOOKUP($B13,'datos9-2014'!$A$2:$BE$78,32,FALSE)</f>
        <v>13770.59</v>
      </c>
      <c r="X13" s="117">
        <f t="shared" si="4"/>
        <v>31954.29</v>
      </c>
      <c r="Y13" s="118">
        <f t="shared" si="5"/>
        <v>705326.91</v>
      </c>
      <c r="Z13" s="116">
        <f>+VLOOKUP($B13,'datos9-2014'!$A$2:$BE$78,35,FALSE)</f>
        <v>7857000</v>
      </c>
      <c r="AA13" s="116">
        <f>+VLOOKUP($B13,'datos9-2014'!$A$2:$BE$78,36,FALSE)</f>
        <v>1331519</v>
      </c>
      <c r="AB13" s="116">
        <f>+VLOOKUP($B13,'datos9-2014'!$A$2:$BE$78,37,FALSE)</f>
        <v>0</v>
      </c>
      <c r="AC13" s="116">
        <f>+VLOOKUP($B13,'datos9-2014'!$A$2:$BE$78,38,FALSE)</f>
        <v>5504</v>
      </c>
      <c r="AD13" s="116">
        <f>+VLOOKUP($B13,'datos9-2014'!$A$2:$BE$78,39,FALSE)</f>
        <v>0</v>
      </c>
      <c r="AE13" s="68">
        <f t="shared" si="6"/>
        <v>9194023</v>
      </c>
      <c r="AF13" s="116">
        <f>+VLOOKUP($B13,'datos9-2014'!$A$2:$BE$78,42,FALSE)</f>
        <v>755086</v>
      </c>
      <c r="AG13" s="116">
        <f>+VLOOKUP($B13,'datos9-2014'!$A$2:$BE$78,44,FALSE)</f>
        <v>32355</v>
      </c>
      <c r="AH13" s="116">
        <f>+VLOOKUP($B13,'datos9-2014'!$A$2:$BE$78,45,FALSE)</f>
        <v>0</v>
      </c>
      <c r="AI13" s="116">
        <f>+VLOOKUP($B13,'datos9-2014'!$A$2:$BE$78,46,FALSE)</f>
        <v>0</v>
      </c>
      <c r="AJ13" s="68">
        <f t="shared" si="7"/>
        <v>787441</v>
      </c>
      <c r="AK13" s="116">
        <f>+VLOOKUP($B13,'datos9-2014'!$A$2:$BE$78,49,FALSE)</f>
        <v>37357.64</v>
      </c>
      <c r="AL13" s="116">
        <f>+VLOOKUP($B13,'datos9-2014'!$A$2:$BE$78,50,FALSE)</f>
        <v>1100000</v>
      </c>
      <c r="AM13" s="116">
        <f>+VLOOKUP($B13,'datos9-2014'!$A$2:$BE$78,51,FALSE)</f>
        <v>26221.599999999999</v>
      </c>
      <c r="AN13" s="116">
        <f>+VLOOKUP($B13,'datos9-2014'!$A$2:$BE$78,52,FALSE)</f>
        <v>0</v>
      </c>
      <c r="AO13" s="119">
        <f t="shared" si="8"/>
        <v>1163579.24</v>
      </c>
      <c r="AP13" s="116">
        <f>+VLOOKUP($B13,'datos9-2014'!$A$2:$BE$78,55,FALSE)</f>
        <v>0</v>
      </c>
      <c r="AQ13" s="118">
        <f t="shared" si="9"/>
        <v>11145043.24</v>
      </c>
      <c r="AS13" s="120">
        <f t="shared" si="10"/>
        <v>11850370.15</v>
      </c>
      <c r="AW13" s="116">
        <v>0</v>
      </c>
    </row>
    <row r="14" spans="1:49" x14ac:dyDescent="0.2">
      <c r="B14" s="121" t="s">
        <v>66</v>
      </c>
      <c r="C14" s="115"/>
      <c r="D14" s="116">
        <f>+VLOOKUP($B14,'datos9-2014'!$A$2:$BE$78,13,FALSE)</f>
        <v>0</v>
      </c>
      <c r="E14" s="116">
        <f>+VLOOKUP($B14,'datos9-2014'!$A$2:$BE$78,14,FALSE)</f>
        <v>0</v>
      </c>
      <c r="F14" s="116">
        <f>+VLOOKUP($B14,'datos9-2014'!$A$2:$BE$78,15,FALSE)</f>
        <v>0</v>
      </c>
      <c r="G14" s="68">
        <f t="shared" si="0"/>
        <v>0</v>
      </c>
      <c r="H14" s="116">
        <f>+VLOOKUP($B14,'datos9-2014'!$A$2:$BE$78,17,FALSE)</f>
        <v>0</v>
      </c>
      <c r="I14" s="116">
        <f>+VLOOKUP($B14,'datos9-2014'!$A$2:$BE$78,18,FALSE)</f>
        <v>0</v>
      </c>
      <c r="J14" s="116">
        <f>+VLOOKUP($B14,'datos9-2014'!$A$2:$BE$78,19,FALSE)</f>
        <v>0</v>
      </c>
      <c r="K14" s="116">
        <f>+VLOOKUP($B14,'datos9-2014'!$A$2:$BE$78,20,FALSE)</f>
        <v>0</v>
      </c>
      <c r="L14" s="68">
        <f t="shared" si="1"/>
        <v>0</v>
      </c>
      <c r="M14" s="116">
        <f>+VLOOKUP($B14,'datos9-2014'!$A$2:$BE$78,22,FALSE)</f>
        <v>0</v>
      </c>
      <c r="N14" s="116">
        <f>+VLOOKUP($B14,'datos9-2014'!$A$2:$BE$78,23,FALSE)</f>
        <v>0</v>
      </c>
      <c r="O14" s="116">
        <f>+VLOOKUP($B14,'datos9-2014'!$A$2:$BE$78,24,FALSE)</f>
        <v>0</v>
      </c>
      <c r="P14" s="68">
        <f t="shared" si="2"/>
        <v>0</v>
      </c>
      <c r="Q14" s="116">
        <f>+VLOOKUP($B14,'datos9-2014'!$A$2:$BE$78,26,FALSE)</f>
        <v>0</v>
      </c>
      <c r="R14" s="116">
        <f>+VLOOKUP($B14,'datos9-2014'!$A$2:$BE$78,27,FALSE)</f>
        <v>0</v>
      </c>
      <c r="S14" s="116">
        <f>+VLOOKUP($B14,'datos9-2014'!$A$2:$BE$78,28,FALSE)</f>
        <v>0</v>
      </c>
      <c r="T14" s="116">
        <f>+VLOOKUP($B14,'datos9-2014'!$A$2:$BE$78,29,FALSE)</f>
        <v>0</v>
      </c>
      <c r="U14" s="68">
        <f t="shared" si="3"/>
        <v>0</v>
      </c>
      <c r="V14" s="116">
        <f>+VLOOKUP($B14,'datos9-2014'!$A$2:$BE$78,31,FALSE)</f>
        <v>0</v>
      </c>
      <c r="W14" s="116">
        <f>+VLOOKUP($B14,'datos9-2014'!$A$2:$BE$78,32,FALSE)</f>
        <v>0</v>
      </c>
      <c r="X14" s="117">
        <f t="shared" si="4"/>
        <v>0</v>
      </c>
      <c r="Y14" s="118">
        <f t="shared" si="5"/>
        <v>0</v>
      </c>
      <c r="Z14" s="116">
        <f>+VLOOKUP($B14,'datos9-2014'!$A$2:$BE$78,35,FALSE)</f>
        <v>720.99</v>
      </c>
      <c r="AA14" s="116">
        <f>+VLOOKUP($B14,'datos9-2014'!$A$2:$BE$78,36,FALSE)</f>
        <v>334202.75</v>
      </c>
      <c r="AB14" s="116">
        <f>+VLOOKUP($B14,'datos9-2014'!$A$2:$BE$78,37,FALSE)</f>
        <v>0</v>
      </c>
      <c r="AC14" s="116">
        <f>+VLOOKUP($B14,'datos9-2014'!$A$2:$BE$78,38,FALSE)</f>
        <v>0</v>
      </c>
      <c r="AD14" s="116">
        <f>+VLOOKUP($B14,'datos9-2014'!$A$2:$BE$78,39,FALSE)</f>
        <v>0</v>
      </c>
      <c r="AE14" s="68">
        <f t="shared" si="6"/>
        <v>334923.74</v>
      </c>
      <c r="AF14" s="116">
        <f>+VLOOKUP($B14,'datos9-2014'!$A$2:$BE$78,42,FALSE)</f>
        <v>0</v>
      </c>
      <c r="AG14" s="116">
        <f>+VLOOKUP($B14,'datos9-2014'!$A$2:$BE$78,44,FALSE)</f>
        <v>0</v>
      </c>
      <c r="AH14" s="116">
        <f>+VLOOKUP($B14,'datos9-2014'!$A$2:$BE$78,45,FALSE)</f>
        <v>0</v>
      </c>
      <c r="AI14" s="116">
        <f>+VLOOKUP($B14,'datos9-2014'!$A$2:$BE$78,46,FALSE)</f>
        <v>0</v>
      </c>
      <c r="AJ14" s="68">
        <f t="shared" si="7"/>
        <v>0</v>
      </c>
      <c r="AK14" s="116">
        <f>+VLOOKUP($B14,'datos9-2014'!$A$2:$BE$78,49,FALSE)</f>
        <v>257923.01</v>
      </c>
      <c r="AL14" s="116">
        <f>+VLOOKUP($B14,'datos9-2014'!$A$2:$BE$78,50,FALSE)</f>
        <v>0</v>
      </c>
      <c r="AM14" s="116">
        <f>+VLOOKUP($B14,'datos9-2014'!$A$2:$BE$78,51,FALSE)</f>
        <v>0</v>
      </c>
      <c r="AN14" s="116">
        <f>+VLOOKUP($B14,'datos9-2014'!$A$2:$BE$78,52,FALSE)</f>
        <v>0</v>
      </c>
      <c r="AO14" s="119">
        <f t="shared" si="8"/>
        <v>257923.01</v>
      </c>
      <c r="AP14" s="116">
        <f>+VLOOKUP($B14,'datos9-2014'!$A$2:$BE$78,55,FALSE)</f>
        <v>0</v>
      </c>
      <c r="AQ14" s="118">
        <f t="shared" si="9"/>
        <v>592846.75</v>
      </c>
      <c r="AS14" s="120">
        <f t="shared" si="10"/>
        <v>592846.75</v>
      </c>
      <c r="AW14" s="116">
        <v>0</v>
      </c>
    </row>
    <row r="15" spans="1:49" x14ac:dyDescent="0.2">
      <c r="B15" s="121" t="s">
        <v>67</v>
      </c>
      <c r="C15" s="115"/>
      <c r="D15" s="116">
        <f>+VLOOKUP($B15,'datos9-2014'!$A$2:$BE$78,13,FALSE)</f>
        <v>44878</v>
      </c>
      <c r="E15" s="116">
        <f>+VLOOKUP($B15,'datos9-2014'!$A$2:$BE$78,14,FALSE)</f>
        <v>0</v>
      </c>
      <c r="F15" s="116">
        <f>+VLOOKUP($B15,'datos9-2014'!$A$2:$BE$78,15,FALSE)</f>
        <v>0</v>
      </c>
      <c r="G15" s="68">
        <f t="shared" si="0"/>
        <v>44878</v>
      </c>
      <c r="H15" s="116">
        <f>+VLOOKUP($B15,'datos9-2014'!$A$2:$BE$78,17,FALSE)</f>
        <v>2693.6</v>
      </c>
      <c r="I15" s="116">
        <f>+VLOOKUP($B15,'datos9-2014'!$A$2:$BE$78,18,FALSE)</f>
        <v>0</v>
      </c>
      <c r="J15" s="116">
        <f>+VLOOKUP($B15,'datos9-2014'!$A$2:$BE$78,19,FALSE)</f>
        <v>29495.94</v>
      </c>
      <c r="K15" s="116">
        <f>+VLOOKUP($B15,'datos9-2014'!$A$2:$BE$78,20,FALSE)</f>
        <v>30223.17</v>
      </c>
      <c r="L15" s="68">
        <f t="shared" si="1"/>
        <v>62412.709999999992</v>
      </c>
      <c r="M15" s="116">
        <f>+VLOOKUP($B15,'datos9-2014'!$A$2:$BE$78,22,FALSE)</f>
        <v>167235.35999999999</v>
      </c>
      <c r="N15" s="116">
        <f>+VLOOKUP($B15,'datos9-2014'!$A$2:$BE$78,23,FALSE)</f>
        <v>31048.87</v>
      </c>
      <c r="O15" s="116">
        <f>+VLOOKUP($B15,'datos9-2014'!$A$2:$BE$78,24,FALSE)</f>
        <v>0</v>
      </c>
      <c r="P15" s="68">
        <f t="shared" si="2"/>
        <v>198284.22999999998</v>
      </c>
      <c r="Q15" s="116">
        <f>+VLOOKUP($B15,'datos9-2014'!$A$2:$BE$78,26,FALSE)</f>
        <v>0</v>
      </c>
      <c r="R15" s="116">
        <f>+VLOOKUP($B15,'datos9-2014'!$A$2:$BE$78,27,FALSE)</f>
        <v>0</v>
      </c>
      <c r="S15" s="116">
        <f>+VLOOKUP($B15,'datos9-2014'!$A$2:$BE$78,28,FALSE)</f>
        <v>0</v>
      </c>
      <c r="T15" s="116">
        <f>+VLOOKUP($B15,'datos9-2014'!$A$2:$BE$78,29,FALSE)</f>
        <v>0</v>
      </c>
      <c r="U15" s="68">
        <f t="shared" si="3"/>
        <v>0</v>
      </c>
      <c r="V15" s="116">
        <f>+VLOOKUP($B15,'datos9-2014'!$A$2:$BE$78,31,FALSE)</f>
        <v>0</v>
      </c>
      <c r="W15" s="116">
        <f>+VLOOKUP($B15,'datos9-2014'!$A$2:$BE$78,32,FALSE)</f>
        <v>0</v>
      </c>
      <c r="X15" s="117">
        <f t="shared" si="4"/>
        <v>0</v>
      </c>
      <c r="Y15" s="118">
        <f t="shared" si="5"/>
        <v>305574.93999999994</v>
      </c>
      <c r="Z15" s="116">
        <f>+VLOOKUP($B15,'datos9-2014'!$A$2:$BE$78,35,FALSE)</f>
        <v>0</v>
      </c>
      <c r="AA15" s="116">
        <f>+VLOOKUP($B15,'datos9-2014'!$A$2:$BE$78,36,FALSE)</f>
        <v>371395.84000000003</v>
      </c>
      <c r="AB15" s="116">
        <f>+VLOOKUP($B15,'datos9-2014'!$A$2:$BE$78,37,FALSE)</f>
        <v>0</v>
      </c>
      <c r="AC15" s="116">
        <f>+VLOOKUP($B15,'datos9-2014'!$A$2:$BE$78,38,FALSE)</f>
        <v>0</v>
      </c>
      <c r="AD15" s="116">
        <f>+VLOOKUP($B15,'datos9-2014'!$A$2:$BE$78,39,FALSE)</f>
        <v>0</v>
      </c>
      <c r="AE15" s="68">
        <f t="shared" si="6"/>
        <v>371395.84000000003</v>
      </c>
      <c r="AF15" s="116">
        <f>+VLOOKUP($B15,'datos9-2014'!$A$2:$BE$78,42,FALSE)</f>
        <v>307213.76</v>
      </c>
      <c r="AG15" s="116">
        <f>+VLOOKUP($B15,'datos9-2014'!$A$2:$BE$78,44,FALSE)</f>
        <v>0</v>
      </c>
      <c r="AH15" s="116">
        <f>+VLOOKUP($B15,'datos9-2014'!$A$2:$BE$78,45,FALSE)</f>
        <v>0</v>
      </c>
      <c r="AI15" s="116">
        <f>+VLOOKUP($B15,'datos9-2014'!$A$2:$BE$78,46,FALSE)</f>
        <v>0</v>
      </c>
      <c r="AJ15" s="68">
        <f t="shared" si="7"/>
        <v>307213.76</v>
      </c>
      <c r="AK15" s="116">
        <f>+VLOOKUP($B15,'datos9-2014'!$A$2:$BE$78,49,FALSE)</f>
        <v>0</v>
      </c>
      <c r="AL15" s="116">
        <f>+VLOOKUP($B15,'datos9-2014'!$A$2:$BE$78,50,FALSE)</f>
        <v>0</v>
      </c>
      <c r="AM15" s="116">
        <f>+VLOOKUP($B15,'datos9-2014'!$A$2:$BE$78,51,FALSE)</f>
        <v>0</v>
      </c>
      <c r="AN15" s="116">
        <f>+VLOOKUP($B15,'datos9-2014'!$A$2:$BE$78,52,FALSE)</f>
        <v>0</v>
      </c>
      <c r="AO15" s="119">
        <f t="shared" si="8"/>
        <v>0</v>
      </c>
      <c r="AP15" s="116">
        <f>+VLOOKUP($B15,'datos9-2014'!$A$2:$BE$78,55,FALSE)</f>
        <v>0</v>
      </c>
      <c r="AQ15" s="118">
        <f t="shared" si="9"/>
        <v>678609.60000000009</v>
      </c>
      <c r="AS15" s="120">
        <f t="shared" si="10"/>
        <v>984184.54</v>
      </c>
      <c r="AW15" s="116">
        <v>0</v>
      </c>
    </row>
    <row r="16" spans="1:49" x14ac:dyDescent="0.2">
      <c r="B16" s="121" t="s">
        <v>68</v>
      </c>
      <c r="C16" s="115"/>
      <c r="D16" s="116">
        <f>+VLOOKUP($B16,'datos9-2014'!$A$2:$BE$78,13,FALSE)</f>
        <v>6768994.0700000003</v>
      </c>
      <c r="E16" s="116">
        <f>+VLOOKUP($B16,'datos9-2014'!$A$2:$BE$78,14,FALSE)</f>
        <v>0</v>
      </c>
      <c r="F16" s="116">
        <f>+VLOOKUP($B16,'datos9-2014'!$A$2:$BE$78,15,FALSE)</f>
        <v>170227.11</v>
      </c>
      <c r="G16" s="68">
        <f t="shared" si="0"/>
        <v>6939221.1800000006</v>
      </c>
      <c r="H16" s="116">
        <f>+VLOOKUP($B16,'datos9-2014'!$A$2:$BE$78,17,FALSE)</f>
        <v>35597.800000000003</v>
      </c>
      <c r="I16" s="116">
        <f>+VLOOKUP($B16,'datos9-2014'!$A$2:$BE$78,18,FALSE)</f>
        <v>0</v>
      </c>
      <c r="J16" s="116">
        <f>+VLOOKUP($B16,'datos9-2014'!$A$2:$BE$78,19,FALSE)</f>
        <v>0</v>
      </c>
      <c r="K16" s="116">
        <f>+VLOOKUP($B16,'datos9-2014'!$A$2:$BE$78,20,FALSE)</f>
        <v>611607.28</v>
      </c>
      <c r="L16" s="68">
        <f t="shared" si="1"/>
        <v>647205.08000000007</v>
      </c>
      <c r="M16" s="116">
        <f>+VLOOKUP($B16,'datos9-2014'!$A$2:$BE$78,22,FALSE)</f>
        <v>0</v>
      </c>
      <c r="N16" s="116">
        <f>+VLOOKUP($B16,'datos9-2014'!$A$2:$BE$78,23,FALSE)</f>
        <v>0</v>
      </c>
      <c r="O16" s="116">
        <f>+VLOOKUP($B16,'datos9-2014'!$A$2:$BE$78,24,FALSE)</f>
        <v>0</v>
      </c>
      <c r="P16" s="68">
        <f t="shared" si="2"/>
        <v>0</v>
      </c>
      <c r="Q16" s="116">
        <f>+VLOOKUP($B16,'datos9-2014'!$A$2:$BE$78,26,FALSE)</f>
        <v>0</v>
      </c>
      <c r="R16" s="116">
        <f>+VLOOKUP($B16,'datos9-2014'!$A$2:$BE$78,27,FALSE)</f>
        <v>0</v>
      </c>
      <c r="S16" s="116">
        <f>+VLOOKUP($B16,'datos9-2014'!$A$2:$BE$78,28,FALSE)</f>
        <v>0</v>
      </c>
      <c r="T16" s="116">
        <f>+VLOOKUP($B16,'datos9-2014'!$A$2:$BE$78,29,FALSE)</f>
        <v>0</v>
      </c>
      <c r="U16" s="68">
        <f t="shared" si="3"/>
        <v>0</v>
      </c>
      <c r="V16" s="116">
        <f>+VLOOKUP($B16,'datos9-2014'!$A$2:$BE$78,31,FALSE)</f>
        <v>0</v>
      </c>
      <c r="W16" s="116">
        <f>+VLOOKUP($B16,'datos9-2014'!$A$2:$BE$78,32,FALSE)</f>
        <v>0</v>
      </c>
      <c r="X16" s="117">
        <f t="shared" si="4"/>
        <v>0</v>
      </c>
      <c r="Y16" s="118">
        <f t="shared" si="5"/>
        <v>7586426.2600000007</v>
      </c>
      <c r="Z16" s="116">
        <f>+VLOOKUP($B16,'datos9-2014'!$A$2:$BE$78,35,FALSE)</f>
        <v>0</v>
      </c>
      <c r="AA16" s="116">
        <f>+VLOOKUP($B16,'datos9-2014'!$A$2:$BE$78,36,FALSE)</f>
        <v>168000</v>
      </c>
      <c r="AB16" s="116">
        <f>+VLOOKUP($B16,'datos9-2014'!$A$2:$BE$78,37,FALSE)</f>
        <v>0</v>
      </c>
      <c r="AC16" s="116">
        <f>+VLOOKUP($B16,'datos9-2014'!$A$2:$BE$78,38,FALSE)</f>
        <v>0</v>
      </c>
      <c r="AD16" s="116">
        <f>+VLOOKUP($B16,'datos9-2014'!$A$2:$BE$78,39,FALSE)</f>
        <v>0</v>
      </c>
      <c r="AE16" s="68">
        <f t="shared" si="6"/>
        <v>168000</v>
      </c>
      <c r="AF16" s="116">
        <f>+VLOOKUP($B16,'datos9-2014'!$A$2:$BE$78,42,FALSE)</f>
        <v>15000</v>
      </c>
      <c r="AG16" s="116">
        <f>+VLOOKUP($B16,'datos9-2014'!$A$2:$BE$78,44,FALSE)</f>
        <v>175000</v>
      </c>
      <c r="AH16" s="116">
        <f>+VLOOKUP($B16,'datos9-2014'!$A$2:$BE$78,45,FALSE)</f>
        <v>0</v>
      </c>
      <c r="AI16" s="116">
        <f>+VLOOKUP($B16,'datos9-2014'!$A$2:$BE$78,46,FALSE)</f>
        <v>0</v>
      </c>
      <c r="AJ16" s="68">
        <f t="shared" si="7"/>
        <v>190000</v>
      </c>
      <c r="AK16" s="116">
        <f>+VLOOKUP($B16,'datos9-2014'!$A$2:$BE$78,49,FALSE)</f>
        <v>0</v>
      </c>
      <c r="AL16" s="116">
        <f>+VLOOKUP($B16,'datos9-2014'!$A$2:$BE$78,50,FALSE)</f>
        <v>0</v>
      </c>
      <c r="AM16" s="116">
        <f>+VLOOKUP($B16,'datos9-2014'!$A$2:$BE$78,51,FALSE)</f>
        <v>18000</v>
      </c>
      <c r="AN16" s="116">
        <f>+VLOOKUP($B16,'datos9-2014'!$A$2:$BE$78,52,FALSE)</f>
        <v>0</v>
      </c>
      <c r="AO16" s="119">
        <f t="shared" si="8"/>
        <v>18000</v>
      </c>
      <c r="AP16" s="116">
        <f>+VLOOKUP($B16,'datos9-2014'!$A$2:$BE$78,55,FALSE)</f>
        <v>0</v>
      </c>
      <c r="AQ16" s="118">
        <f t="shared" si="9"/>
        <v>376000</v>
      </c>
      <c r="AS16" s="120">
        <f t="shared" si="10"/>
        <v>7962426.2600000007</v>
      </c>
      <c r="AW16" s="116">
        <v>0</v>
      </c>
    </row>
    <row r="17" spans="2:49" x14ac:dyDescent="0.2">
      <c r="B17" s="121" t="s">
        <v>69</v>
      </c>
      <c r="C17" s="115"/>
      <c r="D17" s="116">
        <f>+VLOOKUP($B17,'datos9-2014'!$A$2:$BE$78,13,FALSE)</f>
        <v>88276</v>
      </c>
      <c r="E17" s="116">
        <f>+VLOOKUP($B17,'datos9-2014'!$A$2:$BE$78,14,FALSE)</f>
        <v>0</v>
      </c>
      <c r="F17" s="116">
        <f>+VLOOKUP($B17,'datos9-2014'!$A$2:$BE$78,15,FALSE)</f>
        <v>0</v>
      </c>
      <c r="G17" s="68">
        <f t="shared" si="0"/>
        <v>88276</v>
      </c>
      <c r="H17" s="116">
        <f>+VLOOKUP($B17,'datos9-2014'!$A$2:$BE$78,17,FALSE)</f>
        <v>0</v>
      </c>
      <c r="I17" s="116">
        <f>+VLOOKUP($B17,'datos9-2014'!$A$2:$BE$78,18,FALSE)</f>
        <v>0</v>
      </c>
      <c r="J17" s="116">
        <f>+VLOOKUP($B17,'datos9-2014'!$A$2:$BE$78,19,FALSE)</f>
        <v>0</v>
      </c>
      <c r="K17" s="116">
        <f>+VLOOKUP($B17,'datos9-2014'!$A$2:$BE$78,20,FALSE)</f>
        <v>21752.5</v>
      </c>
      <c r="L17" s="68">
        <f t="shared" si="1"/>
        <v>21752.5</v>
      </c>
      <c r="M17" s="116">
        <f>+VLOOKUP($B17,'datos9-2014'!$A$2:$BE$78,22,FALSE)</f>
        <v>176435.23</v>
      </c>
      <c r="N17" s="116">
        <f>+VLOOKUP($B17,'datos9-2014'!$A$2:$BE$78,23,FALSE)</f>
        <v>0</v>
      </c>
      <c r="O17" s="116">
        <f>+VLOOKUP($B17,'datos9-2014'!$A$2:$BE$78,24,FALSE)</f>
        <v>0</v>
      </c>
      <c r="P17" s="68">
        <f t="shared" si="2"/>
        <v>176435.23</v>
      </c>
      <c r="Q17" s="116">
        <f>+VLOOKUP($B17,'datos9-2014'!$A$2:$BE$78,26,FALSE)</f>
        <v>0</v>
      </c>
      <c r="R17" s="116">
        <f>+VLOOKUP($B17,'datos9-2014'!$A$2:$BE$78,27,FALSE)</f>
        <v>0</v>
      </c>
      <c r="S17" s="116">
        <f>+VLOOKUP($B17,'datos9-2014'!$A$2:$BE$78,28,FALSE)</f>
        <v>0</v>
      </c>
      <c r="T17" s="116">
        <f>+VLOOKUP($B17,'datos9-2014'!$A$2:$BE$78,29,FALSE)</f>
        <v>34946.74</v>
      </c>
      <c r="U17" s="68">
        <f t="shared" si="3"/>
        <v>34946.74</v>
      </c>
      <c r="V17" s="116">
        <f>+VLOOKUP($B17,'datos9-2014'!$A$2:$BE$78,31,FALSE)</f>
        <v>146202.23999999999</v>
      </c>
      <c r="W17" s="116">
        <f>+VLOOKUP($B17,'datos9-2014'!$A$2:$BE$78,32,FALSE)</f>
        <v>0</v>
      </c>
      <c r="X17" s="117">
        <f t="shared" si="4"/>
        <v>146202.23999999999</v>
      </c>
      <c r="Y17" s="118">
        <f t="shared" si="5"/>
        <v>467612.70999999996</v>
      </c>
      <c r="Z17" s="116">
        <f>+VLOOKUP($B17,'datos9-2014'!$A$2:$BE$78,35,FALSE)</f>
        <v>0</v>
      </c>
      <c r="AA17" s="116">
        <f>+VLOOKUP($B17,'datos9-2014'!$A$2:$BE$78,36,FALSE)</f>
        <v>433960.05</v>
      </c>
      <c r="AB17" s="116">
        <f>+VLOOKUP($B17,'datos9-2014'!$A$2:$BE$78,37,FALSE)</f>
        <v>0</v>
      </c>
      <c r="AC17" s="116">
        <f>+VLOOKUP($B17,'datos9-2014'!$A$2:$BE$78,38,FALSE)</f>
        <v>0</v>
      </c>
      <c r="AD17" s="116">
        <f>+VLOOKUP($B17,'datos9-2014'!$A$2:$BE$78,39,FALSE)</f>
        <v>0</v>
      </c>
      <c r="AE17" s="68">
        <f t="shared" si="6"/>
        <v>433960.05</v>
      </c>
      <c r="AF17" s="116">
        <f>+VLOOKUP($B17,'datos9-2014'!$A$2:$BE$78,42,FALSE)</f>
        <v>0</v>
      </c>
      <c r="AG17" s="116">
        <f>+VLOOKUP($B17,'datos9-2014'!$A$2:$BE$78,44,FALSE)</f>
        <v>82100</v>
      </c>
      <c r="AH17" s="116">
        <f>+VLOOKUP($B17,'datos9-2014'!$A$2:$BE$78,45,FALSE)</f>
        <v>0</v>
      </c>
      <c r="AI17" s="116">
        <f>+VLOOKUP($B17,'datos9-2014'!$A$2:$BE$78,46,FALSE)</f>
        <v>389680.87</v>
      </c>
      <c r="AJ17" s="68">
        <f t="shared" si="7"/>
        <v>471780.87</v>
      </c>
      <c r="AK17" s="116">
        <f>+VLOOKUP($B17,'datos9-2014'!$A$2:$BE$78,49,FALSE)</f>
        <v>0</v>
      </c>
      <c r="AL17" s="116">
        <f>+VLOOKUP($B17,'datos9-2014'!$A$2:$BE$78,50,FALSE)</f>
        <v>0</v>
      </c>
      <c r="AM17" s="116">
        <f>+VLOOKUP($B17,'datos9-2014'!$A$2:$BE$78,51,FALSE)</f>
        <v>0</v>
      </c>
      <c r="AN17" s="116">
        <f>+VLOOKUP($B17,'datos9-2014'!$A$2:$BE$78,52,FALSE)</f>
        <v>0</v>
      </c>
      <c r="AO17" s="119">
        <f t="shared" si="8"/>
        <v>0</v>
      </c>
      <c r="AP17" s="116">
        <f>+VLOOKUP($B17,'datos9-2014'!$A$2:$BE$78,55,FALSE)</f>
        <v>0</v>
      </c>
      <c r="AQ17" s="118">
        <f t="shared" si="9"/>
        <v>905740.91999999993</v>
      </c>
      <c r="AS17" s="120">
        <f t="shared" si="10"/>
        <v>1373353.63</v>
      </c>
      <c r="AW17" s="116">
        <v>0</v>
      </c>
    </row>
    <row r="18" spans="2:49" x14ac:dyDescent="0.2">
      <c r="B18" s="121" t="s">
        <v>70</v>
      </c>
      <c r="C18" s="115"/>
      <c r="D18" s="116">
        <f>+VLOOKUP($B18,'datos9-2014'!$A$2:$BE$78,13,FALSE)</f>
        <v>152293.76000000001</v>
      </c>
      <c r="E18" s="116">
        <f>+VLOOKUP($B18,'datos9-2014'!$A$2:$BE$78,14,FALSE)</f>
        <v>0</v>
      </c>
      <c r="F18" s="116">
        <f>+VLOOKUP($B18,'datos9-2014'!$A$2:$BE$78,15,FALSE)</f>
        <v>0</v>
      </c>
      <c r="G18" s="68">
        <f t="shared" si="0"/>
        <v>152293.76000000001</v>
      </c>
      <c r="H18" s="116">
        <f>+VLOOKUP($B18,'datos9-2014'!$A$2:$BE$78,17,FALSE)</f>
        <v>0</v>
      </c>
      <c r="I18" s="116">
        <f>+VLOOKUP($B18,'datos9-2014'!$A$2:$BE$78,18,FALSE)</f>
        <v>0</v>
      </c>
      <c r="J18" s="116">
        <f>+VLOOKUP($B18,'datos9-2014'!$A$2:$BE$78,19,FALSE)</f>
        <v>0</v>
      </c>
      <c r="K18" s="116">
        <f>+VLOOKUP($B18,'datos9-2014'!$A$2:$BE$78,20,FALSE)</f>
        <v>140548.35</v>
      </c>
      <c r="L18" s="68">
        <f t="shared" si="1"/>
        <v>140548.35</v>
      </c>
      <c r="M18" s="116">
        <f>+VLOOKUP($B18,'datos9-2014'!$A$2:$BE$78,22,FALSE)</f>
        <v>208740.1</v>
      </c>
      <c r="N18" s="116">
        <f>+VLOOKUP($B18,'datos9-2014'!$A$2:$BE$78,23,FALSE)</f>
        <v>0</v>
      </c>
      <c r="O18" s="116">
        <f>+VLOOKUP($B18,'datos9-2014'!$A$2:$BE$78,24,FALSE)</f>
        <v>0</v>
      </c>
      <c r="P18" s="68">
        <f t="shared" si="2"/>
        <v>208740.1</v>
      </c>
      <c r="Q18" s="116">
        <f>+VLOOKUP($B18,'datos9-2014'!$A$2:$BE$78,26,FALSE)</f>
        <v>0</v>
      </c>
      <c r="R18" s="116">
        <f>+VLOOKUP($B18,'datos9-2014'!$A$2:$BE$78,27,FALSE)</f>
        <v>0</v>
      </c>
      <c r="S18" s="116">
        <f>+VLOOKUP($B18,'datos9-2014'!$A$2:$BE$78,28,FALSE)</f>
        <v>0</v>
      </c>
      <c r="T18" s="116">
        <f>+VLOOKUP($B18,'datos9-2014'!$A$2:$BE$78,29,FALSE)</f>
        <v>0</v>
      </c>
      <c r="U18" s="68">
        <f t="shared" si="3"/>
        <v>0</v>
      </c>
      <c r="V18" s="116">
        <f>+VLOOKUP($B18,'datos9-2014'!$A$2:$BE$78,31,FALSE)</f>
        <v>0</v>
      </c>
      <c r="W18" s="116">
        <f>+VLOOKUP($B18,'datos9-2014'!$A$2:$BE$78,32,FALSE)</f>
        <v>0</v>
      </c>
      <c r="X18" s="117">
        <f t="shared" si="4"/>
        <v>0</v>
      </c>
      <c r="Y18" s="118">
        <f t="shared" si="5"/>
        <v>501582.21</v>
      </c>
      <c r="Z18" s="116">
        <f>+VLOOKUP($B18,'datos9-2014'!$A$2:$BE$78,35,FALSE)</f>
        <v>0</v>
      </c>
      <c r="AA18" s="116">
        <f>+VLOOKUP($B18,'datos9-2014'!$A$2:$BE$78,36,FALSE)</f>
        <v>0</v>
      </c>
      <c r="AB18" s="116">
        <f>+VLOOKUP($B18,'datos9-2014'!$A$2:$BE$78,37,FALSE)</f>
        <v>0</v>
      </c>
      <c r="AC18" s="116">
        <f>+VLOOKUP($B18,'datos9-2014'!$A$2:$BE$78,38,FALSE)</f>
        <v>33810</v>
      </c>
      <c r="AD18" s="116">
        <f>+VLOOKUP($B18,'datos9-2014'!$A$2:$BE$78,39,FALSE)</f>
        <v>0</v>
      </c>
      <c r="AE18" s="68">
        <f t="shared" si="6"/>
        <v>33810</v>
      </c>
      <c r="AF18" s="116">
        <f>+VLOOKUP($B18,'datos9-2014'!$A$2:$BE$78,42,FALSE)</f>
        <v>3327065.11</v>
      </c>
      <c r="AG18" s="116">
        <f>+VLOOKUP($B18,'datos9-2014'!$A$2:$BE$78,44,FALSE)</f>
        <v>1153224.79</v>
      </c>
      <c r="AH18" s="116">
        <f>+VLOOKUP($B18,'datos9-2014'!$A$2:$BE$78,45,FALSE)</f>
        <v>0</v>
      </c>
      <c r="AI18" s="116">
        <f>+VLOOKUP($B18,'datos9-2014'!$A$2:$BE$78,46,FALSE)</f>
        <v>0</v>
      </c>
      <c r="AJ18" s="68">
        <f t="shared" si="7"/>
        <v>4480289.9000000004</v>
      </c>
      <c r="AK18" s="116">
        <f>+VLOOKUP($B18,'datos9-2014'!$A$2:$BE$78,49,FALSE)</f>
        <v>0</v>
      </c>
      <c r="AL18" s="116">
        <f>+VLOOKUP($B18,'datos9-2014'!$A$2:$BE$78,50,FALSE)</f>
        <v>0</v>
      </c>
      <c r="AM18" s="116">
        <f>+VLOOKUP($B18,'datos9-2014'!$A$2:$BE$78,51,FALSE)</f>
        <v>488638.88</v>
      </c>
      <c r="AN18" s="116">
        <f>+VLOOKUP($B18,'datos9-2014'!$A$2:$BE$78,52,FALSE)</f>
        <v>0</v>
      </c>
      <c r="AO18" s="119">
        <f t="shared" si="8"/>
        <v>488638.88</v>
      </c>
      <c r="AP18" s="116">
        <f>+VLOOKUP($B18,'datos9-2014'!$A$2:$BE$78,55,FALSE)</f>
        <v>0</v>
      </c>
      <c r="AQ18" s="118">
        <f t="shared" si="9"/>
        <v>5002738.78</v>
      </c>
      <c r="AS18" s="120">
        <f t="shared" si="10"/>
        <v>5504320.9900000002</v>
      </c>
      <c r="AW18" s="116">
        <v>0</v>
      </c>
    </row>
    <row r="19" spans="2:49" x14ac:dyDescent="0.2">
      <c r="B19" s="121" t="s">
        <v>71</v>
      </c>
      <c r="C19" s="115"/>
      <c r="D19" s="116">
        <f>+VLOOKUP($B19,'datos9-2014'!$A$2:$BE$78,13,FALSE)</f>
        <v>86491.66</v>
      </c>
      <c r="E19" s="116">
        <f>+VLOOKUP($B19,'datos9-2014'!$A$2:$BE$78,14,FALSE)</f>
        <v>0</v>
      </c>
      <c r="F19" s="116">
        <f>+VLOOKUP($B19,'datos9-2014'!$A$2:$BE$78,15,FALSE)</f>
        <v>0</v>
      </c>
      <c r="G19" s="68">
        <f t="shared" si="0"/>
        <v>86491.66</v>
      </c>
      <c r="H19" s="116">
        <f>+VLOOKUP($B19,'datos9-2014'!$A$2:$BE$78,17,FALSE)</f>
        <v>0</v>
      </c>
      <c r="I19" s="116">
        <f>+VLOOKUP($B19,'datos9-2014'!$A$2:$BE$78,18,FALSE)</f>
        <v>0</v>
      </c>
      <c r="J19" s="116">
        <f>+VLOOKUP($B19,'datos9-2014'!$A$2:$BE$78,19,FALSE)</f>
        <v>0</v>
      </c>
      <c r="K19" s="116">
        <f>+VLOOKUP($B19,'datos9-2014'!$A$2:$BE$78,20,FALSE)</f>
        <v>21450.35</v>
      </c>
      <c r="L19" s="68">
        <f t="shared" si="1"/>
        <v>21450.35</v>
      </c>
      <c r="M19" s="116">
        <f>+VLOOKUP($B19,'datos9-2014'!$A$2:$BE$78,22,FALSE)</f>
        <v>0</v>
      </c>
      <c r="N19" s="116">
        <f>+VLOOKUP($B19,'datos9-2014'!$A$2:$BE$78,23,FALSE)</f>
        <v>0</v>
      </c>
      <c r="O19" s="116">
        <f>+VLOOKUP($B19,'datos9-2014'!$A$2:$BE$78,24,FALSE)</f>
        <v>0</v>
      </c>
      <c r="P19" s="68">
        <f t="shared" si="2"/>
        <v>0</v>
      </c>
      <c r="Q19" s="116">
        <f>+VLOOKUP($B19,'datos9-2014'!$A$2:$BE$78,26,FALSE)</f>
        <v>0</v>
      </c>
      <c r="R19" s="116">
        <f>+VLOOKUP($B19,'datos9-2014'!$A$2:$BE$78,27,FALSE)</f>
        <v>0</v>
      </c>
      <c r="S19" s="116">
        <f>+VLOOKUP($B19,'datos9-2014'!$A$2:$BE$78,28,FALSE)</f>
        <v>0</v>
      </c>
      <c r="T19" s="116">
        <f>+VLOOKUP($B19,'datos9-2014'!$A$2:$BE$78,29,FALSE)</f>
        <v>0</v>
      </c>
      <c r="U19" s="68">
        <f t="shared" si="3"/>
        <v>0</v>
      </c>
      <c r="V19" s="116">
        <f>+VLOOKUP($B19,'datos9-2014'!$A$2:$BE$78,31,FALSE)</f>
        <v>0</v>
      </c>
      <c r="W19" s="116">
        <f>+VLOOKUP($B19,'datos9-2014'!$A$2:$BE$78,32,FALSE)</f>
        <v>0</v>
      </c>
      <c r="X19" s="117">
        <f t="shared" si="4"/>
        <v>0</v>
      </c>
      <c r="Y19" s="118">
        <f t="shared" si="5"/>
        <v>107942.01000000001</v>
      </c>
      <c r="Z19" s="116">
        <f>+VLOOKUP($B19,'datos9-2014'!$A$2:$BE$78,35,FALSE)</f>
        <v>1250000.3</v>
      </c>
      <c r="AA19" s="116">
        <f>+VLOOKUP($B19,'datos9-2014'!$A$2:$BE$78,36,FALSE)</f>
        <v>0</v>
      </c>
      <c r="AB19" s="116">
        <f>+VLOOKUP($B19,'datos9-2014'!$A$2:$BE$78,37,FALSE)</f>
        <v>0</v>
      </c>
      <c r="AC19" s="116">
        <f>+VLOOKUP($B19,'datos9-2014'!$A$2:$BE$78,38,FALSE)</f>
        <v>0</v>
      </c>
      <c r="AD19" s="116">
        <f>+VLOOKUP($B19,'datos9-2014'!$A$2:$BE$78,39,FALSE)</f>
        <v>0</v>
      </c>
      <c r="AE19" s="68">
        <f t="shared" si="6"/>
        <v>1250000.3</v>
      </c>
      <c r="AF19" s="116">
        <f>+VLOOKUP($B19,'datos9-2014'!$A$2:$BE$78,42,FALSE)</f>
        <v>570895.43999999994</v>
      </c>
      <c r="AG19" s="116">
        <f>+VLOOKUP($B19,'datos9-2014'!$A$2:$BE$78,44,FALSE)</f>
        <v>220046.02</v>
      </c>
      <c r="AH19" s="116">
        <f>+VLOOKUP($B19,'datos9-2014'!$A$2:$BE$78,45,FALSE)</f>
        <v>83356.72</v>
      </c>
      <c r="AI19" s="116">
        <f>+VLOOKUP($B19,'datos9-2014'!$A$2:$BE$78,46,FALSE)</f>
        <v>6493.6</v>
      </c>
      <c r="AJ19" s="68">
        <f t="shared" si="7"/>
        <v>880791.77999999991</v>
      </c>
      <c r="AK19" s="116">
        <f>+VLOOKUP($B19,'datos9-2014'!$A$2:$BE$78,49,FALSE)</f>
        <v>0</v>
      </c>
      <c r="AL19" s="116">
        <f>+VLOOKUP($B19,'datos9-2014'!$A$2:$BE$78,50,FALSE)</f>
        <v>0</v>
      </c>
      <c r="AM19" s="116">
        <f>+VLOOKUP($B19,'datos9-2014'!$A$2:$BE$78,51,FALSE)</f>
        <v>0</v>
      </c>
      <c r="AN19" s="116">
        <f>+VLOOKUP($B19,'datos9-2014'!$A$2:$BE$78,52,FALSE)</f>
        <v>0</v>
      </c>
      <c r="AO19" s="119">
        <f t="shared" si="8"/>
        <v>0</v>
      </c>
      <c r="AP19" s="116">
        <f>+VLOOKUP($B19,'datos9-2014'!$A$2:$BE$78,55,FALSE)</f>
        <v>0</v>
      </c>
      <c r="AQ19" s="118">
        <f t="shared" si="9"/>
        <v>2130792.08</v>
      </c>
      <c r="AS19" s="120">
        <f t="shared" si="10"/>
        <v>2238734.09</v>
      </c>
      <c r="AW19" s="116">
        <v>38131.279999999999</v>
      </c>
    </row>
    <row r="20" spans="2:49" x14ac:dyDescent="0.2">
      <c r="B20" s="121" t="s">
        <v>72</v>
      </c>
      <c r="C20" s="115"/>
      <c r="D20" s="116">
        <f>+VLOOKUP($B20,'datos9-2014'!$A$2:$BE$78,13,FALSE)</f>
        <v>366365</v>
      </c>
      <c r="E20" s="116">
        <f>+VLOOKUP($B20,'datos9-2014'!$A$2:$BE$78,14,FALSE)</f>
        <v>0</v>
      </c>
      <c r="F20" s="116">
        <f>+VLOOKUP($B20,'datos9-2014'!$A$2:$BE$78,15,FALSE)</f>
        <v>35373.85</v>
      </c>
      <c r="G20" s="68">
        <f t="shared" si="0"/>
        <v>401738.85</v>
      </c>
      <c r="H20" s="116">
        <f>+VLOOKUP($B20,'datos9-2014'!$A$2:$BE$78,17,FALSE)</f>
        <v>104111.64</v>
      </c>
      <c r="I20" s="116">
        <f>+VLOOKUP($B20,'datos9-2014'!$A$2:$BE$78,18,FALSE)</f>
        <v>0</v>
      </c>
      <c r="J20" s="116">
        <f>+VLOOKUP($B20,'datos9-2014'!$A$2:$BE$78,19,FALSE)</f>
        <v>7935</v>
      </c>
      <c r="K20" s="116">
        <f>+VLOOKUP($B20,'datos9-2014'!$A$2:$BE$78,20,FALSE)</f>
        <v>156770.98000000001</v>
      </c>
      <c r="L20" s="68">
        <f t="shared" si="1"/>
        <v>268817.62</v>
      </c>
      <c r="M20" s="116">
        <f>+VLOOKUP($B20,'datos9-2014'!$A$2:$BE$78,22,FALSE)</f>
        <v>95241.33</v>
      </c>
      <c r="N20" s="116">
        <f>+VLOOKUP($B20,'datos9-2014'!$A$2:$BE$78,23,FALSE)</f>
        <v>0</v>
      </c>
      <c r="O20" s="116">
        <f>+VLOOKUP($B20,'datos9-2014'!$A$2:$BE$78,24,FALSE)</f>
        <v>0</v>
      </c>
      <c r="P20" s="68">
        <f t="shared" si="2"/>
        <v>95241.33</v>
      </c>
      <c r="Q20" s="116">
        <f>+VLOOKUP($B20,'datos9-2014'!$A$2:$BE$78,26,FALSE)</f>
        <v>0</v>
      </c>
      <c r="R20" s="116">
        <f>+VLOOKUP($B20,'datos9-2014'!$A$2:$BE$78,27,FALSE)</f>
        <v>0</v>
      </c>
      <c r="S20" s="116">
        <f>+VLOOKUP($B20,'datos9-2014'!$A$2:$BE$78,28,FALSE)</f>
        <v>0</v>
      </c>
      <c r="T20" s="116">
        <f>+VLOOKUP($B20,'datos9-2014'!$A$2:$BE$78,29,FALSE)</f>
        <v>0</v>
      </c>
      <c r="U20" s="68">
        <f t="shared" si="3"/>
        <v>0</v>
      </c>
      <c r="V20" s="116">
        <f>+VLOOKUP($B20,'datos9-2014'!$A$2:$BE$78,31,FALSE)</f>
        <v>0</v>
      </c>
      <c r="W20" s="116">
        <f>+VLOOKUP($B20,'datos9-2014'!$A$2:$BE$78,32,FALSE)</f>
        <v>0</v>
      </c>
      <c r="X20" s="117">
        <f t="shared" si="4"/>
        <v>0</v>
      </c>
      <c r="Y20" s="118">
        <f t="shared" si="5"/>
        <v>765797.8</v>
      </c>
      <c r="Z20" s="116">
        <f>+VLOOKUP($B20,'datos9-2014'!$A$2:$BE$78,35,FALSE)</f>
        <v>0</v>
      </c>
      <c r="AA20" s="116">
        <f>+VLOOKUP($B20,'datos9-2014'!$A$2:$BE$78,36,FALSE)</f>
        <v>0</v>
      </c>
      <c r="AB20" s="116">
        <f>+VLOOKUP($B20,'datos9-2014'!$A$2:$BE$78,37,FALSE)</f>
        <v>0</v>
      </c>
      <c r="AC20" s="116">
        <f>+VLOOKUP($B20,'datos9-2014'!$A$2:$BE$78,38,FALSE)</f>
        <v>0</v>
      </c>
      <c r="AD20" s="116">
        <f>+VLOOKUP($B20,'datos9-2014'!$A$2:$BE$78,39,FALSE)</f>
        <v>0</v>
      </c>
      <c r="AE20" s="68">
        <f t="shared" si="6"/>
        <v>0</v>
      </c>
      <c r="AF20" s="116">
        <f>+VLOOKUP($B20,'datos9-2014'!$A$2:$BE$78,42,FALSE)</f>
        <v>17319.95</v>
      </c>
      <c r="AG20" s="116">
        <f>+VLOOKUP($B20,'datos9-2014'!$A$2:$BE$78,44,FALSE)</f>
        <v>65153.9</v>
      </c>
      <c r="AH20" s="116">
        <f>+VLOOKUP($B20,'datos9-2014'!$A$2:$BE$78,45,FALSE)</f>
        <v>0</v>
      </c>
      <c r="AI20" s="116">
        <f>+VLOOKUP($B20,'datos9-2014'!$A$2:$BE$78,46,FALSE)</f>
        <v>0</v>
      </c>
      <c r="AJ20" s="68">
        <f t="shared" si="7"/>
        <v>82473.850000000006</v>
      </c>
      <c r="AK20" s="116">
        <f>+VLOOKUP($B20,'datos9-2014'!$A$2:$BE$78,49,FALSE)</f>
        <v>0</v>
      </c>
      <c r="AL20" s="116">
        <f>+VLOOKUP($B20,'datos9-2014'!$A$2:$BE$78,50,FALSE)</f>
        <v>0</v>
      </c>
      <c r="AM20" s="116">
        <f>+VLOOKUP($B20,'datos9-2014'!$A$2:$BE$78,51,FALSE)</f>
        <v>0</v>
      </c>
      <c r="AN20" s="116">
        <f>+VLOOKUP($B20,'datos9-2014'!$A$2:$BE$78,52,FALSE)</f>
        <v>0</v>
      </c>
      <c r="AO20" s="119">
        <f t="shared" si="8"/>
        <v>0</v>
      </c>
      <c r="AP20" s="116">
        <f>+VLOOKUP($B20,'datos9-2014'!$A$2:$BE$78,55,FALSE)</f>
        <v>0</v>
      </c>
      <c r="AQ20" s="118">
        <f t="shared" si="9"/>
        <v>82473.850000000006</v>
      </c>
      <c r="AS20" s="120">
        <f t="shared" si="10"/>
        <v>848271.65</v>
      </c>
      <c r="AW20" s="116">
        <v>98955.83</v>
      </c>
    </row>
    <row r="21" spans="2:49" x14ac:dyDescent="0.2">
      <c r="B21" s="121" t="s">
        <v>73</v>
      </c>
      <c r="C21" s="115"/>
      <c r="D21" s="116">
        <f>+VLOOKUP($B21,'datos9-2014'!$A$2:$BE$78,13,FALSE)</f>
        <v>1324288.8600000001</v>
      </c>
      <c r="E21" s="116">
        <f>+VLOOKUP($B21,'datos9-2014'!$A$2:$BE$78,14,FALSE)</f>
        <v>25181475.579999998</v>
      </c>
      <c r="F21" s="116">
        <f>+VLOOKUP($B21,'datos9-2014'!$A$2:$BE$78,15,FALSE)</f>
        <v>0</v>
      </c>
      <c r="G21" s="68">
        <f t="shared" si="0"/>
        <v>26505764.439999998</v>
      </c>
      <c r="H21" s="116">
        <f>+VLOOKUP($B21,'datos9-2014'!$A$2:$BE$78,17,FALSE)</f>
        <v>292730.76</v>
      </c>
      <c r="I21" s="116">
        <f>+VLOOKUP($B21,'datos9-2014'!$A$2:$BE$78,18,FALSE)</f>
        <v>0</v>
      </c>
      <c r="J21" s="116">
        <f>+VLOOKUP($B21,'datos9-2014'!$A$2:$BE$78,19,FALSE)</f>
        <v>101060</v>
      </c>
      <c r="K21" s="116">
        <f>+VLOOKUP($B21,'datos9-2014'!$A$2:$BE$78,20,FALSE)</f>
        <v>87345.51</v>
      </c>
      <c r="L21" s="68">
        <f t="shared" si="1"/>
        <v>481136.27</v>
      </c>
      <c r="M21" s="116">
        <f>+VLOOKUP($B21,'datos9-2014'!$A$2:$BE$78,22,FALSE)</f>
        <v>231454</v>
      </c>
      <c r="N21" s="116">
        <f>+VLOOKUP($B21,'datos9-2014'!$A$2:$BE$78,23,FALSE)</f>
        <v>93727.8</v>
      </c>
      <c r="O21" s="116">
        <f>+VLOOKUP($B21,'datos9-2014'!$A$2:$BE$78,24,FALSE)</f>
        <v>0</v>
      </c>
      <c r="P21" s="68">
        <f t="shared" si="2"/>
        <v>325181.8</v>
      </c>
      <c r="Q21" s="116">
        <f>+VLOOKUP($B21,'datos9-2014'!$A$2:$BE$78,26,FALSE)</f>
        <v>14903.39</v>
      </c>
      <c r="R21" s="116">
        <f>+VLOOKUP($B21,'datos9-2014'!$A$2:$BE$78,27,FALSE)</f>
        <v>0</v>
      </c>
      <c r="S21" s="116">
        <f>+VLOOKUP($B21,'datos9-2014'!$A$2:$BE$78,28,FALSE)</f>
        <v>0</v>
      </c>
      <c r="T21" s="116">
        <f>+VLOOKUP($B21,'datos9-2014'!$A$2:$BE$78,29,FALSE)</f>
        <v>0</v>
      </c>
      <c r="U21" s="68">
        <f t="shared" si="3"/>
        <v>14903.39</v>
      </c>
      <c r="V21" s="116">
        <f>+VLOOKUP($B21,'datos9-2014'!$A$2:$BE$78,31,FALSE)</f>
        <v>0</v>
      </c>
      <c r="W21" s="116">
        <f>+VLOOKUP($B21,'datos9-2014'!$A$2:$BE$78,32,FALSE)</f>
        <v>101665.67</v>
      </c>
      <c r="X21" s="117">
        <f t="shared" si="4"/>
        <v>101665.67</v>
      </c>
      <c r="Y21" s="118">
        <f t="shared" si="5"/>
        <v>27428651.57</v>
      </c>
      <c r="Z21" s="116">
        <f>+VLOOKUP($B21,'datos9-2014'!$A$2:$BE$78,35,FALSE)</f>
        <v>4638223.8</v>
      </c>
      <c r="AA21" s="116">
        <f>+VLOOKUP($B21,'datos9-2014'!$A$2:$BE$78,36,FALSE)</f>
        <v>337286.05</v>
      </c>
      <c r="AB21" s="116">
        <f>+VLOOKUP($B21,'datos9-2014'!$A$2:$BE$78,37,FALSE)</f>
        <v>0</v>
      </c>
      <c r="AC21" s="116">
        <f>+VLOOKUP($B21,'datos9-2014'!$A$2:$BE$78,38,FALSE)</f>
        <v>0</v>
      </c>
      <c r="AD21" s="116">
        <f>+VLOOKUP($B21,'datos9-2014'!$A$2:$BE$78,39,FALSE)</f>
        <v>0</v>
      </c>
      <c r="AE21" s="68">
        <f t="shared" si="6"/>
        <v>4975509.8499999996</v>
      </c>
      <c r="AF21" s="116">
        <f>+VLOOKUP($B21,'datos9-2014'!$A$2:$BE$78,42,FALSE)</f>
        <v>2571110.31</v>
      </c>
      <c r="AG21" s="116">
        <f>+VLOOKUP($B21,'datos9-2014'!$A$2:$BE$78,44,FALSE)</f>
        <v>404869.61</v>
      </c>
      <c r="AH21" s="116">
        <f>+VLOOKUP($B21,'datos9-2014'!$A$2:$BE$78,45,FALSE)</f>
        <v>0</v>
      </c>
      <c r="AI21" s="116">
        <f>+VLOOKUP($B21,'datos9-2014'!$A$2:$BE$78,46,FALSE)</f>
        <v>0</v>
      </c>
      <c r="AJ21" s="68">
        <f t="shared" si="7"/>
        <v>2975979.92</v>
      </c>
      <c r="AK21" s="116">
        <f>+VLOOKUP($B21,'datos9-2014'!$A$2:$BE$78,49,FALSE)</f>
        <v>0</v>
      </c>
      <c r="AL21" s="116">
        <f>+VLOOKUP($B21,'datos9-2014'!$A$2:$BE$78,50,FALSE)</f>
        <v>0</v>
      </c>
      <c r="AM21" s="116">
        <f>+VLOOKUP($B21,'datos9-2014'!$A$2:$BE$78,51,FALSE)</f>
        <v>18161.27</v>
      </c>
      <c r="AN21" s="116">
        <f>+VLOOKUP($B21,'datos9-2014'!$A$2:$BE$78,52,FALSE)</f>
        <v>0</v>
      </c>
      <c r="AO21" s="119">
        <f t="shared" si="8"/>
        <v>18161.27</v>
      </c>
      <c r="AP21" s="116">
        <f>+VLOOKUP($B21,'datos9-2014'!$A$2:$BE$78,55,FALSE)</f>
        <v>0</v>
      </c>
      <c r="AQ21" s="118">
        <f t="shared" si="9"/>
        <v>7969651.0399999991</v>
      </c>
      <c r="AS21" s="120">
        <f t="shared" si="10"/>
        <v>35398302.609999999</v>
      </c>
      <c r="AW21" s="116">
        <v>243322.17</v>
      </c>
    </row>
    <row r="22" spans="2:49" x14ac:dyDescent="0.2">
      <c r="B22" s="121" t="s">
        <v>74</v>
      </c>
      <c r="C22" s="115"/>
      <c r="D22" s="116">
        <f>+VLOOKUP($B22,'datos9-2014'!$A$2:$BE$78,13,FALSE)</f>
        <v>0</v>
      </c>
      <c r="E22" s="116">
        <f>+VLOOKUP($B22,'datos9-2014'!$A$2:$BE$78,14,FALSE)</f>
        <v>0</v>
      </c>
      <c r="F22" s="116">
        <f>+VLOOKUP($B22,'datos9-2014'!$A$2:$BE$78,15,FALSE)</f>
        <v>0</v>
      </c>
      <c r="G22" s="68">
        <f t="shared" si="0"/>
        <v>0</v>
      </c>
      <c r="H22" s="116">
        <f>+VLOOKUP($B22,'datos9-2014'!$A$2:$BE$78,17,FALSE)</f>
        <v>784935</v>
      </c>
      <c r="I22" s="116">
        <f>+VLOOKUP($B22,'datos9-2014'!$A$2:$BE$78,18,FALSE)</f>
        <v>0</v>
      </c>
      <c r="J22" s="116">
        <f>+VLOOKUP($B22,'datos9-2014'!$A$2:$BE$78,19,FALSE)</f>
        <v>0</v>
      </c>
      <c r="K22" s="116">
        <f>+VLOOKUP($B22,'datos9-2014'!$A$2:$BE$78,20,FALSE)</f>
        <v>19679279</v>
      </c>
      <c r="L22" s="68">
        <f t="shared" si="1"/>
        <v>20464214</v>
      </c>
      <c r="M22" s="116">
        <f>+VLOOKUP($B22,'datos9-2014'!$A$2:$BE$78,22,FALSE)</f>
        <v>0</v>
      </c>
      <c r="N22" s="116">
        <f>+VLOOKUP($B22,'datos9-2014'!$A$2:$BE$78,23,FALSE)</f>
        <v>0</v>
      </c>
      <c r="O22" s="116">
        <f>+VLOOKUP($B22,'datos9-2014'!$A$2:$BE$78,24,FALSE)</f>
        <v>0</v>
      </c>
      <c r="P22" s="68">
        <f t="shared" si="2"/>
        <v>0</v>
      </c>
      <c r="Q22" s="116">
        <f>+VLOOKUP($B22,'datos9-2014'!$A$2:$BE$78,26,FALSE)</f>
        <v>0</v>
      </c>
      <c r="R22" s="116">
        <f>+VLOOKUP($B22,'datos9-2014'!$A$2:$BE$78,27,FALSE)</f>
        <v>0</v>
      </c>
      <c r="S22" s="116">
        <f>+VLOOKUP($B22,'datos9-2014'!$A$2:$BE$78,28,FALSE)</f>
        <v>0</v>
      </c>
      <c r="T22" s="116">
        <f>+VLOOKUP($B22,'datos9-2014'!$A$2:$BE$78,29,FALSE)</f>
        <v>0</v>
      </c>
      <c r="U22" s="68">
        <f t="shared" si="3"/>
        <v>0</v>
      </c>
      <c r="V22" s="116">
        <f>+VLOOKUP($B22,'datos9-2014'!$A$2:$BE$78,31,FALSE)</f>
        <v>0</v>
      </c>
      <c r="W22" s="116">
        <f>+VLOOKUP($B22,'datos9-2014'!$A$2:$BE$78,32,FALSE)</f>
        <v>0</v>
      </c>
      <c r="X22" s="117">
        <f t="shared" si="4"/>
        <v>0</v>
      </c>
      <c r="Y22" s="118">
        <f t="shared" si="5"/>
        <v>20464214</v>
      </c>
      <c r="Z22" s="116">
        <f>+VLOOKUP($B22,'datos9-2014'!$A$2:$BE$78,35,FALSE)</f>
        <v>7500000</v>
      </c>
      <c r="AA22" s="116">
        <f>+VLOOKUP($B22,'datos9-2014'!$A$2:$BE$78,36,FALSE)</f>
        <v>280000</v>
      </c>
      <c r="AB22" s="116">
        <f>+VLOOKUP($B22,'datos9-2014'!$A$2:$BE$78,37,FALSE)</f>
        <v>0</v>
      </c>
      <c r="AC22" s="116">
        <f>+VLOOKUP($B22,'datos9-2014'!$A$2:$BE$78,38,FALSE)</f>
        <v>0</v>
      </c>
      <c r="AD22" s="116">
        <f>+VLOOKUP($B22,'datos9-2014'!$A$2:$BE$78,39,FALSE)</f>
        <v>0</v>
      </c>
      <c r="AE22" s="68">
        <f t="shared" si="6"/>
        <v>7780000</v>
      </c>
      <c r="AF22" s="116">
        <f>+VLOOKUP($B22,'datos9-2014'!$A$2:$BE$78,42,FALSE)</f>
        <v>99500</v>
      </c>
      <c r="AG22" s="116">
        <f>+VLOOKUP($B22,'datos9-2014'!$A$2:$BE$78,44,FALSE)</f>
        <v>93528</v>
      </c>
      <c r="AH22" s="116">
        <f>+VLOOKUP($B22,'datos9-2014'!$A$2:$BE$78,45,FALSE)</f>
        <v>0</v>
      </c>
      <c r="AI22" s="116">
        <f>+VLOOKUP($B22,'datos9-2014'!$A$2:$BE$78,46,FALSE)</f>
        <v>0</v>
      </c>
      <c r="AJ22" s="68">
        <f t="shared" si="7"/>
        <v>193028</v>
      </c>
      <c r="AK22" s="116">
        <f>+VLOOKUP($B22,'datos9-2014'!$A$2:$BE$78,49,FALSE)</f>
        <v>0</v>
      </c>
      <c r="AL22" s="116">
        <f>+VLOOKUP($B22,'datos9-2014'!$A$2:$BE$78,50,FALSE)</f>
        <v>400000</v>
      </c>
      <c r="AM22" s="116">
        <f>+VLOOKUP($B22,'datos9-2014'!$A$2:$BE$78,51,FALSE)</f>
        <v>0</v>
      </c>
      <c r="AN22" s="116">
        <f>+VLOOKUP($B22,'datos9-2014'!$A$2:$BE$78,52,FALSE)</f>
        <v>0</v>
      </c>
      <c r="AO22" s="119">
        <f t="shared" si="8"/>
        <v>400000</v>
      </c>
      <c r="AP22" s="116">
        <f>+VLOOKUP($B22,'datos9-2014'!$A$2:$BE$78,55,FALSE)</f>
        <v>0</v>
      </c>
      <c r="AQ22" s="118">
        <f t="shared" si="9"/>
        <v>8373028</v>
      </c>
      <c r="AS22" s="120">
        <f t="shared" si="10"/>
        <v>28837242</v>
      </c>
      <c r="AW22" s="116">
        <v>1151702.83</v>
      </c>
    </row>
    <row r="23" spans="2:49" x14ac:dyDescent="0.2">
      <c r="B23" s="121" t="s">
        <v>75</v>
      </c>
      <c r="C23" s="115"/>
      <c r="D23" s="116">
        <f>+VLOOKUP($B23,'datos9-2014'!$A$2:$BE$78,13,FALSE)</f>
        <v>23145</v>
      </c>
      <c r="E23" s="116">
        <f>+VLOOKUP($B23,'datos9-2014'!$A$2:$BE$78,14,FALSE)</f>
        <v>0</v>
      </c>
      <c r="F23" s="116">
        <f>+VLOOKUP($B23,'datos9-2014'!$A$2:$BE$78,15,FALSE)</f>
        <v>0</v>
      </c>
      <c r="G23" s="68">
        <f t="shared" si="0"/>
        <v>23145</v>
      </c>
      <c r="H23" s="116">
        <f>+VLOOKUP($B23,'datos9-2014'!$A$2:$BE$78,17,FALSE)</f>
        <v>0</v>
      </c>
      <c r="I23" s="116">
        <f>+VLOOKUP($B23,'datos9-2014'!$A$2:$BE$78,18,FALSE)</f>
        <v>0</v>
      </c>
      <c r="J23" s="116">
        <f>+VLOOKUP($B23,'datos9-2014'!$A$2:$BE$78,19,FALSE)</f>
        <v>0</v>
      </c>
      <c r="K23" s="116">
        <f>+VLOOKUP($B23,'datos9-2014'!$A$2:$BE$78,20,FALSE)</f>
        <v>3523.68</v>
      </c>
      <c r="L23" s="68">
        <f t="shared" si="1"/>
        <v>3523.68</v>
      </c>
      <c r="M23" s="116">
        <f>+VLOOKUP($B23,'datos9-2014'!$A$2:$BE$78,22,FALSE)</f>
        <v>220710.86</v>
      </c>
      <c r="N23" s="116">
        <f>+VLOOKUP($B23,'datos9-2014'!$A$2:$BE$78,23,FALSE)</f>
        <v>0</v>
      </c>
      <c r="O23" s="116">
        <f>+VLOOKUP($B23,'datos9-2014'!$A$2:$BE$78,24,FALSE)</f>
        <v>0</v>
      </c>
      <c r="P23" s="68">
        <f t="shared" si="2"/>
        <v>220710.86</v>
      </c>
      <c r="Q23" s="116">
        <f>+VLOOKUP($B23,'datos9-2014'!$A$2:$BE$78,26,FALSE)</f>
        <v>0</v>
      </c>
      <c r="R23" s="116">
        <f>+VLOOKUP($B23,'datos9-2014'!$A$2:$BE$78,27,FALSE)</f>
        <v>0</v>
      </c>
      <c r="S23" s="116">
        <f>+VLOOKUP($B23,'datos9-2014'!$A$2:$BE$78,28,FALSE)</f>
        <v>0</v>
      </c>
      <c r="T23" s="116">
        <f>+VLOOKUP($B23,'datos9-2014'!$A$2:$BE$78,29,FALSE)</f>
        <v>0</v>
      </c>
      <c r="U23" s="68">
        <f t="shared" si="3"/>
        <v>0</v>
      </c>
      <c r="V23" s="116">
        <f>+VLOOKUP($B23,'datos9-2014'!$A$2:$BE$78,31,FALSE)</f>
        <v>68115.19</v>
      </c>
      <c r="W23" s="116">
        <f>+VLOOKUP($B23,'datos9-2014'!$A$2:$BE$78,32,FALSE)</f>
        <v>0</v>
      </c>
      <c r="X23" s="117">
        <f t="shared" si="4"/>
        <v>68115.19</v>
      </c>
      <c r="Y23" s="118">
        <f t="shared" si="5"/>
        <v>315494.73</v>
      </c>
      <c r="Z23" s="116">
        <f>+VLOOKUP($B23,'datos9-2014'!$A$2:$BE$78,35,FALSE)</f>
        <v>0</v>
      </c>
      <c r="AA23" s="116">
        <f>+VLOOKUP($B23,'datos9-2014'!$A$2:$BE$78,36,FALSE)</f>
        <v>225793</v>
      </c>
      <c r="AB23" s="116">
        <f>+VLOOKUP($B23,'datos9-2014'!$A$2:$BE$78,37,FALSE)</f>
        <v>0</v>
      </c>
      <c r="AC23" s="116">
        <f>+VLOOKUP($B23,'datos9-2014'!$A$2:$BE$78,38,FALSE)</f>
        <v>0</v>
      </c>
      <c r="AD23" s="116">
        <f>+VLOOKUP($B23,'datos9-2014'!$A$2:$BE$78,39,FALSE)</f>
        <v>0</v>
      </c>
      <c r="AE23" s="68">
        <f t="shared" si="6"/>
        <v>225793</v>
      </c>
      <c r="AF23" s="116">
        <f>+VLOOKUP($B23,'datos9-2014'!$A$2:$BE$78,42,FALSE)</f>
        <v>139998</v>
      </c>
      <c r="AG23" s="116">
        <f>+VLOOKUP($B23,'datos9-2014'!$A$2:$BE$78,44,FALSE)</f>
        <v>407201.97</v>
      </c>
      <c r="AH23" s="116">
        <f>+VLOOKUP($B23,'datos9-2014'!$A$2:$BE$78,45,FALSE)</f>
        <v>0</v>
      </c>
      <c r="AI23" s="116">
        <f>+VLOOKUP($B23,'datos9-2014'!$A$2:$BE$78,46,FALSE)</f>
        <v>0</v>
      </c>
      <c r="AJ23" s="68">
        <f t="shared" si="7"/>
        <v>547199.97</v>
      </c>
      <c r="AK23" s="116">
        <f>+VLOOKUP($B23,'datos9-2014'!$A$2:$BE$78,49,FALSE)</f>
        <v>419857.59</v>
      </c>
      <c r="AL23" s="116">
        <f>+VLOOKUP($B23,'datos9-2014'!$A$2:$BE$78,50,FALSE)</f>
        <v>142060.42000000001</v>
      </c>
      <c r="AM23" s="116">
        <f>+VLOOKUP($B23,'datos9-2014'!$A$2:$BE$78,51,FALSE)</f>
        <v>0</v>
      </c>
      <c r="AN23" s="116">
        <f>+VLOOKUP($B23,'datos9-2014'!$A$2:$BE$78,52,FALSE)</f>
        <v>0</v>
      </c>
      <c r="AO23" s="119">
        <f t="shared" si="8"/>
        <v>561918.01</v>
      </c>
      <c r="AP23" s="116">
        <f>+VLOOKUP($B23,'datos9-2014'!$A$2:$BE$78,55,FALSE)</f>
        <v>0</v>
      </c>
      <c r="AQ23" s="118">
        <f t="shared" si="9"/>
        <v>1334910.98</v>
      </c>
      <c r="AS23" s="120">
        <f t="shared" si="10"/>
        <v>1650405.71</v>
      </c>
      <c r="AW23" s="116">
        <v>0</v>
      </c>
    </row>
    <row r="24" spans="2:49" x14ac:dyDescent="0.2">
      <c r="B24" s="121" t="s">
        <v>76</v>
      </c>
      <c r="C24" s="115"/>
      <c r="D24" s="116">
        <f>+VLOOKUP($B24,'datos9-2014'!$A$2:$BE$78,13,FALSE)</f>
        <v>103915.78</v>
      </c>
      <c r="E24" s="116">
        <f>+VLOOKUP($B24,'datos9-2014'!$A$2:$BE$78,14,FALSE)</f>
        <v>2000</v>
      </c>
      <c r="F24" s="116">
        <f>+VLOOKUP($B24,'datos9-2014'!$A$2:$BE$78,15,FALSE)</f>
        <v>2975.25</v>
      </c>
      <c r="G24" s="68">
        <f t="shared" si="0"/>
        <v>108891.03</v>
      </c>
      <c r="H24" s="116">
        <f>+VLOOKUP($B24,'datos9-2014'!$A$2:$BE$78,17,FALSE)</f>
        <v>35869.699999999997</v>
      </c>
      <c r="I24" s="116">
        <f>+VLOOKUP($B24,'datos9-2014'!$A$2:$BE$78,18,FALSE)</f>
        <v>10853.65</v>
      </c>
      <c r="J24" s="116">
        <f>+VLOOKUP($B24,'datos9-2014'!$A$2:$BE$78,19,FALSE)</f>
        <v>72737.440000000002</v>
      </c>
      <c r="K24" s="116">
        <f>+VLOOKUP($B24,'datos9-2014'!$A$2:$BE$78,20,FALSE)</f>
        <v>24291.49</v>
      </c>
      <c r="L24" s="68">
        <f t="shared" si="1"/>
        <v>143752.28</v>
      </c>
      <c r="M24" s="116">
        <f>+VLOOKUP($B24,'datos9-2014'!$A$2:$BE$78,22,FALSE)</f>
        <v>1626170.47</v>
      </c>
      <c r="N24" s="116">
        <f>+VLOOKUP($B24,'datos9-2014'!$A$2:$BE$78,23,FALSE)</f>
        <v>64736.69</v>
      </c>
      <c r="O24" s="116">
        <f>+VLOOKUP($B24,'datos9-2014'!$A$2:$BE$78,24,FALSE)</f>
        <v>0</v>
      </c>
      <c r="P24" s="68">
        <f t="shared" si="2"/>
        <v>1690907.16</v>
      </c>
      <c r="Q24" s="116">
        <f>+VLOOKUP($B24,'datos9-2014'!$A$2:$BE$78,26,FALSE)</f>
        <v>0</v>
      </c>
      <c r="R24" s="116">
        <f>+VLOOKUP($B24,'datos9-2014'!$A$2:$BE$78,27,FALSE)</f>
        <v>0</v>
      </c>
      <c r="S24" s="116">
        <f>+VLOOKUP($B24,'datos9-2014'!$A$2:$BE$78,28,FALSE)</f>
        <v>0</v>
      </c>
      <c r="T24" s="116">
        <f>+VLOOKUP($B24,'datos9-2014'!$A$2:$BE$78,29,FALSE)</f>
        <v>1765.2</v>
      </c>
      <c r="U24" s="68">
        <f t="shared" si="3"/>
        <v>1765.2</v>
      </c>
      <c r="V24" s="116">
        <f>+VLOOKUP($B24,'datos9-2014'!$A$2:$BE$78,31,FALSE)</f>
        <v>0</v>
      </c>
      <c r="W24" s="116">
        <f>+VLOOKUP($B24,'datos9-2014'!$A$2:$BE$78,32,FALSE)</f>
        <v>0</v>
      </c>
      <c r="X24" s="117">
        <f t="shared" si="4"/>
        <v>0</v>
      </c>
      <c r="Y24" s="118">
        <f t="shared" si="5"/>
        <v>1945315.67</v>
      </c>
      <c r="Z24" s="116">
        <f>+VLOOKUP($B24,'datos9-2014'!$A$2:$BE$78,35,FALSE)</f>
        <v>11125000</v>
      </c>
      <c r="AA24" s="116">
        <f>+VLOOKUP($B24,'datos9-2014'!$A$2:$BE$78,36,FALSE)</f>
        <v>0</v>
      </c>
      <c r="AB24" s="116">
        <f>+VLOOKUP($B24,'datos9-2014'!$A$2:$BE$78,37,FALSE)</f>
        <v>0</v>
      </c>
      <c r="AC24" s="116">
        <f>+VLOOKUP($B24,'datos9-2014'!$A$2:$BE$78,38,FALSE)</f>
        <v>0</v>
      </c>
      <c r="AD24" s="116">
        <f>+VLOOKUP($B24,'datos9-2014'!$A$2:$BE$78,39,FALSE)</f>
        <v>0</v>
      </c>
      <c r="AE24" s="68">
        <f t="shared" si="6"/>
        <v>11125000</v>
      </c>
      <c r="AF24" s="116">
        <f>+VLOOKUP($B24,'datos9-2014'!$A$2:$BE$78,42,FALSE)</f>
        <v>762045.1</v>
      </c>
      <c r="AG24" s="116">
        <f>+VLOOKUP($B24,'datos9-2014'!$A$2:$BE$78,44,FALSE)</f>
        <v>96461</v>
      </c>
      <c r="AH24" s="116">
        <f>+VLOOKUP($B24,'datos9-2014'!$A$2:$BE$78,45,FALSE)</f>
        <v>0</v>
      </c>
      <c r="AI24" s="116">
        <f>+VLOOKUP($B24,'datos9-2014'!$A$2:$BE$78,46,FALSE)</f>
        <v>0</v>
      </c>
      <c r="AJ24" s="68">
        <f t="shared" si="7"/>
        <v>858506.1</v>
      </c>
      <c r="AK24" s="116">
        <f>+VLOOKUP($B24,'datos9-2014'!$A$2:$BE$78,49,FALSE)</f>
        <v>333208.5</v>
      </c>
      <c r="AL24" s="116">
        <f>+VLOOKUP($B24,'datos9-2014'!$A$2:$BE$78,50,FALSE)</f>
        <v>0</v>
      </c>
      <c r="AM24" s="116">
        <f>+VLOOKUP($B24,'datos9-2014'!$A$2:$BE$78,51,FALSE)</f>
        <v>0</v>
      </c>
      <c r="AN24" s="116">
        <f>+VLOOKUP($B24,'datos9-2014'!$A$2:$BE$78,52,FALSE)</f>
        <v>50697.63</v>
      </c>
      <c r="AO24" s="119">
        <f t="shared" si="8"/>
        <v>383906.13</v>
      </c>
      <c r="AP24" s="116">
        <f>+VLOOKUP($B24,'datos9-2014'!$A$2:$BE$78,55,FALSE)</f>
        <v>215998.47</v>
      </c>
      <c r="AQ24" s="118">
        <f t="shared" si="9"/>
        <v>12583410.700000001</v>
      </c>
      <c r="AS24" s="120">
        <f t="shared" si="10"/>
        <v>14528726.370000001</v>
      </c>
      <c r="AW24" s="116">
        <v>0</v>
      </c>
    </row>
    <row r="25" spans="2:49" x14ac:dyDescent="0.2">
      <c r="B25" s="121" t="s">
        <v>77</v>
      </c>
      <c r="C25" s="115"/>
      <c r="D25" s="116">
        <f>+VLOOKUP($B25,'datos9-2014'!$A$2:$BE$78,13,FALSE)</f>
        <v>162783.29999999999</v>
      </c>
      <c r="E25" s="116">
        <f>+VLOOKUP($B25,'datos9-2014'!$A$2:$BE$78,14,FALSE)</f>
        <v>0</v>
      </c>
      <c r="F25" s="116">
        <f>+VLOOKUP($B25,'datos9-2014'!$A$2:$BE$78,15,FALSE)</f>
        <v>4416.33</v>
      </c>
      <c r="G25" s="68">
        <f t="shared" si="0"/>
        <v>167199.62999999998</v>
      </c>
      <c r="H25" s="116">
        <f>+VLOOKUP($B25,'datos9-2014'!$A$2:$BE$78,17,FALSE)</f>
        <v>93277.58</v>
      </c>
      <c r="I25" s="116">
        <f>+VLOOKUP($B25,'datos9-2014'!$A$2:$BE$78,18,FALSE)</f>
        <v>0</v>
      </c>
      <c r="J25" s="116">
        <f>+VLOOKUP($B25,'datos9-2014'!$A$2:$BE$78,19,FALSE)</f>
        <v>0</v>
      </c>
      <c r="K25" s="116">
        <f>+VLOOKUP($B25,'datos9-2014'!$A$2:$BE$78,20,FALSE)</f>
        <v>1480.1</v>
      </c>
      <c r="L25" s="68">
        <f t="shared" si="1"/>
        <v>94757.680000000008</v>
      </c>
      <c r="M25" s="116">
        <f>+VLOOKUP($B25,'datos9-2014'!$A$2:$BE$78,22,FALSE)</f>
        <v>428757.01</v>
      </c>
      <c r="N25" s="116">
        <f>+VLOOKUP($B25,'datos9-2014'!$A$2:$BE$78,23,FALSE)</f>
        <v>116896.87</v>
      </c>
      <c r="O25" s="116">
        <f>+VLOOKUP($B25,'datos9-2014'!$A$2:$BE$78,24,FALSE)</f>
        <v>0</v>
      </c>
      <c r="P25" s="68">
        <f t="shared" si="2"/>
        <v>545653.88</v>
      </c>
      <c r="Q25" s="116">
        <f>+VLOOKUP($B25,'datos9-2014'!$A$2:$BE$78,26,FALSE)</f>
        <v>0</v>
      </c>
      <c r="R25" s="116">
        <f>+VLOOKUP($B25,'datos9-2014'!$A$2:$BE$78,27,FALSE)</f>
        <v>0</v>
      </c>
      <c r="S25" s="116">
        <f>+VLOOKUP($B25,'datos9-2014'!$A$2:$BE$78,28,FALSE)</f>
        <v>0</v>
      </c>
      <c r="T25" s="116">
        <f>+VLOOKUP($B25,'datos9-2014'!$A$2:$BE$78,29,FALSE)</f>
        <v>0</v>
      </c>
      <c r="U25" s="68">
        <f t="shared" si="3"/>
        <v>0</v>
      </c>
      <c r="V25" s="116">
        <f>+VLOOKUP($B25,'datos9-2014'!$A$2:$BE$78,31,FALSE)</f>
        <v>0</v>
      </c>
      <c r="W25" s="116">
        <f>+VLOOKUP($B25,'datos9-2014'!$A$2:$BE$78,32,FALSE)</f>
        <v>7334.19</v>
      </c>
      <c r="X25" s="117">
        <f t="shared" si="4"/>
        <v>7334.19</v>
      </c>
      <c r="Y25" s="118">
        <f t="shared" si="5"/>
        <v>814945.38</v>
      </c>
      <c r="Z25" s="116">
        <f>+VLOOKUP($B25,'datos9-2014'!$A$2:$BE$78,35,FALSE)</f>
        <v>5153750</v>
      </c>
      <c r="AA25" s="116">
        <f>+VLOOKUP($B25,'datos9-2014'!$A$2:$BE$78,36,FALSE)</f>
        <v>171215.8</v>
      </c>
      <c r="AB25" s="116">
        <f>+VLOOKUP($B25,'datos9-2014'!$A$2:$BE$78,37,FALSE)</f>
        <v>0</v>
      </c>
      <c r="AC25" s="116">
        <f>+VLOOKUP($B25,'datos9-2014'!$A$2:$BE$78,38,FALSE)</f>
        <v>0</v>
      </c>
      <c r="AD25" s="116">
        <f>+VLOOKUP($B25,'datos9-2014'!$A$2:$BE$78,39,FALSE)</f>
        <v>0</v>
      </c>
      <c r="AE25" s="68">
        <f t="shared" si="6"/>
        <v>5324965.8</v>
      </c>
      <c r="AF25" s="116">
        <f>+VLOOKUP($B25,'datos9-2014'!$A$2:$BE$78,42,FALSE)</f>
        <v>267874.93</v>
      </c>
      <c r="AG25" s="116">
        <f>+VLOOKUP($B25,'datos9-2014'!$A$2:$BE$78,44,FALSE)</f>
        <v>0</v>
      </c>
      <c r="AH25" s="116">
        <f>+VLOOKUP($B25,'datos9-2014'!$A$2:$BE$78,45,FALSE)</f>
        <v>0</v>
      </c>
      <c r="AI25" s="116">
        <f>+VLOOKUP($B25,'datos9-2014'!$A$2:$BE$78,46,FALSE)</f>
        <v>0</v>
      </c>
      <c r="AJ25" s="68">
        <f t="shared" si="7"/>
        <v>267874.93</v>
      </c>
      <c r="AK25" s="116">
        <f>+VLOOKUP($B25,'datos9-2014'!$A$2:$BE$78,49,FALSE)</f>
        <v>463310.2</v>
      </c>
      <c r="AL25" s="116">
        <f>+VLOOKUP($B25,'datos9-2014'!$A$2:$BE$78,50,FALSE)</f>
        <v>0</v>
      </c>
      <c r="AM25" s="116">
        <f>+VLOOKUP($B25,'datos9-2014'!$A$2:$BE$78,51,FALSE)</f>
        <v>167636.24</v>
      </c>
      <c r="AN25" s="116">
        <f>+VLOOKUP($B25,'datos9-2014'!$A$2:$BE$78,52,FALSE)</f>
        <v>62928.12</v>
      </c>
      <c r="AO25" s="119">
        <f t="shared" si="8"/>
        <v>693874.55999999994</v>
      </c>
      <c r="AP25" s="116">
        <f>+VLOOKUP($B25,'datos9-2014'!$A$2:$BE$78,55,FALSE)</f>
        <v>0</v>
      </c>
      <c r="AQ25" s="118">
        <f t="shared" si="9"/>
        <v>6286715.29</v>
      </c>
      <c r="AS25" s="120">
        <f t="shared" si="10"/>
        <v>7101660.6699999999</v>
      </c>
      <c r="AW25" s="116">
        <v>266946.26</v>
      </c>
    </row>
    <row r="26" spans="2:49" x14ac:dyDescent="0.2">
      <c r="B26" s="121" t="s">
        <v>78</v>
      </c>
      <c r="C26" s="115"/>
      <c r="D26" s="116">
        <f>+VLOOKUP($B26,'datos9-2014'!$A$2:$BE$78,13,FALSE)</f>
        <v>2409.15</v>
      </c>
      <c r="E26" s="116">
        <f>+VLOOKUP($B26,'datos9-2014'!$A$2:$BE$78,14,FALSE)</f>
        <v>0</v>
      </c>
      <c r="F26" s="116">
        <f>+VLOOKUP($B26,'datos9-2014'!$A$2:$BE$78,15,FALSE)</f>
        <v>11667.8</v>
      </c>
      <c r="G26" s="68">
        <f t="shared" si="0"/>
        <v>14076.949999999999</v>
      </c>
      <c r="H26" s="116">
        <f>+VLOOKUP($B26,'datos9-2014'!$A$2:$BE$78,17,FALSE)</f>
        <v>586.66</v>
      </c>
      <c r="I26" s="116">
        <f>+VLOOKUP($B26,'datos9-2014'!$A$2:$BE$78,18,FALSE)</f>
        <v>0</v>
      </c>
      <c r="J26" s="116">
        <f>+VLOOKUP($B26,'datos9-2014'!$A$2:$BE$78,19,FALSE)</f>
        <v>0</v>
      </c>
      <c r="K26" s="116">
        <f>+VLOOKUP($B26,'datos9-2014'!$A$2:$BE$78,20,FALSE)</f>
        <v>0</v>
      </c>
      <c r="L26" s="68">
        <f t="shared" si="1"/>
        <v>586.66</v>
      </c>
      <c r="M26" s="116">
        <f>+VLOOKUP($B26,'datos9-2014'!$A$2:$BE$78,22,FALSE)</f>
        <v>1675</v>
      </c>
      <c r="N26" s="116">
        <f>+VLOOKUP($B26,'datos9-2014'!$A$2:$BE$78,23,FALSE)</f>
        <v>0</v>
      </c>
      <c r="O26" s="116">
        <f>+VLOOKUP($B26,'datos9-2014'!$A$2:$BE$78,24,FALSE)</f>
        <v>0</v>
      </c>
      <c r="P26" s="68">
        <f t="shared" si="2"/>
        <v>1675</v>
      </c>
      <c r="Q26" s="116">
        <f>+VLOOKUP($B26,'datos9-2014'!$A$2:$BE$78,26,FALSE)</f>
        <v>0</v>
      </c>
      <c r="R26" s="116">
        <f>+VLOOKUP($B26,'datos9-2014'!$A$2:$BE$78,27,FALSE)</f>
        <v>0</v>
      </c>
      <c r="S26" s="116">
        <f>+VLOOKUP($B26,'datos9-2014'!$A$2:$BE$78,28,FALSE)</f>
        <v>0</v>
      </c>
      <c r="T26" s="116">
        <f>+VLOOKUP($B26,'datos9-2014'!$A$2:$BE$78,29,FALSE)</f>
        <v>0</v>
      </c>
      <c r="U26" s="68">
        <f t="shared" si="3"/>
        <v>0</v>
      </c>
      <c r="V26" s="116">
        <f>+VLOOKUP($B26,'datos9-2014'!$A$2:$BE$78,31,FALSE)</f>
        <v>0</v>
      </c>
      <c r="W26" s="116">
        <f>+VLOOKUP($B26,'datos9-2014'!$A$2:$BE$78,32,FALSE)</f>
        <v>0</v>
      </c>
      <c r="X26" s="117">
        <f t="shared" si="4"/>
        <v>0</v>
      </c>
      <c r="Y26" s="118">
        <f t="shared" si="5"/>
        <v>16338.609999999999</v>
      </c>
      <c r="Z26" s="116">
        <f>+VLOOKUP($B26,'datos9-2014'!$A$2:$BE$78,35,FALSE)</f>
        <v>0</v>
      </c>
      <c r="AA26" s="116">
        <f>+VLOOKUP($B26,'datos9-2014'!$A$2:$BE$78,36,FALSE)</f>
        <v>0</v>
      </c>
      <c r="AB26" s="116">
        <f>+VLOOKUP($B26,'datos9-2014'!$A$2:$BE$78,37,FALSE)</f>
        <v>0</v>
      </c>
      <c r="AC26" s="116">
        <f>+VLOOKUP($B26,'datos9-2014'!$A$2:$BE$78,38,FALSE)</f>
        <v>0</v>
      </c>
      <c r="AD26" s="116">
        <f>+VLOOKUP($B26,'datos9-2014'!$A$2:$BE$78,39,FALSE)</f>
        <v>0</v>
      </c>
      <c r="AE26" s="68">
        <f t="shared" si="6"/>
        <v>0</v>
      </c>
      <c r="AF26" s="116">
        <f>+VLOOKUP($B26,'datos9-2014'!$A$2:$BE$78,42,FALSE)</f>
        <v>0</v>
      </c>
      <c r="AG26" s="116">
        <f>+VLOOKUP($B26,'datos9-2014'!$A$2:$BE$78,44,FALSE)</f>
        <v>0</v>
      </c>
      <c r="AH26" s="116">
        <f>+VLOOKUP($B26,'datos9-2014'!$A$2:$BE$78,45,FALSE)</f>
        <v>0</v>
      </c>
      <c r="AI26" s="116">
        <f>+VLOOKUP($B26,'datos9-2014'!$A$2:$BE$78,46,FALSE)</f>
        <v>0</v>
      </c>
      <c r="AJ26" s="68">
        <f t="shared" si="7"/>
        <v>0</v>
      </c>
      <c r="AK26" s="116">
        <f>+VLOOKUP($B26,'datos9-2014'!$A$2:$BE$78,49,FALSE)</f>
        <v>0</v>
      </c>
      <c r="AL26" s="116">
        <f>+VLOOKUP($B26,'datos9-2014'!$A$2:$BE$78,50,FALSE)</f>
        <v>0</v>
      </c>
      <c r="AM26" s="116">
        <f>+VLOOKUP($B26,'datos9-2014'!$A$2:$BE$78,51,FALSE)</f>
        <v>0</v>
      </c>
      <c r="AN26" s="116">
        <f>+VLOOKUP($B26,'datos9-2014'!$A$2:$BE$78,52,FALSE)</f>
        <v>0</v>
      </c>
      <c r="AO26" s="119">
        <f t="shared" si="8"/>
        <v>0</v>
      </c>
      <c r="AP26" s="116">
        <f>+VLOOKUP($B26,'datos9-2014'!$A$2:$BE$78,55,FALSE)</f>
        <v>0</v>
      </c>
      <c r="AQ26" s="118">
        <f t="shared" si="9"/>
        <v>0</v>
      </c>
      <c r="AS26" s="120">
        <f t="shared" si="10"/>
        <v>16338.609999999999</v>
      </c>
      <c r="AW26" s="116">
        <v>0</v>
      </c>
    </row>
    <row r="27" spans="2:49" x14ac:dyDescent="0.2">
      <c r="B27" s="121" t="s">
        <v>79</v>
      </c>
      <c r="C27" s="115"/>
      <c r="D27" s="116">
        <f>+VLOOKUP($B27,'datos9-2014'!$A$2:$BE$78,13,FALSE)</f>
        <v>15205.59</v>
      </c>
      <c r="E27" s="116">
        <f>+VLOOKUP($B27,'datos9-2014'!$A$2:$BE$78,14,FALSE)</f>
        <v>0</v>
      </c>
      <c r="F27" s="116">
        <f>+VLOOKUP($B27,'datos9-2014'!$A$2:$BE$78,15,FALSE)</f>
        <v>0</v>
      </c>
      <c r="G27" s="68">
        <f t="shared" si="0"/>
        <v>15205.59</v>
      </c>
      <c r="H27" s="116">
        <f>+VLOOKUP($B27,'datos9-2014'!$A$2:$BE$78,17,FALSE)</f>
        <v>0</v>
      </c>
      <c r="I27" s="116">
        <f>+VLOOKUP($B27,'datos9-2014'!$A$2:$BE$78,18,FALSE)</f>
        <v>0</v>
      </c>
      <c r="J27" s="116">
        <f>+VLOOKUP($B27,'datos9-2014'!$A$2:$BE$78,19,FALSE)</f>
        <v>0</v>
      </c>
      <c r="K27" s="116">
        <f>+VLOOKUP($B27,'datos9-2014'!$A$2:$BE$78,20,FALSE)</f>
        <v>22291.52</v>
      </c>
      <c r="L27" s="68">
        <f t="shared" si="1"/>
        <v>22291.52</v>
      </c>
      <c r="M27" s="116">
        <f>+VLOOKUP($B27,'datos9-2014'!$A$2:$BE$78,22,FALSE)</f>
        <v>0</v>
      </c>
      <c r="N27" s="116">
        <f>+VLOOKUP($B27,'datos9-2014'!$A$2:$BE$78,23,FALSE)</f>
        <v>0</v>
      </c>
      <c r="O27" s="116">
        <f>+VLOOKUP($B27,'datos9-2014'!$A$2:$BE$78,24,FALSE)</f>
        <v>0</v>
      </c>
      <c r="P27" s="68">
        <f t="shared" si="2"/>
        <v>0</v>
      </c>
      <c r="Q27" s="116">
        <f>+VLOOKUP($B27,'datos9-2014'!$A$2:$BE$78,26,FALSE)</f>
        <v>0</v>
      </c>
      <c r="R27" s="116">
        <f>+VLOOKUP($B27,'datos9-2014'!$A$2:$BE$78,27,FALSE)</f>
        <v>0</v>
      </c>
      <c r="S27" s="116">
        <f>+VLOOKUP($B27,'datos9-2014'!$A$2:$BE$78,28,FALSE)</f>
        <v>0</v>
      </c>
      <c r="T27" s="116">
        <f>+VLOOKUP($B27,'datos9-2014'!$A$2:$BE$78,29,FALSE)</f>
        <v>0</v>
      </c>
      <c r="U27" s="68">
        <f t="shared" si="3"/>
        <v>0</v>
      </c>
      <c r="V27" s="116">
        <f>+VLOOKUP($B27,'datos9-2014'!$A$2:$BE$78,31,FALSE)</f>
        <v>54836.82</v>
      </c>
      <c r="W27" s="116">
        <f>+VLOOKUP($B27,'datos9-2014'!$A$2:$BE$78,32,FALSE)</f>
        <v>696.82</v>
      </c>
      <c r="X27" s="117">
        <f t="shared" si="4"/>
        <v>55533.64</v>
      </c>
      <c r="Y27" s="118">
        <f t="shared" si="5"/>
        <v>93030.75</v>
      </c>
      <c r="Z27" s="116">
        <f>+VLOOKUP($B27,'datos9-2014'!$A$2:$BE$78,35,FALSE)</f>
        <v>500000</v>
      </c>
      <c r="AA27" s="116">
        <f>+VLOOKUP($B27,'datos9-2014'!$A$2:$BE$78,36,FALSE)</f>
        <v>270000</v>
      </c>
      <c r="AB27" s="116">
        <f>+VLOOKUP($B27,'datos9-2014'!$A$2:$BE$78,37,FALSE)</f>
        <v>0</v>
      </c>
      <c r="AC27" s="116">
        <f>+VLOOKUP($B27,'datos9-2014'!$A$2:$BE$78,38,FALSE)</f>
        <v>0</v>
      </c>
      <c r="AD27" s="116">
        <f>+VLOOKUP($B27,'datos9-2014'!$A$2:$BE$78,39,FALSE)</f>
        <v>0</v>
      </c>
      <c r="AE27" s="68">
        <f t="shared" si="6"/>
        <v>770000</v>
      </c>
      <c r="AF27" s="116">
        <f>+VLOOKUP($B27,'datos9-2014'!$A$2:$BE$78,42,FALSE)</f>
        <v>12000</v>
      </c>
      <c r="AG27" s="116">
        <f>+VLOOKUP($B27,'datos9-2014'!$A$2:$BE$78,44,FALSE)</f>
        <v>282980.46000000002</v>
      </c>
      <c r="AH27" s="116">
        <f>+VLOOKUP($B27,'datos9-2014'!$A$2:$BE$78,45,FALSE)</f>
        <v>0</v>
      </c>
      <c r="AI27" s="116">
        <f>+VLOOKUP($B27,'datos9-2014'!$A$2:$BE$78,46,FALSE)</f>
        <v>0</v>
      </c>
      <c r="AJ27" s="68">
        <f t="shared" si="7"/>
        <v>294980.46000000002</v>
      </c>
      <c r="AK27" s="116">
        <f>+VLOOKUP($B27,'datos9-2014'!$A$2:$BE$78,49,FALSE)</f>
        <v>0</v>
      </c>
      <c r="AL27" s="116">
        <f>+VLOOKUP($B27,'datos9-2014'!$A$2:$BE$78,50,FALSE)</f>
        <v>0</v>
      </c>
      <c r="AM27" s="116">
        <f>+VLOOKUP($B27,'datos9-2014'!$A$2:$BE$78,51,FALSE)</f>
        <v>0</v>
      </c>
      <c r="AN27" s="116">
        <f>+VLOOKUP($B27,'datos9-2014'!$A$2:$BE$78,52,FALSE)</f>
        <v>0</v>
      </c>
      <c r="AO27" s="119">
        <f t="shared" si="8"/>
        <v>0</v>
      </c>
      <c r="AP27" s="116">
        <f>+VLOOKUP($B27,'datos9-2014'!$A$2:$BE$78,55,FALSE)</f>
        <v>0</v>
      </c>
      <c r="AQ27" s="118">
        <f t="shared" si="9"/>
        <v>1064980.46</v>
      </c>
      <c r="AS27" s="120">
        <f t="shared" si="10"/>
        <v>1158011.21</v>
      </c>
      <c r="AW27" s="116">
        <v>0</v>
      </c>
    </row>
    <row r="28" spans="2:49" x14ac:dyDescent="0.2">
      <c r="B28" s="121" t="s">
        <v>80</v>
      </c>
      <c r="C28" s="115"/>
      <c r="D28" s="116">
        <f>+VLOOKUP($B28,'datos9-2014'!$A$2:$BE$78,13,FALSE)</f>
        <v>0</v>
      </c>
      <c r="E28" s="116">
        <f>+VLOOKUP($B28,'datos9-2014'!$A$2:$BE$78,14,FALSE)</f>
        <v>0</v>
      </c>
      <c r="F28" s="116">
        <f>+VLOOKUP($B28,'datos9-2014'!$A$2:$BE$78,15,FALSE)</f>
        <v>0</v>
      </c>
      <c r="G28" s="68">
        <f t="shared" si="0"/>
        <v>0</v>
      </c>
      <c r="H28" s="116">
        <f>+VLOOKUP($B28,'datos9-2014'!$A$2:$BE$78,17,FALSE)</f>
        <v>4000</v>
      </c>
      <c r="I28" s="116">
        <f>+VLOOKUP($B28,'datos9-2014'!$A$2:$BE$78,18,FALSE)</f>
        <v>0</v>
      </c>
      <c r="J28" s="116">
        <f>+VLOOKUP($B28,'datos9-2014'!$A$2:$BE$78,19,FALSE)</f>
        <v>0</v>
      </c>
      <c r="K28" s="116">
        <f>+VLOOKUP($B28,'datos9-2014'!$A$2:$BE$78,20,FALSE)</f>
        <v>0</v>
      </c>
      <c r="L28" s="68">
        <f t="shared" si="1"/>
        <v>4000</v>
      </c>
      <c r="M28" s="116">
        <f>+VLOOKUP($B28,'datos9-2014'!$A$2:$BE$78,22,FALSE)</f>
        <v>0</v>
      </c>
      <c r="N28" s="116">
        <f>+VLOOKUP($B28,'datos9-2014'!$A$2:$BE$78,23,FALSE)</f>
        <v>40000</v>
      </c>
      <c r="O28" s="116">
        <f>+VLOOKUP($B28,'datos9-2014'!$A$2:$BE$78,24,FALSE)</f>
        <v>0</v>
      </c>
      <c r="P28" s="68">
        <f t="shared" si="2"/>
        <v>40000</v>
      </c>
      <c r="Q28" s="116">
        <f>+VLOOKUP($B28,'datos9-2014'!$A$2:$BE$78,26,FALSE)</f>
        <v>0</v>
      </c>
      <c r="R28" s="116">
        <f>+VLOOKUP($B28,'datos9-2014'!$A$2:$BE$78,27,FALSE)</f>
        <v>0</v>
      </c>
      <c r="S28" s="116">
        <f>+VLOOKUP($B28,'datos9-2014'!$A$2:$BE$78,28,FALSE)</f>
        <v>0</v>
      </c>
      <c r="T28" s="116">
        <f>+VLOOKUP($B28,'datos9-2014'!$A$2:$BE$78,29,FALSE)</f>
        <v>0</v>
      </c>
      <c r="U28" s="68">
        <f t="shared" si="3"/>
        <v>0</v>
      </c>
      <c r="V28" s="116">
        <f>+VLOOKUP($B28,'datos9-2014'!$A$2:$BE$78,31,FALSE)</f>
        <v>0</v>
      </c>
      <c r="W28" s="116">
        <f>+VLOOKUP($B28,'datos9-2014'!$A$2:$BE$78,32,FALSE)</f>
        <v>0</v>
      </c>
      <c r="X28" s="117">
        <f t="shared" si="4"/>
        <v>0</v>
      </c>
      <c r="Y28" s="118">
        <f t="shared" si="5"/>
        <v>44000</v>
      </c>
      <c r="Z28" s="116">
        <f>+VLOOKUP($B28,'datos9-2014'!$A$2:$BE$78,35,FALSE)</f>
        <v>0</v>
      </c>
      <c r="AA28" s="116">
        <f>+VLOOKUP($B28,'datos9-2014'!$A$2:$BE$78,36,FALSE)</f>
        <v>0</v>
      </c>
      <c r="AB28" s="116">
        <f>+VLOOKUP($B28,'datos9-2014'!$A$2:$BE$78,37,FALSE)</f>
        <v>0</v>
      </c>
      <c r="AC28" s="116">
        <f>+VLOOKUP($B28,'datos9-2014'!$A$2:$BE$78,38,FALSE)</f>
        <v>0</v>
      </c>
      <c r="AD28" s="116">
        <f>+VLOOKUP($B28,'datos9-2014'!$A$2:$BE$78,39,FALSE)</f>
        <v>0</v>
      </c>
      <c r="AE28" s="68">
        <f t="shared" si="6"/>
        <v>0</v>
      </c>
      <c r="AF28" s="116">
        <f>+VLOOKUP($B28,'datos9-2014'!$A$2:$BE$78,42,FALSE)</f>
        <v>0</v>
      </c>
      <c r="AG28" s="116">
        <f>+VLOOKUP($B28,'datos9-2014'!$A$2:$BE$78,44,FALSE)</f>
        <v>0</v>
      </c>
      <c r="AH28" s="116">
        <f>+VLOOKUP($B28,'datos9-2014'!$A$2:$BE$78,45,FALSE)</f>
        <v>0</v>
      </c>
      <c r="AI28" s="116">
        <f>+VLOOKUP($B28,'datos9-2014'!$A$2:$BE$78,46,FALSE)</f>
        <v>0</v>
      </c>
      <c r="AJ28" s="68">
        <f t="shared" si="7"/>
        <v>0</v>
      </c>
      <c r="AK28" s="116">
        <f>+VLOOKUP($B28,'datos9-2014'!$A$2:$BE$78,49,FALSE)</f>
        <v>0</v>
      </c>
      <c r="AL28" s="116">
        <f>+VLOOKUP($B28,'datos9-2014'!$A$2:$BE$78,50,FALSE)</f>
        <v>0</v>
      </c>
      <c r="AM28" s="116">
        <f>+VLOOKUP($B28,'datos9-2014'!$A$2:$BE$78,51,FALSE)</f>
        <v>0</v>
      </c>
      <c r="AN28" s="116">
        <f>+VLOOKUP($B28,'datos9-2014'!$A$2:$BE$78,52,FALSE)</f>
        <v>0</v>
      </c>
      <c r="AO28" s="119">
        <f t="shared" si="8"/>
        <v>0</v>
      </c>
      <c r="AP28" s="116">
        <f>+VLOOKUP($B28,'datos9-2014'!$A$2:$BE$78,55,FALSE)</f>
        <v>0</v>
      </c>
      <c r="AQ28" s="118">
        <f t="shared" si="9"/>
        <v>0</v>
      </c>
      <c r="AS28" s="120">
        <f t="shared" si="10"/>
        <v>44000</v>
      </c>
      <c r="AW28" s="116">
        <v>4036.14</v>
      </c>
    </row>
    <row r="29" spans="2:49" x14ac:dyDescent="0.2">
      <c r="B29" s="121" t="s">
        <v>81</v>
      </c>
      <c r="C29" s="115"/>
      <c r="D29" s="116">
        <f>+VLOOKUP($B29,'datos9-2014'!$A$2:$BE$78,13,FALSE)</f>
        <v>7068040</v>
      </c>
      <c r="E29" s="116">
        <f>+VLOOKUP($B29,'datos9-2014'!$A$2:$BE$78,14,FALSE)</f>
        <v>0</v>
      </c>
      <c r="F29" s="116">
        <f>+VLOOKUP($B29,'datos9-2014'!$A$2:$BE$78,15,FALSE)</f>
        <v>0</v>
      </c>
      <c r="G29" s="68">
        <f t="shared" si="0"/>
        <v>7068040</v>
      </c>
      <c r="H29" s="116">
        <f>+VLOOKUP($B29,'datos9-2014'!$A$2:$BE$78,17,FALSE)</f>
        <v>0</v>
      </c>
      <c r="I29" s="116">
        <f>+VLOOKUP($B29,'datos9-2014'!$A$2:$BE$78,18,FALSE)</f>
        <v>2100000</v>
      </c>
      <c r="J29" s="116">
        <f>+VLOOKUP($B29,'datos9-2014'!$A$2:$BE$78,19,FALSE)</f>
        <v>0</v>
      </c>
      <c r="K29" s="116">
        <f>+VLOOKUP($B29,'datos9-2014'!$A$2:$BE$78,20,FALSE)</f>
        <v>0</v>
      </c>
      <c r="L29" s="68">
        <f t="shared" si="1"/>
        <v>2100000</v>
      </c>
      <c r="M29" s="116">
        <f>+VLOOKUP($B29,'datos9-2014'!$A$2:$BE$78,22,FALSE)</f>
        <v>7920170</v>
      </c>
      <c r="N29" s="116">
        <f>+VLOOKUP($B29,'datos9-2014'!$A$2:$BE$78,23,FALSE)</f>
        <v>0</v>
      </c>
      <c r="O29" s="116">
        <f>+VLOOKUP($B29,'datos9-2014'!$A$2:$BE$78,24,FALSE)</f>
        <v>0</v>
      </c>
      <c r="P29" s="68">
        <f t="shared" si="2"/>
        <v>7920170</v>
      </c>
      <c r="Q29" s="116">
        <f>+VLOOKUP($B29,'datos9-2014'!$A$2:$BE$78,26,FALSE)</f>
        <v>0</v>
      </c>
      <c r="R29" s="116">
        <f>+VLOOKUP($B29,'datos9-2014'!$A$2:$BE$78,27,FALSE)</f>
        <v>0</v>
      </c>
      <c r="S29" s="116">
        <f>+VLOOKUP($B29,'datos9-2014'!$A$2:$BE$78,28,FALSE)</f>
        <v>0</v>
      </c>
      <c r="T29" s="116">
        <f>+VLOOKUP($B29,'datos9-2014'!$A$2:$BE$78,29,FALSE)</f>
        <v>0</v>
      </c>
      <c r="U29" s="68">
        <f t="shared" si="3"/>
        <v>0</v>
      </c>
      <c r="V29" s="116">
        <f>+VLOOKUP($B29,'datos9-2014'!$A$2:$BE$78,31,FALSE)</f>
        <v>0</v>
      </c>
      <c r="W29" s="116">
        <f>+VLOOKUP($B29,'datos9-2014'!$A$2:$BE$78,32,FALSE)</f>
        <v>0</v>
      </c>
      <c r="X29" s="117">
        <f t="shared" si="4"/>
        <v>0</v>
      </c>
      <c r="Y29" s="118">
        <f t="shared" si="5"/>
        <v>17088210</v>
      </c>
      <c r="Z29" s="116">
        <f>+VLOOKUP($B29,'datos9-2014'!$A$2:$BE$78,35,FALSE)</f>
        <v>2159563</v>
      </c>
      <c r="AA29" s="116">
        <f>+VLOOKUP($B29,'datos9-2014'!$A$2:$BE$78,36,FALSE)</f>
        <v>2995000</v>
      </c>
      <c r="AB29" s="116">
        <f>+VLOOKUP($B29,'datos9-2014'!$A$2:$BE$78,37,FALSE)</f>
        <v>0</v>
      </c>
      <c r="AC29" s="116">
        <f>+VLOOKUP($B29,'datos9-2014'!$A$2:$BE$78,38,FALSE)</f>
        <v>0</v>
      </c>
      <c r="AD29" s="116">
        <f>+VLOOKUP($B29,'datos9-2014'!$A$2:$BE$78,39,FALSE)</f>
        <v>0</v>
      </c>
      <c r="AE29" s="68">
        <f t="shared" si="6"/>
        <v>5154563</v>
      </c>
      <c r="AF29" s="116">
        <f>+VLOOKUP($B29,'datos9-2014'!$A$2:$BE$78,42,FALSE)</f>
        <v>4106718</v>
      </c>
      <c r="AG29" s="116">
        <f>+VLOOKUP($B29,'datos9-2014'!$A$2:$BE$78,44,FALSE)</f>
        <v>0</v>
      </c>
      <c r="AH29" s="116">
        <f>+VLOOKUP($B29,'datos9-2014'!$A$2:$BE$78,45,FALSE)</f>
        <v>0</v>
      </c>
      <c r="AI29" s="116">
        <f>+VLOOKUP($B29,'datos9-2014'!$A$2:$BE$78,46,FALSE)</f>
        <v>0</v>
      </c>
      <c r="AJ29" s="68">
        <f t="shared" si="7"/>
        <v>4106718</v>
      </c>
      <c r="AK29" s="116">
        <f>+VLOOKUP($B29,'datos9-2014'!$A$2:$BE$78,49,FALSE)</f>
        <v>1000000</v>
      </c>
      <c r="AL29" s="116">
        <f>+VLOOKUP($B29,'datos9-2014'!$A$2:$BE$78,50,FALSE)</f>
        <v>6869952</v>
      </c>
      <c r="AM29" s="116">
        <f>+VLOOKUP($B29,'datos9-2014'!$A$2:$BE$78,51,FALSE)</f>
        <v>365521</v>
      </c>
      <c r="AN29" s="116">
        <f>+VLOOKUP($B29,'datos9-2014'!$A$2:$BE$78,52,FALSE)</f>
        <v>0</v>
      </c>
      <c r="AO29" s="119">
        <f t="shared" si="8"/>
        <v>8235473</v>
      </c>
      <c r="AP29" s="116">
        <f>+VLOOKUP($B29,'datos9-2014'!$A$2:$BE$78,55,FALSE)</f>
        <v>0</v>
      </c>
      <c r="AQ29" s="118">
        <f t="shared" si="9"/>
        <v>17496754</v>
      </c>
      <c r="AS29" s="120">
        <f t="shared" si="10"/>
        <v>34584964</v>
      </c>
      <c r="AW29" s="116">
        <v>0</v>
      </c>
    </row>
    <row r="30" spans="2:49" x14ac:dyDescent="0.2">
      <c r="B30" s="121" t="s">
        <v>82</v>
      </c>
      <c r="C30" s="115"/>
      <c r="D30" s="116">
        <f>+VLOOKUP($B30,'datos9-2014'!$A$2:$BE$78,13,FALSE)</f>
        <v>0</v>
      </c>
      <c r="E30" s="116">
        <f>+VLOOKUP($B30,'datos9-2014'!$A$2:$BE$78,14,FALSE)</f>
        <v>0</v>
      </c>
      <c r="F30" s="116">
        <f>+VLOOKUP($B30,'datos9-2014'!$A$2:$BE$78,15,FALSE)</f>
        <v>0</v>
      </c>
      <c r="G30" s="68">
        <f t="shared" si="0"/>
        <v>0</v>
      </c>
      <c r="H30" s="116">
        <f>+VLOOKUP($B30,'datos9-2014'!$A$2:$BE$78,17,FALSE)</f>
        <v>0</v>
      </c>
      <c r="I30" s="116">
        <f>+VLOOKUP($B30,'datos9-2014'!$A$2:$BE$78,18,FALSE)</f>
        <v>0</v>
      </c>
      <c r="J30" s="116">
        <f>+VLOOKUP($B30,'datos9-2014'!$A$2:$BE$78,19,FALSE)</f>
        <v>0</v>
      </c>
      <c r="K30" s="116">
        <f>+VLOOKUP($B30,'datos9-2014'!$A$2:$BE$78,20,FALSE)</f>
        <v>0</v>
      </c>
      <c r="L30" s="68">
        <f t="shared" si="1"/>
        <v>0</v>
      </c>
      <c r="M30" s="116">
        <f>+VLOOKUP($B30,'datos9-2014'!$A$2:$BE$78,22,FALSE)</f>
        <v>126954.43</v>
      </c>
      <c r="N30" s="116">
        <f>+VLOOKUP($B30,'datos9-2014'!$A$2:$BE$78,23,FALSE)</f>
        <v>0</v>
      </c>
      <c r="O30" s="116">
        <f>+VLOOKUP($B30,'datos9-2014'!$A$2:$BE$78,24,FALSE)</f>
        <v>0</v>
      </c>
      <c r="P30" s="68">
        <f t="shared" si="2"/>
        <v>126954.43</v>
      </c>
      <c r="Q30" s="116">
        <f>+VLOOKUP($B30,'datos9-2014'!$A$2:$BE$78,26,FALSE)</f>
        <v>0</v>
      </c>
      <c r="R30" s="116">
        <f>+VLOOKUP($B30,'datos9-2014'!$A$2:$BE$78,27,FALSE)</f>
        <v>0</v>
      </c>
      <c r="S30" s="116">
        <f>+VLOOKUP($B30,'datos9-2014'!$A$2:$BE$78,28,FALSE)</f>
        <v>0</v>
      </c>
      <c r="T30" s="116">
        <f>+VLOOKUP($B30,'datos9-2014'!$A$2:$BE$78,29,FALSE)</f>
        <v>0</v>
      </c>
      <c r="U30" s="68">
        <f t="shared" si="3"/>
        <v>0</v>
      </c>
      <c r="V30" s="116">
        <f>+VLOOKUP($B30,'datos9-2014'!$A$2:$BE$78,31,FALSE)</f>
        <v>0</v>
      </c>
      <c r="W30" s="116">
        <f>+VLOOKUP($B30,'datos9-2014'!$A$2:$BE$78,32,FALSE)</f>
        <v>0</v>
      </c>
      <c r="X30" s="117">
        <f t="shared" si="4"/>
        <v>0</v>
      </c>
      <c r="Y30" s="118">
        <f t="shared" si="5"/>
        <v>126954.43</v>
      </c>
      <c r="Z30" s="116">
        <f>+VLOOKUP($B30,'datos9-2014'!$A$2:$BE$78,35,FALSE)</f>
        <v>0</v>
      </c>
      <c r="AA30" s="116">
        <f>+VLOOKUP($B30,'datos9-2014'!$A$2:$BE$78,36,FALSE)</f>
        <v>0</v>
      </c>
      <c r="AB30" s="116">
        <f>+VLOOKUP($B30,'datos9-2014'!$A$2:$BE$78,37,FALSE)</f>
        <v>0</v>
      </c>
      <c r="AC30" s="116">
        <f>+VLOOKUP($B30,'datos9-2014'!$A$2:$BE$78,38,FALSE)</f>
        <v>0</v>
      </c>
      <c r="AD30" s="116">
        <f>+VLOOKUP($B30,'datos9-2014'!$A$2:$BE$78,39,FALSE)</f>
        <v>0</v>
      </c>
      <c r="AE30" s="68">
        <f t="shared" si="6"/>
        <v>0</v>
      </c>
      <c r="AF30" s="116">
        <f>+VLOOKUP($B30,'datos9-2014'!$A$2:$BE$78,42,FALSE)</f>
        <v>0</v>
      </c>
      <c r="AG30" s="116">
        <f>+VLOOKUP($B30,'datos9-2014'!$A$2:$BE$78,44,FALSE)</f>
        <v>0</v>
      </c>
      <c r="AH30" s="116">
        <f>+VLOOKUP($B30,'datos9-2014'!$A$2:$BE$78,45,FALSE)</f>
        <v>0</v>
      </c>
      <c r="AI30" s="116">
        <f>+VLOOKUP($B30,'datos9-2014'!$A$2:$BE$78,46,FALSE)</f>
        <v>43832.51</v>
      </c>
      <c r="AJ30" s="68">
        <f t="shared" si="7"/>
        <v>43832.51</v>
      </c>
      <c r="AK30" s="116">
        <f>+VLOOKUP($B30,'datos9-2014'!$A$2:$BE$78,49,FALSE)</f>
        <v>0</v>
      </c>
      <c r="AL30" s="116">
        <f>+VLOOKUP($B30,'datos9-2014'!$A$2:$BE$78,50,FALSE)</f>
        <v>0</v>
      </c>
      <c r="AM30" s="116">
        <f>+VLOOKUP($B30,'datos9-2014'!$A$2:$BE$78,51,FALSE)</f>
        <v>0</v>
      </c>
      <c r="AN30" s="116">
        <f>+VLOOKUP($B30,'datos9-2014'!$A$2:$BE$78,52,FALSE)</f>
        <v>9907.65</v>
      </c>
      <c r="AO30" s="119">
        <f t="shared" si="8"/>
        <v>9907.65</v>
      </c>
      <c r="AP30" s="116">
        <f>+VLOOKUP($B30,'datos9-2014'!$A$2:$BE$78,55,FALSE)</f>
        <v>0</v>
      </c>
      <c r="AQ30" s="118">
        <f t="shared" si="9"/>
        <v>53740.160000000003</v>
      </c>
      <c r="AS30" s="120">
        <f t="shared" si="10"/>
        <v>180694.59</v>
      </c>
      <c r="AW30" s="116">
        <v>0</v>
      </c>
    </row>
    <row r="31" spans="2:49" x14ac:dyDescent="0.2">
      <c r="B31" s="121" t="s">
        <v>83</v>
      </c>
      <c r="C31" s="115"/>
      <c r="D31" s="116">
        <f>+VLOOKUP($B31,'datos9-2014'!$A$2:$BE$78,13,FALSE)</f>
        <v>32436.46</v>
      </c>
      <c r="E31" s="116">
        <f>+VLOOKUP($B31,'datos9-2014'!$A$2:$BE$78,14,FALSE)</f>
        <v>0</v>
      </c>
      <c r="F31" s="116">
        <f>+VLOOKUP($B31,'datos9-2014'!$A$2:$BE$78,15,FALSE)</f>
        <v>0</v>
      </c>
      <c r="G31" s="68">
        <f t="shared" si="0"/>
        <v>32436.46</v>
      </c>
      <c r="H31" s="116">
        <f>+VLOOKUP($B31,'datos9-2014'!$A$2:$BE$78,17,FALSE)</f>
        <v>2824.52</v>
      </c>
      <c r="I31" s="116">
        <f>+VLOOKUP($B31,'datos9-2014'!$A$2:$BE$78,18,FALSE)</f>
        <v>4642.3</v>
      </c>
      <c r="J31" s="116">
        <f>+VLOOKUP($B31,'datos9-2014'!$A$2:$BE$78,19,FALSE)</f>
        <v>23673.53</v>
      </c>
      <c r="K31" s="116">
        <f>+VLOOKUP($B31,'datos9-2014'!$A$2:$BE$78,20,FALSE)</f>
        <v>18350.95</v>
      </c>
      <c r="L31" s="68">
        <f t="shared" si="1"/>
        <v>49491.3</v>
      </c>
      <c r="M31" s="116">
        <f>+VLOOKUP($B31,'datos9-2014'!$A$2:$BE$78,22,FALSE)</f>
        <v>0</v>
      </c>
      <c r="N31" s="116">
        <f>+VLOOKUP($B31,'datos9-2014'!$A$2:$BE$78,23,FALSE)</f>
        <v>0</v>
      </c>
      <c r="O31" s="116">
        <f>+VLOOKUP($B31,'datos9-2014'!$A$2:$BE$78,24,FALSE)</f>
        <v>0</v>
      </c>
      <c r="P31" s="68">
        <f t="shared" si="2"/>
        <v>0</v>
      </c>
      <c r="Q31" s="116">
        <f>+VLOOKUP($B31,'datos9-2014'!$A$2:$BE$78,26,FALSE)</f>
        <v>0</v>
      </c>
      <c r="R31" s="116">
        <f>+VLOOKUP($B31,'datos9-2014'!$A$2:$BE$78,27,FALSE)</f>
        <v>0</v>
      </c>
      <c r="S31" s="116">
        <f>+VLOOKUP($B31,'datos9-2014'!$A$2:$BE$78,28,FALSE)</f>
        <v>0</v>
      </c>
      <c r="T31" s="116">
        <f>+VLOOKUP($B31,'datos9-2014'!$A$2:$BE$78,29,FALSE)</f>
        <v>0</v>
      </c>
      <c r="U31" s="68">
        <f t="shared" si="3"/>
        <v>0</v>
      </c>
      <c r="V31" s="116">
        <f>+VLOOKUP($B31,'datos9-2014'!$A$2:$BE$78,31,FALSE)</f>
        <v>0</v>
      </c>
      <c r="W31" s="116">
        <f>+VLOOKUP($B31,'datos9-2014'!$A$2:$BE$78,32,FALSE)</f>
        <v>0</v>
      </c>
      <c r="X31" s="117">
        <f t="shared" si="4"/>
        <v>0</v>
      </c>
      <c r="Y31" s="118">
        <f t="shared" si="5"/>
        <v>81927.760000000009</v>
      </c>
      <c r="Z31" s="116">
        <f>+VLOOKUP($B31,'datos9-2014'!$A$2:$BE$78,35,FALSE)</f>
        <v>0</v>
      </c>
      <c r="AA31" s="116">
        <f>+VLOOKUP($B31,'datos9-2014'!$A$2:$BE$78,36,FALSE)</f>
        <v>0</v>
      </c>
      <c r="AB31" s="116">
        <f>+VLOOKUP($B31,'datos9-2014'!$A$2:$BE$78,37,FALSE)</f>
        <v>0</v>
      </c>
      <c r="AC31" s="116">
        <f>+VLOOKUP($B31,'datos9-2014'!$A$2:$BE$78,38,FALSE)</f>
        <v>0</v>
      </c>
      <c r="AD31" s="116">
        <f>+VLOOKUP($B31,'datos9-2014'!$A$2:$BE$78,39,FALSE)</f>
        <v>0</v>
      </c>
      <c r="AE31" s="68">
        <f t="shared" si="6"/>
        <v>0</v>
      </c>
      <c r="AF31" s="116">
        <f>+VLOOKUP($B31,'datos9-2014'!$A$2:$BE$78,42,FALSE)</f>
        <v>0</v>
      </c>
      <c r="AG31" s="116">
        <f>+VLOOKUP($B31,'datos9-2014'!$A$2:$BE$78,44,FALSE)</f>
        <v>0</v>
      </c>
      <c r="AH31" s="116">
        <f>+VLOOKUP($B31,'datos9-2014'!$A$2:$BE$78,45,FALSE)</f>
        <v>0</v>
      </c>
      <c r="AI31" s="116">
        <f>+VLOOKUP($B31,'datos9-2014'!$A$2:$BE$78,46,FALSE)</f>
        <v>0</v>
      </c>
      <c r="AJ31" s="68">
        <f t="shared" si="7"/>
        <v>0</v>
      </c>
      <c r="AK31" s="116">
        <f>+VLOOKUP($B31,'datos9-2014'!$A$2:$BE$78,49,FALSE)</f>
        <v>0</v>
      </c>
      <c r="AL31" s="116">
        <f>+VLOOKUP($B31,'datos9-2014'!$A$2:$BE$78,50,FALSE)</f>
        <v>0</v>
      </c>
      <c r="AM31" s="116">
        <f>+VLOOKUP($B31,'datos9-2014'!$A$2:$BE$78,51,FALSE)</f>
        <v>0</v>
      </c>
      <c r="AN31" s="116">
        <f>+VLOOKUP($B31,'datos9-2014'!$A$2:$BE$78,52,FALSE)</f>
        <v>0</v>
      </c>
      <c r="AO31" s="119">
        <f t="shared" si="8"/>
        <v>0</v>
      </c>
      <c r="AP31" s="116">
        <f>+VLOOKUP($B31,'datos9-2014'!$A$2:$BE$78,55,FALSE)</f>
        <v>0</v>
      </c>
      <c r="AQ31" s="118">
        <f t="shared" si="9"/>
        <v>0</v>
      </c>
      <c r="AS31" s="120">
        <f t="shared" si="10"/>
        <v>81927.760000000009</v>
      </c>
      <c r="AW31" s="116">
        <v>9500</v>
      </c>
    </row>
    <row r="32" spans="2:49" x14ac:dyDescent="0.2">
      <c r="B32" s="121" t="s">
        <v>84</v>
      </c>
      <c r="C32" s="115"/>
      <c r="D32" s="116">
        <f>+VLOOKUP($B32,'datos9-2014'!$A$2:$BE$78,13,FALSE)</f>
        <v>698049</v>
      </c>
      <c r="E32" s="116">
        <f>+VLOOKUP($B32,'datos9-2014'!$A$2:$BE$78,14,FALSE)</f>
        <v>22652597</v>
      </c>
      <c r="F32" s="116">
        <f>+VLOOKUP($B32,'datos9-2014'!$A$2:$BE$78,15,FALSE)</f>
        <v>0</v>
      </c>
      <c r="G32" s="68">
        <f t="shared" si="0"/>
        <v>23350646</v>
      </c>
      <c r="H32" s="116">
        <f>+VLOOKUP($B32,'datos9-2014'!$A$2:$BE$78,17,FALSE)</f>
        <v>77293</v>
      </c>
      <c r="I32" s="116">
        <f>+VLOOKUP($B32,'datos9-2014'!$A$2:$BE$78,18,FALSE)</f>
        <v>0</v>
      </c>
      <c r="J32" s="116">
        <f>+VLOOKUP($B32,'datos9-2014'!$A$2:$BE$78,19,FALSE)</f>
        <v>0</v>
      </c>
      <c r="K32" s="116">
        <f>+VLOOKUP($B32,'datos9-2014'!$A$2:$BE$78,20,FALSE)</f>
        <v>2535262</v>
      </c>
      <c r="L32" s="68">
        <f t="shared" si="1"/>
        <v>2612555</v>
      </c>
      <c r="M32" s="116">
        <f>+VLOOKUP($B32,'datos9-2014'!$A$2:$BE$78,22,FALSE)</f>
        <v>26153</v>
      </c>
      <c r="N32" s="116">
        <f>+VLOOKUP($B32,'datos9-2014'!$A$2:$BE$78,23,FALSE)</f>
        <v>10000</v>
      </c>
      <c r="O32" s="116">
        <f>+VLOOKUP($B32,'datos9-2014'!$A$2:$BE$78,24,FALSE)</f>
        <v>682</v>
      </c>
      <c r="P32" s="68">
        <f t="shared" si="2"/>
        <v>36835</v>
      </c>
      <c r="Q32" s="116">
        <f>+VLOOKUP($B32,'datos9-2014'!$A$2:$BE$78,26,FALSE)</f>
        <v>0</v>
      </c>
      <c r="R32" s="116">
        <f>+VLOOKUP($B32,'datos9-2014'!$A$2:$BE$78,27,FALSE)</f>
        <v>9518</v>
      </c>
      <c r="S32" s="116">
        <f>+VLOOKUP($B32,'datos9-2014'!$A$2:$BE$78,28,FALSE)</f>
        <v>0</v>
      </c>
      <c r="T32" s="116">
        <f>+VLOOKUP($B32,'datos9-2014'!$A$2:$BE$78,29,FALSE)</f>
        <v>0</v>
      </c>
      <c r="U32" s="68">
        <f t="shared" si="3"/>
        <v>9518</v>
      </c>
      <c r="V32" s="116">
        <f>+VLOOKUP($B32,'datos9-2014'!$A$2:$BE$78,31,FALSE)</f>
        <v>0</v>
      </c>
      <c r="W32" s="116">
        <f>+VLOOKUP($B32,'datos9-2014'!$A$2:$BE$78,32,FALSE)</f>
        <v>7015</v>
      </c>
      <c r="X32" s="117">
        <f t="shared" si="4"/>
        <v>7015</v>
      </c>
      <c r="Y32" s="118">
        <f t="shared" si="5"/>
        <v>26016569</v>
      </c>
      <c r="Z32" s="116">
        <f>+VLOOKUP($B32,'datos9-2014'!$A$2:$BE$78,35,FALSE)</f>
        <v>0</v>
      </c>
      <c r="AA32" s="116">
        <f>+VLOOKUP($B32,'datos9-2014'!$A$2:$BE$78,36,FALSE)</f>
        <v>0</v>
      </c>
      <c r="AB32" s="116">
        <f>+VLOOKUP($B32,'datos9-2014'!$A$2:$BE$78,37,FALSE)</f>
        <v>0</v>
      </c>
      <c r="AC32" s="116">
        <f>+VLOOKUP($B32,'datos9-2014'!$A$2:$BE$78,38,FALSE)</f>
        <v>0</v>
      </c>
      <c r="AD32" s="116">
        <f>+VLOOKUP($B32,'datos9-2014'!$A$2:$BE$78,39,FALSE)</f>
        <v>0</v>
      </c>
      <c r="AE32" s="68">
        <f t="shared" si="6"/>
        <v>0</v>
      </c>
      <c r="AF32" s="116">
        <f>+VLOOKUP($B32,'datos9-2014'!$A$2:$BE$78,42,FALSE)</f>
        <v>0</v>
      </c>
      <c r="AG32" s="116">
        <f>+VLOOKUP($B32,'datos9-2014'!$A$2:$BE$78,44,FALSE)</f>
        <v>2277</v>
      </c>
      <c r="AH32" s="116">
        <f>+VLOOKUP($B32,'datos9-2014'!$A$2:$BE$78,45,FALSE)</f>
        <v>0</v>
      </c>
      <c r="AI32" s="116">
        <f>+VLOOKUP($B32,'datos9-2014'!$A$2:$BE$78,46,FALSE)</f>
        <v>0</v>
      </c>
      <c r="AJ32" s="68">
        <f t="shared" si="7"/>
        <v>2277</v>
      </c>
      <c r="AK32" s="116">
        <f>+VLOOKUP($B32,'datos9-2014'!$A$2:$BE$78,49,FALSE)</f>
        <v>0</v>
      </c>
      <c r="AL32" s="116">
        <f>+VLOOKUP($B32,'datos9-2014'!$A$2:$BE$78,50,FALSE)</f>
        <v>0</v>
      </c>
      <c r="AM32" s="116">
        <f>+VLOOKUP($B32,'datos9-2014'!$A$2:$BE$78,51,FALSE)</f>
        <v>0</v>
      </c>
      <c r="AN32" s="116">
        <f>+VLOOKUP($B32,'datos9-2014'!$A$2:$BE$78,52,FALSE)</f>
        <v>0</v>
      </c>
      <c r="AO32" s="119">
        <f t="shared" si="8"/>
        <v>0</v>
      </c>
      <c r="AP32" s="116">
        <f>+VLOOKUP($B32,'datos9-2014'!$A$2:$BE$78,55,FALSE)</f>
        <v>0</v>
      </c>
      <c r="AQ32" s="118">
        <f t="shared" si="9"/>
        <v>2277</v>
      </c>
      <c r="AS32" s="120">
        <f t="shared" si="10"/>
        <v>26018846</v>
      </c>
      <c r="AW32" s="116">
        <v>13920</v>
      </c>
    </row>
    <row r="33" spans="2:49" x14ac:dyDescent="0.2">
      <c r="B33" s="121" t="s">
        <v>85</v>
      </c>
      <c r="C33" s="115"/>
      <c r="D33" s="116">
        <f>+VLOOKUP($B33,'datos9-2014'!$A$2:$BE$78,13,FALSE)</f>
        <v>0</v>
      </c>
      <c r="E33" s="116">
        <f>+VLOOKUP($B33,'datos9-2014'!$A$2:$BE$78,14,FALSE)</f>
        <v>0</v>
      </c>
      <c r="F33" s="116">
        <f>+VLOOKUP($B33,'datos9-2014'!$A$2:$BE$78,15,FALSE)</f>
        <v>0</v>
      </c>
      <c r="G33" s="68">
        <f t="shared" si="0"/>
        <v>0</v>
      </c>
      <c r="H33" s="116">
        <f>+VLOOKUP($B33,'datos9-2014'!$A$2:$BE$78,17,FALSE)</f>
        <v>0</v>
      </c>
      <c r="I33" s="116">
        <f>+VLOOKUP($B33,'datos9-2014'!$A$2:$BE$78,18,FALSE)</f>
        <v>0</v>
      </c>
      <c r="J33" s="116">
        <f>+VLOOKUP($B33,'datos9-2014'!$A$2:$BE$78,19,FALSE)</f>
        <v>0</v>
      </c>
      <c r="K33" s="116">
        <f>+VLOOKUP($B33,'datos9-2014'!$A$2:$BE$78,20,FALSE)</f>
        <v>0</v>
      </c>
      <c r="L33" s="68">
        <f t="shared" si="1"/>
        <v>0</v>
      </c>
      <c r="M33" s="116">
        <f>+VLOOKUP($B33,'datos9-2014'!$A$2:$BE$78,22,FALSE)</f>
        <v>7457</v>
      </c>
      <c r="N33" s="116">
        <f>+VLOOKUP($B33,'datos9-2014'!$A$2:$BE$78,23,FALSE)</f>
        <v>0</v>
      </c>
      <c r="O33" s="116">
        <f>+VLOOKUP($B33,'datos9-2014'!$A$2:$BE$78,24,FALSE)</f>
        <v>0</v>
      </c>
      <c r="P33" s="68">
        <f t="shared" si="2"/>
        <v>7457</v>
      </c>
      <c r="Q33" s="116">
        <f>+VLOOKUP($B33,'datos9-2014'!$A$2:$BE$78,26,FALSE)</f>
        <v>0</v>
      </c>
      <c r="R33" s="116">
        <f>+VLOOKUP($B33,'datos9-2014'!$A$2:$BE$78,27,FALSE)</f>
        <v>0</v>
      </c>
      <c r="S33" s="116">
        <f>+VLOOKUP($B33,'datos9-2014'!$A$2:$BE$78,28,FALSE)</f>
        <v>0</v>
      </c>
      <c r="T33" s="116">
        <f>+VLOOKUP($B33,'datos9-2014'!$A$2:$BE$78,29,FALSE)</f>
        <v>0</v>
      </c>
      <c r="U33" s="68">
        <f t="shared" si="3"/>
        <v>0</v>
      </c>
      <c r="V33" s="116">
        <f>+VLOOKUP($B33,'datos9-2014'!$A$2:$BE$78,31,FALSE)</f>
        <v>0</v>
      </c>
      <c r="W33" s="116">
        <f>+VLOOKUP($B33,'datos9-2014'!$A$2:$BE$78,32,FALSE)</f>
        <v>0</v>
      </c>
      <c r="X33" s="117">
        <f t="shared" si="4"/>
        <v>0</v>
      </c>
      <c r="Y33" s="118">
        <f t="shared" si="5"/>
        <v>7457</v>
      </c>
      <c r="Z33" s="116">
        <f>+VLOOKUP($B33,'datos9-2014'!$A$2:$BE$78,35,FALSE)</f>
        <v>2500000</v>
      </c>
      <c r="AA33" s="116">
        <f>+VLOOKUP($B33,'datos9-2014'!$A$2:$BE$78,36,FALSE)</f>
        <v>0</v>
      </c>
      <c r="AB33" s="116">
        <f>+VLOOKUP($B33,'datos9-2014'!$A$2:$BE$78,37,FALSE)</f>
        <v>0</v>
      </c>
      <c r="AC33" s="116">
        <f>+VLOOKUP($B33,'datos9-2014'!$A$2:$BE$78,38,FALSE)</f>
        <v>0</v>
      </c>
      <c r="AD33" s="116">
        <f>+VLOOKUP($B33,'datos9-2014'!$A$2:$BE$78,39,FALSE)</f>
        <v>0</v>
      </c>
      <c r="AE33" s="68">
        <f t="shared" si="6"/>
        <v>2500000</v>
      </c>
      <c r="AF33" s="116">
        <f>+VLOOKUP($B33,'datos9-2014'!$A$2:$BE$78,42,FALSE)</f>
        <v>441315</v>
      </c>
      <c r="AG33" s="116">
        <f>+VLOOKUP($B33,'datos9-2014'!$A$2:$BE$78,44,FALSE)</f>
        <v>0</v>
      </c>
      <c r="AH33" s="116">
        <f>+VLOOKUP($B33,'datos9-2014'!$A$2:$BE$78,45,FALSE)</f>
        <v>0</v>
      </c>
      <c r="AI33" s="116">
        <f>+VLOOKUP($B33,'datos9-2014'!$A$2:$BE$78,46,FALSE)</f>
        <v>0</v>
      </c>
      <c r="AJ33" s="68">
        <f t="shared" si="7"/>
        <v>441315</v>
      </c>
      <c r="AK33" s="116">
        <f>+VLOOKUP($B33,'datos9-2014'!$A$2:$BE$78,49,FALSE)</f>
        <v>0</v>
      </c>
      <c r="AL33" s="116">
        <f>+VLOOKUP($B33,'datos9-2014'!$A$2:$BE$78,50,FALSE)</f>
        <v>0</v>
      </c>
      <c r="AM33" s="116">
        <f>+VLOOKUP($B33,'datos9-2014'!$A$2:$BE$78,51,FALSE)</f>
        <v>0</v>
      </c>
      <c r="AN33" s="116">
        <f>+VLOOKUP($B33,'datos9-2014'!$A$2:$BE$78,52,FALSE)</f>
        <v>0</v>
      </c>
      <c r="AO33" s="119">
        <f t="shared" si="8"/>
        <v>0</v>
      </c>
      <c r="AP33" s="116">
        <f>+VLOOKUP($B33,'datos9-2014'!$A$2:$BE$78,55,FALSE)</f>
        <v>0</v>
      </c>
      <c r="AQ33" s="118">
        <f t="shared" si="9"/>
        <v>2941315</v>
      </c>
      <c r="AS33" s="120">
        <f t="shared" si="10"/>
        <v>2948772</v>
      </c>
      <c r="AW33" s="116">
        <v>0</v>
      </c>
    </row>
    <row r="34" spans="2:49" x14ac:dyDescent="0.2">
      <c r="B34" s="121" t="s">
        <v>86</v>
      </c>
      <c r="C34" s="115"/>
      <c r="D34" s="116">
        <f>+VLOOKUP($B34,'datos9-2014'!$A$2:$BE$78,13,FALSE)</f>
        <v>42219.12</v>
      </c>
      <c r="E34" s="116">
        <f>+VLOOKUP($B34,'datos9-2014'!$A$2:$BE$78,14,FALSE)</f>
        <v>0</v>
      </c>
      <c r="F34" s="116">
        <f>+VLOOKUP($B34,'datos9-2014'!$A$2:$BE$78,15,FALSE)</f>
        <v>0</v>
      </c>
      <c r="G34" s="68">
        <f t="shared" si="0"/>
        <v>42219.12</v>
      </c>
      <c r="H34" s="116">
        <f>+VLOOKUP($B34,'datos9-2014'!$A$2:$BE$78,17,FALSE)</f>
        <v>618970.16</v>
      </c>
      <c r="I34" s="116">
        <f>+VLOOKUP($B34,'datos9-2014'!$A$2:$BE$78,18,FALSE)</f>
        <v>0</v>
      </c>
      <c r="J34" s="116">
        <f>+VLOOKUP($B34,'datos9-2014'!$A$2:$BE$78,19,FALSE)</f>
        <v>3500</v>
      </c>
      <c r="K34" s="116">
        <f>+VLOOKUP($B34,'datos9-2014'!$A$2:$BE$78,20,FALSE)</f>
        <v>0</v>
      </c>
      <c r="L34" s="68">
        <f t="shared" si="1"/>
        <v>622470.16</v>
      </c>
      <c r="M34" s="116">
        <f>+VLOOKUP($B34,'datos9-2014'!$A$2:$BE$78,22,FALSE)</f>
        <v>0</v>
      </c>
      <c r="N34" s="116">
        <f>+VLOOKUP($B34,'datos9-2014'!$A$2:$BE$78,23,FALSE)</f>
        <v>10000</v>
      </c>
      <c r="O34" s="116">
        <f>+VLOOKUP($B34,'datos9-2014'!$A$2:$BE$78,24,FALSE)</f>
        <v>0</v>
      </c>
      <c r="P34" s="68">
        <f t="shared" si="2"/>
        <v>10000</v>
      </c>
      <c r="Q34" s="116">
        <f>+VLOOKUP($B34,'datos9-2014'!$A$2:$BE$78,26,FALSE)</f>
        <v>0</v>
      </c>
      <c r="R34" s="116">
        <f>+VLOOKUP($B34,'datos9-2014'!$A$2:$BE$78,27,FALSE)</f>
        <v>0</v>
      </c>
      <c r="S34" s="116">
        <f>+VLOOKUP($B34,'datos9-2014'!$A$2:$BE$78,28,FALSE)</f>
        <v>0</v>
      </c>
      <c r="T34" s="116">
        <f>+VLOOKUP($B34,'datos9-2014'!$A$2:$BE$78,29,FALSE)</f>
        <v>0</v>
      </c>
      <c r="U34" s="68">
        <f t="shared" si="3"/>
        <v>0</v>
      </c>
      <c r="V34" s="116">
        <f>+VLOOKUP($B34,'datos9-2014'!$A$2:$BE$78,31,FALSE)</f>
        <v>32900</v>
      </c>
      <c r="W34" s="116">
        <f>+VLOOKUP($B34,'datos9-2014'!$A$2:$BE$78,32,FALSE)</f>
        <v>0</v>
      </c>
      <c r="X34" s="117">
        <f t="shared" si="4"/>
        <v>32900</v>
      </c>
      <c r="Y34" s="118">
        <f t="shared" si="5"/>
        <v>707589.28</v>
      </c>
      <c r="Z34" s="116">
        <f>+VLOOKUP($B34,'datos9-2014'!$A$2:$BE$78,35,FALSE)</f>
        <v>0</v>
      </c>
      <c r="AA34" s="116">
        <f>+VLOOKUP($B34,'datos9-2014'!$A$2:$BE$78,36,FALSE)</f>
        <v>0</v>
      </c>
      <c r="AB34" s="116">
        <f>+VLOOKUP($B34,'datos9-2014'!$A$2:$BE$78,37,FALSE)</f>
        <v>0</v>
      </c>
      <c r="AC34" s="116">
        <f>+VLOOKUP($B34,'datos9-2014'!$A$2:$BE$78,38,FALSE)</f>
        <v>0</v>
      </c>
      <c r="AD34" s="116">
        <f>+VLOOKUP($B34,'datos9-2014'!$A$2:$BE$78,39,FALSE)</f>
        <v>0</v>
      </c>
      <c r="AE34" s="68">
        <f t="shared" si="6"/>
        <v>0</v>
      </c>
      <c r="AF34" s="116">
        <f>+VLOOKUP($B34,'datos9-2014'!$A$2:$BE$78,42,FALSE)</f>
        <v>0</v>
      </c>
      <c r="AG34" s="116">
        <f>+VLOOKUP($B34,'datos9-2014'!$A$2:$BE$78,44,FALSE)</f>
        <v>18536.169999999998</v>
      </c>
      <c r="AH34" s="116">
        <f>+VLOOKUP($B34,'datos9-2014'!$A$2:$BE$78,45,FALSE)</f>
        <v>0</v>
      </c>
      <c r="AI34" s="116">
        <f>+VLOOKUP($B34,'datos9-2014'!$A$2:$BE$78,46,FALSE)</f>
        <v>0</v>
      </c>
      <c r="AJ34" s="68">
        <f t="shared" si="7"/>
        <v>18536.169999999998</v>
      </c>
      <c r="AK34" s="116">
        <f>+VLOOKUP($B34,'datos9-2014'!$A$2:$BE$78,49,FALSE)</f>
        <v>0</v>
      </c>
      <c r="AL34" s="116">
        <f>+VLOOKUP($B34,'datos9-2014'!$A$2:$BE$78,50,FALSE)</f>
        <v>0</v>
      </c>
      <c r="AM34" s="116">
        <f>+VLOOKUP($B34,'datos9-2014'!$A$2:$BE$78,51,FALSE)</f>
        <v>0</v>
      </c>
      <c r="AN34" s="116">
        <f>+VLOOKUP($B34,'datos9-2014'!$A$2:$BE$78,52,FALSE)</f>
        <v>0</v>
      </c>
      <c r="AO34" s="119">
        <f t="shared" si="8"/>
        <v>0</v>
      </c>
      <c r="AP34" s="116">
        <f>+VLOOKUP($B34,'datos9-2014'!$A$2:$BE$78,55,FALSE)</f>
        <v>0</v>
      </c>
      <c r="AQ34" s="118">
        <f t="shared" si="9"/>
        <v>18536.169999999998</v>
      </c>
      <c r="AS34" s="120">
        <f t="shared" si="10"/>
        <v>726125.45000000007</v>
      </c>
      <c r="AW34" s="116">
        <v>400617.1</v>
      </c>
    </row>
    <row r="35" spans="2:49" x14ac:dyDescent="0.2">
      <c r="B35" s="121" t="s">
        <v>87</v>
      </c>
      <c r="C35" s="115"/>
      <c r="D35" s="116">
        <f>+VLOOKUP($B35,'datos9-2014'!$A$2:$BE$78,13,FALSE)</f>
        <v>328706.06</v>
      </c>
      <c r="E35" s="116">
        <f>+VLOOKUP($B35,'datos9-2014'!$A$2:$BE$78,14,FALSE)</f>
        <v>0</v>
      </c>
      <c r="F35" s="116">
        <f>+VLOOKUP($B35,'datos9-2014'!$A$2:$BE$78,15,FALSE)</f>
        <v>0</v>
      </c>
      <c r="G35" s="68">
        <f t="shared" si="0"/>
        <v>328706.06</v>
      </c>
      <c r="H35" s="116">
        <f>+VLOOKUP($B35,'datos9-2014'!$A$2:$BE$78,17,FALSE)</f>
        <v>0</v>
      </c>
      <c r="I35" s="116">
        <f>+VLOOKUP($B35,'datos9-2014'!$A$2:$BE$78,18,FALSE)</f>
        <v>0</v>
      </c>
      <c r="J35" s="116">
        <f>+VLOOKUP($B35,'datos9-2014'!$A$2:$BE$78,19,FALSE)</f>
        <v>991688</v>
      </c>
      <c r="K35" s="116">
        <f>+VLOOKUP($B35,'datos9-2014'!$A$2:$BE$78,20,FALSE)</f>
        <v>79330.92</v>
      </c>
      <c r="L35" s="68">
        <f t="shared" si="1"/>
        <v>1071018.92</v>
      </c>
      <c r="M35" s="116">
        <f>+VLOOKUP($B35,'datos9-2014'!$A$2:$BE$78,22,FALSE)</f>
        <v>0</v>
      </c>
      <c r="N35" s="116">
        <f>+VLOOKUP($B35,'datos9-2014'!$A$2:$BE$78,23,FALSE)</f>
        <v>212324</v>
      </c>
      <c r="O35" s="116">
        <f>+VLOOKUP($B35,'datos9-2014'!$A$2:$BE$78,24,FALSE)</f>
        <v>0</v>
      </c>
      <c r="P35" s="68">
        <f t="shared" si="2"/>
        <v>212324</v>
      </c>
      <c r="Q35" s="116">
        <f>+VLOOKUP($B35,'datos9-2014'!$A$2:$BE$78,26,FALSE)</f>
        <v>1914517.86</v>
      </c>
      <c r="R35" s="116">
        <f>+VLOOKUP($B35,'datos9-2014'!$A$2:$BE$78,27,FALSE)</f>
        <v>26266.9</v>
      </c>
      <c r="S35" s="116">
        <f>+VLOOKUP($B35,'datos9-2014'!$A$2:$BE$78,28,FALSE)</f>
        <v>0</v>
      </c>
      <c r="T35" s="116">
        <f>+VLOOKUP($B35,'datos9-2014'!$A$2:$BE$78,29,FALSE)</f>
        <v>0</v>
      </c>
      <c r="U35" s="68">
        <f t="shared" si="3"/>
        <v>1940784.76</v>
      </c>
      <c r="V35" s="116">
        <f>+VLOOKUP($B35,'datos9-2014'!$A$2:$BE$78,31,FALSE)</f>
        <v>0</v>
      </c>
      <c r="W35" s="116">
        <f>+VLOOKUP($B35,'datos9-2014'!$A$2:$BE$78,32,FALSE)</f>
        <v>0</v>
      </c>
      <c r="X35" s="117">
        <f t="shared" si="4"/>
        <v>0</v>
      </c>
      <c r="Y35" s="118">
        <f t="shared" si="5"/>
        <v>3552833.7399999998</v>
      </c>
      <c r="Z35" s="116">
        <f>+VLOOKUP($B35,'datos9-2014'!$A$2:$BE$78,35,FALSE)</f>
        <v>2500000</v>
      </c>
      <c r="AA35" s="116">
        <f>+VLOOKUP($B35,'datos9-2014'!$A$2:$BE$78,36,FALSE)</f>
        <v>230000</v>
      </c>
      <c r="AB35" s="116">
        <f>+VLOOKUP($B35,'datos9-2014'!$A$2:$BE$78,37,FALSE)</f>
        <v>0</v>
      </c>
      <c r="AC35" s="116">
        <f>+VLOOKUP($B35,'datos9-2014'!$A$2:$BE$78,38,FALSE)</f>
        <v>0</v>
      </c>
      <c r="AD35" s="116">
        <f>+VLOOKUP($B35,'datos9-2014'!$A$2:$BE$78,39,FALSE)</f>
        <v>0</v>
      </c>
      <c r="AE35" s="68">
        <f t="shared" si="6"/>
        <v>2730000</v>
      </c>
      <c r="AF35" s="116">
        <f>+VLOOKUP($B35,'datos9-2014'!$A$2:$BE$78,42,FALSE)</f>
        <v>2464926.13</v>
      </c>
      <c r="AG35" s="116">
        <f>+VLOOKUP($B35,'datos9-2014'!$A$2:$BE$78,44,FALSE)</f>
        <v>547556.59</v>
      </c>
      <c r="AH35" s="116">
        <f>+VLOOKUP($B35,'datos9-2014'!$A$2:$BE$78,45,FALSE)</f>
        <v>0</v>
      </c>
      <c r="AI35" s="116">
        <f>+VLOOKUP($B35,'datos9-2014'!$A$2:$BE$78,46,FALSE)</f>
        <v>0</v>
      </c>
      <c r="AJ35" s="68">
        <f t="shared" si="7"/>
        <v>3012482.7199999997</v>
      </c>
      <c r="AK35" s="116">
        <f>+VLOOKUP($B35,'datos9-2014'!$A$2:$BE$78,49,FALSE)</f>
        <v>0</v>
      </c>
      <c r="AL35" s="116">
        <f>+VLOOKUP($B35,'datos9-2014'!$A$2:$BE$78,50,FALSE)</f>
        <v>0</v>
      </c>
      <c r="AM35" s="116">
        <f>+VLOOKUP($B35,'datos9-2014'!$A$2:$BE$78,51,FALSE)</f>
        <v>0</v>
      </c>
      <c r="AN35" s="116">
        <f>+VLOOKUP($B35,'datos9-2014'!$A$2:$BE$78,52,FALSE)</f>
        <v>91732.4</v>
      </c>
      <c r="AO35" s="119">
        <f t="shared" si="8"/>
        <v>91732.4</v>
      </c>
      <c r="AP35" s="116">
        <f>+VLOOKUP($B35,'datos9-2014'!$A$2:$BE$78,55,FALSE)</f>
        <v>0</v>
      </c>
      <c r="AQ35" s="118">
        <f t="shared" si="9"/>
        <v>5834215.1199999992</v>
      </c>
      <c r="AS35" s="120">
        <f t="shared" si="10"/>
        <v>9387048.8599999994</v>
      </c>
      <c r="AW35" s="116">
        <v>0</v>
      </c>
    </row>
    <row r="36" spans="2:49" x14ac:dyDescent="0.2">
      <c r="B36" s="121" t="s">
        <v>88</v>
      </c>
      <c r="C36" s="115"/>
      <c r="D36" s="116">
        <f>+VLOOKUP($B36,'datos9-2014'!$A$2:$BE$78,13,FALSE)</f>
        <v>0</v>
      </c>
      <c r="E36" s="116">
        <f>+VLOOKUP($B36,'datos9-2014'!$A$2:$BE$78,14,FALSE)</f>
        <v>0</v>
      </c>
      <c r="F36" s="116">
        <f>+VLOOKUP($B36,'datos9-2014'!$A$2:$BE$78,15,FALSE)</f>
        <v>0</v>
      </c>
      <c r="G36" s="68">
        <f t="shared" si="0"/>
        <v>0</v>
      </c>
      <c r="H36" s="116">
        <f>+VLOOKUP($B36,'datos9-2014'!$A$2:$BE$78,17,FALSE)</f>
        <v>0</v>
      </c>
      <c r="I36" s="116">
        <f>+VLOOKUP($B36,'datos9-2014'!$A$2:$BE$78,18,FALSE)</f>
        <v>57175</v>
      </c>
      <c r="J36" s="116">
        <f>+VLOOKUP($B36,'datos9-2014'!$A$2:$BE$78,19,FALSE)</f>
        <v>0</v>
      </c>
      <c r="K36" s="116">
        <f>+VLOOKUP($B36,'datos9-2014'!$A$2:$BE$78,20,FALSE)</f>
        <v>0</v>
      </c>
      <c r="L36" s="68">
        <f t="shared" si="1"/>
        <v>57175</v>
      </c>
      <c r="M36" s="116">
        <f>+VLOOKUP($B36,'datos9-2014'!$A$2:$BE$78,22,FALSE)</f>
        <v>6000</v>
      </c>
      <c r="N36" s="116">
        <f>+VLOOKUP($B36,'datos9-2014'!$A$2:$BE$78,23,FALSE)</f>
        <v>0</v>
      </c>
      <c r="O36" s="116">
        <f>+VLOOKUP($B36,'datos9-2014'!$A$2:$BE$78,24,FALSE)</f>
        <v>0</v>
      </c>
      <c r="P36" s="68">
        <f t="shared" si="2"/>
        <v>6000</v>
      </c>
      <c r="Q36" s="116">
        <f>+VLOOKUP($B36,'datos9-2014'!$A$2:$BE$78,26,FALSE)</f>
        <v>0</v>
      </c>
      <c r="R36" s="116">
        <f>+VLOOKUP($B36,'datos9-2014'!$A$2:$BE$78,27,FALSE)</f>
        <v>0</v>
      </c>
      <c r="S36" s="116">
        <f>+VLOOKUP($B36,'datos9-2014'!$A$2:$BE$78,28,FALSE)</f>
        <v>0</v>
      </c>
      <c r="T36" s="116">
        <f>+VLOOKUP($B36,'datos9-2014'!$A$2:$BE$78,29,FALSE)</f>
        <v>0</v>
      </c>
      <c r="U36" s="68">
        <f t="shared" si="3"/>
        <v>0</v>
      </c>
      <c r="V36" s="116">
        <f>+VLOOKUP($B36,'datos9-2014'!$A$2:$BE$78,31,FALSE)</f>
        <v>0</v>
      </c>
      <c r="W36" s="116">
        <f>+VLOOKUP($B36,'datos9-2014'!$A$2:$BE$78,32,FALSE)</f>
        <v>0</v>
      </c>
      <c r="X36" s="117">
        <f t="shared" si="4"/>
        <v>0</v>
      </c>
      <c r="Y36" s="118">
        <f t="shared" si="5"/>
        <v>63175</v>
      </c>
      <c r="Z36" s="116">
        <f>+VLOOKUP($B36,'datos9-2014'!$A$2:$BE$78,35,FALSE)</f>
        <v>0</v>
      </c>
      <c r="AA36" s="116">
        <f>+VLOOKUP($B36,'datos9-2014'!$A$2:$BE$78,36,FALSE)</f>
        <v>0</v>
      </c>
      <c r="AB36" s="116">
        <f>+VLOOKUP($B36,'datos9-2014'!$A$2:$BE$78,37,FALSE)</f>
        <v>0</v>
      </c>
      <c r="AC36" s="116">
        <f>+VLOOKUP($B36,'datos9-2014'!$A$2:$BE$78,38,FALSE)</f>
        <v>0</v>
      </c>
      <c r="AD36" s="116">
        <f>+VLOOKUP($B36,'datos9-2014'!$A$2:$BE$78,39,FALSE)</f>
        <v>0</v>
      </c>
      <c r="AE36" s="68">
        <f t="shared" si="6"/>
        <v>0</v>
      </c>
      <c r="AF36" s="116">
        <f>+VLOOKUP($B36,'datos9-2014'!$A$2:$BE$78,42,FALSE)</f>
        <v>0</v>
      </c>
      <c r="AG36" s="116">
        <f>+VLOOKUP($B36,'datos9-2014'!$A$2:$BE$78,44,FALSE)</f>
        <v>2000</v>
      </c>
      <c r="AH36" s="116">
        <f>+VLOOKUP($B36,'datos9-2014'!$A$2:$BE$78,45,FALSE)</f>
        <v>0</v>
      </c>
      <c r="AI36" s="116">
        <f>+VLOOKUP($B36,'datos9-2014'!$A$2:$BE$78,46,FALSE)</f>
        <v>0</v>
      </c>
      <c r="AJ36" s="68">
        <f t="shared" si="7"/>
        <v>2000</v>
      </c>
      <c r="AK36" s="116">
        <f>+VLOOKUP($B36,'datos9-2014'!$A$2:$BE$78,49,FALSE)</f>
        <v>0</v>
      </c>
      <c r="AL36" s="116">
        <f>+VLOOKUP($B36,'datos9-2014'!$A$2:$BE$78,50,FALSE)</f>
        <v>0</v>
      </c>
      <c r="AM36" s="116">
        <f>+VLOOKUP($B36,'datos9-2014'!$A$2:$BE$78,51,FALSE)</f>
        <v>0</v>
      </c>
      <c r="AN36" s="116">
        <f>+VLOOKUP($B36,'datos9-2014'!$A$2:$BE$78,52,FALSE)</f>
        <v>0</v>
      </c>
      <c r="AO36" s="119">
        <f t="shared" si="8"/>
        <v>0</v>
      </c>
      <c r="AP36" s="116">
        <f>+VLOOKUP($B36,'datos9-2014'!$A$2:$BE$78,55,FALSE)</f>
        <v>0</v>
      </c>
      <c r="AQ36" s="118">
        <f t="shared" si="9"/>
        <v>2000</v>
      </c>
      <c r="AS36" s="120">
        <f t="shared" si="10"/>
        <v>65175</v>
      </c>
      <c r="AW36" s="116">
        <v>0</v>
      </c>
    </row>
    <row r="37" spans="2:49" x14ac:dyDescent="0.2">
      <c r="B37" s="121" t="s">
        <v>89</v>
      </c>
      <c r="C37" s="115"/>
      <c r="D37" s="116">
        <f>+VLOOKUP($B37,'datos9-2014'!$A$2:$BE$78,13,FALSE)</f>
        <v>116638.99</v>
      </c>
      <c r="E37" s="116">
        <f>+VLOOKUP($B37,'datos9-2014'!$A$2:$BE$78,14,FALSE)</f>
        <v>0</v>
      </c>
      <c r="F37" s="116">
        <f>+VLOOKUP($B37,'datos9-2014'!$A$2:$BE$78,15,FALSE)</f>
        <v>0</v>
      </c>
      <c r="G37" s="68">
        <f t="shared" si="0"/>
        <v>116638.99</v>
      </c>
      <c r="H37" s="116">
        <f>+VLOOKUP($B37,'datos9-2014'!$A$2:$BE$78,17,FALSE)</f>
        <v>107767.36</v>
      </c>
      <c r="I37" s="116">
        <f>+VLOOKUP($B37,'datos9-2014'!$A$2:$BE$78,18,FALSE)</f>
        <v>0</v>
      </c>
      <c r="J37" s="116">
        <f>+VLOOKUP($B37,'datos9-2014'!$A$2:$BE$78,19,FALSE)</f>
        <v>289212.15999999997</v>
      </c>
      <c r="K37" s="116">
        <f>+VLOOKUP($B37,'datos9-2014'!$A$2:$BE$78,20,FALSE)</f>
        <v>0</v>
      </c>
      <c r="L37" s="68">
        <f t="shared" si="1"/>
        <v>396979.51999999996</v>
      </c>
      <c r="M37" s="116">
        <f>+VLOOKUP($B37,'datos9-2014'!$A$2:$BE$78,22,FALSE)</f>
        <v>0</v>
      </c>
      <c r="N37" s="116">
        <f>+VLOOKUP($B37,'datos9-2014'!$A$2:$BE$78,23,FALSE)</f>
        <v>0</v>
      </c>
      <c r="O37" s="116">
        <f>+VLOOKUP($B37,'datos9-2014'!$A$2:$BE$78,24,FALSE)</f>
        <v>0</v>
      </c>
      <c r="P37" s="68">
        <f t="shared" si="2"/>
        <v>0</v>
      </c>
      <c r="Q37" s="116">
        <f>+VLOOKUP($B37,'datos9-2014'!$A$2:$BE$78,26,FALSE)</f>
        <v>0</v>
      </c>
      <c r="R37" s="116">
        <f>+VLOOKUP($B37,'datos9-2014'!$A$2:$BE$78,27,FALSE)</f>
        <v>0</v>
      </c>
      <c r="S37" s="116">
        <f>+VLOOKUP($B37,'datos9-2014'!$A$2:$BE$78,28,FALSE)</f>
        <v>0</v>
      </c>
      <c r="T37" s="116">
        <f>+VLOOKUP($B37,'datos9-2014'!$A$2:$BE$78,29,FALSE)</f>
        <v>0</v>
      </c>
      <c r="U37" s="68">
        <f t="shared" si="3"/>
        <v>0</v>
      </c>
      <c r="V37" s="116">
        <f>+VLOOKUP($B37,'datos9-2014'!$A$2:$BE$78,31,FALSE)</f>
        <v>0</v>
      </c>
      <c r="W37" s="116">
        <f>+VLOOKUP($B37,'datos9-2014'!$A$2:$BE$78,32,FALSE)</f>
        <v>0</v>
      </c>
      <c r="X37" s="117">
        <f t="shared" si="4"/>
        <v>0</v>
      </c>
      <c r="Y37" s="118">
        <f t="shared" si="5"/>
        <v>513618.50999999995</v>
      </c>
      <c r="Z37" s="116">
        <f>+VLOOKUP($B37,'datos9-2014'!$A$2:$BE$78,35,FALSE)</f>
        <v>0</v>
      </c>
      <c r="AA37" s="116">
        <f>+VLOOKUP($B37,'datos9-2014'!$A$2:$BE$78,36,FALSE)</f>
        <v>0</v>
      </c>
      <c r="AB37" s="116">
        <f>+VLOOKUP($B37,'datos9-2014'!$A$2:$BE$78,37,FALSE)</f>
        <v>0</v>
      </c>
      <c r="AC37" s="116">
        <f>+VLOOKUP($B37,'datos9-2014'!$A$2:$BE$78,38,FALSE)</f>
        <v>0</v>
      </c>
      <c r="AD37" s="116">
        <f>+VLOOKUP($B37,'datos9-2014'!$A$2:$BE$78,39,FALSE)</f>
        <v>0</v>
      </c>
      <c r="AE37" s="68">
        <f t="shared" si="6"/>
        <v>0</v>
      </c>
      <c r="AF37" s="116">
        <f>+VLOOKUP($B37,'datos9-2014'!$A$2:$BE$78,42,FALSE)</f>
        <v>373423.97</v>
      </c>
      <c r="AG37" s="116">
        <f>+VLOOKUP($B37,'datos9-2014'!$A$2:$BE$78,44,FALSE)</f>
        <v>682166.56</v>
      </c>
      <c r="AH37" s="116">
        <f>+VLOOKUP($B37,'datos9-2014'!$A$2:$BE$78,45,FALSE)</f>
        <v>0</v>
      </c>
      <c r="AI37" s="116">
        <f>+VLOOKUP($B37,'datos9-2014'!$A$2:$BE$78,46,FALSE)</f>
        <v>0</v>
      </c>
      <c r="AJ37" s="68">
        <f t="shared" si="7"/>
        <v>1055590.53</v>
      </c>
      <c r="AK37" s="116">
        <f>+VLOOKUP($B37,'datos9-2014'!$A$2:$BE$78,49,FALSE)</f>
        <v>0</v>
      </c>
      <c r="AL37" s="116">
        <f>+VLOOKUP($B37,'datos9-2014'!$A$2:$BE$78,50,FALSE)</f>
        <v>0</v>
      </c>
      <c r="AM37" s="116">
        <f>+VLOOKUP($B37,'datos9-2014'!$A$2:$BE$78,51,FALSE)</f>
        <v>0</v>
      </c>
      <c r="AN37" s="116">
        <f>+VLOOKUP($B37,'datos9-2014'!$A$2:$BE$78,52,FALSE)</f>
        <v>0</v>
      </c>
      <c r="AO37" s="119">
        <f t="shared" si="8"/>
        <v>0</v>
      </c>
      <c r="AP37" s="116">
        <f>+VLOOKUP($B37,'datos9-2014'!$A$2:$BE$78,55,FALSE)</f>
        <v>0</v>
      </c>
      <c r="AQ37" s="118">
        <f t="shared" si="9"/>
        <v>1055590.53</v>
      </c>
      <c r="AS37" s="120">
        <f t="shared" si="10"/>
        <v>1569209.04</v>
      </c>
      <c r="AW37" s="116">
        <v>0</v>
      </c>
    </row>
    <row r="38" spans="2:49" x14ac:dyDescent="0.2">
      <c r="B38" s="121" t="s">
        <v>90</v>
      </c>
      <c r="C38" s="115"/>
      <c r="D38" s="116">
        <f>+VLOOKUP($B38,'datos9-2014'!$A$2:$BE$78,13,FALSE)</f>
        <v>157964.07999999999</v>
      </c>
      <c r="E38" s="116">
        <f>+VLOOKUP($B38,'datos9-2014'!$A$2:$BE$78,14,FALSE)</f>
        <v>0</v>
      </c>
      <c r="F38" s="116">
        <f>+VLOOKUP($B38,'datos9-2014'!$A$2:$BE$78,15,FALSE)</f>
        <v>10712.8</v>
      </c>
      <c r="G38" s="68">
        <f t="shared" si="0"/>
        <v>168676.87999999998</v>
      </c>
      <c r="H38" s="116">
        <f>+VLOOKUP($B38,'datos9-2014'!$A$2:$BE$78,17,FALSE)</f>
        <v>7240</v>
      </c>
      <c r="I38" s="116">
        <f>+VLOOKUP($B38,'datos9-2014'!$A$2:$BE$78,18,FALSE)</f>
        <v>0</v>
      </c>
      <c r="J38" s="116">
        <f>+VLOOKUP($B38,'datos9-2014'!$A$2:$BE$78,19,FALSE)</f>
        <v>344742.66</v>
      </c>
      <c r="K38" s="116">
        <f>+VLOOKUP($B38,'datos9-2014'!$A$2:$BE$78,20,FALSE)</f>
        <v>0</v>
      </c>
      <c r="L38" s="68">
        <f t="shared" si="1"/>
        <v>351982.66</v>
      </c>
      <c r="M38" s="116">
        <f>+VLOOKUP($B38,'datos9-2014'!$A$2:$BE$78,22,FALSE)</f>
        <v>28785.35</v>
      </c>
      <c r="N38" s="116">
        <f>+VLOOKUP($B38,'datos9-2014'!$A$2:$BE$78,23,FALSE)</f>
        <v>0</v>
      </c>
      <c r="O38" s="116">
        <f>+VLOOKUP($B38,'datos9-2014'!$A$2:$BE$78,24,FALSE)</f>
        <v>0</v>
      </c>
      <c r="P38" s="68">
        <f t="shared" si="2"/>
        <v>28785.35</v>
      </c>
      <c r="Q38" s="116">
        <f>+VLOOKUP($B38,'datos9-2014'!$A$2:$BE$78,26,FALSE)</f>
        <v>0</v>
      </c>
      <c r="R38" s="116">
        <f>+VLOOKUP($B38,'datos9-2014'!$A$2:$BE$78,27,FALSE)</f>
        <v>0</v>
      </c>
      <c r="S38" s="116">
        <f>+VLOOKUP($B38,'datos9-2014'!$A$2:$BE$78,28,FALSE)</f>
        <v>0</v>
      </c>
      <c r="T38" s="116">
        <f>+VLOOKUP($B38,'datos9-2014'!$A$2:$BE$78,29,FALSE)</f>
        <v>0</v>
      </c>
      <c r="U38" s="68">
        <f t="shared" si="3"/>
        <v>0</v>
      </c>
      <c r="V38" s="116">
        <f>+VLOOKUP($B38,'datos9-2014'!$A$2:$BE$78,31,FALSE)</f>
        <v>0</v>
      </c>
      <c r="W38" s="116">
        <f>+VLOOKUP($B38,'datos9-2014'!$A$2:$BE$78,32,FALSE)</f>
        <v>0</v>
      </c>
      <c r="X38" s="117">
        <f t="shared" si="4"/>
        <v>0</v>
      </c>
      <c r="Y38" s="118">
        <f t="shared" si="5"/>
        <v>549444.8899999999</v>
      </c>
      <c r="Z38" s="116">
        <f>+VLOOKUP($B38,'datos9-2014'!$A$2:$BE$78,35,FALSE)</f>
        <v>0</v>
      </c>
      <c r="AA38" s="116">
        <f>+VLOOKUP($B38,'datos9-2014'!$A$2:$BE$78,36,FALSE)</f>
        <v>0</v>
      </c>
      <c r="AB38" s="116">
        <f>+VLOOKUP($B38,'datos9-2014'!$A$2:$BE$78,37,FALSE)</f>
        <v>0</v>
      </c>
      <c r="AC38" s="116">
        <f>+VLOOKUP($B38,'datos9-2014'!$A$2:$BE$78,38,FALSE)</f>
        <v>0</v>
      </c>
      <c r="AD38" s="116">
        <f>+VLOOKUP($B38,'datos9-2014'!$A$2:$BE$78,39,FALSE)</f>
        <v>0</v>
      </c>
      <c r="AE38" s="68">
        <f t="shared" si="6"/>
        <v>0</v>
      </c>
      <c r="AF38" s="116">
        <f>+VLOOKUP($B38,'datos9-2014'!$A$2:$BE$78,42,FALSE)</f>
        <v>100000</v>
      </c>
      <c r="AG38" s="116">
        <f>+VLOOKUP($B38,'datos9-2014'!$A$2:$BE$78,44,FALSE)</f>
        <v>8884.2199999999993</v>
      </c>
      <c r="AH38" s="116">
        <f>+VLOOKUP($B38,'datos9-2014'!$A$2:$BE$78,45,FALSE)</f>
        <v>0</v>
      </c>
      <c r="AI38" s="116">
        <f>+VLOOKUP($B38,'datos9-2014'!$A$2:$BE$78,46,FALSE)</f>
        <v>0</v>
      </c>
      <c r="AJ38" s="68">
        <f t="shared" si="7"/>
        <v>108884.22</v>
      </c>
      <c r="AK38" s="116">
        <f>+VLOOKUP($B38,'datos9-2014'!$A$2:$BE$78,49,FALSE)</f>
        <v>0</v>
      </c>
      <c r="AL38" s="116">
        <f>+VLOOKUP($B38,'datos9-2014'!$A$2:$BE$78,50,FALSE)</f>
        <v>0</v>
      </c>
      <c r="AM38" s="116">
        <f>+VLOOKUP($B38,'datos9-2014'!$A$2:$BE$78,51,FALSE)</f>
        <v>0</v>
      </c>
      <c r="AN38" s="116">
        <f>+VLOOKUP($B38,'datos9-2014'!$A$2:$BE$78,52,FALSE)</f>
        <v>0</v>
      </c>
      <c r="AO38" s="119">
        <f t="shared" si="8"/>
        <v>0</v>
      </c>
      <c r="AP38" s="116">
        <f>+VLOOKUP($B38,'datos9-2014'!$A$2:$BE$78,55,FALSE)</f>
        <v>0</v>
      </c>
      <c r="AQ38" s="118">
        <f t="shared" si="9"/>
        <v>108884.22</v>
      </c>
      <c r="AS38" s="120">
        <f t="shared" si="10"/>
        <v>658329.10999999987</v>
      </c>
      <c r="AW38" s="116">
        <v>35000</v>
      </c>
    </row>
    <row r="39" spans="2:49" x14ac:dyDescent="0.2">
      <c r="B39" s="121" t="s">
        <v>91</v>
      </c>
      <c r="C39" s="115"/>
      <c r="D39" s="116">
        <f>+VLOOKUP($B39,'datos9-2014'!$A$2:$BE$78,13,FALSE)</f>
        <v>0</v>
      </c>
      <c r="E39" s="116">
        <f>+VLOOKUP($B39,'datos9-2014'!$A$2:$BE$78,14,FALSE)</f>
        <v>0</v>
      </c>
      <c r="F39" s="116">
        <f>+VLOOKUP($B39,'datos9-2014'!$A$2:$BE$78,15,FALSE)</f>
        <v>0</v>
      </c>
      <c r="G39" s="68">
        <f t="shared" ref="G39:G70" si="11">SUM(D39:F39)</f>
        <v>0</v>
      </c>
      <c r="H39" s="116">
        <f>+VLOOKUP($B39,'datos9-2014'!$A$2:$BE$78,17,FALSE)</f>
        <v>214533.22</v>
      </c>
      <c r="I39" s="116">
        <f>+VLOOKUP($B39,'datos9-2014'!$A$2:$BE$78,18,FALSE)</f>
        <v>0</v>
      </c>
      <c r="J39" s="116">
        <f>+VLOOKUP($B39,'datos9-2014'!$A$2:$BE$78,19,FALSE)</f>
        <v>0</v>
      </c>
      <c r="K39" s="116">
        <f>+VLOOKUP($B39,'datos9-2014'!$A$2:$BE$78,20,FALSE)</f>
        <v>0</v>
      </c>
      <c r="L39" s="68">
        <f t="shared" ref="L39:L70" si="12">SUM(H39:K39)</f>
        <v>214533.22</v>
      </c>
      <c r="M39" s="116">
        <f>+VLOOKUP($B39,'datos9-2014'!$A$2:$BE$78,22,FALSE)</f>
        <v>0</v>
      </c>
      <c r="N39" s="116">
        <f>+VLOOKUP($B39,'datos9-2014'!$A$2:$BE$78,23,FALSE)</f>
        <v>0</v>
      </c>
      <c r="O39" s="116">
        <f>+VLOOKUP($B39,'datos9-2014'!$A$2:$BE$78,24,FALSE)</f>
        <v>0</v>
      </c>
      <c r="P39" s="68">
        <f t="shared" ref="P39:P70" si="13">SUM(M39:O39)</f>
        <v>0</v>
      </c>
      <c r="Q39" s="116">
        <f>+VLOOKUP($B39,'datos9-2014'!$A$2:$BE$78,26,FALSE)</f>
        <v>0</v>
      </c>
      <c r="R39" s="116">
        <f>+VLOOKUP($B39,'datos9-2014'!$A$2:$BE$78,27,FALSE)</f>
        <v>0</v>
      </c>
      <c r="S39" s="116">
        <f>+VLOOKUP($B39,'datos9-2014'!$A$2:$BE$78,28,FALSE)</f>
        <v>0</v>
      </c>
      <c r="T39" s="116">
        <f>+VLOOKUP($B39,'datos9-2014'!$A$2:$BE$78,29,FALSE)</f>
        <v>0</v>
      </c>
      <c r="U39" s="68">
        <f t="shared" ref="U39:U70" si="14">SUM(Q39:T39)</f>
        <v>0</v>
      </c>
      <c r="V39" s="116">
        <f>+VLOOKUP($B39,'datos9-2014'!$A$2:$BE$78,31,FALSE)</f>
        <v>0</v>
      </c>
      <c r="W39" s="116">
        <f>+VLOOKUP($B39,'datos9-2014'!$A$2:$BE$78,32,FALSE)</f>
        <v>0</v>
      </c>
      <c r="X39" s="117">
        <f t="shared" ref="X39:X70" si="15">SUM(V39:W39)</f>
        <v>0</v>
      </c>
      <c r="Y39" s="118">
        <f t="shared" ref="Y39:Y70" si="16">+U39+P39+L39+G39+X39</f>
        <v>214533.22</v>
      </c>
      <c r="Z39" s="116">
        <f>+VLOOKUP($B39,'datos9-2014'!$A$2:$BE$78,35,FALSE)</f>
        <v>0</v>
      </c>
      <c r="AA39" s="116">
        <f>+VLOOKUP($B39,'datos9-2014'!$A$2:$BE$78,36,FALSE)</f>
        <v>0</v>
      </c>
      <c r="AB39" s="116">
        <f>+VLOOKUP($B39,'datos9-2014'!$A$2:$BE$78,37,FALSE)</f>
        <v>0</v>
      </c>
      <c r="AC39" s="116">
        <f>+VLOOKUP($B39,'datos9-2014'!$A$2:$BE$78,38,FALSE)</f>
        <v>0</v>
      </c>
      <c r="AD39" s="116">
        <f>+VLOOKUP($B39,'datos9-2014'!$A$2:$BE$78,39,FALSE)</f>
        <v>0</v>
      </c>
      <c r="AE39" s="68">
        <f t="shared" ref="AE39:AE70" si="17">SUM(Z39:AD39)</f>
        <v>0</v>
      </c>
      <c r="AF39" s="116">
        <f>+VLOOKUP($B39,'datos9-2014'!$A$2:$BE$78,42,FALSE)</f>
        <v>0</v>
      </c>
      <c r="AG39" s="116">
        <f>+VLOOKUP($B39,'datos9-2014'!$A$2:$BE$78,44,FALSE)</f>
        <v>0</v>
      </c>
      <c r="AH39" s="116">
        <f>+VLOOKUP($B39,'datos9-2014'!$A$2:$BE$78,45,FALSE)</f>
        <v>0</v>
      </c>
      <c r="AI39" s="116">
        <f>+VLOOKUP($B39,'datos9-2014'!$A$2:$BE$78,46,FALSE)</f>
        <v>0</v>
      </c>
      <c r="AJ39" s="68">
        <f t="shared" ref="AJ39:AJ70" si="18">SUM(AF39:AI39)</f>
        <v>0</v>
      </c>
      <c r="AK39" s="116">
        <f>+VLOOKUP($B39,'datos9-2014'!$A$2:$BE$78,49,FALSE)</f>
        <v>9766.9599999999991</v>
      </c>
      <c r="AL39" s="116">
        <f>+VLOOKUP($B39,'datos9-2014'!$A$2:$BE$78,50,FALSE)</f>
        <v>0</v>
      </c>
      <c r="AM39" s="116">
        <f>+VLOOKUP($B39,'datos9-2014'!$A$2:$BE$78,51,FALSE)</f>
        <v>0</v>
      </c>
      <c r="AN39" s="116">
        <f>+VLOOKUP($B39,'datos9-2014'!$A$2:$BE$78,52,FALSE)</f>
        <v>0</v>
      </c>
      <c r="AO39" s="119">
        <f t="shared" ref="AO39:AO70" si="19">SUM(AK39:AN39)</f>
        <v>9766.9599999999991</v>
      </c>
      <c r="AP39" s="116">
        <f>+VLOOKUP($B39,'datos9-2014'!$A$2:$BE$78,55,FALSE)</f>
        <v>0</v>
      </c>
      <c r="AQ39" s="118">
        <f t="shared" ref="AQ39:AQ70" si="20">AO39+AJ39+AE39+AP39</f>
        <v>9766.9599999999991</v>
      </c>
      <c r="AS39" s="120">
        <f t="shared" ref="AS39:AS70" si="21">+Y39+AQ39</f>
        <v>224300.18</v>
      </c>
      <c r="AW39" s="116">
        <v>17035.09</v>
      </c>
    </row>
    <row r="40" spans="2:49" x14ac:dyDescent="0.2">
      <c r="B40" s="121" t="s">
        <v>92</v>
      </c>
      <c r="C40" s="115"/>
      <c r="D40" s="116">
        <f>+VLOOKUP($B40,'datos9-2014'!$A$2:$BE$78,13,FALSE)</f>
        <v>39065.589999999997</v>
      </c>
      <c r="E40" s="116">
        <f>+VLOOKUP($B40,'datos9-2014'!$A$2:$BE$78,14,FALSE)</f>
        <v>0</v>
      </c>
      <c r="F40" s="116">
        <f>+VLOOKUP($B40,'datos9-2014'!$A$2:$BE$78,15,FALSE)</f>
        <v>0</v>
      </c>
      <c r="G40" s="68">
        <f t="shared" si="11"/>
        <v>39065.589999999997</v>
      </c>
      <c r="H40" s="116">
        <f>+VLOOKUP($B40,'datos9-2014'!$A$2:$BE$78,17,FALSE)</f>
        <v>33912.26</v>
      </c>
      <c r="I40" s="116">
        <f>+VLOOKUP($B40,'datos9-2014'!$A$2:$BE$78,18,FALSE)</f>
        <v>0</v>
      </c>
      <c r="J40" s="116">
        <f>+VLOOKUP($B40,'datos9-2014'!$A$2:$BE$78,19,FALSE)</f>
        <v>0</v>
      </c>
      <c r="K40" s="116">
        <f>+VLOOKUP($B40,'datos9-2014'!$A$2:$BE$78,20,FALSE)</f>
        <v>0</v>
      </c>
      <c r="L40" s="68">
        <f t="shared" si="12"/>
        <v>33912.26</v>
      </c>
      <c r="M40" s="116">
        <f>+VLOOKUP($B40,'datos9-2014'!$A$2:$BE$78,22,FALSE)</f>
        <v>5600</v>
      </c>
      <c r="N40" s="116">
        <f>+VLOOKUP($B40,'datos9-2014'!$A$2:$BE$78,23,FALSE)</f>
        <v>0</v>
      </c>
      <c r="O40" s="116">
        <f>+VLOOKUP($B40,'datos9-2014'!$A$2:$BE$78,24,FALSE)</f>
        <v>0</v>
      </c>
      <c r="P40" s="68">
        <f t="shared" si="13"/>
        <v>5600</v>
      </c>
      <c r="Q40" s="116">
        <f>+VLOOKUP($B40,'datos9-2014'!$A$2:$BE$78,26,FALSE)</f>
        <v>709279.59</v>
      </c>
      <c r="R40" s="116">
        <f>+VLOOKUP($B40,'datos9-2014'!$A$2:$BE$78,27,FALSE)</f>
        <v>0</v>
      </c>
      <c r="S40" s="116">
        <f>+VLOOKUP($B40,'datos9-2014'!$A$2:$BE$78,28,FALSE)</f>
        <v>0</v>
      </c>
      <c r="T40" s="116">
        <f>+VLOOKUP($B40,'datos9-2014'!$A$2:$BE$78,29,FALSE)</f>
        <v>0</v>
      </c>
      <c r="U40" s="68">
        <f t="shared" si="14"/>
        <v>709279.59</v>
      </c>
      <c r="V40" s="116">
        <f>+VLOOKUP($B40,'datos9-2014'!$A$2:$BE$78,31,FALSE)</f>
        <v>1240</v>
      </c>
      <c r="W40" s="116">
        <f>+VLOOKUP($B40,'datos9-2014'!$A$2:$BE$78,32,FALSE)</f>
        <v>0</v>
      </c>
      <c r="X40" s="117">
        <f t="shared" si="15"/>
        <v>1240</v>
      </c>
      <c r="Y40" s="118">
        <f t="shared" si="16"/>
        <v>789097.44</v>
      </c>
      <c r="Z40" s="116">
        <f>+VLOOKUP($B40,'datos9-2014'!$A$2:$BE$78,35,FALSE)</f>
        <v>0</v>
      </c>
      <c r="AA40" s="116">
        <f>+VLOOKUP($B40,'datos9-2014'!$A$2:$BE$78,36,FALSE)</f>
        <v>0</v>
      </c>
      <c r="AB40" s="116">
        <f>+VLOOKUP($B40,'datos9-2014'!$A$2:$BE$78,37,FALSE)</f>
        <v>0</v>
      </c>
      <c r="AC40" s="116">
        <f>+VLOOKUP($B40,'datos9-2014'!$A$2:$BE$78,38,FALSE)</f>
        <v>0</v>
      </c>
      <c r="AD40" s="116">
        <f>+VLOOKUP($B40,'datos9-2014'!$A$2:$BE$78,39,FALSE)</f>
        <v>0</v>
      </c>
      <c r="AE40" s="68">
        <f t="shared" si="17"/>
        <v>0</v>
      </c>
      <c r="AF40" s="116">
        <f>+VLOOKUP($B40,'datos9-2014'!$A$2:$BE$78,42,FALSE)</f>
        <v>400698.86</v>
      </c>
      <c r="AG40" s="116">
        <f>+VLOOKUP($B40,'datos9-2014'!$A$2:$BE$78,44,FALSE)</f>
        <v>161925.65</v>
      </c>
      <c r="AH40" s="116">
        <f>+VLOOKUP($B40,'datos9-2014'!$A$2:$BE$78,45,FALSE)</f>
        <v>0</v>
      </c>
      <c r="AI40" s="116">
        <f>+VLOOKUP($B40,'datos9-2014'!$A$2:$BE$78,46,FALSE)</f>
        <v>0</v>
      </c>
      <c r="AJ40" s="68">
        <f t="shared" si="18"/>
        <v>562624.51</v>
      </c>
      <c r="AK40" s="116">
        <f>+VLOOKUP($B40,'datos9-2014'!$A$2:$BE$78,49,FALSE)</f>
        <v>0</v>
      </c>
      <c r="AL40" s="116">
        <f>+VLOOKUP($B40,'datos9-2014'!$A$2:$BE$78,50,FALSE)</f>
        <v>0</v>
      </c>
      <c r="AM40" s="116">
        <f>+VLOOKUP($B40,'datos9-2014'!$A$2:$BE$78,51,FALSE)</f>
        <v>0</v>
      </c>
      <c r="AN40" s="116">
        <f>+VLOOKUP($B40,'datos9-2014'!$A$2:$BE$78,52,FALSE)</f>
        <v>0</v>
      </c>
      <c r="AO40" s="119">
        <f t="shared" si="19"/>
        <v>0</v>
      </c>
      <c r="AP40" s="116">
        <f>+VLOOKUP($B40,'datos9-2014'!$A$2:$BE$78,55,FALSE)</f>
        <v>0</v>
      </c>
      <c r="AQ40" s="118">
        <f t="shared" si="20"/>
        <v>562624.51</v>
      </c>
      <c r="AS40" s="120">
        <f t="shared" si="21"/>
        <v>1351721.95</v>
      </c>
      <c r="AW40" s="116">
        <v>0</v>
      </c>
    </row>
    <row r="41" spans="2:49" x14ac:dyDescent="0.2">
      <c r="B41" s="121" t="s">
        <v>93</v>
      </c>
      <c r="C41" s="115"/>
      <c r="D41" s="116">
        <f>+VLOOKUP($B41,'datos9-2014'!$A$2:$BE$78,13,FALSE)</f>
        <v>0</v>
      </c>
      <c r="E41" s="116">
        <f>+VLOOKUP($B41,'datos9-2014'!$A$2:$BE$78,14,FALSE)</f>
        <v>0</v>
      </c>
      <c r="F41" s="116">
        <f>+VLOOKUP($B41,'datos9-2014'!$A$2:$BE$78,15,FALSE)</f>
        <v>0</v>
      </c>
      <c r="G41" s="68">
        <f t="shared" si="11"/>
        <v>0</v>
      </c>
      <c r="H41" s="116">
        <f>+VLOOKUP($B41,'datos9-2014'!$A$2:$BE$78,17,FALSE)</f>
        <v>3500</v>
      </c>
      <c r="I41" s="116">
        <f>+VLOOKUP($B41,'datos9-2014'!$A$2:$BE$78,18,FALSE)</f>
        <v>0</v>
      </c>
      <c r="J41" s="116">
        <f>+VLOOKUP($B41,'datos9-2014'!$A$2:$BE$78,19,FALSE)</f>
        <v>0</v>
      </c>
      <c r="K41" s="116">
        <f>+VLOOKUP($B41,'datos9-2014'!$A$2:$BE$78,20,FALSE)</f>
        <v>11095</v>
      </c>
      <c r="L41" s="68">
        <f t="shared" si="12"/>
        <v>14595</v>
      </c>
      <c r="M41" s="116">
        <f>+VLOOKUP($B41,'datos9-2014'!$A$2:$BE$78,22,FALSE)</f>
        <v>6516</v>
      </c>
      <c r="N41" s="116">
        <f>+VLOOKUP($B41,'datos9-2014'!$A$2:$BE$78,23,FALSE)</f>
        <v>0</v>
      </c>
      <c r="O41" s="116">
        <f>+VLOOKUP($B41,'datos9-2014'!$A$2:$BE$78,24,FALSE)</f>
        <v>0</v>
      </c>
      <c r="P41" s="68">
        <f t="shared" si="13"/>
        <v>6516</v>
      </c>
      <c r="Q41" s="116">
        <f>+VLOOKUP($B41,'datos9-2014'!$A$2:$BE$78,26,FALSE)</f>
        <v>0</v>
      </c>
      <c r="R41" s="116">
        <f>+VLOOKUP($B41,'datos9-2014'!$A$2:$BE$78,27,FALSE)</f>
        <v>0</v>
      </c>
      <c r="S41" s="116">
        <f>+VLOOKUP($B41,'datos9-2014'!$A$2:$BE$78,28,FALSE)</f>
        <v>4151</v>
      </c>
      <c r="T41" s="116">
        <f>+VLOOKUP($B41,'datos9-2014'!$A$2:$BE$78,29,FALSE)</f>
        <v>0</v>
      </c>
      <c r="U41" s="68">
        <f t="shared" si="14"/>
        <v>4151</v>
      </c>
      <c r="V41" s="116">
        <f>+VLOOKUP($B41,'datos9-2014'!$A$2:$BE$78,31,FALSE)</f>
        <v>243859</v>
      </c>
      <c r="W41" s="116">
        <f>+VLOOKUP($B41,'datos9-2014'!$A$2:$BE$78,32,FALSE)</f>
        <v>0</v>
      </c>
      <c r="X41" s="117">
        <f t="shared" si="15"/>
        <v>243859</v>
      </c>
      <c r="Y41" s="118">
        <f t="shared" si="16"/>
        <v>269121</v>
      </c>
      <c r="Z41" s="116">
        <f>+VLOOKUP($B41,'datos9-2014'!$A$2:$BE$78,35,FALSE)</f>
        <v>2500000</v>
      </c>
      <c r="AA41" s="116">
        <f>+VLOOKUP($B41,'datos9-2014'!$A$2:$BE$78,36,FALSE)</f>
        <v>610792</v>
      </c>
      <c r="AB41" s="116">
        <f>+VLOOKUP($B41,'datos9-2014'!$A$2:$BE$78,37,FALSE)</f>
        <v>0</v>
      </c>
      <c r="AC41" s="116">
        <f>+VLOOKUP($B41,'datos9-2014'!$A$2:$BE$78,38,FALSE)</f>
        <v>0</v>
      </c>
      <c r="AD41" s="116">
        <f>+VLOOKUP($B41,'datos9-2014'!$A$2:$BE$78,39,FALSE)</f>
        <v>0</v>
      </c>
      <c r="AE41" s="68">
        <f t="shared" si="17"/>
        <v>3110792</v>
      </c>
      <c r="AF41" s="116">
        <f>+VLOOKUP($B41,'datos9-2014'!$A$2:$BE$78,42,FALSE)</f>
        <v>261539</v>
      </c>
      <c r="AG41" s="116">
        <f>+VLOOKUP($B41,'datos9-2014'!$A$2:$BE$78,44,FALSE)</f>
        <v>31890</v>
      </c>
      <c r="AH41" s="116">
        <f>+VLOOKUP($B41,'datos9-2014'!$A$2:$BE$78,45,FALSE)</f>
        <v>0</v>
      </c>
      <c r="AI41" s="116">
        <f>+VLOOKUP($B41,'datos9-2014'!$A$2:$BE$78,46,FALSE)</f>
        <v>0</v>
      </c>
      <c r="AJ41" s="68">
        <f t="shared" si="18"/>
        <v>293429</v>
      </c>
      <c r="AK41" s="116">
        <f>+VLOOKUP($B41,'datos9-2014'!$A$2:$BE$78,49,FALSE)</f>
        <v>348594</v>
      </c>
      <c r="AL41" s="116">
        <f>+VLOOKUP($B41,'datos9-2014'!$A$2:$BE$78,50,FALSE)</f>
        <v>0</v>
      </c>
      <c r="AM41" s="116">
        <f>+VLOOKUP($B41,'datos9-2014'!$A$2:$BE$78,51,FALSE)</f>
        <v>0</v>
      </c>
      <c r="AN41" s="116">
        <f>+VLOOKUP($B41,'datos9-2014'!$A$2:$BE$78,52,FALSE)</f>
        <v>0</v>
      </c>
      <c r="AO41" s="119">
        <f t="shared" si="19"/>
        <v>348594</v>
      </c>
      <c r="AP41" s="116">
        <f>+VLOOKUP($B41,'datos9-2014'!$A$2:$BE$78,55,FALSE)</f>
        <v>0</v>
      </c>
      <c r="AQ41" s="118">
        <f t="shared" si="20"/>
        <v>3752815</v>
      </c>
      <c r="AS41" s="120">
        <f t="shared" si="21"/>
        <v>4021936</v>
      </c>
      <c r="AW41" s="116">
        <v>0</v>
      </c>
    </row>
    <row r="42" spans="2:49" x14ac:dyDescent="0.2">
      <c r="B42" s="121" t="s">
        <v>94</v>
      </c>
      <c r="C42" s="115"/>
      <c r="D42" s="116">
        <f>+VLOOKUP($B42,'datos9-2014'!$A$2:$BE$78,13,FALSE)</f>
        <v>0</v>
      </c>
      <c r="E42" s="116">
        <f>+VLOOKUP($B42,'datos9-2014'!$A$2:$BE$78,14,FALSE)</f>
        <v>0</v>
      </c>
      <c r="F42" s="116">
        <f>+VLOOKUP($B42,'datos9-2014'!$A$2:$BE$78,15,FALSE)</f>
        <v>0</v>
      </c>
      <c r="G42" s="68">
        <f t="shared" si="11"/>
        <v>0</v>
      </c>
      <c r="H42" s="116">
        <f>+VLOOKUP($B42,'datos9-2014'!$A$2:$BE$78,17,FALSE)</f>
        <v>0</v>
      </c>
      <c r="I42" s="116">
        <f>+VLOOKUP($B42,'datos9-2014'!$A$2:$BE$78,18,FALSE)</f>
        <v>0</v>
      </c>
      <c r="J42" s="116">
        <f>+VLOOKUP($B42,'datos9-2014'!$A$2:$BE$78,19,FALSE)</f>
        <v>21015.279999999999</v>
      </c>
      <c r="K42" s="116">
        <f>+VLOOKUP($B42,'datos9-2014'!$A$2:$BE$78,20,FALSE)</f>
        <v>24651.25</v>
      </c>
      <c r="L42" s="68">
        <f t="shared" si="12"/>
        <v>45666.53</v>
      </c>
      <c r="M42" s="116">
        <f>+VLOOKUP($B42,'datos9-2014'!$A$2:$BE$78,22,FALSE)</f>
        <v>5000</v>
      </c>
      <c r="N42" s="116">
        <f>+VLOOKUP($B42,'datos9-2014'!$A$2:$BE$78,23,FALSE)</f>
        <v>0</v>
      </c>
      <c r="O42" s="116">
        <f>+VLOOKUP($B42,'datos9-2014'!$A$2:$BE$78,24,FALSE)</f>
        <v>0</v>
      </c>
      <c r="P42" s="68">
        <f t="shared" si="13"/>
        <v>5000</v>
      </c>
      <c r="Q42" s="116">
        <f>+VLOOKUP($B42,'datos9-2014'!$A$2:$BE$78,26,FALSE)</f>
        <v>0</v>
      </c>
      <c r="R42" s="116">
        <f>+VLOOKUP($B42,'datos9-2014'!$A$2:$BE$78,27,FALSE)</f>
        <v>0</v>
      </c>
      <c r="S42" s="116">
        <f>+VLOOKUP($B42,'datos9-2014'!$A$2:$BE$78,28,FALSE)</f>
        <v>0</v>
      </c>
      <c r="T42" s="116">
        <f>+VLOOKUP($B42,'datos9-2014'!$A$2:$BE$78,29,FALSE)</f>
        <v>0</v>
      </c>
      <c r="U42" s="68">
        <f t="shared" si="14"/>
        <v>0</v>
      </c>
      <c r="V42" s="116">
        <f>+VLOOKUP($B42,'datos9-2014'!$A$2:$BE$78,31,FALSE)</f>
        <v>0</v>
      </c>
      <c r="W42" s="116">
        <f>+VLOOKUP($B42,'datos9-2014'!$A$2:$BE$78,32,FALSE)</f>
        <v>0</v>
      </c>
      <c r="X42" s="117">
        <f t="shared" si="15"/>
        <v>0</v>
      </c>
      <c r="Y42" s="118">
        <f t="shared" si="16"/>
        <v>50666.53</v>
      </c>
      <c r="Z42" s="116">
        <f>+VLOOKUP($B42,'datos9-2014'!$A$2:$BE$78,35,FALSE)</f>
        <v>5785000</v>
      </c>
      <c r="AA42" s="116">
        <f>+VLOOKUP($B42,'datos9-2014'!$A$2:$BE$78,36,FALSE)</f>
        <v>0</v>
      </c>
      <c r="AB42" s="116">
        <f>+VLOOKUP($B42,'datos9-2014'!$A$2:$BE$78,37,FALSE)</f>
        <v>0</v>
      </c>
      <c r="AC42" s="116">
        <f>+VLOOKUP($B42,'datos9-2014'!$A$2:$BE$78,38,FALSE)</f>
        <v>0</v>
      </c>
      <c r="AD42" s="116">
        <f>+VLOOKUP($B42,'datos9-2014'!$A$2:$BE$78,39,FALSE)</f>
        <v>0</v>
      </c>
      <c r="AE42" s="68">
        <f t="shared" si="17"/>
        <v>5785000</v>
      </c>
      <c r="AF42" s="116">
        <f>+VLOOKUP($B42,'datos9-2014'!$A$2:$BE$78,42,FALSE)</f>
        <v>0</v>
      </c>
      <c r="AG42" s="116">
        <f>+VLOOKUP($B42,'datos9-2014'!$A$2:$BE$78,44,FALSE)</f>
        <v>0</v>
      </c>
      <c r="AH42" s="116">
        <f>+VLOOKUP($B42,'datos9-2014'!$A$2:$BE$78,45,FALSE)</f>
        <v>0</v>
      </c>
      <c r="AI42" s="116">
        <f>+VLOOKUP($B42,'datos9-2014'!$A$2:$BE$78,46,FALSE)</f>
        <v>0</v>
      </c>
      <c r="AJ42" s="68">
        <f t="shared" si="18"/>
        <v>0</v>
      </c>
      <c r="AK42" s="116">
        <f>+VLOOKUP($B42,'datos9-2014'!$A$2:$BE$78,49,FALSE)</f>
        <v>0</v>
      </c>
      <c r="AL42" s="116">
        <f>+VLOOKUP($B42,'datos9-2014'!$A$2:$BE$78,50,FALSE)</f>
        <v>0</v>
      </c>
      <c r="AM42" s="116">
        <f>+VLOOKUP($B42,'datos9-2014'!$A$2:$BE$78,51,FALSE)</f>
        <v>0</v>
      </c>
      <c r="AN42" s="116">
        <f>+VLOOKUP($B42,'datos9-2014'!$A$2:$BE$78,52,FALSE)</f>
        <v>0</v>
      </c>
      <c r="AO42" s="119">
        <f t="shared" si="19"/>
        <v>0</v>
      </c>
      <c r="AP42" s="116">
        <f>+VLOOKUP($B42,'datos9-2014'!$A$2:$BE$78,55,FALSE)</f>
        <v>0</v>
      </c>
      <c r="AQ42" s="118">
        <f t="shared" si="20"/>
        <v>5785000</v>
      </c>
      <c r="AS42" s="120">
        <f t="shared" si="21"/>
        <v>5835666.5300000003</v>
      </c>
      <c r="AW42" s="116">
        <v>0</v>
      </c>
    </row>
    <row r="43" spans="2:49" x14ac:dyDescent="0.2">
      <c r="B43" s="121" t="s">
        <v>95</v>
      </c>
      <c r="C43" s="115"/>
      <c r="D43" s="116">
        <f>+VLOOKUP($B43,'datos9-2014'!$A$2:$BE$78,13,FALSE)</f>
        <v>0</v>
      </c>
      <c r="E43" s="116">
        <f>+VLOOKUP($B43,'datos9-2014'!$A$2:$BE$78,14,FALSE)</f>
        <v>0</v>
      </c>
      <c r="F43" s="116">
        <f>+VLOOKUP($B43,'datos9-2014'!$A$2:$BE$78,15,FALSE)</f>
        <v>0</v>
      </c>
      <c r="G43" s="68">
        <f t="shared" si="11"/>
        <v>0</v>
      </c>
      <c r="H43" s="116">
        <f>+VLOOKUP($B43,'datos9-2014'!$A$2:$BE$78,17,FALSE)</f>
        <v>160299.57999999999</v>
      </c>
      <c r="I43" s="116">
        <f>+VLOOKUP($B43,'datos9-2014'!$A$2:$BE$78,18,FALSE)</f>
        <v>0</v>
      </c>
      <c r="J43" s="116">
        <f>+VLOOKUP($B43,'datos9-2014'!$A$2:$BE$78,19,FALSE)</f>
        <v>0</v>
      </c>
      <c r="K43" s="116">
        <f>+VLOOKUP($B43,'datos9-2014'!$A$2:$BE$78,20,FALSE)</f>
        <v>47399.87</v>
      </c>
      <c r="L43" s="68">
        <f t="shared" si="12"/>
        <v>207699.44999999998</v>
      </c>
      <c r="M43" s="116">
        <f>+VLOOKUP($B43,'datos9-2014'!$A$2:$BE$78,22,FALSE)</f>
        <v>223994.4</v>
      </c>
      <c r="N43" s="116">
        <f>+VLOOKUP($B43,'datos9-2014'!$A$2:$BE$78,23,FALSE)</f>
        <v>0</v>
      </c>
      <c r="O43" s="116">
        <f>+VLOOKUP($B43,'datos9-2014'!$A$2:$BE$78,24,FALSE)</f>
        <v>0</v>
      </c>
      <c r="P43" s="68">
        <f t="shared" si="13"/>
        <v>223994.4</v>
      </c>
      <c r="Q43" s="116">
        <f>+VLOOKUP($B43,'datos9-2014'!$A$2:$BE$78,26,FALSE)</f>
        <v>0</v>
      </c>
      <c r="R43" s="116">
        <f>+VLOOKUP($B43,'datos9-2014'!$A$2:$BE$78,27,FALSE)</f>
        <v>0</v>
      </c>
      <c r="S43" s="116">
        <f>+VLOOKUP($B43,'datos9-2014'!$A$2:$BE$78,28,FALSE)</f>
        <v>0</v>
      </c>
      <c r="T43" s="116">
        <f>+VLOOKUP($B43,'datos9-2014'!$A$2:$BE$78,29,FALSE)</f>
        <v>0</v>
      </c>
      <c r="U43" s="68">
        <f t="shared" si="14"/>
        <v>0</v>
      </c>
      <c r="V43" s="116">
        <f>+VLOOKUP($B43,'datos9-2014'!$A$2:$BE$78,31,FALSE)</f>
        <v>0</v>
      </c>
      <c r="W43" s="116">
        <f>+VLOOKUP($B43,'datos9-2014'!$A$2:$BE$78,32,FALSE)</f>
        <v>0</v>
      </c>
      <c r="X43" s="117">
        <f t="shared" si="15"/>
        <v>0</v>
      </c>
      <c r="Y43" s="118">
        <f t="shared" si="16"/>
        <v>431693.85</v>
      </c>
      <c r="Z43" s="116">
        <f>+VLOOKUP($B43,'datos9-2014'!$A$2:$BE$78,35,FALSE)</f>
        <v>1215535</v>
      </c>
      <c r="AA43" s="116">
        <f>+VLOOKUP($B43,'datos9-2014'!$A$2:$BE$78,36,FALSE)</f>
        <v>0</v>
      </c>
      <c r="AB43" s="116">
        <f>+VLOOKUP($B43,'datos9-2014'!$A$2:$BE$78,37,FALSE)</f>
        <v>0</v>
      </c>
      <c r="AC43" s="116">
        <f>+VLOOKUP($B43,'datos9-2014'!$A$2:$BE$78,38,FALSE)</f>
        <v>0</v>
      </c>
      <c r="AD43" s="116">
        <f>+VLOOKUP($B43,'datos9-2014'!$A$2:$BE$78,39,FALSE)</f>
        <v>0</v>
      </c>
      <c r="AE43" s="68">
        <f t="shared" si="17"/>
        <v>1215535</v>
      </c>
      <c r="AF43" s="116">
        <f>+VLOOKUP($B43,'datos9-2014'!$A$2:$BE$78,42,FALSE)</f>
        <v>0</v>
      </c>
      <c r="AG43" s="116">
        <f>+VLOOKUP($B43,'datos9-2014'!$A$2:$BE$78,44,FALSE)</f>
        <v>0</v>
      </c>
      <c r="AH43" s="116">
        <f>+VLOOKUP($B43,'datos9-2014'!$A$2:$BE$78,45,FALSE)</f>
        <v>0</v>
      </c>
      <c r="AI43" s="116">
        <f>+VLOOKUP($B43,'datos9-2014'!$A$2:$BE$78,46,FALSE)</f>
        <v>0</v>
      </c>
      <c r="AJ43" s="68">
        <f t="shared" si="18"/>
        <v>0</v>
      </c>
      <c r="AK43" s="116">
        <f>+VLOOKUP($B43,'datos9-2014'!$A$2:$BE$78,49,FALSE)</f>
        <v>0</v>
      </c>
      <c r="AL43" s="116">
        <f>+VLOOKUP($B43,'datos9-2014'!$A$2:$BE$78,50,FALSE)</f>
        <v>0</v>
      </c>
      <c r="AM43" s="116">
        <f>+VLOOKUP($B43,'datos9-2014'!$A$2:$BE$78,51,FALSE)</f>
        <v>0</v>
      </c>
      <c r="AN43" s="116">
        <f>+VLOOKUP($B43,'datos9-2014'!$A$2:$BE$78,52,FALSE)</f>
        <v>0</v>
      </c>
      <c r="AO43" s="119">
        <f t="shared" si="19"/>
        <v>0</v>
      </c>
      <c r="AP43" s="116">
        <f>+VLOOKUP($B43,'datos9-2014'!$A$2:$BE$78,55,FALSE)</f>
        <v>0</v>
      </c>
      <c r="AQ43" s="118">
        <f t="shared" si="20"/>
        <v>1215535</v>
      </c>
      <c r="AS43" s="120">
        <f t="shared" si="21"/>
        <v>1647228.85</v>
      </c>
      <c r="AW43" s="116">
        <v>0</v>
      </c>
    </row>
    <row r="44" spans="2:49" x14ac:dyDescent="0.2">
      <c r="B44" s="121" t="s">
        <v>96</v>
      </c>
      <c r="C44" s="115"/>
      <c r="D44" s="116">
        <f>+VLOOKUP($B44,'datos9-2014'!$A$2:$BE$78,13,FALSE)</f>
        <v>9777662</v>
      </c>
      <c r="E44" s="116">
        <f>+VLOOKUP($B44,'datos9-2014'!$A$2:$BE$78,14,FALSE)</f>
        <v>0</v>
      </c>
      <c r="F44" s="116">
        <f>+VLOOKUP($B44,'datos9-2014'!$A$2:$BE$78,15,FALSE)</f>
        <v>0</v>
      </c>
      <c r="G44" s="68">
        <f t="shared" si="11"/>
        <v>9777662</v>
      </c>
      <c r="H44" s="116">
        <f>+VLOOKUP($B44,'datos9-2014'!$A$2:$BE$78,17,FALSE)</f>
        <v>0</v>
      </c>
      <c r="I44" s="116">
        <f>+VLOOKUP($B44,'datos9-2014'!$A$2:$BE$78,18,FALSE)</f>
        <v>53372</v>
      </c>
      <c r="J44" s="116">
        <f>+VLOOKUP($B44,'datos9-2014'!$A$2:$BE$78,19,FALSE)</f>
        <v>0</v>
      </c>
      <c r="K44" s="116">
        <f>+VLOOKUP($B44,'datos9-2014'!$A$2:$BE$78,20,FALSE)</f>
        <v>0</v>
      </c>
      <c r="L44" s="68">
        <f t="shared" si="12"/>
        <v>53372</v>
      </c>
      <c r="M44" s="116">
        <f>+VLOOKUP($B44,'datos9-2014'!$A$2:$BE$78,22,FALSE)</f>
        <v>0</v>
      </c>
      <c r="N44" s="116">
        <f>+VLOOKUP($B44,'datos9-2014'!$A$2:$BE$78,23,FALSE)</f>
        <v>0</v>
      </c>
      <c r="O44" s="116">
        <f>+VLOOKUP($B44,'datos9-2014'!$A$2:$BE$78,24,FALSE)</f>
        <v>0</v>
      </c>
      <c r="P44" s="68">
        <f t="shared" si="13"/>
        <v>0</v>
      </c>
      <c r="Q44" s="116">
        <f>+VLOOKUP($B44,'datos9-2014'!$A$2:$BE$78,26,FALSE)</f>
        <v>0</v>
      </c>
      <c r="R44" s="116">
        <f>+VLOOKUP($B44,'datos9-2014'!$A$2:$BE$78,27,FALSE)</f>
        <v>0</v>
      </c>
      <c r="S44" s="116">
        <f>+VLOOKUP($B44,'datos9-2014'!$A$2:$BE$78,28,FALSE)</f>
        <v>0</v>
      </c>
      <c r="T44" s="116">
        <f>+VLOOKUP($B44,'datos9-2014'!$A$2:$BE$78,29,FALSE)</f>
        <v>144816</v>
      </c>
      <c r="U44" s="68">
        <f t="shared" si="14"/>
        <v>144816</v>
      </c>
      <c r="V44" s="116">
        <f>+VLOOKUP($B44,'datos9-2014'!$A$2:$BE$78,31,FALSE)</f>
        <v>0</v>
      </c>
      <c r="W44" s="116">
        <f>+VLOOKUP($B44,'datos9-2014'!$A$2:$BE$78,32,FALSE)</f>
        <v>0</v>
      </c>
      <c r="X44" s="117">
        <f t="shared" si="15"/>
        <v>0</v>
      </c>
      <c r="Y44" s="118">
        <f t="shared" si="16"/>
        <v>9975850</v>
      </c>
      <c r="Z44" s="116">
        <f>+VLOOKUP($B44,'datos9-2014'!$A$2:$BE$78,35,FALSE)</f>
        <v>2103715</v>
      </c>
      <c r="AA44" s="116">
        <f>+VLOOKUP($B44,'datos9-2014'!$A$2:$BE$78,36,FALSE)</f>
        <v>0</v>
      </c>
      <c r="AB44" s="116">
        <f>+VLOOKUP($B44,'datos9-2014'!$A$2:$BE$78,37,FALSE)</f>
        <v>0</v>
      </c>
      <c r="AC44" s="116">
        <f>+VLOOKUP($B44,'datos9-2014'!$A$2:$BE$78,38,FALSE)</f>
        <v>0</v>
      </c>
      <c r="AD44" s="116">
        <f>+VLOOKUP($B44,'datos9-2014'!$A$2:$BE$78,39,FALSE)</f>
        <v>0</v>
      </c>
      <c r="AE44" s="68">
        <f t="shared" si="17"/>
        <v>2103715</v>
      </c>
      <c r="AF44" s="116">
        <f>+VLOOKUP($B44,'datos9-2014'!$A$2:$BE$78,42,FALSE)</f>
        <v>0</v>
      </c>
      <c r="AG44" s="116">
        <f>+VLOOKUP($B44,'datos9-2014'!$A$2:$BE$78,44,FALSE)</f>
        <v>2014326</v>
      </c>
      <c r="AH44" s="116">
        <f>+VLOOKUP($B44,'datos9-2014'!$A$2:$BE$78,45,FALSE)</f>
        <v>0</v>
      </c>
      <c r="AI44" s="116">
        <f>+VLOOKUP($B44,'datos9-2014'!$A$2:$BE$78,46,FALSE)</f>
        <v>0</v>
      </c>
      <c r="AJ44" s="68">
        <f t="shared" si="18"/>
        <v>2014326</v>
      </c>
      <c r="AK44" s="116">
        <f>+VLOOKUP($B44,'datos9-2014'!$A$2:$BE$78,49,FALSE)</f>
        <v>0</v>
      </c>
      <c r="AL44" s="116">
        <f>+VLOOKUP($B44,'datos9-2014'!$A$2:$BE$78,50,FALSE)</f>
        <v>334854</v>
      </c>
      <c r="AM44" s="116">
        <f>+VLOOKUP($B44,'datos9-2014'!$A$2:$BE$78,51,FALSE)</f>
        <v>0</v>
      </c>
      <c r="AN44" s="116">
        <f>+VLOOKUP($B44,'datos9-2014'!$A$2:$BE$78,52,FALSE)</f>
        <v>0</v>
      </c>
      <c r="AO44" s="119">
        <f t="shared" si="19"/>
        <v>334854</v>
      </c>
      <c r="AP44" s="116">
        <f>+VLOOKUP($B44,'datos9-2014'!$A$2:$BE$78,55,FALSE)</f>
        <v>0</v>
      </c>
      <c r="AQ44" s="118">
        <f t="shared" si="20"/>
        <v>4452895</v>
      </c>
      <c r="AS44" s="120">
        <f t="shared" si="21"/>
        <v>14428745</v>
      </c>
      <c r="AW44" s="116">
        <v>0</v>
      </c>
    </row>
    <row r="45" spans="2:49" x14ac:dyDescent="0.2">
      <c r="B45" s="121" t="s">
        <v>97</v>
      </c>
      <c r="C45" s="115"/>
      <c r="D45" s="116">
        <f>+VLOOKUP($B45,'datos9-2014'!$A$2:$BE$78,13,FALSE)</f>
        <v>0</v>
      </c>
      <c r="E45" s="116">
        <f>+VLOOKUP($B45,'datos9-2014'!$A$2:$BE$78,14,FALSE)</f>
        <v>0</v>
      </c>
      <c r="F45" s="116">
        <f>+VLOOKUP($B45,'datos9-2014'!$A$2:$BE$78,15,FALSE)</f>
        <v>0</v>
      </c>
      <c r="G45" s="68">
        <f t="shared" si="11"/>
        <v>0</v>
      </c>
      <c r="H45" s="116">
        <f>+VLOOKUP($B45,'datos9-2014'!$A$2:$BE$78,17,FALSE)</f>
        <v>0</v>
      </c>
      <c r="I45" s="116">
        <f>+VLOOKUP($B45,'datos9-2014'!$A$2:$BE$78,18,FALSE)</f>
        <v>0</v>
      </c>
      <c r="J45" s="116">
        <f>+VLOOKUP($B45,'datos9-2014'!$A$2:$BE$78,19,FALSE)</f>
        <v>0</v>
      </c>
      <c r="K45" s="116">
        <f>+VLOOKUP($B45,'datos9-2014'!$A$2:$BE$78,20,FALSE)</f>
        <v>0</v>
      </c>
      <c r="L45" s="68">
        <f t="shared" si="12"/>
        <v>0</v>
      </c>
      <c r="M45" s="116">
        <f>+VLOOKUP($B45,'datos9-2014'!$A$2:$BE$78,22,FALSE)</f>
        <v>0</v>
      </c>
      <c r="N45" s="116">
        <f>+VLOOKUP($B45,'datos9-2014'!$A$2:$BE$78,23,FALSE)</f>
        <v>0</v>
      </c>
      <c r="O45" s="116">
        <f>+VLOOKUP($B45,'datos9-2014'!$A$2:$BE$78,24,FALSE)</f>
        <v>0</v>
      </c>
      <c r="P45" s="68">
        <f t="shared" si="13"/>
        <v>0</v>
      </c>
      <c r="Q45" s="116">
        <f>+VLOOKUP($B45,'datos9-2014'!$A$2:$BE$78,26,FALSE)</f>
        <v>0</v>
      </c>
      <c r="R45" s="116">
        <f>+VLOOKUP($B45,'datos9-2014'!$A$2:$BE$78,27,FALSE)</f>
        <v>0</v>
      </c>
      <c r="S45" s="116">
        <f>+VLOOKUP($B45,'datos9-2014'!$A$2:$BE$78,28,FALSE)</f>
        <v>0</v>
      </c>
      <c r="T45" s="116">
        <f>+VLOOKUP($B45,'datos9-2014'!$A$2:$BE$78,29,FALSE)</f>
        <v>0</v>
      </c>
      <c r="U45" s="68">
        <f t="shared" si="14"/>
        <v>0</v>
      </c>
      <c r="V45" s="116">
        <f>+VLOOKUP($B45,'datos9-2014'!$A$2:$BE$78,31,FALSE)</f>
        <v>0</v>
      </c>
      <c r="W45" s="116">
        <f>+VLOOKUP($B45,'datos9-2014'!$A$2:$BE$78,32,FALSE)</f>
        <v>0</v>
      </c>
      <c r="X45" s="117">
        <f t="shared" si="15"/>
        <v>0</v>
      </c>
      <c r="Y45" s="118">
        <f t="shared" si="16"/>
        <v>0</v>
      </c>
      <c r="Z45" s="116">
        <f>+VLOOKUP($B45,'datos9-2014'!$A$2:$BE$78,35,FALSE)</f>
        <v>0</v>
      </c>
      <c r="AA45" s="116">
        <f>+VLOOKUP($B45,'datos9-2014'!$A$2:$BE$78,36,FALSE)</f>
        <v>0</v>
      </c>
      <c r="AB45" s="116">
        <f>+VLOOKUP($B45,'datos9-2014'!$A$2:$BE$78,37,FALSE)</f>
        <v>0</v>
      </c>
      <c r="AC45" s="116">
        <f>+VLOOKUP($B45,'datos9-2014'!$A$2:$BE$78,38,FALSE)</f>
        <v>0</v>
      </c>
      <c r="AD45" s="116">
        <f>+VLOOKUP($B45,'datos9-2014'!$A$2:$BE$78,39,FALSE)</f>
        <v>0</v>
      </c>
      <c r="AE45" s="68">
        <f t="shared" si="17"/>
        <v>0</v>
      </c>
      <c r="AF45" s="116">
        <f>+VLOOKUP($B45,'datos9-2014'!$A$2:$BE$78,42,FALSE)</f>
        <v>23748</v>
      </c>
      <c r="AG45" s="116">
        <f>+VLOOKUP($B45,'datos9-2014'!$A$2:$BE$78,44,FALSE)</f>
        <v>0</v>
      </c>
      <c r="AH45" s="116">
        <f>+VLOOKUP($B45,'datos9-2014'!$A$2:$BE$78,45,FALSE)</f>
        <v>0</v>
      </c>
      <c r="AI45" s="116">
        <f>+VLOOKUP($B45,'datos9-2014'!$A$2:$BE$78,46,FALSE)</f>
        <v>0</v>
      </c>
      <c r="AJ45" s="68">
        <f t="shared" si="18"/>
        <v>23748</v>
      </c>
      <c r="AK45" s="116">
        <f>+VLOOKUP($B45,'datos9-2014'!$A$2:$BE$78,49,FALSE)</f>
        <v>0</v>
      </c>
      <c r="AL45" s="116">
        <f>+VLOOKUP($B45,'datos9-2014'!$A$2:$BE$78,50,FALSE)</f>
        <v>0</v>
      </c>
      <c r="AM45" s="116">
        <f>+VLOOKUP($B45,'datos9-2014'!$A$2:$BE$78,51,FALSE)</f>
        <v>0</v>
      </c>
      <c r="AN45" s="116">
        <f>+VLOOKUP($B45,'datos9-2014'!$A$2:$BE$78,52,FALSE)</f>
        <v>0</v>
      </c>
      <c r="AO45" s="119">
        <f t="shared" si="19"/>
        <v>0</v>
      </c>
      <c r="AP45" s="116">
        <f>+VLOOKUP($B45,'datos9-2014'!$A$2:$BE$78,55,FALSE)</f>
        <v>0</v>
      </c>
      <c r="AQ45" s="118">
        <f t="shared" si="20"/>
        <v>23748</v>
      </c>
      <c r="AS45" s="120">
        <f t="shared" si="21"/>
        <v>23748</v>
      </c>
      <c r="AW45" s="116">
        <v>45500</v>
      </c>
    </row>
    <row r="46" spans="2:49" x14ac:dyDescent="0.2">
      <c r="B46" s="121" t="s">
        <v>98</v>
      </c>
      <c r="C46" s="115"/>
      <c r="D46" s="116">
        <f>+VLOOKUP($B46,'datos9-2014'!$A$2:$BE$78,13,FALSE)</f>
        <v>0</v>
      </c>
      <c r="E46" s="116">
        <f>+VLOOKUP($B46,'datos9-2014'!$A$2:$BE$78,14,FALSE)</f>
        <v>404633.28</v>
      </c>
      <c r="F46" s="116">
        <f>+VLOOKUP($B46,'datos9-2014'!$A$2:$BE$78,15,FALSE)</f>
        <v>0</v>
      </c>
      <c r="G46" s="68">
        <f t="shared" si="11"/>
        <v>404633.28</v>
      </c>
      <c r="H46" s="116">
        <f>+VLOOKUP($B46,'datos9-2014'!$A$2:$BE$78,17,FALSE)</f>
        <v>0</v>
      </c>
      <c r="I46" s="116">
        <f>+VLOOKUP($B46,'datos9-2014'!$A$2:$BE$78,18,FALSE)</f>
        <v>20271.09</v>
      </c>
      <c r="J46" s="116">
        <f>+VLOOKUP($B46,'datos9-2014'!$A$2:$BE$78,19,FALSE)</f>
        <v>0</v>
      </c>
      <c r="K46" s="116">
        <f>+VLOOKUP($B46,'datos9-2014'!$A$2:$BE$78,20,FALSE)</f>
        <v>37641.269999999997</v>
      </c>
      <c r="L46" s="68">
        <f t="shared" si="12"/>
        <v>57912.36</v>
      </c>
      <c r="M46" s="116">
        <f>+VLOOKUP($B46,'datos9-2014'!$A$2:$BE$78,22,FALSE)</f>
        <v>53915.55</v>
      </c>
      <c r="N46" s="116">
        <f>+VLOOKUP($B46,'datos9-2014'!$A$2:$BE$78,23,FALSE)</f>
        <v>0</v>
      </c>
      <c r="O46" s="116">
        <f>+VLOOKUP($B46,'datos9-2014'!$A$2:$BE$78,24,FALSE)</f>
        <v>0</v>
      </c>
      <c r="P46" s="68">
        <f t="shared" si="13"/>
        <v>53915.55</v>
      </c>
      <c r="Q46" s="116">
        <f>+VLOOKUP($B46,'datos9-2014'!$A$2:$BE$78,26,FALSE)</f>
        <v>0</v>
      </c>
      <c r="R46" s="116">
        <f>+VLOOKUP($B46,'datos9-2014'!$A$2:$BE$78,27,FALSE)</f>
        <v>0</v>
      </c>
      <c r="S46" s="116">
        <f>+VLOOKUP($B46,'datos9-2014'!$A$2:$BE$78,28,FALSE)</f>
        <v>0</v>
      </c>
      <c r="T46" s="116">
        <f>+VLOOKUP($B46,'datos9-2014'!$A$2:$BE$78,29,FALSE)</f>
        <v>0</v>
      </c>
      <c r="U46" s="68">
        <f t="shared" si="14"/>
        <v>0</v>
      </c>
      <c r="V46" s="116">
        <f>+VLOOKUP($B46,'datos9-2014'!$A$2:$BE$78,31,FALSE)</f>
        <v>0</v>
      </c>
      <c r="W46" s="116">
        <f>+VLOOKUP($B46,'datos9-2014'!$A$2:$BE$78,32,FALSE)</f>
        <v>0</v>
      </c>
      <c r="X46" s="117">
        <f t="shared" si="15"/>
        <v>0</v>
      </c>
      <c r="Y46" s="118">
        <f t="shared" si="16"/>
        <v>516461.19000000006</v>
      </c>
      <c r="Z46" s="116">
        <f>+VLOOKUP($B46,'datos9-2014'!$A$2:$BE$78,35,FALSE)</f>
        <v>0</v>
      </c>
      <c r="AA46" s="116">
        <f>+VLOOKUP($B46,'datos9-2014'!$A$2:$BE$78,36,FALSE)</f>
        <v>0</v>
      </c>
      <c r="AB46" s="116">
        <f>+VLOOKUP($B46,'datos9-2014'!$A$2:$BE$78,37,FALSE)</f>
        <v>0</v>
      </c>
      <c r="AC46" s="116">
        <f>+VLOOKUP($B46,'datos9-2014'!$A$2:$BE$78,38,FALSE)</f>
        <v>0</v>
      </c>
      <c r="AD46" s="116">
        <f>+VLOOKUP($B46,'datos9-2014'!$A$2:$BE$78,39,FALSE)</f>
        <v>0</v>
      </c>
      <c r="AE46" s="68">
        <f t="shared" si="17"/>
        <v>0</v>
      </c>
      <c r="AF46" s="116">
        <f>+VLOOKUP($B46,'datos9-2014'!$A$2:$BE$78,42,FALSE)</f>
        <v>0</v>
      </c>
      <c r="AG46" s="116">
        <f>+VLOOKUP($B46,'datos9-2014'!$A$2:$BE$78,44,FALSE)</f>
        <v>71067.56</v>
      </c>
      <c r="AH46" s="116">
        <f>+VLOOKUP($B46,'datos9-2014'!$A$2:$BE$78,45,FALSE)</f>
        <v>0</v>
      </c>
      <c r="AI46" s="116">
        <f>+VLOOKUP($B46,'datos9-2014'!$A$2:$BE$78,46,FALSE)</f>
        <v>0</v>
      </c>
      <c r="AJ46" s="68">
        <f t="shared" si="18"/>
        <v>71067.56</v>
      </c>
      <c r="AK46" s="116">
        <f>+VLOOKUP($B46,'datos9-2014'!$A$2:$BE$78,49,FALSE)</f>
        <v>0</v>
      </c>
      <c r="AL46" s="116">
        <f>+VLOOKUP($B46,'datos9-2014'!$A$2:$BE$78,50,FALSE)</f>
        <v>0</v>
      </c>
      <c r="AM46" s="116">
        <f>+VLOOKUP($B46,'datos9-2014'!$A$2:$BE$78,51,FALSE)</f>
        <v>0</v>
      </c>
      <c r="AN46" s="116">
        <f>+VLOOKUP($B46,'datos9-2014'!$A$2:$BE$78,52,FALSE)</f>
        <v>0</v>
      </c>
      <c r="AO46" s="119">
        <f t="shared" si="19"/>
        <v>0</v>
      </c>
      <c r="AP46" s="116">
        <f>+VLOOKUP($B46,'datos9-2014'!$A$2:$BE$78,55,FALSE)</f>
        <v>0</v>
      </c>
      <c r="AQ46" s="118">
        <f t="shared" si="20"/>
        <v>71067.56</v>
      </c>
      <c r="AS46" s="120">
        <f t="shared" si="21"/>
        <v>587528.75</v>
      </c>
      <c r="AW46" s="116">
        <v>0</v>
      </c>
    </row>
    <row r="47" spans="2:49" x14ac:dyDescent="0.2">
      <c r="B47" s="121" t="s">
        <v>99</v>
      </c>
      <c r="C47" s="115"/>
      <c r="D47" s="116">
        <f>+VLOOKUP($B47,'datos9-2014'!$A$2:$BE$78,13,FALSE)</f>
        <v>12500</v>
      </c>
      <c r="E47" s="116">
        <f>+VLOOKUP($B47,'datos9-2014'!$A$2:$BE$78,14,FALSE)</f>
        <v>0</v>
      </c>
      <c r="F47" s="116">
        <f>+VLOOKUP($B47,'datos9-2014'!$A$2:$BE$78,15,FALSE)</f>
        <v>0</v>
      </c>
      <c r="G47" s="68">
        <f t="shared" si="11"/>
        <v>12500</v>
      </c>
      <c r="H47" s="116">
        <f>+VLOOKUP($B47,'datos9-2014'!$A$2:$BE$78,17,FALSE)</f>
        <v>0</v>
      </c>
      <c r="I47" s="116">
        <f>+VLOOKUP($B47,'datos9-2014'!$A$2:$BE$78,18,FALSE)</f>
        <v>0</v>
      </c>
      <c r="J47" s="116">
        <f>+VLOOKUP($B47,'datos9-2014'!$A$2:$BE$78,19,FALSE)</f>
        <v>10597</v>
      </c>
      <c r="K47" s="116">
        <f>+VLOOKUP($B47,'datos9-2014'!$A$2:$BE$78,20,FALSE)</f>
        <v>3000</v>
      </c>
      <c r="L47" s="68">
        <f t="shared" si="12"/>
        <v>13597</v>
      </c>
      <c r="M47" s="116">
        <f>+VLOOKUP($B47,'datos9-2014'!$A$2:$BE$78,22,FALSE)</f>
        <v>6200</v>
      </c>
      <c r="N47" s="116">
        <f>+VLOOKUP($B47,'datos9-2014'!$A$2:$BE$78,23,FALSE)</f>
        <v>0</v>
      </c>
      <c r="O47" s="116">
        <f>+VLOOKUP($B47,'datos9-2014'!$A$2:$BE$78,24,FALSE)</f>
        <v>0</v>
      </c>
      <c r="P47" s="68">
        <f t="shared" si="13"/>
        <v>6200</v>
      </c>
      <c r="Q47" s="116">
        <f>+VLOOKUP($B47,'datos9-2014'!$A$2:$BE$78,26,FALSE)</f>
        <v>0</v>
      </c>
      <c r="R47" s="116">
        <f>+VLOOKUP($B47,'datos9-2014'!$A$2:$BE$78,27,FALSE)</f>
        <v>0</v>
      </c>
      <c r="S47" s="116">
        <f>+VLOOKUP($B47,'datos9-2014'!$A$2:$BE$78,28,FALSE)</f>
        <v>0</v>
      </c>
      <c r="T47" s="116">
        <f>+VLOOKUP($B47,'datos9-2014'!$A$2:$BE$78,29,FALSE)</f>
        <v>0</v>
      </c>
      <c r="U47" s="68">
        <f t="shared" si="14"/>
        <v>0</v>
      </c>
      <c r="V47" s="116">
        <f>+VLOOKUP($B47,'datos9-2014'!$A$2:$BE$78,31,FALSE)</f>
        <v>0</v>
      </c>
      <c r="W47" s="116">
        <f>+VLOOKUP($B47,'datos9-2014'!$A$2:$BE$78,32,FALSE)</f>
        <v>0</v>
      </c>
      <c r="X47" s="117">
        <f t="shared" si="15"/>
        <v>0</v>
      </c>
      <c r="Y47" s="118">
        <f t="shared" si="16"/>
        <v>32297</v>
      </c>
      <c r="Z47" s="116">
        <f>+VLOOKUP($B47,'datos9-2014'!$A$2:$BE$78,35,FALSE)</f>
        <v>0</v>
      </c>
      <c r="AA47" s="116">
        <f>+VLOOKUP($B47,'datos9-2014'!$A$2:$BE$78,36,FALSE)</f>
        <v>0</v>
      </c>
      <c r="AB47" s="116">
        <f>+VLOOKUP($B47,'datos9-2014'!$A$2:$BE$78,37,FALSE)</f>
        <v>0</v>
      </c>
      <c r="AC47" s="116">
        <f>+VLOOKUP($B47,'datos9-2014'!$A$2:$BE$78,38,FALSE)</f>
        <v>0</v>
      </c>
      <c r="AD47" s="116">
        <f>+VLOOKUP($B47,'datos9-2014'!$A$2:$BE$78,39,FALSE)</f>
        <v>0</v>
      </c>
      <c r="AE47" s="68">
        <f t="shared" si="17"/>
        <v>0</v>
      </c>
      <c r="AF47" s="116">
        <f>+VLOOKUP($B47,'datos9-2014'!$A$2:$BE$78,42,FALSE)</f>
        <v>121572</v>
      </c>
      <c r="AG47" s="116">
        <f>+VLOOKUP($B47,'datos9-2014'!$A$2:$BE$78,44,FALSE)</f>
        <v>1837</v>
      </c>
      <c r="AH47" s="116">
        <f>+VLOOKUP($B47,'datos9-2014'!$A$2:$BE$78,45,FALSE)</f>
        <v>0</v>
      </c>
      <c r="AI47" s="116">
        <f>+VLOOKUP($B47,'datos9-2014'!$A$2:$BE$78,46,FALSE)</f>
        <v>0</v>
      </c>
      <c r="AJ47" s="68">
        <f t="shared" si="18"/>
        <v>123409</v>
      </c>
      <c r="AK47" s="116">
        <f>+VLOOKUP($B47,'datos9-2014'!$A$2:$BE$78,49,FALSE)</f>
        <v>0</v>
      </c>
      <c r="AL47" s="116">
        <f>+VLOOKUP($B47,'datos9-2014'!$A$2:$BE$78,50,FALSE)</f>
        <v>0</v>
      </c>
      <c r="AM47" s="116">
        <f>+VLOOKUP($B47,'datos9-2014'!$A$2:$BE$78,51,FALSE)</f>
        <v>0</v>
      </c>
      <c r="AN47" s="116">
        <f>+VLOOKUP($B47,'datos9-2014'!$A$2:$BE$78,52,FALSE)</f>
        <v>0</v>
      </c>
      <c r="AO47" s="119">
        <f t="shared" si="19"/>
        <v>0</v>
      </c>
      <c r="AP47" s="116">
        <f>+VLOOKUP($B47,'datos9-2014'!$A$2:$BE$78,55,FALSE)</f>
        <v>0</v>
      </c>
      <c r="AQ47" s="118">
        <f t="shared" si="20"/>
        <v>123409</v>
      </c>
      <c r="AS47" s="120">
        <f t="shared" si="21"/>
        <v>155706</v>
      </c>
      <c r="AW47" s="116">
        <v>50000</v>
      </c>
    </row>
    <row r="48" spans="2:49" x14ac:dyDescent="0.2">
      <c r="B48" s="121" t="s">
        <v>100</v>
      </c>
      <c r="C48" s="115"/>
      <c r="D48" s="116">
        <f>+VLOOKUP($B48,'datos9-2014'!$A$2:$BE$78,13,FALSE)</f>
        <v>0</v>
      </c>
      <c r="E48" s="116">
        <f>+VLOOKUP($B48,'datos9-2014'!$A$2:$BE$78,14,FALSE)</f>
        <v>0</v>
      </c>
      <c r="F48" s="116">
        <f>+VLOOKUP($B48,'datos9-2014'!$A$2:$BE$78,15,FALSE)</f>
        <v>0</v>
      </c>
      <c r="G48" s="68">
        <f t="shared" si="11"/>
        <v>0</v>
      </c>
      <c r="H48" s="116">
        <f>+VLOOKUP($B48,'datos9-2014'!$A$2:$BE$78,17,FALSE)</f>
        <v>61207.71</v>
      </c>
      <c r="I48" s="116">
        <f>+VLOOKUP($B48,'datos9-2014'!$A$2:$BE$78,18,FALSE)</f>
        <v>0</v>
      </c>
      <c r="J48" s="116">
        <f>+VLOOKUP($B48,'datos9-2014'!$A$2:$BE$78,19,FALSE)</f>
        <v>0</v>
      </c>
      <c r="K48" s="116">
        <f>+VLOOKUP($B48,'datos9-2014'!$A$2:$BE$78,20,FALSE)</f>
        <v>0</v>
      </c>
      <c r="L48" s="68">
        <f t="shared" si="12"/>
        <v>61207.71</v>
      </c>
      <c r="M48" s="116">
        <f>+VLOOKUP($B48,'datos9-2014'!$A$2:$BE$78,22,FALSE)</f>
        <v>0</v>
      </c>
      <c r="N48" s="116">
        <f>+VLOOKUP($B48,'datos9-2014'!$A$2:$BE$78,23,FALSE)</f>
        <v>392026.75</v>
      </c>
      <c r="O48" s="116">
        <f>+VLOOKUP($B48,'datos9-2014'!$A$2:$BE$78,24,FALSE)</f>
        <v>0</v>
      </c>
      <c r="P48" s="68">
        <f t="shared" si="13"/>
        <v>392026.75</v>
      </c>
      <c r="Q48" s="116">
        <f>+VLOOKUP($B48,'datos9-2014'!$A$2:$BE$78,26,FALSE)</f>
        <v>0</v>
      </c>
      <c r="R48" s="116">
        <f>+VLOOKUP($B48,'datos9-2014'!$A$2:$BE$78,27,FALSE)</f>
        <v>0</v>
      </c>
      <c r="S48" s="116">
        <f>+VLOOKUP($B48,'datos9-2014'!$A$2:$BE$78,28,FALSE)</f>
        <v>0</v>
      </c>
      <c r="T48" s="116">
        <f>+VLOOKUP($B48,'datos9-2014'!$A$2:$BE$78,29,FALSE)</f>
        <v>0</v>
      </c>
      <c r="U48" s="68">
        <f t="shared" si="14"/>
        <v>0</v>
      </c>
      <c r="V48" s="116">
        <f>+VLOOKUP($B48,'datos9-2014'!$A$2:$BE$78,31,FALSE)</f>
        <v>0</v>
      </c>
      <c r="W48" s="116">
        <f>+VLOOKUP($B48,'datos9-2014'!$A$2:$BE$78,32,FALSE)</f>
        <v>0</v>
      </c>
      <c r="X48" s="117">
        <f t="shared" si="15"/>
        <v>0</v>
      </c>
      <c r="Y48" s="118">
        <f t="shared" si="16"/>
        <v>453234.46</v>
      </c>
      <c r="Z48" s="116">
        <f>+VLOOKUP($B48,'datos9-2014'!$A$2:$BE$78,35,FALSE)</f>
        <v>2500000</v>
      </c>
      <c r="AA48" s="116">
        <f>+VLOOKUP($B48,'datos9-2014'!$A$2:$BE$78,36,FALSE)</f>
        <v>285000</v>
      </c>
      <c r="AB48" s="116">
        <f>+VLOOKUP($B48,'datos9-2014'!$A$2:$BE$78,37,FALSE)</f>
        <v>0</v>
      </c>
      <c r="AC48" s="116">
        <f>+VLOOKUP($B48,'datos9-2014'!$A$2:$BE$78,38,FALSE)</f>
        <v>0</v>
      </c>
      <c r="AD48" s="116">
        <f>+VLOOKUP($B48,'datos9-2014'!$A$2:$BE$78,39,FALSE)</f>
        <v>0</v>
      </c>
      <c r="AE48" s="68">
        <f t="shared" si="17"/>
        <v>2785000</v>
      </c>
      <c r="AF48" s="116">
        <f>+VLOOKUP($B48,'datos9-2014'!$A$2:$BE$78,42,FALSE)</f>
        <v>278369.32</v>
      </c>
      <c r="AG48" s="116">
        <f>+VLOOKUP($B48,'datos9-2014'!$A$2:$BE$78,44,FALSE)</f>
        <v>84753.66</v>
      </c>
      <c r="AH48" s="116">
        <f>+VLOOKUP($B48,'datos9-2014'!$A$2:$BE$78,45,FALSE)</f>
        <v>0</v>
      </c>
      <c r="AI48" s="116">
        <f>+VLOOKUP($B48,'datos9-2014'!$A$2:$BE$78,46,FALSE)</f>
        <v>0</v>
      </c>
      <c r="AJ48" s="68">
        <f t="shared" si="18"/>
        <v>363122.98</v>
      </c>
      <c r="AK48" s="116">
        <f>+VLOOKUP($B48,'datos9-2014'!$A$2:$BE$78,49,FALSE)</f>
        <v>0</v>
      </c>
      <c r="AL48" s="116">
        <f>+VLOOKUP($B48,'datos9-2014'!$A$2:$BE$78,50,FALSE)</f>
        <v>0</v>
      </c>
      <c r="AM48" s="116">
        <f>+VLOOKUP($B48,'datos9-2014'!$A$2:$BE$78,51,FALSE)</f>
        <v>0</v>
      </c>
      <c r="AN48" s="116">
        <f>+VLOOKUP($B48,'datos9-2014'!$A$2:$BE$78,52,FALSE)</f>
        <v>0</v>
      </c>
      <c r="AO48" s="119">
        <f t="shared" si="19"/>
        <v>0</v>
      </c>
      <c r="AP48" s="116">
        <f>+VLOOKUP($B48,'datos9-2014'!$A$2:$BE$78,55,FALSE)</f>
        <v>0</v>
      </c>
      <c r="AQ48" s="118">
        <f t="shared" si="20"/>
        <v>3148122.98</v>
      </c>
      <c r="AS48" s="120">
        <f t="shared" si="21"/>
        <v>3601357.44</v>
      </c>
      <c r="AW48" s="116">
        <v>20520</v>
      </c>
    </row>
    <row r="49" spans="2:49" x14ac:dyDescent="0.2">
      <c r="B49" s="121" t="s">
        <v>101</v>
      </c>
      <c r="C49" s="115"/>
      <c r="D49" s="116">
        <f>+VLOOKUP($B49,'datos9-2014'!$A$2:$BE$78,13,FALSE)</f>
        <v>47695.57</v>
      </c>
      <c r="E49" s="116">
        <f>+VLOOKUP($B49,'datos9-2014'!$A$2:$BE$78,14,FALSE)</f>
        <v>259440.86</v>
      </c>
      <c r="F49" s="116">
        <f>+VLOOKUP($B49,'datos9-2014'!$A$2:$BE$78,15,FALSE)</f>
        <v>0</v>
      </c>
      <c r="G49" s="68">
        <f t="shared" si="11"/>
        <v>307136.43</v>
      </c>
      <c r="H49" s="116">
        <f>+VLOOKUP($B49,'datos9-2014'!$A$2:$BE$78,17,FALSE)</f>
        <v>0</v>
      </c>
      <c r="I49" s="116">
        <f>+VLOOKUP($B49,'datos9-2014'!$A$2:$BE$78,18,FALSE)</f>
        <v>45542.01</v>
      </c>
      <c r="J49" s="116">
        <f>+VLOOKUP($B49,'datos9-2014'!$A$2:$BE$78,19,FALSE)</f>
        <v>0</v>
      </c>
      <c r="K49" s="116">
        <f>+VLOOKUP($B49,'datos9-2014'!$A$2:$BE$78,20,FALSE)</f>
        <v>359648.49</v>
      </c>
      <c r="L49" s="68">
        <f t="shared" si="12"/>
        <v>405190.5</v>
      </c>
      <c r="M49" s="116">
        <f>+VLOOKUP($B49,'datos9-2014'!$A$2:$BE$78,22,FALSE)</f>
        <v>0</v>
      </c>
      <c r="N49" s="116">
        <f>+VLOOKUP($B49,'datos9-2014'!$A$2:$BE$78,23,FALSE)</f>
        <v>0</v>
      </c>
      <c r="O49" s="116">
        <f>+VLOOKUP($B49,'datos9-2014'!$A$2:$BE$78,24,FALSE)</f>
        <v>0</v>
      </c>
      <c r="P49" s="68">
        <f t="shared" si="13"/>
        <v>0</v>
      </c>
      <c r="Q49" s="116">
        <f>+VLOOKUP($B49,'datos9-2014'!$A$2:$BE$78,26,FALSE)</f>
        <v>26441.99</v>
      </c>
      <c r="R49" s="116">
        <f>+VLOOKUP($B49,'datos9-2014'!$A$2:$BE$78,27,FALSE)</f>
        <v>0</v>
      </c>
      <c r="S49" s="116">
        <f>+VLOOKUP($B49,'datos9-2014'!$A$2:$BE$78,28,FALSE)</f>
        <v>0</v>
      </c>
      <c r="T49" s="116">
        <f>+VLOOKUP($B49,'datos9-2014'!$A$2:$BE$78,29,FALSE)</f>
        <v>3419.69</v>
      </c>
      <c r="U49" s="68">
        <f t="shared" si="14"/>
        <v>29861.68</v>
      </c>
      <c r="V49" s="116">
        <f>+VLOOKUP($B49,'datos9-2014'!$A$2:$BE$78,31,FALSE)</f>
        <v>0</v>
      </c>
      <c r="W49" s="116">
        <f>+VLOOKUP($B49,'datos9-2014'!$A$2:$BE$78,32,FALSE)</f>
        <v>0</v>
      </c>
      <c r="X49" s="117">
        <f t="shared" si="15"/>
        <v>0</v>
      </c>
      <c r="Y49" s="118">
        <f t="shared" si="16"/>
        <v>742188.61</v>
      </c>
      <c r="Z49" s="116">
        <f>+VLOOKUP($B49,'datos9-2014'!$A$2:$BE$78,35,FALSE)</f>
        <v>0</v>
      </c>
      <c r="AA49" s="116">
        <f>+VLOOKUP($B49,'datos9-2014'!$A$2:$BE$78,36,FALSE)</f>
        <v>0</v>
      </c>
      <c r="AB49" s="116">
        <f>+VLOOKUP($B49,'datos9-2014'!$A$2:$BE$78,37,FALSE)</f>
        <v>0</v>
      </c>
      <c r="AC49" s="116">
        <f>+VLOOKUP($B49,'datos9-2014'!$A$2:$BE$78,38,FALSE)</f>
        <v>0</v>
      </c>
      <c r="AD49" s="116">
        <f>+VLOOKUP($B49,'datos9-2014'!$A$2:$BE$78,39,FALSE)</f>
        <v>0</v>
      </c>
      <c r="AE49" s="68">
        <f t="shared" si="17"/>
        <v>0</v>
      </c>
      <c r="AF49" s="116">
        <f>+VLOOKUP($B49,'datos9-2014'!$A$2:$BE$78,42,FALSE)</f>
        <v>424291.66</v>
      </c>
      <c r="AG49" s="116">
        <f>+VLOOKUP($B49,'datos9-2014'!$A$2:$BE$78,44,FALSE)</f>
        <v>0</v>
      </c>
      <c r="AH49" s="116">
        <f>+VLOOKUP($B49,'datos9-2014'!$A$2:$BE$78,45,FALSE)</f>
        <v>0</v>
      </c>
      <c r="AI49" s="116">
        <f>+VLOOKUP($B49,'datos9-2014'!$A$2:$BE$78,46,FALSE)</f>
        <v>0</v>
      </c>
      <c r="AJ49" s="68">
        <f t="shared" si="18"/>
        <v>424291.66</v>
      </c>
      <c r="AK49" s="116">
        <f>+VLOOKUP($B49,'datos9-2014'!$A$2:$BE$78,49,FALSE)</f>
        <v>0</v>
      </c>
      <c r="AL49" s="116">
        <f>+VLOOKUP($B49,'datos9-2014'!$A$2:$BE$78,50,FALSE)</f>
        <v>0</v>
      </c>
      <c r="AM49" s="116">
        <f>+VLOOKUP($B49,'datos9-2014'!$A$2:$BE$78,51,FALSE)</f>
        <v>0</v>
      </c>
      <c r="AN49" s="116">
        <f>+VLOOKUP($B49,'datos9-2014'!$A$2:$BE$78,52,FALSE)</f>
        <v>0</v>
      </c>
      <c r="AO49" s="119">
        <f t="shared" si="19"/>
        <v>0</v>
      </c>
      <c r="AP49" s="116">
        <f>+VLOOKUP($B49,'datos9-2014'!$A$2:$BE$78,55,FALSE)</f>
        <v>0</v>
      </c>
      <c r="AQ49" s="118">
        <f t="shared" si="20"/>
        <v>424291.66</v>
      </c>
      <c r="AS49" s="120">
        <f t="shared" si="21"/>
        <v>1166480.27</v>
      </c>
      <c r="AW49" s="116">
        <v>79312.710000000006</v>
      </c>
    </row>
    <row r="50" spans="2:49" x14ac:dyDescent="0.2">
      <c r="B50" s="121" t="s">
        <v>102</v>
      </c>
      <c r="C50" s="115"/>
      <c r="D50" s="116">
        <f>+VLOOKUP($B50,'datos9-2014'!$A$2:$BE$78,13,FALSE)</f>
        <v>0</v>
      </c>
      <c r="E50" s="116">
        <f>+VLOOKUP($B50,'datos9-2014'!$A$2:$BE$78,14,FALSE)</f>
        <v>0</v>
      </c>
      <c r="F50" s="116">
        <f>+VLOOKUP($B50,'datos9-2014'!$A$2:$BE$78,15,FALSE)</f>
        <v>0</v>
      </c>
      <c r="G50" s="68">
        <f t="shared" si="11"/>
        <v>0</v>
      </c>
      <c r="H50" s="116">
        <f>+VLOOKUP($B50,'datos9-2014'!$A$2:$BE$78,17,FALSE)</f>
        <v>0</v>
      </c>
      <c r="I50" s="116">
        <f>+VLOOKUP($B50,'datos9-2014'!$A$2:$BE$78,18,FALSE)</f>
        <v>0</v>
      </c>
      <c r="J50" s="116">
        <f>+VLOOKUP($B50,'datos9-2014'!$A$2:$BE$78,19,FALSE)</f>
        <v>0</v>
      </c>
      <c r="K50" s="116">
        <f>+VLOOKUP($B50,'datos9-2014'!$A$2:$BE$78,20,FALSE)</f>
        <v>0</v>
      </c>
      <c r="L50" s="68">
        <f t="shared" si="12"/>
        <v>0</v>
      </c>
      <c r="M50" s="116">
        <f>+VLOOKUP($B50,'datos9-2014'!$A$2:$BE$78,22,FALSE)</f>
        <v>776658</v>
      </c>
      <c r="N50" s="116">
        <f>+VLOOKUP($B50,'datos9-2014'!$A$2:$BE$78,23,FALSE)</f>
        <v>0</v>
      </c>
      <c r="O50" s="116">
        <f>+VLOOKUP($B50,'datos9-2014'!$A$2:$BE$78,24,FALSE)</f>
        <v>0</v>
      </c>
      <c r="P50" s="68">
        <f t="shared" si="13"/>
        <v>776658</v>
      </c>
      <c r="Q50" s="116">
        <f>+VLOOKUP($B50,'datos9-2014'!$A$2:$BE$78,26,FALSE)</f>
        <v>0</v>
      </c>
      <c r="R50" s="116">
        <f>+VLOOKUP($B50,'datos9-2014'!$A$2:$BE$78,27,FALSE)</f>
        <v>0</v>
      </c>
      <c r="S50" s="116">
        <f>+VLOOKUP($B50,'datos9-2014'!$A$2:$BE$78,28,FALSE)</f>
        <v>0</v>
      </c>
      <c r="T50" s="116">
        <f>+VLOOKUP($B50,'datos9-2014'!$A$2:$BE$78,29,FALSE)</f>
        <v>0</v>
      </c>
      <c r="U50" s="68">
        <f t="shared" si="14"/>
        <v>0</v>
      </c>
      <c r="V50" s="116">
        <f>+VLOOKUP($B50,'datos9-2014'!$A$2:$BE$78,31,FALSE)</f>
        <v>0</v>
      </c>
      <c r="W50" s="116">
        <f>+VLOOKUP($B50,'datos9-2014'!$A$2:$BE$78,32,FALSE)</f>
        <v>0</v>
      </c>
      <c r="X50" s="117">
        <f t="shared" si="15"/>
        <v>0</v>
      </c>
      <c r="Y50" s="118">
        <f t="shared" si="16"/>
        <v>776658</v>
      </c>
      <c r="Z50" s="116">
        <f>+VLOOKUP($B50,'datos9-2014'!$A$2:$BE$78,35,FALSE)</f>
        <v>2500000</v>
      </c>
      <c r="AA50" s="116">
        <f>+VLOOKUP($B50,'datos9-2014'!$A$2:$BE$78,36,FALSE)</f>
        <v>410000</v>
      </c>
      <c r="AB50" s="116">
        <f>+VLOOKUP($B50,'datos9-2014'!$A$2:$BE$78,37,FALSE)</f>
        <v>0</v>
      </c>
      <c r="AC50" s="116">
        <f>+VLOOKUP($B50,'datos9-2014'!$A$2:$BE$78,38,FALSE)</f>
        <v>0</v>
      </c>
      <c r="AD50" s="116">
        <f>+VLOOKUP($B50,'datos9-2014'!$A$2:$BE$78,39,FALSE)</f>
        <v>0</v>
      </c>
      <c r="AE50" s="68">
        <f t="shared" si="17"/>
        <v>2910000</v>
      </c>
      <c r="AF50" s="116">
        <f>+VLOOKUP($B50,'datos9-2014'!$A$2:$BE$78,42,FALSE)</f>
        <v>0</v>
      </c>
      <c r="AG50" s="116">
        <f>+VLOOKUP($B50,'datos9-2014'!$A$2:$BE$78,44,FALSE)</f>
        <v>0</v>
      </c>
      <c r="AH50" s="116">
        <f>+VLOOKUP($B50,'datos9-2014'!$A$2:$BE$78,45,FALSE)</f>
        <v>0</v>
      </c>
      <c r="AI50" s="116">
        <f>+VLOOKUP($B50,'datos9-2014'!$A$2:$BE$78,46,FALSE)</f>
        <v>0</v>
      </c>
      <c r="AJ50" s="68">
        <f t="shared" si="18"/>
        <v>0</v>
      </c>
      <c r="AK50" s="116">
        <f>+VLOOKUP($B50,'datos9-2014'!$A$2:$BE$78,49,FALSE)</f>
        <v>0</v>
      </c>
      <c r="AL50" s="116">
        <f>+VLOOKUP($B50,'datos9-2014'!$A$2:$BE$78,50,FALSE)</f>
        <v>0</v>
      </c>
      <c r="AM50" s="116">
        <f>+VLOOKUP($B50,'datos9-2014'!$A$2:$BE$78,51,FALSE)</f>
        <v>0</v>
      </c>
      <c r="AN50" s="116">
        <f>+VLOOKUP($B50,'datos9-2014'!$A$2:$BE$78,52,FALSE)</f>
        <v>0</v>
      </c>
      <c r="AO50" s="119">
        <f t="shared" si="19"/>
        <v>0</v>
      </c>
      <c r="AP50" s="116">
        <f>+VLOOKUP($B50,'datos9-2014'!$A$2:$BE$78,55,FALSE)</f>
        <v>0</v>
      </c>
      <c r="AQ50" s="118">
        <f t="shared" si="20"/>
        <v>2910000</v>
      </c>
      <c r="AS50" s="120">
        <f t="shared" si="21"/>
        <v>3686658</v>
      </c>
      <c r="AW50" s="116">
        <v>0</v>
      </c>
    </row>
    <row r="51" spans="2:49" x14ac:dyDescent="0.2">
      <c r="B51" s="121" t="s">
        <v>103</v>
      </c>
      <c r="C51" s="115"/>
      <c r="D51" s="116">
        <f>+VLOOKUP($B51,'datos9-2014'!$A$2:$BE$78,13,FALSE)</f>
        <v>21652</v>
      </c>
      <c r="E51" s="116">
        <f>+VLOOKUP($B51,'datos9-2014'!$A$2:$BE$78,14,FALSE)</f>
        <v>0</v>
      </c>
      <c r="F51" s="116">
        <f>+VLOOKUP($B51,'datos9-2014'!$A$2:$BE$78,15,FALSE)</f>
        <v>0</v>
      </c>
      <c r="G51" s="68">
        <f t="shared" si="11"/>
        <v>21652</v>
      </c>
      <c r="H51" s="116">
        <f>+VLOOKUP($B51,'datos9-2014'!$A$2:$BE$78,17,FALSE)</f>
        <v>99816.21</v>
      </c>
      <c r="I51" s="116">
        <f>+VLOOKUP($B51,'datos9-2014'!$A$2:$BE$78,18,FALSE)</f>
        <v>0</v>
      </c>
      <c r="J51" s="116">
        <f>+VLOOKUP($B51,'datos9-2014'!$A$2:$BE$78,19,FALSE)</f>
        <v>0</v>
      </c>
      <c r="K51" s="116">
        <f>+VLOOKUP($B51,'datos9-2014'!$A$2:$BE$78,20,FALSE)</f>
        <v>0</v>
      </c>
      <c r="L51" s="68">
        <f t="shared" si="12"/>
        <v>99816.21</v>
      </c>
      <c r="M51" s="116">
        <f>+VLOOKUP($B51,'datos9-2014'!$A$2:$BE$78,22,FALSE)</f>
        <v>0</v>
      </c>
      <c r="N51" s="116">
        <f>+VLOOKUP($B51,'datos9-2014'!$A$2:$BE$78,23,FALSE)</f>
        <v>0</v>
      </c>
      <c r="O51" s="116">
        <f>+VLOOKUP($B51,'datos9-2014'!$A$2:$BE$78,24,FALSE)</f>
        <v>0</v>
      </c>
      <c r="P51" s="68">
        <f t="shared" si="13"/>
        <v>0</v>
      </c>
      <c r="Q51" s="116">
        <f>+VLOOKUP($B51,'datos9-2014'!$A$2:$BE$78,26,FALSE)</f>
        <v>0</v>
      </c>
      <c r="R51" s="116">
        <f>+VLOOKUP($B51,'datos9-2014'!$A$2:$BE$78,27,FALSE)</f>
        <v>0</v>
      </c>
      <c r="S51" s="116">
        <f>+VLOOKUP($B51,'datos9-2014'!$A$2:$BE$78,28,FALSE)</f>
        <v>0</v>
      </c>
      <c r="T51" s="116">
        <f>+VLOOKUP($B51,'datos9-2014'!$A$2:$BE$78,29,FALSE)</f>
        <v>0</v>
      </c>
      <c r="U51" s="68">
        <f t="shared" si="14"/>
        <v>0</v>
      </c>
      <c r="V51" s="116">
        <f>+VLOOKUP($B51,'datos9-2014'!$A$2:$BE$78,31,FALSE)</f>
        <v>0</v>
      </c>
      <c r="W51" s="116">
        <f>+VLOOKUP($B51,'datos9-2014'!$A$2:$BE$78,32,FALSE)</f>
        <v>0</v>
      </c>
      <c r="X51" s="117">
        <f t="shared" si="15"/>
        <v>0</v>
      </c>
      <c r="Y51" s="118">
        <f t="shared" si="16"/>
        <v>121468.21</v>
      </c>
      <c r="Z51" s="116">
        <f>+VLOOKUP($B51,'datos9-2014'!$A$2:$BE$78,35,FALSE)</f>
        <v>5000000</v>
      </c>
      <c r="AA51" s="116">
        <f>+VLOOKUP($B51,'datos9-2014'!$A$2:$BE$78,36,FALSE)</f>
        <v>715095</v>
      </c>
      <c r="AB51" s="116">
        <f>+VLOOKUP($B51,'datos9-2014'!$A$2:$BE$78,37,FALSE)</f>
        <v>11000</v>
      </c>
      <c r="AC51" s="116">
        <f>+VLOOKUP($B51,'datos9-2014'!$A$2:$BE$78,38,FALSE)</f>
        <v>0</v>
      </c>
      <c r="AD51" s="116">
        <f>+VLOOKUP($B51,'datos9-2014'!$A$2:$BE$78,39,FALSE)</f>
        <v>0</v>
      </c>
      <c r="AE51" s="68">
        <f t="shared" si="17"/>
        <v>5726095</v>
      </c>
      <c r="AF51" s="116">
        <f>+VLOOKUP($B51,'datos9-2014'!$A$2:$BE$78,42,FALSE)</f>
        <v>333324</v>
      </c>
      <c r="AG51" s="116">
        <f>+VLOOKUP($B51,'datos9-2014'!$A$2:$BE$78,44,FALSE)</f>
        <v>12115</v>
      </c>
      <c r="AH51" s="116">
        <f>+VLOOKUP($B51,'datos9-2014'!$A$2:$BE$78,45,FALSE)</f>
        <v>0</v>
      </c>
      <c r="AI51" s="116">
        <f>+VLOOKUP($B51,'datos9-2014'!$A$2:$BE$78,46,FALSE)</f>
        <v>0</v>
      </c>
      <c r="AJ51" s="68">
        <f t="shared" si="18"/>
        <v>345439</v>
      </c>
      <c r="AK51" s="116">
        <f>+VLOOKUP($B51,'datos9-2014'!$A$2:$BE$78,49,FALSE)</f>
        <v>0</v>
      </c>
      <c r="AL51" s="116">
        <f>+VLOOKUP($B51,'datos9-2014'!$A$2:$BE$78,50,FALSE)</f>
        <v>0</v>
      </c>
      <c r="AM51" s="116">
        <f>+VLOOKUP($B51,'datos9-2014'!$A$2:$BE$78,51,FALSE)</f>
        <v>0</v>
      </c>
      <c r="AN51" s="116">
        <f>+VLOOKUP($B51,'datos9-2014'!$A$2:$BE$78,52,FALSE)</f>
        <v>0</v>
      </c>
      <c r="AO51" s="119">
        <f t="shared" si="19"/>
        <v>0</v>
      </c>
      <c r="AP51" s="116">
        <f>+VLOOKUP($B51,'datos9-2014'!$A$2:$BE$78,55,FALSE)</f>
        <v>0</v>
      </c>
      <c r="AQ51" s="118">
        <f t="shared" si="20"/>
        <v>6071534</v>
      </c>
      <c r="AS51" s="120">
        <f t="shared" si="21"/>
        <v>6193002.21</v>
      </c>
      <c r="AW51" s="116">
        <v>0</v>
      </c>
    </row>
    <row r="52" spans="2:49" x14ac:dyDescent="0.2">
      <c r="B52" s="121" t="s">
        <v>104</v>
      </c>
      <c r="C52" s="115"/>
      <c r="D52" s="116">
        <f>+VLOOKUP($B52,'datos9-2014'!$A$2:$BE$78,13,FALSE)</f>
        <v>230721.02</v>
      </c>
      <c r="E52" s="116">
        <f>+VLOOKUP($B52,'datos9-2014'!$A$2:$BE$78,14,FALSE)</f>
        <v>0</v>
      </c>
      <c r="F52" s="116">
        <f>+VLOOKUP($B52,'datos9-2014'!$A$2:$BE$78,15,FALSE)</f>
        <v>103868.42</v>
      </c>
      <c r="G52" s="68">
        <f t="shared" si="11"/>
        <v>334589.44</v>
      </c>
      <c r="H52" s="116">
        <f>+VLOOKUP($B52,'datos9-2014'!$A$2:$BE$78,17,FALSE)</f>
        <v>0</v>
      </c>
      <c r="I52" s="116">
        <f>+VLOOKUP($B52,'datos9-2014'!$A$2:$BE$78,18,FALSE)</f>
        <v>557.54</v>
      </c>
      <c r="J52" s="116">
        <f>+VLOOKUP($B52,'datos9-2014'!$A$2:$BE$78,19,FALSE)</f>
        <v>65.67</v>
      </c>
      <c r="K52" s="116">
        <f>+VLOOKUP($B52,'datos9-2014'!$A$2:$BE$78,20,FALSE)</f>
        <v>0</v>
      </c>
      <c r="L52" s="68">
        <f t="shared" si="12"/>
        <v>623.20999999999992</v>
      </c>
      <c r="M52" s="116">
        <f>+VLOOKUP($B52,'datos9-2014'!$A$2:$BE$78,22,FALSE)</f>
        <v>8838</v>
      </c>
      <c r="N52" s="116">
        <f>+VLOOKUP($B52,'datos9-2014'!$A$2:$BE$78,23,FALSE)</f>
        <v>0</v>
      </c>
      <c r="O52" s="116">
        <f>+VLOOKUP($B52,'datos9-2014'!$A$2:$BE$78,24,FALSE)</f>
        <v>0</v>
      </c>
      <c r="P52" s="68">
        <f t="shared" si="13"/>
        <v>8838</v>
      </c>
      <c r="Q52" s="116">
        <f>+VLOOKUP($B52,'datos9-2014'!$A$2:$BE$78,26,FALSE)</f>
        <v>0</v>
      </c>
      <c r="R52" s="116">
        <f>+VLOOKUP($B52,'datos9-2014'!$A$2:$BE$78,27,FALSE)</f>
        <v>0</v>
      </c>
      <c r="S52" s="116">
        <f>+VLOOKUP($B52,'datos9-2014'!$A$2:$BE$78,28,FALSE)</f>
        <v>0</v>
      </c>
      <c r="T52" s="116">
        <f>+VLOOKUP($B52,'datos9-2014'!$A$2:$BE$78,29,FALSE)</f>
        <v>0</v>
      </c>
      <c r="U52" s="68">
        <f t="shared" si="14"/>
        <v>0</v>
      </c>
      <c r="V52" s="116">
        <f>+VLOOKUP($B52,'datos9-2014'!$A$2:$BE$78,31,FALSE)</f>
        <v>0</v>
      </c>
      <c r="W52" s="116">
        <f>+VLOOKUP($B52,'datos9-2014'!$A$2:$BE$78,32,FALSE)</f>
        <v>0</v>
      </c>
      <c r="X52" s="117">
        <f t="shared" si="15"/>
        <v>0</v>
      </c>
      <c r="Y52" s="118">
        <f t="shared" si="16"/>
        <v>344050.65</v>
      </c>
      <c r="Z52" s="116">
        <f>+VLOOKUP($B52,'datos9-2014'!$A$2:$BE$78,35,FALSE)</f>
        <v>0</v>
      </c>
      <c r="AA52" s="116">
        <f>+VLOOKUP($B52,'datos9-2014'!$A$2:$BE$78,36,FALSE)</f>
        <v>0</v>
      </c>
      <c r="AB52" s="116">
        <f>+VLOOKUP($B52,'datos9-2014'!$A$2:$BE$78,37,FALSE)</f>
        <v>0</v>
      </c>
      <c r="AC52" s="116">
        <f>+VLOOKUP($B52,'datos9-2014'!$A$2:$BE$78,38,FALSE)</f>
        <v>883.1</v>
      </c>
      <c r="AD52" s="116">
        <f>+VLOOKUP($B52,'datos9-2014'!$A$2:$BE$78,39,FALSE)</f>
        <v>0</v>
      </c>
      <c r="AE52" s="68">
        <f t="shared" si="17"/>
        <v>883.1</v>
      </c>
      <c r="AF52" s="116">
        <f>+VLOOKUP($B52,'datos9-2014'!$A$2:$BE$78,42,FALSE)</f>
        <v>0</v>
      </c>
      <c r="AG52" s="116">
        <f>+VLOOKUP($B52,'datos9-2014'!$A$2:$BE$78,44,FALSE)</f>
        <v>0</v>
      </c>
      <c r="AH52" s="116">
        <f>+VLOOKUP($B52,'datos9-2014'!$A$2:$BE$78,45,FALSE)</f>
        <v>0</v>
      </c>
      <c r="AI52" s="116">
        <f>+VLOOKUP($B52,'datos9-2014'!$A$2:$BE$78,46,FALSE)</f>
        <v>0</v>
      </c>
      <c r="AJ52" s="68">
        <f t="shared" si="18"/>
        <v>0</v>
      </c>
      <c r="AK52" s="116">
        <f>+VLOOKUP($B52,'datos9-2014'!$A$2:$BE$78,49,FALSE)</f>
        <v>17499.689999999999</v>
      </c>
      <c r="AL52" s="116">
        <f>+VLOOKUP($B52,'datos9-2014'!$A$2:$BE$78,50,FALSE)</f>
        <v>0</v>
      </c>
      <c r="AM52" s="116">
        <f>+VLOOKUP($B52,'datos9-2014'!$A$2:$BE$78,51,FALSE)</f>
        <v>0</v>
      </c>
      <c r="AN52" s="116">
        <f>+VLOOKUP($B52,'datos9-2014'!$A$2:$BE$78,52,FALSE)</f>
        <v>0</v>
      </c>
      <c r="AO52" s="119">
        <f t="shared" si="19"/>
        <v>17499.689999999999</v>
      </c>
      <c r="AP52" s="116">
        <f>+VLOOKUP($B52,'datos9-2014'!$A$2:$BE$78,55,FALSE)</f>
        <v>0</v>
      </c>
      <c r="AQ52" s="118">
        <f t="shared" si="20"/>
        <v>18382.789999999997</v>
      </c>
      <c r="AS52" s="120">
        <f t="shared" si="21"/>
        <v>362433.44</v>
      </c>
      <c r="AW52" s="116">
        <v>0</v>
      </c>
    </row>
    <row r="53" spans="2:49" x14ac:dyDescent="0.2">
      <c r="B53" s="121" t="s">
        <v>105</v>
      </c>
      <c r="C53" s="115"/>
      <c r="D53" s="116">
        <f>+VLOOKUP($B53,'datos9-2014'!$A$2:$BE$78,13,FALSE)</f>
        <v>401881.24</v>
      </c>
      <c r="E53" s="116">
        <f>+VLOOKUP($B53,'datos9-2014'!$A$2:$BE$78,14,FALSE)</f>
        <v>0</v>
      </c>
      <c r="F53" s="116">
        <f>+VLOOKUP($B53,'datos9-2014'!$A$2:$BE$78,15,FALSE)</f>
        <v>48289.67</v>
      </c>
      <c r="G53" s="68">
        <f t="shared" si="11"/>
        <v>450170.91</v>
      </c>
      <c r="H53" s="116">
        <f>+VLOOKUP($B53,'datos9-2014'!$A$2:$BE$78,17,FALSE)</f>
        <v>163568.70000000001</v>
      </c>
      <c r="I53" s="116">
        <f>+VLOOKUP($B53,'datos9-2014'!$A$2:$BE$78,18,FALSE)</f>
        <v>0</v>
      </c>
      <c r="J53" s="116">
        <f>+VLOOKUP($B53,'datos9-2014'!$A$2:$BE$78,19,FALSE)</f>
        <v>0</v>
      </c>
      <c r="K53" s="116">
        <f>+VLOOKUP($B53,'datos9-2014'!$A$2:$BE$78,20,FALSE)</f>
        <v>377159.82</v>
      </c>
      <c r="L53" s="68">
        <f t="shared" si="12"/>
        <v>540728.52</v>
      </c>
      <c r="M53" s="116">
        <f>+VLOOKUP($B53,'datos9-2014'!$A$2:$BE$78,22,FALSE)</f>
        <v>35000</v>
      </c>
      <c r="N53" s="116">
        <f>+VLOOKUP($B53,'datos9-2014'!$A$2:$BE$78,23,FALSE)</f>
        <v>0</v>
      </c>
      <c r="O53" s="116">
        <f>+VLOOKUP($B53,'datos9-2014'!$A$2:$BE$78,24,FALSE)</f>
        <v>0</v>
      </c>
      <c r="P53" s="68">
        <f t="shared" si="13"/>
        <v>35000</v>
      </c>
      <c r="Q53" s="116">
        <f>+VLOOKUP($B53,'datos9-2014'!$A$2:$BE$78,26,FALSE)</f>
        <v>0</v>
      </c>
      <c r="R53" s="116">
        <f>+VLOOKUP($B53,'datos9-2014'!$A$2:$BE$78,27,FALSE)</f>
        <v>0</v>
      </c>
      <c r="S53" s="116">
        <f>+VLOOKUP($B53,'datos9-2014'!$A$2:$BE$78,28,FALSE)</f>
        <v>0</v>
      </c>
      <c r="T53" s="116">
        <f>+VLOOKUP($B53,'datos9-2014'!$A$2:$BE$78,29,FALSE)</f>
        <v>0</v>
      </c>
      <c r="U53" s="68">
        <f t="shared" si="14"/>
        <v>0</v>
      </c>
      <c r="V53" s="116">
        <f>+VLOOKUP($B53,'datos9-2014'!$A$2:$BE$78,31,FALSE)</f>
        <v>4674.46</v>
      </c>
      <c r="W53" s="116">
        <f>+VLOOKUP($B53,'datos9-2014'!$A$2:$BE$78,32,FALSE)</f>
        <v>0</v>
      </c>
      <c r="X53" s="117">
        <f t="shared" si="15"/>
        <v>4674.46</v>
      </c>
      <c r="Y53" s="118">
        <f t="shared" si="16"/>
        <v>1030573.8899999999</v>
      </c>
      <c r="Z53" s="116">
        <f>+VLOOKUP($B53,'datos9-2014'!$A$2:$BE$78,35,FALSE)</f>
        <v>4409276.22</v>
      </c>
      <c r="AA53" s="116">
        <f>+VLOOKUP($B53,'datos9-2014'!$A$2:$BE$78,36,FALSE)</f>
        <v>0</v>
      </c>
      <c r="AB53" s="116">
        <f>+VLOOKUP($B53,'datos9-2014'!$A$2:$BE$78,37,FALSE)</f>
        <v>0</v>
      </c>
      <c r="AC53" s="116">
        <f>+VLOOKUP($B53,'datos9-2014'!$A$2:$BE$78,38,FALSE)</f>
        <v>0</v>
      </c>
      <c r="AD53" s="116">
        <f>+VLOOKUP($B53,'datos9-2014'!$A$2:$BE$78,39,FALSE)</f>
        <v>4143.1099999999997</v>
      </c>
      <c r="AE53" s="68">
        <f t="shared" si="17"/>
        <v>4413419.33</v>
      </c>
      <c r="AF53" s="116">
        <f>+VLOOKUP($B53,'datos9-2014'!$A$2:$BE$78,42,FALSE)</f>
        <v>1185446.3899999999</v>
      </c>
      <c r="AG53" s="116">
        <f>+VLOOKUP($B53,'datos9-2014'!$A$2:$BE$78,44,FALSE)</f>
        <v>154388.6</v>
      </c>
      <c r="AH53" s="116">
        <f>+VLOOKUP($B53,'datos9-2014'!$A$2:$BE$78,45,FALSE)</f>
        <v>0</v>
      </c>
      <c r="AI53" s="116">
        <f>+VLOOKUP($B53,'datos9-2014'!$A$2:$BE$78,46,FALSE)</f>
        <v>0</v>
      </c>
      <c r="AJ53" s="68">
        <f t="shared" si="18"/>
        <v>1339834.99</v>
      </c>
      <c r="AK53" s="116">
        <f>+VLOOKUP($B53,'datos9-2014'!$A$2:$BE$78,49,FALSE)</f>
        <v>0</v>
      </c>
      <c r="AL53" s="116">
        <f>+VLOOKUP($B53,'datos9-2014'!$A$2:$BE$78,50,FALSE)</f>
        <v>0</v>
      </c>
      <c r="AM53" s="116">
        <f>+VLOOKUP($B53,'datos9-2014'!$A$2:$BE$78,51,FALSE)</f>
        <v>0</v>
      </c>
      <c r="AN53" s="116">
        <f>+VLOOKUP($B53,'datos9-2014'!$A$2:$BE$78,52,FALSE)</f>
        <v>0</v>
      </c>
      <c r="AO53" s="119">
        <f t="shared" si="19"/>
        <v>0</v>
      </c>
      <c r="AP53" s="116">
        <f>+VLOOKUP($B53,'datos9-2014'!$A$2:$BE$78,55,FALSE)</f>
        <v>0</v>
      </c>
      <c r="AQ53" s="118">
        <f t="shared" si="20"/>
        <v>5753254.3200000003</v>
      </c>
      <c r="AS53" s="120">
        <f t="shared" si="21"/>
        <v>6783828.21</v>
      </c>
      <c r="AW53" s="116">
        <v>5027.9399999999996</v>
      </c>
    </row>
    <row r="54" spans="2:49" x14ac:dyDescent="0.2">
      <c r="B54" s="121" t="s">
        <v>106</v>
      </c>
      <c r="C54" s="115"/>
      <c r="D54" s="116">
        <f>+VLOOKUP($B54,'datos9-2014'!$A$2:$BE$78,13,FALSE)</f>
        <v>5112.1000000000004</v>
      </c>
      <c r="E54" s="116">
        <f>+VLOOKUP($B54,'datos9-2014'!$A$2:$BE$78,14,FALSE)</f>
        <v>0</v>
      </c>
      <c r="F54" s="116">
        <f>+VLOOKUP($B54,'datos9-2014'!$A$2:$BE$78,15,FALSE)</f>
        <v>0</v>
      </c>
      <c r="G54" s="68">
        <f t="shared" si="11"/>
        <v>5112.1000000000004</v>
      </c>
      <c r="H54" s="116">
        <f>+VLOOKUP($B54,'datos9-2014'!$A$2:$BE$78,17,FALSE)</f>
        <v>6634.67</v>
      </c>
      <c r="I54" s="116">
        <f>+VLOOKUP($B54,'datos9-2014'!$A$2:$BE$78,18,FALSE)</f>
        <v>0</v>
      </c>
      <c r="J54" s="116">
        <f>+VLOOKUP($B54,'datos9-2014'!$A$2:$BE$78,19,FALSE)</f>
        <v>0</v>
      </c>
      <c r="K54" s="116">
        <f>+VLOOKUP($B54,'datos9-2014'!$A$2:$BE$78,20,FALSE)</f>
        <v>1273</v>
      </c>
      <c r="L54" s="68">
        <f t="shared" si="12"/>
        <v>7907.67</v>
      </c>
      <c r="M54" s="116">
        <f>+VLOOKUP($B54,'datos9-2014'!$A$2:$BE$78,22,FALSE)</f>
        <v>735910.69</v>
      </c>
      <c r="N54" s="116">
        <f>+VLOOKUP($B54,'datos9-2014'!$A$2:$BE$78,23,FALSE)</f>
        <v>0</v>
      </c>
      <c r="O54" s="116">
        <f>+VLOOKUP($B54,'datos9-2014'!$A$2:$BE$78,24,FALSE)</f>
        <v>0</v>
      </c>
      <c r="P54" s="68">
        <f t="shared" si="13"/>
        <v>735910.69</v>
      </c>
      <c r="Q54" s="116">
        <f>+VLOOKUP($B54,'datos9-2014'!$A$2:$BE$78,26,FALSE)</f>
        <v>0</v>
      </c>
      <c r="R54" s="116">
        <f>+VLOOKUP($B54,'datos9-2014'!$A$2:$BE$78,27,FALSE)</f>
        <v>0</v>
      </c>
      <c r="S54" s="116">
        <f>+VLOOKUP($B54,'datos9-2014'!$A$2:$BE$78,28,FALSE)</f>
        <v>0</v>
      </c>
      <c r="T54" s="116">
        <f>+VLOOKUP($B54,'datos9-2014'!$A$2:$BE$78,29,FALSE)</f>
        <v>0</v>
      </c>
      <c r="U54" s="68">
        <f t="shared" si="14"/>
        <v>0</v>
      </c>
      <c r="V54" s="116">
        <f>+VLOOKUP($B54,'datos9-2014'!$A$2:$BE$78,31,FALSE)</f>
        <v>0</v>
      </c>
      <c r="W54" s="116">
        <f>+VLOOKUP($B54,'datos9-2014'!$A$2:$BE$78,32,FALSE)</f>
        <v>0</v>
      </c>
      <c r="X54" s="117">
        <f t="shared" si="15"/>
        <v>0</v>
      </c>
      <c r="Y54" s="118">
        <f t="shared" si="16"/>
        <v>748930.46</v>
      </c>
      <c r="Z54" s="116">
        <f>+VLOOKUP($B54,'datos9-2014'!$A$2:$BE$78,35,FALSE)</f>
        <v>0</v>
      </c>
      <c r="AA54" s="116">
        <f>+VLOOKUP($B54,'datos9-2014'!$A$2:$BE$78,36,FALSE)</f>
        <v>109233.59</v>
      </c>
      <c r="AB54" s="116">
        <f>+VLOOKUP($B54,'datos9-2014'!$A$2:$BE$78,37,FALSE)</f>
        <v>0</v>
      </c>
      <c r="AC54" s="116">
        <f>+VLOOKUP($B54,'datos9-2014'!$A$2:$BE$78,38,FALSE)</f>
        <v>0</v>
      </c>
      <c r="AD54" s="116">
        <f>+VLOOKUP($B54,'datos9-2014'!$A$2:$BE$78,39,FALSE)</f>
        <v>0</v>
      </c>
      <c r="AE54" s="68">
        <f t="shared" si="17"/>
        <v>109233.59</v>
      </c>
      <c r="AF54" s="116">
        <f>+VLOOKUP($B54,'datos9-2014'!$A$2:$BE$78,42,FALSE)</f>
        <v>0</v>
      </c>
      <c r="AG54" s="116">
        <f>+VLOOKUP($B54,'datos9-2014'!$A$2:$BE$78,44,FALSE)</f>
        <v>489245.51</v>
      </c>
      <c r="AH54" s="116">
        <f>+VLOOKUP($B54,'datos9-2014'!$A$2:$BE$78,45,FALSE)</f>
        <v>0</v>
      </c>
      <c r="AI54" s="116">
        <f>+VLOOKUP($B54,'datos9-2014'!$A$2:$BE$78,46,FALSE)</f>
        <v>0</v>
      </c>
      <c r="AJ54" s="68">
        <f t="shared" si="18"/>
        <v>489245.51</v>
      </c>
      <c r="AK54" s="116">
        <f>+VLOOKUP($B54,'datos9-2014'!$A$2:$BE$78,49,FALSE)</f>
        <v>0</v>
      </c>
      <c r="AL54" s="116">
        <f>+VLOOKUP($B54,'datos9-2014'!$A$2:$BE$78,50,FALSE)</f>
        <v>0</v>
      </c>
      <c r="AM54" s="116">
        <f>+VLOOKUP($B54,'datos9-2014'!$A$2:$BE$78,51,FALSE)</f>
        <v>0</v>
      </c>
      <c r="AN54" s="116">
        <f>+VLOOKUP($B54,'datos9-2014'!$A$2:$BE$78,52,FALSE)</f>
        <v>0</v>
      </c>
      <c r="AO54" s="119">
        <f t="shared" si="19"/>
        <v>0</v>
      </c>
      <c r="AP54" s="116">
        <f>+VLOOKUP($B54,'datos9-2014'!$A$2:$BE$78,55,FALSE)</f>
        <v>0</v>
      </c>
      <c r="AQ54" s="118">
        <f t="shared" si="20"/>
        <v>598479.1</v>
      </c>
      <c r="AS54" s="120">
        <f t="shared" si="21"/>
        <v>1347409.56</v>
      </c>
      <c r="AW54" s="116">
        <v>15597.8</v>
      </c>
    </row>
    <row r="55" spans="2:49" x14ac:dyDescent="0.2">
      <c r="B55" s="121" t="s">
        <v>107</v>
      </c>
      <c r="C55" s="115"/>
      <c r="D55" s="116">
        <f>+VLOOKUP($B55,'datos9-2014'!$A$2:$BE$78,13,FALSE)</f>
        <v>111854.05</v>
      </c>
      <c r="E55" s="116">
        <f>+VLOOKUP($B55,'datos9-2014'!$A$2:$BE$78,14,FALSE)</f>
        <v>0</v>
      </c>
      <c r="F55" s="116">
        <f>+VLOOKUP($B55,'datos9-2014'!$A$2:$BE$78,15,FALSE)</f>
        <v>0</v>
      </c>
      <c r="G55" s="68">
        <f t="shared" si="11"/>
        <v>111854.05</v>
      </c>
      <c r="H55" s="116">
        <f>+VLOOKUP($B55,'datos9-2014'!$A$2:$BE$78,17,FALSE)</f>
        <v>142456.26</v>
      </c>
      <c r="I55" s="116">
        <f>+VLOOKUP($B55,'datos9-2014'!$A$2:$BE$78,18,FALSE)</f>
        <v>0</v>
      </c>
      <c r="J55" s="116">
        <f>+VLOOKUP($B55,'datos9-2014'!$A$2:$BE$78,19,FALSE)</f>
        <v>0</v>
      </c>
      <c r="K55" s="116">
        <f>+VLOOKUP($B55,'datos9-2014'!$A$2:$BE$78,20,FALSE)</f>
        <v>1033465.28</v>
      </c>
      <c r="L55" s="68">
        <f t="shared" si="12"/>
        <v>1175921.54</v>
      </c>
      <c r="M55" s="116">
        <f>+VLOOKUP($B55,'datos9-2014'!$A$2:$BE$78,22,FALSE)</f>
        <v>0</v>
      </c>
      <c r="N55" s="116">
        <f>+VLOOKUP($B55,'datos9-2014'!$A$2:$BE$78,23,FALSE)</f>
        <v>0</v>
      </c>
      <c r="O55" s="116">
        <f>+VLOOKUP($B55,'datos9-2014'!$A$2:$BE$78,24,FALSE)</f>
        <v>127096.82</v>
      </c>
      <c r="P55" s="68">
        <f t="shared" si="13"/>
        <v>127096.82</v>
      </c>
      <c r="Q55" s="116">
        <f>+VLOOKUP($B55,'datos9-2014'!$A$2:$BE$78,26,FALSE)</f>
        <v>0</v>
      </c>
      <c r="R55" s="116">
        <f>+VLOOKUP($B55,'datos9-2014'!$A$2:$BE$78,27,FALSE)</f>
        <v>0</v>
      </c>
      <c r="S55" s="116">
        <f>+VLOOKUP($B55,'datos9-2014'!$A$2:$BE$78,28,FALSE)</f>
        <v>0</v>
      </c>
      <c r="T55" s="116">
        <f>+VLOOKUP($B55,'datos9-2014'!$A$2:$BE$78,29,FALSE)</f>
        <v>0</v>
      </c>
      <c r="U55" s="68">
        <f t="shared" si="14"/>
        <v>0</v>
      </c>
      <c r="V55" s="116">
        <f>+VLOOKUP($B55,'datos9-2014'!$A$2:$BE$78,31,FALSE)</f>
        <v>0</v>
      </c>
      <c r="W55" s="116">
        <f>+VLOOKUP($B55,'datos9-2014'!$A$2:$BE$78,32,FALSE)</f>
        <v>8852.24</v>
      </c>
      <c r="X55" s="117">
        <f t="shared" si="15"/>
        <v>8852.24</v>
      </c>
      <c r="Y55" s="118">
        <f t="shared" si="16"/>
        <v>1423724.6500000001</v>
      </c>
      <c r="Z55" s="116">
        <f>+VLOOKUP($B55,'datos9-2014'!$A$2:$BE$78,35,FALSE)</f>
        <v>3453000</v>
      </c>
      <c r="AA55" s="116">
        <f>+VLOOKUP($B55,'datos9-2014'!$A$2:$BE$78,36,FALSE)</f>
        <v>100000</v>
      </c>
      <c r="AB55" s="116">
        <f>+VLOOKUP($B55,'datos9-2014'!$A$2:$BE$78,37,FALSE)</f>
        <v>0</v>
      </c>
      <c r="AC55" s="116">
        <f>+VLOOKUP($B55,'datos9-2014'!$A$2:$BE$78,38,FALSE)</f>
        <v>0</v>
      </c>
      <c r="AD55" s="116">
        <f>+VLOOKUP($B55,'datos9-2014'!$A$2:$BE$78,39,FALSE)</f>
        <v>0</v>
      </c>
      <c r="AE55" s="68">
        <f t="shared" si="17"/>
        <v>3553000</v>
      </c>
      <c r="AF55" s="116">
        <f>+VLOOKUP($B55,'datos9-2014'!$A$2:$BE$78,42,FALSE)</f>
        <v>258134</v>
      </c>
      <c r="AG55" s="116">
        <f>+VLOOKUP($B55,'datos9-2014'!$A$2:$BE$78,44,FALSE)</f>
        <v>170564.8</v>
      </c>
      <c r="AH55" s="116">
        <f>+VLOOKUP($B55,'datos9-2014'!$A$2:$BE$78,45,FALSE)</f>
        <v>0</v>
      </c>
      <c r="AI55" s="116">
        <f>+VLOOKUP($B55,'datos9-2014'!$A$2:$BE$78,46,FALSE)</f>
        <v>0</v>
      </c>
      <c r="AJ55" s="68">
        <f t="shared" si="18"/>
        <v>428698.8</v>
      </c>
      <c r="AK55" s="116">
        <f>+VLOOKUP($B55,'datos9-2014'!$A$2:$BE$78,49,FALSE)</f>
        <v>59028.7</v>
      </c>
      <c r="AL55" s="116">
        <f>+VLOOKUP($B55,'datos9-2014'!$A$2:$BE$78,50,FALSE)</f>
        <v>0</v>
      </c>
      <c r="AM55" s="116">
        <f>+VLOOKUP($B55,'datos9-2014'!$A$2:$BE$78,51,FALSE)</f>
        <v>0</v>
      </c>
      <c r="AN55" s="116">
        <f>+VLOOKUP($B55,'datos9-2014'!$A$2:$BE$78,52,FALSE)</f>
        <v>0</v>
      </c>
      <c r="AO55" s="119">
        <f t="shared" si="19"/>
        <v>59028.7</v>
      </c>
      <c r="AP55" s="116">
        <f>+VLOOKUP($B55,'datos9-2014'!$A$2:$BE$78,55,FALSE)</f>
        <v>0</v>
      </c>
      <c r="AQ55" s="118">
        <f t="shared" si="20"/>
        <v>4040727.5</v>
      </c>
      <c r="AS55" s="120">
        <f t="shared" si="21"/>
        <v>5464452.1500000004</v>
      </c>
      <c r="AW55" s="116">
        <v>83711.31</v>
      </c>
    </row>
    <row r="56" spans="2:49" x14ac:dyDescent="0.2">
      <c r="B56" s="121" t="s">
        <v>108</v>
      </c>
      <c r="C56" s="115"/>
      <c r="D56" s="116">
        <f>+VLOOKUP($B56,'datos9-2014'!$A$2:$BE$78,13,FALSE)</f>
        <v>34631.46</v>
      </c>
      <c r="E56" s="116">
        <f>+VLOOKUP($B56,'datos9-2014'!$A$2:$BE$78,14,FALSE)</f>
        <v>0</v>
      </c>
      <c r="F56" s="116">
        <f>+VLOOKUP($B56,'datos9-2014'!$A$2:$BE$78,15,FALSE)</f>
        <v>601.01</v>
      </c>
      <c r="G56" s="68">
        <f t="shared" si="11"/>
        <v>35232.47</v>
      </c>
      <c r="H56" s="116">
        <f>+VLOOKUP($B56,'datos9-2014'!$A$2:$BE$78,17,FALSE)</f>
        <v>1705026.48</v>
      </c>
      <c r="I56" s="116">
        <f>+VLOOKUP($B56,'datos9-2014'!$A$2:$BE$78,18,FALSE)</f>
        <v>0</v>
      </c>
      <c r="J56" s="116">
        <f>+VLOOKUP($B56,'datos9-2014'!$A$2:$BE$78,19,FALSE)</f>
        <v>0</v>
      </c>
      <c r="K56" s="116">
        <f>+VLOOKUP($B56,'datos9-2014'!$A$2:$BE$78,20,FALSE)</f>
        <v>299777.09999999998</v>
      </c>
      <c r="L56" s="68">
        <f t="shared" si="12"/>
        <v>2004803.58</v>
      </c>
      <c r="M56" s="116">
        <f>+VLOOKUP($B56,'datos9-2014'!$A$2:$BE$78,22,FALSE)</f>
        <v>183290.16</v>
      </c>
      <c r="N56" s="116">
        <f>+VLOOKUP($B56,'datos9-2014'!$A$2:$BE$78,23,FALSE)</f>
        <v>0</v>
      </c>
      <c r="O56" s="116">
        <f>+VLOOKUP($B56,'datos9-2014'!$A$2:$BE$78,24,FALSE)</f>
        <v>0</v>
      </c>
      <c r="P56" s="68">
        <f t="shared" si="13"/>
        <v>183290.16</v>
      </c>
      <c r="Q56" s="116">
        <f>+VLOOKUP($B56,'datos9-2014'!$A$2:$BE$78,26,FALSE)</f>
        <v>0</v>
      </c>
      <c r="R56" s="116">
        <f>+VLOOKUP($B56,'datos9-2014'!$A$2:$BE$78,27,FALSE)</f>
        <v>0</v>
      </c>
      <c r="S56" s="116">
        <f>+VLOOKUP($B56,'datos9-2014'!$A$2:$BE$78,28,FALSE)</f>
        <v>0</v>
      </c>
      <c r="T56" s="116">
        <f>+VLOOKUP($B56,'datos9-2014'!$A$2:$BE$78,29,FALSE)</f>
        <v>0</v>
      </c>
      <c r="U56" s="68">
        <f t="shared" si="14"/>
        <v>0</v>
      </c>
      <c r="V56" s="116">
        <f>+VLOOKUP($B56,'datos9-2014'!$A$2:$BE$78,31,FALSE)</f>
        <v>0</v>
      </c>
      <c r="W56" s="116">
        <f>+VLOOKUP($B56,'datos9-2014'!$A$2:$BE$78,32,FALSE)</f>
        <v>0</v>
      </c>
      <c r="X56" s="117">
        <f t="shared" si="15"/>
        <v>0</v>
      </c>
      <c r="Y56" s="118">
        <f t="shared" si="16"/>
        <v>2223326.2100000004</v>
      </c>
      <c r="Z56" s="116">
        <f>+VLOOKUP($B56,'datos9-2014'!$A$2:$BE$78,35,FALSE)</f>
        <v>0</v>
      </c>
      <c r="AA56" s="116">
        <f>+VLOOKUP($B56,'datos9-2014'!$A$2:$BE$78,36,FALSE)</f>
        <v>0</v>
      </c>
      <c r="AB56" s="116">
        <f>+VLOOKUP($B56,'datos9-2014'!$A$2:$BE$78,37,FALSE)</f>
        <v>0</v>
      </c>
      <c r="AC56" s="116">
        <f>+VLOOKUP($B56,'datos9-2014'!$A$2:$BE$78,38,FALSE)</f>
        <v>0</v>
      </c>
      <c r="AD56" s="116">
        <f>+VLOOKUP($B56,'datos9-2014'!$A$2:$BE$78,39,FALSE)</f>
        <v>0</v>
      </c>
      <c r="AE56" s="68">
        <f t="shared" si="17"/>
        <v>0</v>
      </c>
      <c r="AF56" s="116">
        <f>+VLOOKUP($B56,'datos9-2014'!$A$2:$BE$78,42,FALSE)</f>
        <v>20547.2</v>
      </c>
      <c r="AG56" s="116">
        <f>+VLOOKUP($B56,'datos9-2014'!$A$2:$BE$78,44,FALSE)</f>
        <v>23153.52</v>
      </c>
      <c r="AH56" s="116">
        <f>+VLOOKUP($B56,'datos9-2014'!$A$2:$BE$78,45,FALSE)</f>
        <v>0</v>
      </c>
      <c r="AI56" s="116">
        <f>+VLOOKUP($B56,'datos9-2014'!$A$2:$BE$78,46,FALSE)</f>
        <v>0</v>
      </c>
      <c r="AJ56" s="68">
        <f t="shared" si="18"/>
        <v>43700.72</v>
      </c>
      <c r="AK56" s="116">
        <f>+VLOOKUP($B56,'datos9-2014'!$A$2:$BE$78,49,FALSE)</f>
        <v>0</v>
      </c>
      <c r="AL56" s="116">
        <f>+VLOOKUP($B56,'datos9-2014'!$A$2:$BE$78,50,FALSE)</f>
        <v>0</v>
      </c>
      <c r="AM56" s="116">
        <f>+VLOOKUP($B56,'datos9-2014'!$A$2:$BE$78,51,FALSE)</f>
        <v>0</v>
      </c>
      <c r="AN56" s="116">
        <f>+VLOOKUP($B56,'datos9-2014'!$A$2:$BE$78,52,FALSE)</f>
        <v>0</v>
      </c>
      <c r="AO56" s="119">
        <f t="shared" si="19"/>
        <v>0</v>
      </c>
      <c r="AP56" s="116">
        <f>+VLOOKUP($B56,'datos9-2014'!$A$2:$BE$78,55,FALSE)</f>
        <v>0</v>
      </c>
      <c r="AQ56" s="118">
        <f t="shared" si="20"/>
        <v>43700.72</v>
      </c>
      <c r="AS56" s="120">
        <f t="shared" si="21"/>
        <v>2267026.9300000006</v>
      </c>
      <c r="AW56" s="116">
        <v>366438.87</v>
      </c>
    </row>
    <row r="57" spans="2:49" x14ac:dyDescent="0.2">
      <c r="B57" s="121" t="s">
        <v>109</v>
      </c>
      <c r="C57" s="115"/>
      <c r="D57" s="116">
        <f>+VLOOKUP($B57,'datos9-2014'!$A$2:$BE$78,13,FALSE)</f>
        <v>8781696</v>
      </c>
      <c r="E57" s="116">
        <f>+VLOOKUP($B57,'datos9-2014'!$A$2:$BE$78,14,FALSE)</f>
        <v>0</v>
      </c>
      <c r="F57" s="116">
        <f>+VLOOKUP($B57,'datos9-2014'!$A$2:$BE$78,15,FALSE)</f>
        <v>110031</v>
      </c>
      <c r="G57" s="68">
        <f t="shared" si="11"/>
        <v>8891727</v>
      </c>
      <c r="H57" s="116">
        <f>+VLOOKUP($B57,'datos9-2014'!$A$2:$BE$78,17,FALSE)</f>
        <v>871885</v>
      </c>
      <c r="I57" s="116">
        <f>+VLOOKUP($B57,'datos9-2014'!$A$2:$BE$78,18,FALSE)</f>
        <v>73014</v>
      </c>
      <c r="J57" s="116">
        <f>+VLOOKUP($B57,'datos9-2014'!$A$2:$BE$78,19,FALSE)</f>
        <v>12139603</v>
      </c>
      <c r="K57" s="116">
        <f>+VLOOKUP($B57,'datos9-2014'!$A$2:$BE$78,20,FALSE)</f>
        <v>9547072</v>
      </c>
      <c r="L57" s="68">
        <f t="shared" si="12"/>
        <v>22631574</v>
      </c>
      <c r="M57" s="116">
        <f>+VLOOKUP($B57,'datos9-2014'!$A$2:$BE$78,22,FALSE)</f>
        <v>36415</v>
      </c>
      <c r="N57" s="116">
        <f>+VLOOKUP($B57,'datos9-2014'!$A$2:$BE$78,23,FALSE)</f>
        <v>106284</v>
      </c>
      <c r="O57" s="116">
        <f>+VLOOKUP($B57,'datos9-2014'!$A$2:$BE$78,24,FALSE)</f>
        <v>0</v>
      </c>
      <c r="P57" s="68">
        <f t="shared" si="13"/>
        <v>142699</v>
      </c>
      <c r="Q57" s="116">
        <f>+VLOOKUP($B57,'datos9-2014'!$A$2:$BE$78,26,FALSE)</f>
        <v>0</v>
      </c>
      <c r="R57" s="116">
        <f>+VLOOKUP($B57,'datos9-2014'!$A$2:$BE$78,27,FALSE)</f>
        <v>0</v>
      </c>
      <c r="S57" s="116">
        <f>+VLOOKUP($B57,'datos9-2014'!$A$2:$BE$78,28,FALSE)</f>
        <v>0</v>
      </c>
      <c r="T57" s="116">
        <f>+VLOOKUP($B57,'datos9-2014'!$A$2:$BE$78,29,FALSE)</f>
        <v>14281</v>
      </c>
      <c r="U57" s="68">
        <f t="shared" si="14"/>
        <v>14281</v>
      </c>
      <c r="V57" s="116">
        <f>+VLOOKUP($B57,'datos9-2014'!$A$2:$BE$78,31,FALSE)</f>
        <v>0</v>
      </c>
      <c r="W57" s="116">
        <f>+VLOOKUP($B57,'datos9-2014'!$A$2:$BE$78,32,FALSE)</f>
        <v>5970355</v>
      </c>
      <c r="X57" s="117">
        <f t="shared" si="15"/>
        <v>5970355</v>
      </c>
      <c r="Y57" s="118">
        <f t="shared" si="16"/>
        <v>37650636</v>
      </c>
      <c r="Z57" s="116">
        <f>+VLOOKUP($B57,'datos9-2014'!$A$2:$BE$78,35,FALSE)</f>
        <v>0</v>
      </c>
      <c r="AA57" s="116">
        <f>+VLOOKUP($B57,'datos9-2014'!$A$2:$BE$78,36,FALSE)</f>
        <v>0</v>
      </c>
      <c r="AB57" s="116">
        <f>+VLOOKUP($B57,'datos9-2014'!$A$2:$BE$78,37,FALSE)</f>
        <v>0</v>
      </c>
      <c r="AC57" s="116">
        <f>+VLOOKUP($B57,'datos9-2014'!$A$2:$BE$78,38,FALSE)</f>
        <v>0</v>
      </c>
      <c r="AD57" s="116">
        <f>+VLOOKUP($B57,'datos9-2014'!$A$2:$BE$78,39,FALSE)</f>
        <v>0</v>
      </c>
      <c r="AE57" s="68">
        <f t="shared" si="17"/>
        <v>0</v>
      </c>
      <c r="AF57" s="116">
        <f>+VLOOKUP($B57,'datos9-2014'!$A$2:$BE$78,42,FALSE)</f>
        <v>1686969</v>
      </c>
      <c r="AG57" s="116">
        <f>+VLOOKUP($B57,'datos9-2014'!$A$2:$BE$78,44,FALSE)</f>
        <v>1600713</v>
      </c>
      <c r="AH57" s="116">
        <f>+VLOOKUP($B57,'datos9-2014'!$A$2:$BE$78,45,FALSE)</f>
        <v>0</v>
      </c>
      <c r="AI57" s="116">
        <f>+VLOOKUP($B57,'datos9-2014'!$A$2:$BE$78,46,FALSE)</f>
        <v>0</v>
      </c>
      <c r="AJ57" s="68">
        <f t="shared" si="18"/>
        <v>3287682</v>
      </c>
      <c r="AK57" s="116">
        <f>+VLOOKUP($B57,'datos9-2014'!$A$2:$BE$78,49,FALSE)</f>
        <v>0</v>
      </c>
      <c r="AL57" s="116">
        <f>+VLOOKUP($B57,'datos9-2014'!$A$2:$BE$78,50,FALSE)</f>
        <v>0</v>
      </c>
      <c r="AM57" s="116">
        <f>+VLOOKUP($B57,'datos9-2014'!$A$2:$BE$78,51,FALSE)</f>
        <v>0</v>
      </c>
      <c r="AN57" s="116">
        <f>+VLOOKUP($B57,'datos9-2014'!$A$2:$BE$78,52,FALSE)</f>
        <v>0</v>
      </c>
      <c r="AO57" s="119">
        <f t="shared" si="19"/>
        <v>0</v>
      </c>
      <c r="AP57" s="116">
        <f>+VLOOKUP($B57,'datos9-2014'!$A$2:$BE$78,55,FALSE)</f>
        <v>0</v>
      </c>
      <c r="AQ57" s="118">
        <f t="shared" si="20"/>
        <v>3287682</v>
      </c>
      <c r="AS57" s="120">
        <f t="shared" si="21"/>
        <v>40938318</v>
      </c>
      <c r="AW57" s="116">
        <v>159579.87</v>
      </c>
    </row>
    <row r="58" spans="2:49" x14ac:dyDescent="0.2">
      <c r="B58" s="121" t="s">
        <v>110</v>
      </c>
      <c r="C58" s="115"/>
      <c r="D58" s="116">
        <f>+VLOOKUP($B58,'datos9-2014'!$A$2:$BE$78,13,FALSE)</f>
        <v>6300000</v>
      </c>
      <c r="E58" s="116">
        <f>+VLOOKUP($B58,'datos9-2014'!$A$2:$BE$78,14,FALSE)</f>
        <v>0</v>
      </c>
      <c r="F58" s="116">
        <f>+VLOOKUP($B58,'datos9-2014'!$A$2:$BE$78,15,FALSE)</f>
        <v>236000</v>
      </c>
      <c r="G58" s="68">
        <f t="shared" si="11"/>
        <v>6536000</v>
      </c>
      <c r="H58" s="116">
        <f>+VLOOKUP($B58,'datos9-2014'!$A$2:$BE$78,17,FALSE)</f>
        <v>221000</v>
      </c>
      <c r="I58" s="116">
        <f>+VLOOKUP($B58,'datos9-2014'!$A$2:$BE$78,18,FALSE)</f>
        <v>1300000</v>
      </c>
      <c r="J58" s="116">
        <f>+VLOOKUP($B58,'datos9-2014'!$A$2:$BE$78,19,FALSE)</f>
        <v>0</v>
      </c>
      <c r="K58" s="116">
        <f>+VLOOKUP($B58,'datos9-2014'!$A$2:$BE$78,20,FALSE)</f>
        <v>0</v>
      </c>
      <c r="L58" s="68">
        <f t="shared" si="12"/>
        <v>1521000</v>
      </c>
      <c r="M58" s="116">
        <f>+VLOOKUP($B58,'datos9-2014'!$A$2:$BE$78,22,FALSE)</f>
        <v>150000</v>
      </c>
      <c r="N58" s="116">
        <f>+VLOOKUP($B58,'datos9-2014'!$A$2:$BE$78,23,FALSE)</f>
        <v>71000</v>
      </c>
      <c r="O58" s="116">
        <f>+VLOOKUP($B58,'datos9-2014'!$A$2:$BE$78,24,FALSE)</f>
        <v>0</v>
      </c>
      <c r="P58" s="68">
        <f t="shared" si="13"/>
        <v>221000</v>
      </c>
      <c r="Q58" s="116">
        <f>+VLOOKUP($B58,'datos9-2014'!$A$2:$BE$78,26,FALSE)</f>
        <v>0</v>
      </c>
      <c r="R58" s="116">
        <f>+VLOOKUP($B58,'datos9-2014'!$A$2:$BE$78,27,FALSE)</f>
        <v>0</v>
      </c>
      <c r="S58" s="116">
        <f>+VLOOKUP($B58,'datos9-2014'!$A$2:$BE$78,28,FALSE)</f>
        <v>0</v>
      </c>
      <c r="T58" s="116">
        <f>+VLOOKUP($B58,'datos9-2014'!$A$2:$BE$78,29,FALSE)</f>
        <v>0</v>
      </c>
      <c r="U58" s="68">
        <f t="shared" si="14"/>
        <v>0</v>
      </c>
      <c r="V58" s="116">
        <f>+VLOOKUP($B58,'datos9-2014'!$A$2:$BE$78,31,FALSE)</f>
        <v>0</v>
      </c>
      <c r="W58" s="116">
        <f>+VLOOKUP($B58,'datos9-2014'!$A$2:$BE$78,32,FALSE)</f>
        <v>0</v>
      </c>
      <c r="X58" s="117">
        <f t="shared" si="15"/>
        <v>0</v>
      </c>
      <c r="Y58" s="118">
        <f t="shared" si="16"/>
        <v>8278000</v>
      </c>
      <c r="Z58" s="116">
        <f>+VLOOKUP($B58,'datos9-2014'!$A$2:$BE$78,35,FALSE)</f>
        <v>3500000</v>
      </c>
      <c r="AA58" s="116">
        <f>+VLOOKUP($B58,'datos9-2014'!$A$2:$BE$78,36,FALSE)</f>
        <v>1593676</v>
      </c>
      <c r="AB58" s="116">
        <f>+VLOOKUP($B58,'datos9-2014'!$A$2:$BE$78,37,FALSE)</f>
        <v>0</v>
      </c>
      <c r="AC58" s="116">
        <f>+VLOOKUP($B58,'datos9-2014'!$A$2:$BE$78,38,FALSE)</f>
        <v>0</v>
      </c>
      <c r="AD58" s="116">
        <f>+VLOOKUP($B58,'datos9-2014'!$A$2:$BE$78,39,FALSE)</f>
        <v>0</v>
      </c>
      <c r="AE58" s="68">
        <f t="shared" si="17"/>
        <v>5093676</v>
      </c>
      <c r="AF58" s="116">
        <f>+VLOOKUP($B58,'datos9-2014'!$A$2:$BE$78,42,FALSE)</f>
        <v>903850</v>
      </c>
      <c r="AG58" s="116">
        <f>+VLOOKUP($B58,'datos9-2014'!$A$2:$BE$78,44,FALSE)</f>
        <v>207102</v>
      </c>
      <c r="AH58" s="116">
        <f>+VLOOKUP($B58,'datos9-2014'!$A$2:$BE$78,45,FALSE)</f>
        <v>0</v>
      </c>
      <c r="AI58" s="116">
        <f>+VLOOKUP($B58,'datos9-2014'!$A$2:$BE$78,46,FALSE)</f>
        <v>0</v>
      </c>
      <c r="AJ58" s="68">
        <f t="shared" si="18"/>
        <v>1110952</v>
      </c>
      <c r="AK58" s="116">
        <f>+VLOOKUP($B58,'datos9-2014'!$A$2:$BE$78,49,FALSE)</f>
        <v>572781.27</v>
      </c>
      <c r="AL58" s="116">
        <f>+VLOOKUP($B58,'datos9-2014'!$A$2:$BE$78,50,FALSE)</f>
        <v>1749125</v>
      </c>
      <c r="AM58" s="116">
        <f>+VLOOKUP($B58,'datos9-2014'!$A$2:$BE$78,51,FALSE)</f>
        <v>366986</v>
      </c>
      <c r="AN58" s="116">
        <f>+VLOOKUP($B58,'datos9-2014'!$A$2:$BE$78,52,FALSE)</f>
        <v>8510413</v>
      </c>
      <c r="AO58" s="119">
        <f t="shared" si="19"/>
        <v>11199305.27</v>
      </c>
      <c r="AP58" s="116">
        <f>+VLOOKUP($B58,'datos9-2014'!$A$2:$BE$78,55,FALSE)</f>
        <v>0</v>
      </c>
      <c r="AQ58" s="118">
        <f t="shared" si="20"/>
        <v>17403933.27</v>
      </c>
      <c r="AS58" s="120">
        <f t="shared" si="21"/>
        <v>25681933.27</v>
      </c>
      <c r="AW58" s="116">
        <v>0</v>
      </c>
    </row>
    <row r="59" spans="2:49" x14ac:dyDescent="0.2">
      <c r="B59" s="121" t="s">
        <v>111</v>
      </c>
      <c r="C59" s="115"/>
      <c r="D59" s="116">
        <f>+VLOOKUP($B59,'datos9-2014'!$A$2:$BE$78,13,FALSE)</f>
        <v>601997.97</v>
      </c>
      <c r="E59" s="116">
        <f>+VLOOKUP($B59,'datos9-2014'!$A$2:$BE$78,14,FALSE)</f>
        <v>0</v>
      </c>
      <c r="F59" s="116">
        <f>+VLOOKUP($B59,'datos9-2014'!$A$2:$BE$78,15,FALSE)</f>
        <v>0</v>
      </c>
      <c r="G59" s="68">
        <f t="shared" si="11"/>
        <v>601997.97</v>
      </c>
      <c r="H59" s="116">
        <f>+VLOOKUP($B59,'datos9-2014'!$A$2:$BE$78,17,FALSE)</f>
        <v>248203.41</v>
      </c>
      <c r="I59" s="116">
        <f>+VLOOKUP($B59,'datos9-2014'!$A$2:$BE$78,18,FALSE)</f>
        <v>318394.34000000003</v>
      </c>
      <c r="J59" s="116">
        <f>+VLOOKUP($B59,'datos9-2014'!$A$2:$BE$78,19,FALSE)</f>
        <v>0</v>
      </c>
      <c r="K59" s="116">
        <f>+VLOOKUP($B59,'datos9-2014'!$A$2:$BE$78,20,FALSE)</f>
        <v>273155.95</v>
      </c>
      <c r="L59" s="68">
        <f t="shared" si="12"/>
        <v>839753.7</v>
      </c>
      <c r="M59" s="116">
        <f>+VLOOKUP($B59,'datos9-2014'!$A$2:$BE$78,22,FALSE)</f>
        <v>521789.54</v>
      </c>
      <c r="N59" s="116">
        <f>+VLOOKUP($B59,'datos9-2014'!$A$2:$BE$78,23,FALSE)</f>
        <v>0</v>
      </c>
      <c r="O59" s="116">
        <f>+VLOOKUP($B59,'datos9-2014'!$A$2:$BE$78,24,FALSE)</f>
        <v>0</v>
      </c>
      <c r="P59" s="68">
        <f t="shared" si="13"/>
        <v>521789.54</v>
      </c>
      <c r="Q59" s="116">
        <f>+VLOOKUP($B59,'datos9-2014'!$A$2:$BE$78,26,FALSE)</f>
        <v>0</v>
      </c>
      <c r="R59" s="116">
        <f>+VLOOKUP($B59,'datos9-2014'!$A$2:$BE$78,27,FALSE)</f>
        <v>0</v>
      </c>
      <c r="S59" s="116">
        <f>+VLOOKUP($B59,'datos9-2014'!$A$2:$BE$78,28,FALSE)</f>
        <v>0</v>
      </c>
      <c r="T59" s="116">
        <f>+VLOOKUP($B59,'datos9-2014'!$A$2:$BE$78,29,FALSE)</f>
        <v>0</v>
      </c>
      <c r="U59" s="68">
        <f t="shared" si="14"/>
        <v>0</v>
      </c>
      <c r="V59" s="116">
        <f>+VLOOKUP($B59,'datos9-2014'!$A$2:$BE$78,31,FALSE)</f>
        <v>28615.45</v>
      </c>
      <c r="W59" s="116">
        <f>+VLOOKUP($B59,'datos9-2014'!$A$2:$BE$78,32,FALSE)</f>
        <v>392816.85</v>
      </c>
      <c r="X59" s="117">
        <f t="shared" si="15"/>
        <v>421432.3</v>
      </c>
      <c r="Y59" s="118">
        <f t="shared" si="16"/>
        <v>2384973.5099999998</v>
      </c>
      <c r="Z59" s="116">
        <f>+VLOOKUP($B59,'datos9-2014'!$A$2:$BE$78,35,FALSE)</f>
        <v>6500000</v>
      </c>
      <c r="AA59" s="116">
        <f>+VLOOKUP($B59,'datos9-2014'!$A$2:$BE$78,36,FALSE)</f>
        <v>220000</v>
      </c>
      <c r="AB59" s="116">
        <f>+VLOOKUP($B59,'datos9-2014'!$A$2:$BE$78,37,FALSE)</f>
        <v>0</v>
      </c>
      <c r="AC59" s="116">
        <f>+VLOOKUP($B59,'datos9-2014'!$A$2:$BE$78,38,FALSE)</f>
        <v>0</v>
      </c>
      <c r="AD59" s="116">
        <f>+VLOOKUP($B59,'datos9-2014'!$A$2:$BE$78,39,FALSE)</f>
        <v>0</v>
      </c>
      <c r="AE59" s="68">
        <f t="shared" si="17"/>
        <v>6720000</v>
      </c>
      <c r="AF59" s="116">
        <f>+VLOOKUP($B59,'datos9-2014'!$A$2:$BE$78,42,FALSE)</f>
        <v>5517175.1500000004</v>
      </c>
      <c r="AG59" s="116">
        <f>+VLOOKUP($B59,'datos9-2014'!$A$2:$BE$78,44,FALSE)</f>
        <v>1620314.47</v>
      </c>
      <c r="AH59" s="116">
        <f>+VLOOKUP($B59,'datos9-2014'!$A$2:$BE$78,45,FALSE)</f>
        <v>0</v>
      </c>
      <c r="AI59" s="116">
        <f>+VLOOKUP($B59,'datos9-2014'!$A$2:$BE$78,46,FALSE)</f>
        <v>0</v>
      </c>
      <c r="AJ59" s="68">
        <f t="shared" si="18"/>
        <v>7137489.6200000001</v>
      </c>
      <c r="AK59" s="116">
        <f>+VLOOKUP($B59,'datos9-2014'!$A$2:$BE$78,49,FALSE)</f>
        <v>76501.8</v>
      </c>
      <c r="AL59" s="116">
        <f>+VLOOKUP($B59,'datos9-2014'!$A$2:$BE$78,50,FALSE)</f>
        <v>2190000</v>
      </c>
      <c r="AM59" s="116">
        <f>+VLOOKUP($B59,'datos9-2014'!$A$2:$BE$78,51,FALSE)</f>
        <v>75977.47</v>
      </c>
      <c r="AN59" s="116">
        <f>+VLOOKUP($B59,'datos9-2014'!$A$2:$BE$78,52,FALSE)</f>
        <v>0</v>
      </c>
      <c r="AO59" s="119">
        <f t="shared" si="19"/>
        <v>2342479.27</v>
      </c>
      <c r="AP59" s="116">
        <f>+VLOOKUP($B59,'datos9-2014'!$A$2:$BE$78,55,FALSE)</f>
        <v>0</v>
      </c>
      <c r="AQ59" s="118">
        <f t="shared" si="20"/>
        <v>16199968.890000001</v>
      </c>
      <c r="AS59" s="120">
        <f t="shared" si="21"/>
        <v>18584942.399999999</v>
      </c>
      <c r="AW59" s="116">
        <v>68478.789999999994</v>
      </c>
    </row>
    <row r="60" spans="2:49" x14ac:dyDescent="0.2">
      <c r="B60" s="121" t="s">
        <v>112</v>
      </c>
      <c r="C60" s="115"/>
      <c r="D60" s="116">
        <f>+VLOOKUP($B60,'datos9-2014'!$A$2:$BE$78,13,FALSE)</f>
        <v>289284.78000000003</v>
      </c>
      <c r="E60" s="116">
        <f>+VLOOKUP($B60,'datos9-2014'!$A$2:$BE$78,14,FALSE)</f>
        <v>0</v>
      </c>
      <c r="F60" s="116">
        <f>+VLOOKUP($B60,'datos9-2014'!$A$2:$BE$78,15,FALSE)</f>
        <v>0</v>
      </c>
      <c r="G60" s="68">
        <f t="shared" si="11"/>
        <v>289284.78000000003</v>
      </c>
      <c r="H60" s="116">
        <f>+VLOOKUP($B60,'datos9-2014'!$A$2:$BE$78,17,FALSE)</f>
        <v>0</v>
      </c>
      <c r="I60" s="116">
        <f>+VLOOKUP($B60,'datos9-2014'!$A$2:$BE$78,18,FALSE)</f>
        <v>0</v>
      </c>
      <c r="J60" s="116">
        <f>+VLOOKUP($B60,'datos9-2014'!$A$2:$BE$78,19,FALSE)</f>
        <v>0</v>
      </c>
      <c r="K60" s="116">
        <f>+VLOOKUP($B60,'datos9-2014'!$A$2:$BE$78,20,FALSE)</f>
        <v>307126.43</v>
      </c>
      <c r="L60" s="68">
        <f t="shared" si="12"/>
        <v>307126.43</v>
      </c>
      <c r="M60" s="116">
        <f>+VLOOKUP($B60,'datos9-2014'!$A$2:$BE$78,22,FALSE)</f>
        <v>0</v>
      </c>
      <c r="N60" s="116">
        <f>+VLOOKUP($B60,'datos9-2014'!$A$2:$BE$78,23,FALSE)</f>
        <v>0</v>
      </c>
      <c r="O60" s="116">
        <f>+VLOOKUP($B60,'datos9-2014'!$A$2:$BE$78,24,FALSE)</f>
        <v>0</v>
      </c>
      <c r="P60" s="68">
        <f t="shared" si="13"/>
        <v>0</v>
      </c>
      <c r="Q60" s="116">
        <f>+VLOOKUP($B60,'datos9-2014'!$A$2:$BE$78,26,FALSE)</f>
        <v>0</v>
      </c>
      <c r="R60" s="116">
        <f>+VLOOKUP($B60,'datos9-2014'!$A$2:$BE$78,27,FALSE)</f>
        <v>0</v>
      </c>
      <c r="S60" s="116">
        <f>+VLOOKUP($B60,'datos9-2014'!$A$2:$BE$78,28,FALSE)</f>
        <v>0</v>
      </c>
      <c r="T60" s="116">
        <f>+VLOOKUP($B60,'datos9-2014'!$A$2:$BE$78,29,FALSE)</f>
        <v>0</v>
      </c>
      <c r="U60" s="68">
        <f t="shared" si="14"/>
        <v>0</v>
      </c>
      <c r="V60" s="116">
        <f>+VLOOKUP($B60,'datos9-2014'!$A$2:$BE$78,31,FALSE)</f>
        <v>0</v>
      </c>
      <c r="W60" s="116">
        <f>+VLOOKUP($B60,'datos9-2014'!$A$2:$BE$78,32,FALSE)</f>
        <v>0</v>
      </c>
      <c r="X60" s="117">
        <f t="shared" si="15"/>
        <v>0</v>
      </c>
      <c r="Y60" s="118">
        <f t="shared" si="16"/>
        <v>596411.21</v>
      </c>
      <c r="Z60" s="116">
        <f>+VLOOKUP($B60,'datos9-2014'!$A$2:$BE$78,35,FALSE)</f>
        <v>0</v>
      </c>
      <c r="AA60" s="116">
        <f>+VLOOKUP($B60,'datos9-2014'!$A$2:$BE$78,36,FALSE)</f>
        <v>0</v>
      </c>
      <c r="AB60" s="116">
        <f>+VLOOKUP($B60,'datos9-2014'!$A$2:$BE$78,37,FALSE)</f>
        <v>0</v>
      </c>
      <c r="AC60" s="116">
        <f>+VLOOKUP($B60,'datos9-2014'!$A$2:$BE$78,38,FALSE)</f>
        <v>0</v>
      </c>
      <c r="AD60" s="116">
        <f>+VLOOKUP($B60,'datos9-2014'!$A$2:$BE$78,39,FALSE)</f>
        <v>0</v>
      </c>
      <c r="AE60" s="68">
        <f t="shared" si="17"/>
        <v>0</v>
      </c>
      <c r="AF60" s="116">
        <f>+VLOOKUP($B60,'datos9-2014'!$A$2:$BE$78,42,FALSE)</f>
        <v>0</v>
      </c>
      <c r="AG60" s="116">
        <f>+VLOOKUP($B60,'datos9-2014'!$A$2:$BE$78,44,FALSE)</f>
        <v>0</v>
      </c>
      <c r="AH60" s="116">
        <f>+VLOOKUP($B60,'datos9-2014'!$A$2:$BE$78,45,FALSE)</f>
        <v>0</v>
      </c>
      <c r="AI60" s="116">
        <f>+VLOOKUP($B60,'datos9-2014'!$A$2:$BE$78,46,FALSE)</f>
        <v>0</v>
      </c>
      <c r="AJ60" s="68">
        <f t="shared" si="18"/>
        <v>0</v>
      </c>
      <c r="AK60" s="116">
        <f>+VLOOKUP($B60,'datos9-2014'!$A$2:$BE$78,49,FALSE)</f>
        <v>0</v>
      </c>
      <c r="AL60" s="116">
        <f>+VLOOKUP($B60,'datos9-2014'!$A$2:$BE$78,50,FALSE)</f>
        <v>0</v>
      </c>
      <c r="AM60" s="116">
        <f>+VLOOKUP($B60,'datos9-2014'!$A$2:$BE$78,51,FALSE)</f>
        <v>0</v>
      </c>
      <c r="AN60" s="116">
        <f>+VLOOKUP($B60,'datos9-2014'!$A$2:$BE$78,52,FALSE)</f>
        <v>0</v>
      </c>
      <c r="AO60" s="119">
        <f t="shared" si="19"/>
        <v>0</v>
      </c>
      <c r="AP60" s="116">
        <f>+VLOOKUP($B60,'datos9-2014'!$A$2:$BE$78,55,FALSE)</f>
        <v>0</v>
      </c>
      <c r="AQ60" s="118">
        <f t="shared" si="20"/>
        <v>0</v>
      </c>
      <c r="AS60" s="120">
        <f t="shared" si="21"/>
        <v>596411.21</v>
      </c>
      <c r="AW60" s="116">
        <v>34942.32</v>
      </c>
    </row>
    <row r="61" spans="2:49" x14ac:dyDescent="0.2">
      <c r="B61" s="121" t="s">
        <v>113</v>
      </c>
      <c r="C61" s="115"/>
      <c r="D61" s="116">
        <f>+VLOOKUP($B61,'datos9-2014'!$A$2:$BE$78,13,FALSE)</f>
        <v>8750.82</v>
      </c>
      <c r="E61" s="116">
        <f>+VLOOKUP($B61,'datos9-2014'!$A$2:$BE$78,14,FALSE)</f>
        <v>8504.43</v>
      </c>
      <c r="F61" s="116">
        <f>+VLOOKUP($B61,'datos9-2014'!$A$2:$BE$78,15,FALSE)</f>
        <v>24000</v>
      </c>
      <c r="G61" s="68">
        <f t="shared" si="11"/>
        <v>41255.25</v>
      </c>
      <c r="H61" s="116">
        <f>+VLOOKUP($B61,'datos9-2014'!$A$2:$BE$78,17,FALSE)</f>
        <v>30000</v>
      </c>
      <c r="I61" s="116">
        <f>+VLOOKUP($B61,'datos9-2014'!$A$2:$BE$78,18,FALSE)</f>
        <v>0</v>
      </c>
      <c r="J61" s="116">
        <f>+VLOOKUP($B61,'datos9-2014'!$A$2:$BE$78,19,FALSE)</f>
        <v>0</v>
      </c>
      <c r="K61" s="116">
        <f>+VLOOKUP($B61,'datos9-2014'!$A$2:$BE$78,20,FALSE)</f>
        <v>14098.94</v>
      </c>
      <c r="L61" s="68">
        <f t="shared" si="12"/>
        <v>44098.94</v>
      </c>
      <c r="M61" s="116">
        <f>+VLOOKUP($B61,'datos9-2014'!$A$2:$BE$78,22,FALSE)</f>
        <v>0</v>
      </c>
      <c r="N61" s="116">
        <f>+VLOOKUP($B61,'datos9-2014'!$A$2:$BE$78,23,FALSE)</f>
        <v>0</v>
      </c>
      <c r="O61" s="116">
        <f>+VLOOKUP($B61,'datos9-2014'!$A$2:$BE$78,24,FALSE)</f>
        <v>0</v>
      </c>
      <c r="P61" s="68">
        <f t="shared" si="13"/>
        <v>0</v>
      </c>
      <c r="Q61" s="116">
        <f>+VLOOKUP($B61,'datos9-2014'!$A$2:$BE$78,26,FALSE)</f>
        <v>0</v>
      </c>
      <c r="R61" s="116">
        <f>+VLOOKUP($B61,'datos9-2014'!$A$2:$BE$78,27,FALSE)</f>
        <v>0</v>
      </c>
      <c r="S61" s="116">
        <f>+VLOOKUP($B61,'datos9-2014'!$A$2:$BE$78,28,FALSE)</f>
        <v>0</v>
      </c>
      <c r="T61" s="116">
        <f>+VLOOKUP($B61,'datos9-2014'!$A$2:$BE$78,29,FALSE)</f>
        <v>0</v>
      </c>
      <c r="U61" s="68">
        <f t="shared" si="14"/>
        <v>0</v>
      </c>
      <c r="V61" s="116">
        <f>+VLOOKUP($B61,'datos9-2014'!$A$2:$BE$78,31,FALSE)</f>
        <v>0</v>
      </c>
      <c r="W61" s="116">
        <f>+VLOOKUP($B61,'datos9-2014'!$A$2:$BE$78,32,FALSE)</f>
        <v>61.43</v>
      </c>
      <c r="X61" s="117">
        <f t="shared" si="15"/>
        <v>61.43</v>
      </c>
      <c r="Y61" s="118">
        <f t="shared" si="16"/>
        <v>85415.62</v>
      </c>
      <c r="Z61" s="116">
        <f>+VLOOKUP($B61,'datos9-2014'!$A$2:$BE$78,35,FALSE)</f>
        <v>0</v>
      </c>
      <c r="AA61" s="116">
        <f>+VLOOKUP($B61,'datos9-2014'!$A$2:$BE$78,36,FALSE)</f>
        <v>0</v>
      </c>
      <c r="AB61" s="116">
        <f>+VLOOKUP($B61,'datos9-2014'!$A$2:$BE$78,37,FALSE)</f>
        <v>0</v>
      </c>
      <c r="AC61" s="116">
        <f>+VLOOKUP($B61,'datos9-2014'!$A$2:$BE$78,38,FALSE)</f>
        <v>0</v>
      </c>
      <c r="AD61" s="116">
        <f>+VLOOKUP($B61,'datos9-2014'!$A$2:$BE$78,39,FALSE)</f>
        <v>0</v>
      </c>
      <c r="AE61" s="68">
        <f t="shared" si="17"/>
        <v>0</v>
      </c>
      <c r="AF61" s="116">
        <f>+VLOOKUP($B61,'datos9-2014'!$A$2:$BE$78,42,FALSE)</f>
        <v>0</v>
      </c>
      <c r="AG61" s="116">
        <f>+VLOOKUP($B61,'datos9-2014'!$A$2:$BE$78,44,FALSE)</f>
        <v>79121.899999999994</v>
      </c>
      <c r="AH61" s="116">
        <f>+VLOOKUP($B61,'datos9-2014'!$A$2:$BE$78,45,FALSE)</f>
        <v>0</v>
      </c>
      <c r="AI61" s="116">
        <f>+VLOOKUP($B61,'datos9-2014'!$A$2:$BE$78,46,FALSE)</f>
        <v>0</v>
      </c>
      <c r="AJ61" s="68">
        <f t="shared" si="18"/>
        <v>79121.899999999994</v>
      </c>
      <c r="AK61" s="116">
        <f>+VLOOKUP($B61,'datos9-2014'!$A$2:$BE$78,49,FALSE)</f>
        <v>0</v>
      </c>
      <c r="AL61" s="116">
        <f>+VLOOKUP($B61,'datos9-2014'!$A$2:$BE$78,50,FALSE)</f>
        <v>0</v>
      </c>
      <c r="AM61" s="116">
        <f>+VLOOKUP($B61,'datos9-2014'!$A$2:$BE$78,51,FALSE)</f>
        <v>0</v>
      </c>
      <c r="AN61" s="116">
        <f>+VLOOKUP($B61,'datos9-2014'!$A$2:$BE$78,52,FALSE)</f>
        <v>0</v>
      </c>
      <c r="AO61" s="119">
        <f t="shared" si="19"/>
        <v>0</v>
      </c>
      <c r="AP61" s="116">
        <f>+VLOOKUP($B61,'datos9-2014'!$A$2:$BE$78,55,FALSE)</f>
        <v>0</v>
      </c>
      <c r="AQ61" s="118">
        <f t="shared" si="20"/>
        <v>79121.899999999994</v>
      </c>
      <c r="AS61" s="120">
        <f t="shared" si="21"/>
        <v>164537.51999999999</v>
      </c>
      <c r="AW61" s="116">
        <v>762580</v>
      </c>
    </row>
    <row r="62" spans="2:49" x14ac:dyDescent="0.2">
      <c r="B62" s="121" t="s">
        <v>114</v>
      </c>
      <c r="C62" s="115"/>
      <c r="D62" s="116">
        <f>+VLOOKUP($B62,'datos9-2014'!$A$2:$BE$78,13,FALSE)</f>
        <v>12187.54</v>
      </c>
      <c r="E62" s="116">
        <f>+VLOOKUP($B62,'datos9-2014'!$A$2:$BE$78,14,FALSE)</f>
        <v>0</v>
      </c>
      <c r="F62" s="116">
        <f>+VLOOKUP($B62,'datos9-2014'!$A$2:$BE$78,15,FALSE)</f>
        <v>0</v>
      </c>
      <c r="G62" s="68">
        <f t="shared" si="11"/>
        <v>12187.54</v>
      </c>
      <c r="H62" s="116">
        <f>+VLOOKUP($B62,'datos9-2014'!$A$2:$BE$78,17,FALSE)</f>
        <v>0</v>
      </c>
      <c r="I62" s="116">
        <f>+VLOOKUP($B62,'datos9-2014'!$A$2:$BE$78,18,FALSE)</f>
        <v>0</v>
      </c>
      <c r="J62" s="116">
        <f>+VLOOKUP($B62,'datos9-2014'!$A$2:$BE$78,19,FALSE)</f>
        <v>0</v>
      </c>
      <c r="K62" s="116">
        <f>+VLOOKUP($B62,'datos9-2014'!$A$2:$BE$78,20,FALSE)</f>
        <v>0</v>
      </c>
      <c r="L62" s="68">
        <f t="shared" si="12"/>
        <v>0</v>
      </c>
      <c r="M62" s="116">
        <f>+VLOOKUP($B62,'datos9-2014'!$A$2:$BE$78,22,FALSE)</f>
        <v>0</v>
      </c>
      <c r="N62" s="116">
        <f>+VLOOKUP($B62,'datos9-2014'!$A$2:$BE$78,23,FALSE)</f>
        <v>207619.93</v>
      </c>
      <c r="O62" s="116">
        <f>+VLOOKUP($B62,'datos9-2014'!$A$2:$BE$78,24,FALSE)</f>
        <v>0</v>
      </c>
      <c r="P62" s="68">
        <f t="shared" si="13"/>
        <v>207619.93</v>
      </c>
      <c r="Q62" s="116">
        <f>+VLOOKUP($B62,'datos9-2014'!$A$2:$BE$78,26,FALSE)</f>
        <v>0</v>
      </c>
      <c r="R62" s="116">
        <f>+VLOOKUP($B62,'datos9-2014'!$A$2:$BE$78,27,FALSE)</f>
        <v>0</v>
      </c>
      <c r="S62" s="116">
        <f>+VLOOKUP($B62,'datos9-2014'!$A$2:$BE$78,28,FALSE)</f>
        <v>0</v>
      </c>
      <c r="T62" s="116">
        <f>+VLOOKUP($B62,'datos9-2014'!$A$2:$BE$78,29,FALSE)</f>
        <v>0</v>
      </c>
      <c r="U62" s="68">
        <f t="shared" si="14"/>
        <v>0</v>
      </c>
      <c r="V62" s="116">
        <f>+VLOOKUP($B62,'datos9-2014'!$A$2:$BE$78,31,FALSE)</f>
        <v>0</v>
      </c>
      <c r="W62" s="116">
        <f>+VLOOKUP($B62,'datos9-2014'!$A$2:$BE$78,32,FALSE)</f>
        <v>0</v>
      </c>
      <c r="X62" s="117">
        <f t="shared" si="15"/>
        <v>0</v>
      </c>
      <c r="Y62" s="118">
        <f t="shared" si="16"/>
        <v>219807.47</v>
      </c>
      <c r="Z62" s="116">
        <f>+VLOOKUP($B62,'datos9-2014'!$A$2:$BE$78,35,FALSE)</f>
        <v>7500000</v>
      </c>
      <c r="AA62" s="116">
        <f>+VLOOKUP($B62,'datos9-2014'!$A$2:$BE$78,36,FALSE)</f>
        <v>540000</v>
      </c>
      <c r="AB62" s="116">
        <f>+VLOOKUP($B62,'datos9-2014'!$A$2:$BE$78,37,FALSE)</f>
        <v>0</v>
      </c>
      <c r="AC62" s="116">
        <f>+VLOOKUP($B62,'datos9-2014'!$A$2:$BE$78,38,FALSE)</f>
        <v>0</v>
      </c>
      <c r="AD62" s="116">
        <f>+VLOOKUP($B62,'datos9-2014'!$A$2:$BE$78,39,FALSE)</f>
        <v>0</v>
      </c>
      <c r="AE62" s="68">
        <f t="shared" si="17"/>
        <v>8040000</v>
      </c>
      <c r="AF62" s="116">
        <f>+VLOOKUP($B62,'datos9-2014'!$A$2:$BE$78,42,FALSE)</f>
        <v>258505.09</v>
      </c>
      <c r="AG62" s="116">
        <f>+VLOOKUP($B62,'datos9-2014'!$A$2:$BE$78,44,FALSE)</f>
        <v>158701.72</v>
      </c>
      <c r="AH62" s="116">
        <f>+VLOOKUP($B62,'datos9-2014'!$A$2:$BE$78,45,FALSE)</f>
        <v>594663.59</v>
      </c>
      <c r="AI62" s="116">
        <f>+VLOOKUP($B62,'datos9-2014'!$A$2:$BE$78,46,FALSE)</f>
        <v>0</v>
      </c>
      <c r="AJ62" s="68">
        <f t="shared" si="18"/>
        <v>1011870.3999999999</v>
      </c>
      <c r="AK62" s="116">
        <f>+VLOOKUP($B62,'datos9-2014'!$A$2:$BE$78,49,FALSE)</f>
        <v>0</v>
      </c>
      <c r="AL62" s="116">
        <f>+VLOOKUP($B62,'datos9-2014'!$A$2:$BE$78,50,FALSE)</f>
        <v>0</v>
      </c>
      <c r="AM62" s="116">
        <f>+VLOOKUP($B62,'datos9-2014'!$A$2:$BE$78,51,FALSE)</f>
        <v>0</v>
      </c>
      <c r="AN62" s="116">
        <f>+VLOOKUP($B62,'datos9-2014'!$A$2:$BE$78,52,FALSE)</f>
        <v>674557.57</v>
      </c>
      <c r="AO62" s="119">
        <f t="shared" si="19"/>
        <v>674557.57</v>
      </c>
      <c r="AP62" s="116">
        <f>+VLOOKUP($B62,'datos9-2014'!$A$2:$BE$78,55,FALSE)</f>
        <v>0</v>
      </c>
      <c r="AQ62" s="118">
        <f t="shared" si="20"/>
        <v>9726427.9699999988</v>
      </c>
      <c r="AS62" s="120">
        <f t="shared" si="21"/>
        <v>9946235.4399999995</v>
      </c>
      <c r="AW62" s="116">
        <v>0</v>
      </c>
    </row>
    <row r="63" spans="2:49" x14ac:dyDescent="0.2">
      <c r="B63" s="121" t="s">
        <v>115</v>
      </c>
      <c r="C63" s="115"/>
      <c r="D63" s="116">
        <f>+VLOOKUP($B63,'datos9-2014'!$A$2:$BE$78,13,FALSE)</f>
        <v>8228</v>
      </c>
      <c r="E63" s="116">
        <f>+VLOOKUP($B63,'datos9-2014'!$A$2:$BE$78,14,FALSE)</f>
        <v>0</v>
      </c>
      <c r="F63" s="116">
        <f>+VLOOKUP($B63,'datos9-2014'!$A$2:$BE$78,15,FALSE)</f>
        <v>0</v>
      </c>
      <c r="G63" s="68">
        <f t="shared" si="11"/>
        <v>8228</v>
      </c>
      <c r="H63" s="116">
        <f>+VLOOKUP($B63,'datos9-2014'!$A$2:$BE$78,17,FALSE)</f>
        <v>0</v>
      </c>
      <c r="I63" s="116">
        <f>+VLOOKUP($B63,'datos9-2014'!$A$2:$BE$78,18,FALSE)</f>
        <v>0</v>
      </c>
      <c r="J63" s="116">
        <f>+VLOOKUP($B63,'datos9-2014'!$A$2:$BE$78,19,FALSE)</f>
        <v>0</v>
      </c>
      <c r="K63" s="116">
        <f>+VLOOKUP($B63,'datos9-2014'!$A$2:$BE$78,20,FALSE)</f>
        <v>54306.17</v>
      </c>
      <c r="L63" s="68">
        <f t="shared" si="12"/>
        <v>54306.17</v>
      </c>
      <c r="M63" s="116">
        <f>+VLOOKUP($B63,'datos9-2014'!$A$2:$BE$78,22,FALSE)</f>
        <v>0</v>
      </c>
      <c r="N63" s="116">
        <f>+VLOOKUP($B63,'datos9-2014'!$A$2:$BE$78,23,FALSE)</f>
        <v>0</v>
      </c>
      <c r="O63" s="116">
        <f>+VLOOKUP($B63,'datos9-2014'!$A$2:$BE$78,24,FALSE)</f>
        <v>0</v>
      </c>
      <c r="P63" s="68">
        <f t="shared" si="13"/>
        <v>0</v>
      </c>
      <c r="Q63" s="116">
        <f>+VLOOKUP($B63,'datos9-2014'!$A$2:$BE$78,26,FALSE)</f>
        <v>0</v>
      </c>
      <c r="R63" s="116">
        <f>+VLOOKUP($B63,'datos9-2014'!$A$2:$BE$78,27,FALSE)</f>
        <v>0</v>
      </c>
      <c r="S63" s="116">
        <f>+VLOOKUP($B63,'datos9-2014'!$A$2:$BE$78,28,FALSE)</f>
        <v>0</v>
      </c>
      <c r="T63" s="116">
        <f>+VLOOKUP($B63,'datos9-2014'!$A$2:$BE$78,29,FALSE)</f>
        <v>0</v>
      </c>
      <c r="U63" s="68">
        <f t="shared" si="14"/>
        <v>0</v>
      </c>
      <c r="V63" s="116">
        <f>+VLOOKUP($B63,'datos9-2014'!$A$2:$BE$78,31,FALSE)</f>
        <v>0</v>
      </c>
      <c r="W63" s="116">
        <f>+VLOOKUP($B63,'datos9-2014'!$A$2:$BE$78,32,FALSE)</f>
        <v>0</v>
      </c>
      <c r="X63" s="117">
        <f t="shared" si="15"/>
        <v>0</v>
      </c>
      <c r="Y63" s="118">
        <f t="shared" si="16"/>
        <v>62534.17</v>
      </c>
      <c r="Z63" s="116">
        <f>+VLOOKUP($B63,'datos9-2014'!$A$2:$BE$78,35,FALSE)</f>
        <v>0</v>
      </c>
      <c r="AA63" s="116">
        <f>+VLOOKUP($B63,'datos9-2014'!$A$2:$BE$78,36,FALSE)</f>
        <v>140780.91</v>
      </c>
      <c r="AB63" s="116">
        <f>+VLOOKUP($B63,'datos9-2014'!$A$2:$BE$78,37,FALSE)</f>
        <v>0</v>
      </c>
      <c r="AC63" s="116">
        <f>+VLOOKUP($B63,'datos9-2014'!$A$2:$BE$78,38,FALSE)</f>
        <v>49468.959999999999</v>
      </c>
      <c r="AD63" s="116">
        <f>+VLOOKUP($B63,'datos9-2014'!$A$2:$BE$78,39,FALSE)</f>
        <v>0</v>
      </c>
      <c r="AE63" s="68">
        <f t="shared" si="17"/>
        <v>190249.87</v>
      </c>
      <c r="AF63" s="116">
        <f>+VLOOKUP($B63,'datos9-2014'!$A$2:$BE$78,42,FALSE)</f>
        <v>1617936.54</v>
      </c>
      <c r="AG63" s="116">
        <f>+VLOOKUP($B63,'datos9-2014'!$A$2:$BE$78,44,FALSE)</f>
        <v>138483.70000000001</v>
      </c>
      <c r="AH63" s="116">
        <f>+VLOOKUP($B63,'datos9-2014'!$A$2:$BE$78,45,FALSE)</f>
        <v>0</v>
      </c>
      <c r="AI63" s="116">
        <f>+VLOOKUP($B63,'datos9-2014'!$A$2:$BE$78,46,FALSE)</f>
        <v>0</v>
      </c>
      <c r="AJ63" s="68">
        <f t="shared" si="18"/>
        <v>1756420.24</v>
      </c>
      <c r="AK63" s="116">
        <f>+VLOOKUP($B63,'datos9-2014'!$A$2:$BE$78,49,FALSE)</f>
        <v>0</v>
      </c>
      <c r="AL63" s="116">
        <f>+VLOOKUP($B63,'datos9-2014'!$A$2:$BE$78,50,FALSE)</f>
        <v>0</v>
      </c>
      <c r="AM63" s="116">
        <f>+VLOOKUP($B63,'datos9-2014'!$A$2:$BE$78,51,FALSE)</f>
        <v>0</v>
      </c>
      <c r="AN63" s="116">
        <f>+VLOOKUP($B63,'datos9-2014'!$A$2:$BE$78,52,FALSE)</f>
        <v>0</v>
      </c>
      <c r="AO63" s="119">
        <f t="shared" si="19"/>
        <v>0</v>
      </c>
      <c r="AP63" s="116">
        <f>+VLOOKUP($B63,'datos9-2014'!$A$2:$BE$78,55,FALSE)</f>
        <v>0</v>
      </c>
      <c r="AQ63" s="118">
        <f t="shared" si="20"/>
        <v>1946670.1099999999</v>
      </c>
      <c r="AS63" s="120">
        <f t="shared" si="21"/>
        <v>2009204.2799999998</v>
      </c>
      <c r="AW63" s="116">
        <v>92925.23</v>
      </c>
    </row>
    <row r="64" spans="2:49" x14ac:dyDescent="0.2">
      <c r="B64" s="121" t="s">
        <v>116</v>
      </c>
      <c r="C64" s="115"/>
      <c r="D64" s="116">
        <f>+VLOOKUP($B64,'datos9-2014'!$A$2:$BE$78,13,FALSE)</f>
        <v>113215</v>
      </c>
      <c r="E64" s="116">
        <f>+VLOOKUP($B64,'datos9-2014'!$A$2:$BE$78,14,FALSE)</f>
        <v>0</v>
      </c>
      <c r="F64" s="116">
        <f>+VLOOKUP($B64,'datos9-2014'!$A$2:$BE$78,15,FALSE)</f>
        <v>0</v>
      </c>
      <c r="G64" s="68">
        <f t="shared" si="11"/>
        <v>113215</v>
      </c>
      <c r="H64" s="116">
        <f>+VLOOKUP($B64,'datos9-2014'!$A$2:$BE$78,17,FALSE)</f>
        <v>0</v>
      </c>
      <c r="I64" s="116">
        <f>+VLOOKUP($B64,'datos9-2014'!$A$2:$BE$78,18,FALSE)</f>
        <v>0</v>
      </c>
      <c r="J64" s="116">
        <f>+VLOOKUP($B64,'datos9-2014'!$A$2:$BE$78,19,FALSE)</f>
        <v>0</v>
      </c>
      <c r="K64" s="116">
        <f>+VLOOKUP($B64,'datos9-2014'!$A$2:$BE$78,20,FALSE)</f>
        <v>0</v>
      </c>
      <c r="L64" s="68">
        <f t="shared" si="12"/>
        <v>0</v>
      </c>
      <c r="M64" s="116">
        <f>+VLOOKUP($B64,'datos9-2014'!$A$2:$BE$78,22,FALSE)</f>
        <v>90000</v>
      </c>
      <c r="N64" s="116">
        <f>+VLOOKUP($B64,'datos9-2014'!$A$2:$BE$78,23,FALSE)</f>
        <v>0</v>
      </c>
      <c r="O64" s="116">
        <f>+VLOOKUP($B64,'datos9-2014'!$A$2:$BE$78,24,FALSE)</f>
        <v>0</v>
      </c>
      <c r="P64" s="68">
        <f t="shared" si="13"/>
        <v>90000</v>
      </c>
      <c r="Q64" s="116">
        <f>+VLOOKUP($B64,'datos9-2014'!$A$2:$BE$78,26,FALSE)</f>
        <v>0</v>
      </c>
      <c r="R64" s="116">
        <f>+VLOOKUP($B64,'datos9-2014'!$A$2:$BE$78,27,FALSE)</f>
        <v>0</v>
      </c>
      <c r="S64" s="116">
        <f>+VLOOKUP($B64,'datos9-2014'!$A$2:$BE$78,28,FALSE)</f>
        <v>0</v>
      </c>
      <c r="T64" s="116">
        <f>+VLOOKUP($B64,'datos9-2014'!$A$2:$BE$78,29,FALSE)</f>
        <v>0</v>
      </c>
      <c r="U64" s="68">
        <f t="shared" si="14"/>
        <v>0</v>
      </c>
      <c r="V64" s="116">
        <f>+VLOOKUP($B64,'datos9-2014'!$A$2:$BE$78,31,FALSE)</f>
        <v>0</v>
      </c>
      <c r="W64" s="116">
        <f>+VLOOKUP($B64,'datos9-2014'!$A$2:$BE$78,32,FALSE)</f>
        <v>0</v>
      </c>
      <c r="X64" s="117">
        <f t="shared" si="15"/>
        <v>0</v>
      </c>
      <c r="Y64" s="118">
        <f t="shared" si="16"/>
        <v>203215</v>
      </c>
      <c r="Z64" s="116">
        <f>+VLOOKUP($B64,'datos9-2014'!$A$2:$BE$78,35,FALSE)</f>
        <v>4250000</v>
      </c>
      <c r="AA64" s="116">
        <f>+VLOOKUP($B64,'datos9-2014'!$A$2:$BE$78,36,FALSE)</f>
        <v>0</v>
      </c>
      <c r="AB64" s="116">
        <f>+VLOOKUP($B64,'datos9-2014'!$A$2:$BE$78,37,FALSE)</f>
        <v>0</v>
      </c>
      <c r="AC64" s="116">
        <f>+VLOOKUP($B64,'datos9-2014'!$A$2:$BE$78,38,FALSE)</f>
        <v>0</v>
      </c>
      <c r="AD64" s="116">
        <f>+VLOOKUP($B64,'datos9-2014'!$A$2:$BE$78,39,FALSE)</f>
        <v>0</v>
      </c>
      <c r="AE64" s="68">
        <f t="shared" si="17"/>
        <v>4250000</v>
      </c>
      <c r="AF64" s="116">
        <f>+VLOOKUP($B64,'datos9-2014'!$A$2:$BE$78,42,FALSE)</f>
        <v>3169922</v>
      </c>
      <c r="AG64" s="116">
        <f>+VLOOKUP($B64,'datos9-2014'!$A$2:$BE$78,44,FALSE)</f>
        <v>219310</v>
      </c>
      <c r="AH64" s="116">
        <f>+VLOOKUP($B64,'datos9-2014'!$A$2:$BE$78,45,FALSE)</f>
        <v>0</v>
      </c>
      <c r="AI64" s="116">
        <f>+VLOOKUP($B64,'datos9-2014'!$A$2:$BE$78,46,FALSE)</f>
        <v>0</v>
      </c>
      <c r="AJ64" s="68">
        <f t="shared" si="18"/>
        <v>3389232</v>
      </c>
      <c r="AK64" s="116">
        <f>+VLOOKUP($B64,'datos9-2014'!$A$2:$BE$78,49,FALSE)</f>
        <v>400000</v>
      </c>
      <c r="AL64" s="116">
        <f>+VLOOKUP($B64,'datos9-2014'!$A$2:$BE$78,50,FALSE)</f>
        <v>0</v>
      </c>
      <c r="AM64" s="116">
        <f>+VLOOKUP($B64,'datos9-2014'!$A$2:$BE$78,51,FALSE)</f>
        <v>0</v>
      </c>
      <c r="AN64" s="116">
        <f>+VLOOKUP($B64,'datos9-2014'!$A$2:$BE$78,52,FALSE)</f>
        <v>135424</v>
      </c>
      <c r="AO64" s="119">
        <f t="shared" si="19"/>
        <v>535424</v>
      </c>
      <c r="AP64" s="116">
        <f>+VLOOKUP($B64,'datos9-2014'!$A$2:$BE$78,55,FALSE)</f>
        <v>0</v>
      </c>
      <c r="AQ64" s="118">
        <f t="shared" si="20"/>
        <v>8174656</v>
      </c>
      <c r="AS64" s="120">
        <f t="shared" si="21"/>
        <v>8377871</v>
      </c>
      <c r="AW64" s="116">
        <v>0</v>
      </c>
    </row>
    <row r="65" spans="2:49" x14ac:dyDescent="0.2">
      <c r="B65" s="121" t="s">
        <v>117</v>
      </c>
      <c r="C65" s="115"/>
      <c r="D65" s="116">
        <f>+VLOOKUP($B65,'datos9-2014'!$A$2:$BE$78,13,FALSE)</f>
        <v>70326</v>
      </c>
      <c r="E65" s="116">
        <f>+VLOOKUP($B65,'datos9-2014'!$A$2:$BE$78,14,FALSE)</f>
        <v>0</v>
      </c>
      <c r="F65" s="116">
        <f>+VLOOKUP($B65,'datos9-2014'!$A$2:$BE$78,15,FALSE)</f>
        <v>0</v>
      </c>
      <c r="G65" s="68">
        <f t="shared" si="11"/>
        <v>70326</v>
      </c>
      <c r="H65" s="116">
        <f>+VLOOKUP($B65,'datos9-2014'!$A$2:$BE$78,17,FALSE)</f>
        <v>21289</v>
      </c>
      <c r="I65" s="116">
        <f>+VLOOKUP($B65,'datos9-2014'!$A$2:$BE$78,18,FALSE)</f>
        <v>0</v>
      </c>
      <c r="J65" s="116">
        <f>+VLOOKUP($B65,'datos9-2014'!$A$2:$BE$78,19,FALSE)</f>
        <v>0</v>
      </c>
      <c r="K65" s="116">
        <f>+VLOOKUP($B65,'datos9-2014'!$A$2:$BE$78,20,FALSE)</f>
        <v>46521</v>
      </c>
      <c r="L65" s="68">
        <f t="shared" si="12"/>
        <v>67810</v>
      </c>
      <c r="M65" s="116">
        <f>+VLOOKUP($B65,'datos9-2014'!$A$2:$BE$78,22,FALSE)</f>
        <v>0</v>
      </c>
      <c r="N65" s="116">
        <f>+VLOOKUP($B65,'datos9-2014'!$A$2:$BE$78,23,FALSE)</f>
        <v>0</v>
      </c>
      <c r="O65" s="116">
        <f>+VLOOKUP($B65,'datos9-2014'!$A$2:$BE$78,24,FALSE)</f>
        <v>0</v>
      </c>
      <c r="P65" s="68">
        <f t="shared" si="13"/>
        <v>0</v>
      </c>
      <c r="Q65" s="116">
        <f>+VLOOKUP($B65,'datos9-2014'!$A$2:$BE$78,26,FALSE)</f>
        <v>0</v>
      </c>
      <c r="R65" s="116">
        <f>+VLOOKUP($B65,'datos9-2014'!$A$2:$BE$78,27,FALSE)</f>
        <v>0</v>
      </c>
      <c r="S65" s="116">
        <f>+VLOOKUP($B65,'datos9-2014'!$A$2:$BE$78,28,FALSE)</f>
        <v>0</v>
      </c>
      <c r="T65" s="116">
        <f>+VLOOKUP($B65,'datos9-2014'!$A$2:$BE$78,29,FALSE)</f>
        <v>0</v>
      </c>
      <c r="U65" s="68">
        <f t="shared" si="14"/>
        <v>0</v>
      </c>
      <c r="V65" s="116">
        <f>+VLOOKUP($B65,'datos9-2014'!$A$2:$BE$78,31,FALSE)</f>
        <v>4657</v>
      </c>
      <c r="W65" s="116">
        <f>+VLOOKUP($B65,'datos9-2014'!$A$2:$BE$78,32,FALSE)</f>
        <v>0</v>
      </c>
      <c r="X65" s="117">
        <f t="shared" si="15"/>
        <v>4657</v>
      </c>
      <c r="Y65" s="118">
        <f t="shared" si="16"/>
        <v>142793</v>
      </c>
      <c r="Z65" s="116">
        <f>+VLOOKUP($B65,'datos9-2014'!$A$2:$BE$78,35,FALSE)</f>
        <v>0</v>
      </c>
      <c r="AA65" s="116">
        <f>+VLOOKUP($B65,'datos9-2014'!$A$2:$BE$78,36,FALSE)</f>
        <v>0</v>
      </c>
      <c r="AB65" s="116">
        <f>+VLOOKUP($B65,'datos9-2014'!$A$2:$BE$78,37,FALSE)</f>
        <v>0</v>
      </c>
      <c r="AC65" s="116">
        <f>+VLOOKUP($B65,'datos9-2014'!$A$2:$BE$78,38,FALSE)</f>
        <v>0</v>
      </c>
      <c r="AD65" s="116">
        <f>+VLOOKUP($B65,'datos9-2014'!$A$2:$BE$78,39,FALSE)</f>
        <v>0</v>
      </c>
      <c r="AE65" s="68">
        <f t="shared" si="17"/>
        <v>0</v>
      </c>
      <c r="AF65" s="116">
        <f>+VLOOKUP($B65,'datos9-2014'!$A$2:$BE$78,42,FALSE)</f>
        <v>0</v>
      </c>
      <c r="AG65" s="116">
        <f>+VLOOKUP($B65,'datos9-2014'!$A$2:$BE$78,44,FALSE)</f>
        <v>0</v>
      </c>
      <c r="AH65" s="116">
        <f>+VLOOKUP($B65,'datos9-2014'!$A$2:$BE$78,45,FALSE)</f>
        <v>0</v>
      </c>
      <c r="AI65" s="116">
        <f>+VLOOKUP($B65,'datos9-2014'!$A$2:$BE$78,46,FALSE)</f>
        <v>0</v>
      </c>
      <c r="AJ65" s="68">
        <f t="shared" si="18"/>
        <v>0</v>
      </c>
      <c r="AK65" s="116">
        <f>+VLOOKUP($B65,'datos9-2014'!$A$2:$BE$78,49,FALSE)</f>
        <v>0</v>
      </c>
      <c r="AL65" s="116">
        <f>+VLOOKUP($B65,'datos9-2014'!$A$2:$BE$78,50,FALSE)</f>
        <v>0</v>
      </c>
      <c r="AM65" s="116">
        <f>+VLOOKUP($B65,'datos9-2014'!$A$2:$BE$78,51,FALSE)</f>
        <v>0</v>
      </c>
      <c r="AN65" s="116">
        <f>+VLOOKUP($B65,'datos9-2014'!$A$2:$BE$78,52,FALSE)</f>
        <v>0</v>
      </c>
      <c r="AO65" s="119">
        <f t="shared" si="19"/>
        <v>0</v>
      </c>
      <c r="AP65" s="116">
        <f>+VLOOKUP($B65,'datos9-2014'!$A$2:$BE$78,55,FALSE)</f>
        <v>0</v>
      </c>
      <c r="AQ65" s="118">
        <f t="shared" si="20"/>
        <v>0</v>
      </c>
      <c r="AS65" s="120">
        <f t="shared" si="21"/>
        <v>142793</v>
      </c>
      <c r="AW65" s="116">
        <v>0</v>
      </c>
    </row>
    <row r="66" spans="2:49" x14ac:dyDescent="0.2">
      <c r="B66" s="121" t="s">
        <v>118</v>
      </c>
      <c r="C66" s="115"/>
      <c r="D66" s="116">
        <f>+VLOOKUP($B66,'datos9-2014'!$A$2:$BE$78,13,FALSE)</f>
        <v>172202.04</v>
      </c>
      <c r="E66" s="116">
        <f>+VLOOKUP($B66,'datos9-2014'!$A$2:$BE$78,14,FALSE)</f>
        <v>0</v>
      </c>
      <c r="F66" s="116">
        <f>+VLOOKUP($B66,'datos9-2014'!$A$2:$BE$78,15,FALSE)</f>
        <v>0</v>
      </c>
      <c r="G66" s="68">
        <f t="shared" si="11"/>
        <v>172202.04</v>
      </c>
      <c r="H66" s="116">
        <f>+VLOOKUP($B66,'datos9-2014'!$A$2:$BE$78,17,FALSE)</f>
        <v>0</v>
      </c>
      <c r="I66" s="116">
        <f>+VLOOKUP($B66,'datos9-2014'!$A$2:$BE$78,18,FALSE)</f>
        <v>0</v>
      </c>
      <c r="J66" s="116">
        <f>+VLOOKUP($B66,'datos9-2014'!$A$2:$BE$78,19,FALSE)</f>
        <v>5118</v>
      </c>
      <c r="K66" s="116">
        <f>+VLOOKUP($B66,'datos9-2014'!$A$2:$BE$78,20,FALSE)</f>
        <v>5417.15</v>
      </c>
      <c r="L66" s="68">
        <f t="shared" si="12"/>
        <v>10535.15</v>
      </c>
      <c r="M66" s="116">
        <f>+VLOOKUP($B66,'datos9-2014'!$A$2:$BE$78,22,FALSE)</f>
        <v>44497.72</v>
      </c>
      <c r="N66" s="116">
        <f>+VLOOKUP($B66,'datos9-2014'!$A$2:$BE$78,23,FALSE)</f>
        <v>85392.38</v>
      </c>
      <c r="O66" s="116">
        <f>+VLOOKUP($B66,'datos9-2014'!$A$2:$BE$78,24,FALSE)</f>
        <v>0</v>
      </c>
      <c r="P66" s="68">
        <f t="shared" si="13"/>
        <v>129890.1</v>
      </c>
      <c r="Q66" s="116">
        <f>+VLOOKUP($B66,'datos9-2014'!$A$2:$BE$78,26,FALSE)</f>
        <v>0</v>
      </c>
      <c r="R66" s="116">
        <f>+VLOOKUP($B66,'datos9-2014'!$A$2:$BE$78,27,FALSE)</f>
        <v>1312.29</v>
      </c>
      <c r="S66" s="116">
        <f>+VLOOKUP($B66,'datos9-2014'!$A$2:$BE$78,28,FALSE)</f>
        <v>0</v>
      </c>
      <c r="T66" s="116">
        <f>+VLOOKUP($B66,'datos9-2014'!$A$2:$BE$78,29,FALSE)</f>
        <v>0</v>
      </c>
      <c r="U66" s="68">
        <f t="shared" si="14"/>
        <v>1312.29</v>
      </c>
      <c r="V66" s="116">
        <f>+VLOOKUP($B66,'datos9-2014'!$A$2:$BE$78,31,FALSE)</f>
        <v>27892</v>
      </c>
      <c r="W66" s="116">
        <f>+VLOOKUP($B66,'datos9-2014'!$A$2:$BE$78,32,FALSE)</f>
        <v>2660.76</v>
      </c>
      <c r="X66" s="117">
        <f t="shared" si="15"/>
        <v>30552.760000000002</v>
      </c>
      <c r="Y66" s="118">
        <f t="shared" si="16"/>
        <v>344492.34</v>
      </c>
      <c r="Z66" s="116">
        <f>+VLOOKUP($B66,'datos9-2014'!$A$2:$BE$78,35,FALSE)</f>
        <v>2500000</v>
      </c>
      <c r="AA66" s="116">
        <f>+VLOOKUP($B66,'datos9-2014'!$A$2:$BE$78,36,FALSE)</f>
        <v>220000</v>
      </c>
      <c r="AB66" s="116">
        <f>+VLOOKUP($B66,'datos9-2014'!$A$2:$BE$78,37,FALSE)</f>
        <v>15400</v>
      </c>
      <c r="AC66" s="116">
        <f>+VLOOKUP($B66,'datos9-2014'!$A$2:$BE$78,38,FALSE)</f>
        <v>0</v>
      </c>
      <c r="AD66" s="116">
        <f>+VLOOKUP($B66,'datos9-2014'!$A$2:$BE$78,39,FALSE)</f>
        <v>0</v>
      </c>
      <c r="AE66" s="68">
        <f t="shared" si="17"/>
        <v>2735400</v>
      </c>
      <c r="AF66" s="116">
        <f>+VLOOKUP($B66,'datos9-2014'!$A$2:$BE$78,42,FALSE)</f>
        <v>637360.51</v>
      </c>
      <c r="AG66" s="116">
        <f>+VLOOKUP($B66,'datos9-2014'!$A$2:$BE$78,44,FALSE)</f>
        <v>64364.83</v>
      </c>
      <c r="AH66" s="116">
        <f>+VLOOKUP($B66,'datos9-2014'!$A$2:$BE$78,45,FALSE)</f>
        <v>0</v>
      </c>
      <c r="AI66" s="116">
        <f>+VLOOKUP($B66,'datos9-2014'!$A$2:$BE$78,46,FALSE)</f>
        <v>0</v>
      </c>
      <c r="AJ66" s="68">
        <f t="shared" si="18"/>
        <v>701725.34</v>
      </c>
      <c r="AK66" s="116">
        <f>+VLOOKUP($B66,'datos9-2014'!$A$2:$BE$78,49,FALSE)</f>
        <v>1091560</v>
      </c>
      <c r="AL66" s="116">
        <f>+VLOOKUP($B66,'datos9-2014'!$A$2:$BE$78,50,FALSE)</f>
        <v>0</v>
      </c>
      <c r="AM66" s="116">
        <f>+VLOOKUP($B66,'datos9-2014'!$A$2:$BE$78,51,FALSE)</f>
        <v>0</v>
      </c>
      <c r="AN66" s="116">
        <f>+VLOOKUP($B66,'datos9-2014'!$A$2:$BE$78,52,FALSE)</f>
        <v>0</v>
      </c>
      <c r="AO66" s="119">
        <f t="shared" si="19"/>
        <v>1091560</v>
      </c>
      <c r="AP66" s="116">
        <f>+VLOOKUP($B66,'datos9-2014'!$A$2:$BE$78,55,FALSE)</f>
        <v>24000</v>
      </c>
      <c r="AQ66" s="118">
        <f t="shared" si="20"/>
        <v>4552685.34</v>
      </c>
      <c r="AS66" s="120">
        <f t="shared" si="21"/>
        <v>4897177.68</v>
      </c>
      <c r="AW66" s="116">
        <v>0</v>
      </c>
    </row>
    <row r="67" spans="2:49" x14ac:dyDescent="0.2">
      <c r="B67" s="121" t="s">
        <v>119</v>
      </c>
      <c r="C67" s="115"/>
      <c r="D67" s="116">
        <f>+VLOOKUP($B67,'datos9-2014'!$A$2:$BE$78,13,FALSE)</f>
        <v>26889043</v>
      </c>
      <c r="E67" s="116">
        <f>+VLOOKUP($B67,'datos9-2014'!$A$2:$BE$78,14,FALSE)</f>
        <v>0</v>
      </c>
      <c r="F67" s="116">
        <f>+VLOOKUP($B67,'datos9-2014'!$A$2:$BE$78,15,FALSE)</f>
        <v>406253</v>
      </c>
      <c r="G67" s="68">
        <f t="shared" si="11"/>
        <v>27295296</v>
      </c>
      <c r="H67" s="116">
        <f>+VLOOKUP($B67,'datos9-2014'!$A$2:$BE$78,17,FALSE)</f>
        <v>775820</v>
      </c>
      <c r="I67" s="116">
        <f>+VLOOKUP($B67,'datos9-2014'!$A$2:$BE$78,18,FALSE)</f>
        <v>1171393</v>
      </c>
      <c r="J67" s="116">
        <f>+VLOOKUP($B67,'datos9-2014'!$A$2:$BE$78,19,FALSE)</f>
        <v>0</v>
      </c>
      <c r="K67" s="116">
        <f>+VLOOKUP($B67,'datos9-2014'!$A$2:$BE$78,20,FALSE)</f>
        <v>4638875</v>
      </c>
      <c r="L67" s="68">
        <f t="shared" si="12"/>
        <v>6586088</v>
      </c>
      <c r="M67" s="116">
        <f>+VLOOKUP($B67,'datos9-2014'!$A$2:$BE$78,22,FALSE)</f>
        <v>36100</v>
      </c>
      <c r="N67" s="116">
        <f>+VLOOKUP($B67,'datos9-2014'!$A$2:$BE$78,23,FALSE)</f>
        <v>1147789</v>
      </c>
      <c r="O67" s="116">
        <f>+VLOOKUP($B67,'datos9-2014'!$A$2:$BE$78,24,FALSE)</f>
        <v>143623</v>
      </c>
      <c r="P67" s="68">
        <f t="shared" si="13"/>
        <v>1327512</v>
      </c>
      <c r="Q67" s="116">
        <f>+VLOOKUP($B67,'datos9-2014'!$A$2:$BE$78,26,FALSE)</f>
        <v>5194023</v>
      </c>
      <c r="R67" s="116">
        <f>+VLOOKUP($B67,'datos9-2014'!$A$2:$BE$78,27,FALSE)</f>
        <v>39259</v>
      </c>
      <c r="S67" s="116">
        <f>+VLOOKUP($B67,'datos9-2014'!$A$2:$BE$78,28,FALSE)</f>
        <v>77427</v>
      </c>
      <c r="T67" s="116">
        <f>+VLOOKUP($B67,'datos9-2014'!$A$2:$BE$78,29,FALSE)</f>
        <v>272294</v>
      </c>
      <c r="U67" s="68">
        <f t="shared" si="14"/>
        <v>5583003</v>
      </c>
      <c r="V67" s="116">
        <f>+VLOOKUP($B67,'datos9-2014'!$A$2:$BE$78,31,FALSE)</f>
        <v>386251</v>
      </c>
      <c r="W67" s="116">
        <f>+VLOOKUP($B67,'datos9-2014'!$A$2:$BE$78,32,FALSE)</f>
        <v>7299398</v>
      </c>
      <c r="X67" s="117">
        <f t="shared" si="15"/>
        <v>7685649</v>
      </c>
      <c r="Y67" s="118">
        <f t="shared" si="16"/>
        <v>48477548</v>
      </c>
      <c r="Z67" s="116">
        <f>+VLOOKUP($B67,'datos9-2014'!$A$2:$BE$78,35,FALSE)</f>
        <v>10334000</v>
      </c>
      <c r="AA67" s="116">
        <f>+VLOOKUP($B67,'datos9-2014'!$A$2:$BE$78,36,FALSE)</f>
        <v>0</v>
      </c>
      <c r="AB67" s="116">
        <f>+VLOOKUP($B67,'datos9-2014'!$A$2:$BE$78,37,FALSE)</f>
        <v>0</v>
      </c>
      <c r="AC67" s="116">
        <f>+VLOOKUP($B67,'datos9-2014'!$A$2:$BE$78,38,FALSE)</f>
        <v>0</v>
      </c>
      <c r="AD67" s="116">
        <f>+VLOOKUP($B67,'datos9-2014'!$A$2:$BE$78,39,FALSE)</f>
        <v>0</v>
      </c>
      <c r="AE67" s="68">
        <f t="shared" si="17"/>
        <v>10334000</v>
      </c>
      <c r="AF67" s="116">
        <f>+VLOOKUP($B67,'datos9-2014'!$A$2:$BE$78,42,FALSE)</f>
        <v>2150254.02</v>
      </c>
      <c r="AG67" s="116">
        <f>+VLOOKUP($B67,'datos9-2014'!$A$2:$BE$78,44,FALSE)</f>
        <v>407000</v>
      </c>
      <c r="AH67" s="116">
        <f>+VLOOKUP($B67,'datos9-2014'!$A$2:$BE$78,45,FALSE)</f>
        <v>0</v>
      </c>
      <c r="AI67" s="116">
        <f>+VLOOKUP($B67,'datos9-2014'!$A$2:$BE$78,46,FALSE)</f>
        <v>54000</v>
      </c>
      <c r="AJ67" s="68">
        <f t="shared" si="18"/>
        <v>2611254.02</v>
      </c>
      <c r="AK67" s="116">
        <f>+VLOOKUP($B67,'datos9-2014'!$A$2:$BE$78,49,FALSE)</f>
        <v>0</v>
      </c>
      <c r="AL67" s="116">
        <f>+VLOOKUP($B67,'datos9-2014'!$A$2:$BE$78,50,FALSE)</f>
        <v>12491000</v>
      </c>
      <c r="AM67" s="116">
        <f>+VLOOKUP($B67,'datos9-2014'!$A$2:$BE$78,51,FALSE)</f>
        <v>0</v>
      </c>
      <c r="AN67" s="116">
        <f>+VLOOKUP($B67,'datos9-2014'!$A$2:$BE$78,52,FALSE)</f>
        <v>7708000</v>
      </c>
      <c r="AO67" s="119">
        <f t="shared" si="19"/>
        <v>20199000</v>
      </c>
      <c r="AP67" s="116">
        <f>+VLOOKUP($B67,'datos9-2014'!$A$2:$BE$78,55,FALSE)</f>
        <v>0</v>
      </c>
      <c r="AQ67" s="118">
        <f t="shared" si="20"/>
        <v>33144254.02</v>
      </c>
      <c r="AS67" s="120">
        <f t="shared" si="21"/>
        <v>81621802.019999996</v>
      </c>
      <c r="AW67" s="116">
        <v>0</v>
      </c>
    </row>
    <row r="68" spans="2:49" x14ac:dyDescent="0.2">
      <c r="B68" s="121" t="s">
        <v>120</v>
      </c>
      <c r="C68" s="115"/>
      <c r="D68" s="116">
        <f>+VLOOKUP($B68,'datos9-2014'!$A$2:$BE$78,13,FALSE)</f>
        <v>6932.5</v>
      </c>
      <c r="E68" s="116">
        <f>+VLOOKUP($B68,'datos9-2014'!$A$2:$BE$78,14,FALSE)</f>
        <v>0</v>
      </c>
      <c r="F68" s="116">
        <f>+VLOOKUP($B68,'datos9-2014'!$A$2:$BE$78,15,FALSE)</f>
        <v>0</v>
      </c>
      <c r="G68" s="68">
        <f t="shared" si="11"/>
        <v>6932.5</v>
      </c>
      <c r="H68" s="116">
        <f>+VLOOKUP($B68,'datos9-2014'!$A$2:$BE$78,17,FALSE)</f>
        <v>0</v>
      </c>
      <c r="I68" s="116">
        <f>+VLOOKUP($B68,'datos9-2014'!$A$2:$BE$78,18,FALSE)</f>
        <v>0</v>
      </c>
      <c r="J68" s="116">
        <f>+VLOOKUP($B68,'datos9-2014'!$A$2:$BE$78,19,FALSE)</f>
        <v>0</v>
      </c>
      <c r="K68" s="116">
        <f>+VLOOKUP($B68,'datos9-2014'!$A$2:$BE$78,20,FALSE)</f>
        <v>6800.45</v>
      </c>
      <c r="L68" s="68">
        <f t="shared" si="12"/>
        <v>6800.45</v>
      </c>
      <c r="M68" s="116">
        <f>+VLOOKUP($B68,'datos9-2014'!$A$2:$BE$78,22,FALSE)</f>
        <v>0</v>
      </c>
      <c r="N68" s="116">
        <f>+VLOOKUP($B68,'datos9-2014'!$A$2:$BE$78,23,FALSE)</f>
        <v>0</v>
      </c>
      <c r="O68" s="116">
        <f>+VLOOKUP($B68,'datos9-2014'!$A$2:$BE$78,24,FALSE)</f>
        <v>0</v>
      </c>
      <c r="P68" s="68">
        <f t="shared" si="13"/>
        <v>0</v>
      </c>
      <c r="Q68" s="116">
        <f>+VLOOKUP($B68,'datos9-2014'!$A$2:$BE$78,26,FALSE)</f>
        <v>0</v>
      </c>
      <c r="R68" s="116">
        <f>+VLOOKUP($B68,'datos9-2014'!$A$2:$BE$78,27,FALSE)</f>
        <v>0</v>
      </c>
      <c r="S68" s="116">
        <f>+VLOOKUP($B68,'datos9-2014'!$A$2:$BE$78,28,FALSE)</f>
        <v>5017.3</v>
      </c>
      <c r="T68" s="116">
        <f>+VLOOKUP($B68,'datos9-2014'!$A$2:$BE$78,29,FALSE)</f>
        <v>1127.93</v>
      </c>
      <c r="U68" s="68">
        <f t="shared" si="14"/>
        <v>6145.2300000000005</v>
      </c>
      <c r="V68" s="116">
        <f>+VLOOKUP($B68,'datos9-2014'!$A$2:$BE$78,31,FALSE)</f>
        <v>6588.53</v>
      </c>
      <c r="W68" s="116">
        <f>+VLOOKUP($B68,'datos9-2014'!$A$2:$BE$78,32,FALSE)</f>
        <v>0</v>
      </c>
      <c r="X68" s="117">
        <f t="shared" si="15"/>
        <v>6588.53</v>
      </c>
      <c r="Y68" s="118">
        <f t="shared" si="16"/>
        <v>26466.71</v>
      </c>
      <c r="Z68" s="116">
        <f>+VLOOKUP($B68,'datos9-2014'!$A$2:$BE$78,35,FALSE)</f>
        <v>0</v>
      </c>
      <c r="AA68" s="116">
        <f>+VLOOKUP($B68,'datos9-2014'!$A$2:$BE$78,36,FALSE)</f>
        <v>0</v>
      </c>
      <c r="AB68" s="116">
        <f>+VLOOKUP($B68,'datos9-2014'!$A$2:$BE$78,37,FALSE)</f>
        <v>0</v>
      </c>
      <c r="AC68" s="116">
        <f>+VLOOKUP($B68,'datos9-2014'!$A$2:$BE$78,38,FALSE)</f>
        <v>0</v>
      </c>
      <c r="AD68" s="116">
        <f>+VLOOKUP($B68,'datos9-2014'!$A$2:$BE$78,39,FALSE)</f>
        <v>0</v>
      </c>
      <c r="AE68" s="68">
        <f t="shared" si="17"/>
        <v>0</v>
      </c>
      <c r="AF68" s="116">
        <f>+VLOOKUP($B68,'datos9-2014'!$A$2:$BE$78,42,FALSE)</f>
        <v>516406.78</v>
      </c>
      <c r="AG68" s="116">
        <f>+VLOOKUP($B68,'datos9-2014'!$A$2:$BE$78,44,FALSE)</f>
        <v>152557.71</v>
      </c>
      <c r="AH68" s="116">
        <f>+VLOOKUP($B68,'datos9-2014'!$A$2:$BE$78,45,FALSE)</f>
        <v>0</v>
      </c>
      <c r="AI68" s="116">
        <f>+VLOOKUP($B68,'datos9-2014'!$A$2:$BE$78,46,FALSE)</f>
        <v>0</v>
      </c>
      <c r="AJ68" s="68">
        <f t="shared" si="18"/>
        <v>668964.49</v>
      </c>
      <c r="AK68" s="116">
        <f>+VLOOKUP($B68,'datos9-2014'!$A$2:$BE$78,49,FALSE)</f>
        <v>0</v>
      </c>
      <c r="AL68" s="116">
        <f>+VLOOKUP($B68,'datos9-2014'!$A$2:$BE$78,50,FALSE)</f>
        <v>0</v>
      </c>
      <c r="AM68" s="116">
        <f>+VLOOKUP($B68,'datos9-2014'!$A$2:$BE$78,51,FALSE)</f>
        <v>0</v>
      </c>
      <c r="AN68" s="116">
        <f>+VLOOKUP($B68,'datos9-2014'!$A$2:$BE$78,52,FALSE)</f>
        <v>0</v>
      </c>
      <c r="AO68" s="119">
        <f t="shared" si="19"/>
        <v>0</v>
      </c>
      <c r="AP68" s="116">
        <f>+VLOOKUP($B68,'datos9-2014'!$A$2:$BE$78,55,FALSE)</f>
        <v>0</v>
      </c>
      <c r="AQ68" s="118">
        <f t="shared" si="20"/>
        <v>668964.49</v>
      </c>
      <c r="AS68" s="120">
        <f t="shared" si="21"/>
        <v>695431.2</v>
      </c>
      <c r="AW68" s="116">
        <v>63090</v>
      </c>
    </row>
    <row r="69" spans="2:49" x14ac:dyDescent="0.2">
      <c r="B69" s="121" t="s">
        <v>121</v>
      </c>
      <c r="C69" s="115"/>
      <c r="D69" s="116">
        <f>+VLOOKUP($B69,'datos9-2014'!$A$2:$BE$78,13,FALSE)</f>
        <v>2941133.53</v>
      </c>
      <c r="E69" s="116">
        <f>+VLOOKUP($B69,'datos9-2014'!$A$2:$BE$78,14,FALSE)</f>
        <v>8201031.0499999998</v>
      </c>
      <c r="F69" s="116">
        <f>+VLOOKUP($B69,'datos9-2014'!$A$2:$BE$78,15,FALSE)</f>
        <v>0</v>
      </c>
      <c r="G69" s="68">
        <f t="shared" si="11"/>
        <v>11142164.58</v>
      </c>
      <c r="H69" s="116">
        <f>+VLOOKUP($B69,'datos9-2014'!$A$2:$BE$78,17,FALSE)</f>
        <v>53664.32</v>
      </c>
      <c r="I69" s="116">
        <f>+VLOOKUP($B69,'datos9-2014'!$A$2:$BE$78,18,FALSE)</f>
        <v>297630.27</v>
      </c>
      <c r="J69" s="116">
        <f>+VLOOKUP($B69,'datos9-2014'!$A$2:$BE$78,19,FALSE)</f>
        <v>74952.92</v>
      </c>
      <c r="K69" s="116">
        <f>+VLOOKUP($B69,'datos9-2014'!$A$2:$BE$78,20,FALSE)</f>
        <v>0</v>
      </c>
      <c r="L69" s="68">
        <f t="shared" si="12"/>
        <v>426247.51</v>
      </c>
      <c r="M69" s="116">
        <f>+VLOOKUP($B69,'datos9-2014'!$A$2:$BE$78,22,FALSE)</f>
        <v>0</v>
      </c>
      <c r="N69" s="116">
        <f>+VLOOKUP($B69,'datos9-2014'!$A$2:$BE$78,23,FALSE)</f>
        <v>215397.64</v>
      </c>
      <c r="O69" s="116">
        <f>+VLOOKUP($B69,'datos9-2014'!$A$2:$BE$78,24,FALSE)</f>
        <v>0</v>
      </c>
      <c r="P69" s="68">
        <f t="shared" si="13"/>
        <v>215397.64</v>
      </c>
      <c r="Q69" s="116">
        <f>+VLOOKUP($B69,'datos9-2014'!$A$2:$BE$78,26,FALSE)</f>
        <v>0</v>
      </c>
      <c r="R69" s="116">
        <f>+VLOOKUP($B69,'datos9-2014'!$A$2:$BE$78,27,FALSE)</f>
        <v>0</v>
      </c>
      <c r="S69" s="116">
        <f>+VLOOKUP($B69,'datos9-2014'!$A$2:$BE$78,28,FALSE)</f>
        <v>0</v>
      </c>
      <c r="T69" s="116">
        <f>+VLOOKUP($B69,'datos9-2014'!$A$2:$BE$78,29,FALSE)</f>
        <v>0</v>
      </c>
      <c r="U69" s="68">
        <f t="shared" si="14"/>
        <v>0</v>
      </c>
      <c r="V69" s="116">
        <f>+VLOOKUP($B69,'datos9-2014'!$A$2:$BE$78,31,FALSE)</f>
        <v>0</v>
      </c>
      <c r="W69" s="116">
        <f>+VLOOKUP($B69,'datos9-2014'!$A$2:$BE$78,32,FALSE)</f>
        <v>0</v>
      </c>
      <c r="X69" s="117">
        <f t="shared" si="15"/>
        <v>0</v>
      </c>
      <c r="Y69" s="118">
        <f t="shared" si="16"/>
        <v>11783809.73</v>
      </c>
      <c r="Z69" s="116">
        <f>+VLOOKUP($B69,'datos9-2014'!$A$2:$BE$78,35,FALSE)</f>
        <v>2500000</v>
      </c>
      <c r="AA69" s="116">
        <f>+VLOOKUP($B69,'datos9-2014'!$A$2:$BE$78,36,FALSE)</f>
        <v>0</v>
      </c>
      <c r="AB69" s="116">
        <f>+VLOOKUP($B69,'datos9-2014'!$A$2:$BE$78,37,FALSE)</f>
        <v>0</v>
      </c>
      <c r="AC69" s="116">
        <f>+VLOOKUP($B69,'datos9-2014'!$A$2:$BE$78,38,FALSE)</f>
        <v>0</v>
      </c>
      <c r="AD69" s="116">
        <f>+VLOOKUP($B69,'datos9-2014'!$A$2:$BE$78,39,FALSE)</f>
        <v>0</v>
      </c>
      <c r="AE69" s="68">
        <f t="shared" si="17"/>
        <v>2500000</v>
      </c>
      <c r="AF69" s="116">
        <f>+VLOOKUP($B69,'datos9-2014'!$A$2:$BE$78,42,FALSE)</f>
        <v>197109</v>
      </c>
      <c r="AG69" s="116">
        <f>+VLOOKUP($B69,'datos9-2014'!$A$2:$BE$78,44,FALSE)</f>
        <v>0</v>
      </c>
      <c r="AH69" s="116">
        <f>+VLOOKUP($B69,'datos9-2014'!$A$2:$BE$78,45,FALSE)</f>
        <v>0</v>
      </c>
      <c r="AI69" s="116">
        <f>+VLOOKUP($B69,'datos9-2014'!$A$2:$BE$78,46,FALSE)</f>
        <v>0</v>
      </c>
      <c r="AJ69" s="68">
        <f t="shared" si="18"/>
        <v>197109</v>
      </c>
      <c r="AK69" s="116">
        <f>+VLOOKUP($B69,'datos9-2014'!$A$2:$BE$78,49,FALSE)</f>
        <v>0</v>
      </c>
      <c r="AL69" s="116">
        <f>+VLOOKUP($B69,'datos9-2014'!$A$2:$BE$78,50,FALSE)</f>
        <v>0</v>
      </c>
      <c r="AM69" s="116">
        <f>+VLOOKUP($B69,'datos9-2014'!$A$2:$BE$78,51,FALSE)</f>
        <v>443376</v>
      </c>
      <c r="AN69" s="116">
        <f>+VLOOKUP($B69,'datos9-2014'!$A$2:$BE$78,52,FALSE)</f>
        <v>0</v>
      </c>
      <c r="AO69" s="119">
        <f t="shared" si="19"/>
        <v>443376</v>
      </c>
      <c r="AP69" s="116">
        <f>+VLOOKUP($B69,'datos9-2014'!$A$2:$BE$78,55,FALSE)</f>
        <v>0</v>
      </c>
      <c r="AQ69" s="118">
        <f t="shared" si="20"/>
        <v>3140485</v>
      </c>
      <c r="AS69" s="120">
        <f t="shared" si="21"/>
        <v>14924294.73</v>
      </c>
      <c r="AW69" s="116">
        <v>7242</v>
      </c>
    </row>
    <row r="70" spans="2:49" x14ac:dyDescent="0.2">
      <c r="B70" s="121" t="s">
        <v>122</v>
      </c>
      <c r="C70" s="115"/>
      <c r="D70" s="116">
        <f>+VLOOKUP($B70,'datos9-2014'!$A$2:$BE$78,13,FALSE)</f>
        <v>67306.48</v>
      </c>
      <c r="E70" s="116">
        <f>+VLOOKUP($B70,'datos9-2014'!$A$2:$BE$78,14,FALSE)</f>
        <v>0</v>
      </c>
      <c r="F70" s="116">
        <f>+VLOOKUP($B70,'datos9-2014'!$A$2:$BE$78,15,FALSE)</f>
        <v>3156.54</v>
      </c>
      <c r="G70" s="68">
        <f t="shared" si="11"/>
        <v>70463.01999999999</v>
      </c>
      <c r="H70" s="116">
        <f>+VLOOKUP($B70,'datos9-2014'!$A$2:$BE$78,17,FALSE)</f>
        <v>64170.12</v>
      </c>
      <c r="I70" s="116">
        <f>+VLOOKUP($B70,'datos9-2014'!$A$2:$BE$78,18,FALSE)</f>
        <v>0</v>
      </c>
      <c r="J70" s="116">
        <f>+VLOOKUP($B70,'datos9-2014'!$A$2:$BE$78,19,FALSE)</f>
        <v>0</v>
      </c>
      <c r="K70" s="116">
        <f>+VLOOKUP($B70,'datos9-2014'!$A$2:$BE$78,20,FALSE)</f>
        <v>53778.3</v>
      </c>
      <c r="L70" s="68">
        <f t="shared" si="12"/>
        <v>117948.42000000001</v>
      </c>
      <c r="M70" s="116">
        <f>+VLOOKUP($B70,'datos9-2014'!$A$2:$BE$78,22,FALSE)</f>
        <v>15000</v>
      </c>
      <c r="N70" s="116">
        <f>+VLOOKUP($B70,'datos9-2014'!$A$2:$BE$78,23,FALSE)</f>
        <v>0</v>
      </c>
      <c r="O70" s="116">
        <f>+VLOOKUP($B70,'datos9-2014'!$A$2:$BE$78,24,FALSE)</f>
        <v>0</v>
      </c>
      <c r="P70" s="68">
        <f t="shared" si="13"/>
        <v>15000</v>
      </c>
      <c r="Q70" s="116">
        <f>+VLOOKUP($B70,'datos9-2014'!$A$2:$BE$78,26,FALSE)</f>
        <v>0</v>
      </c>
      <c r="R70" s="116">
        <f>+VLOOKUP($B70,'datos9-2014'!$A$2:$BE$78,27,FALSE)</f>
        <v>0</v>
      </c>
      <c r="S70" s="116">
        <f>+VLOOKUP($B70,'datos9-2014'!$A$2:$BE$78,28,FALSE)</f>
        <v>0</v>
      </c>
      <c r="T70" s="116">
        <f>+VLOOKUP($B70,'datos9-2014'!$A$2:$BE$78,29,FALSE)</f>
        <v>0</v>
      </c>
      <c r="U70" s="68">
        <f t="shared" si="14"/>
        <v>0</v>
      </c>
      <c r="V70" s="116">
        <f>+VLOOKUP($B70,'datos9-2014'!$A$2:$BE$78,31,FALSE)</f>
        <v>0</v>
      </c>
      <c r="W70" s="116">
        <f>+VLOOKUP($B70,'datos9-2014'!$A$2:$BE$78,32,FALSE)</f>
        <v>0</v>
      </c>
      <c r="X70" s="117">
        <f t="shared" si="15"/>
        <v>0</v>
      </c>
      <c r="Y70" s="118">
        <f t="shared" si="16"/>
        <v>203411.44</v>
      </c>
      <c r="Z70" s="116">
        <f>+VLOOKUP($B70,'datos9-2014'!$A$2:$BE$78,35,FALSE)</f>
        <v>0</v>
      </c>
      <c r="AA70" s="116">
        <f>+VLOOKUP($B70,'datos9-2014'!$A$2:$BE$78,36,FALSE)</f>
        <v>441957</v>
      </c>
      <c r="AB70" s="116">
        <f>+VLOOKUP($B70,'datos9-2014'!$A$2:$BE$78,37,FALSE)</f>
        <v>0</v>
      </c>
      <c r="AC70" s="116">
        <f>+VLOOKUP($B70,'datos9-2014'!$A$2:$BE$78,38,FALSE)</f>
        <v>0</v>
      </c>
      <c r="AD70" s="116">
        <f>+VLOOKUP($B70,'datos9-2014'!$A$2:$BE$78,39,FALSE)</f>
        <v>0</v>
      </c>
      <c r="AE70" s="68">
        <f t="shared" si="17"/>
        <v>441957</v>
      </c>
      <c r="AF70" s="116">
        <f>+VLOOKUP($B70,'datos9-2014'!$A$2:$BE$78,42,FALSE)</f>
        <v>128097</v>
      </c>
      <c r="AG70" s="116">
        <f>+VLOOKUP($B70,'datos9-2014'!$A$2:$BE$78,44,FALSE)</f>
        <v>240541.11</v>
      </c>
      <c r="AH70" s="116">
        <f>+VLOOKUP($B70,'datos9-2014'!$A$2:$BE$78,45,FALSE)</f>
        <v>0</v>
      </c>
      <c r="AI70" s="116">
        <f>+VLOOKUP($B70,'datos9-2014'!$A$2:$BE$78,46,FALSE)</f>
        <v>0</v>
      </c>
      <c r="AJ70" s="68">
        <f t="shared" si="18"/>
        <v>368638.11</v>
      </c>
      <c r="AK70" s="116">
        <f>+VLOOKUP($B70,'datos9-2014'!$A$2:$BE$78,49,FALSE)</f>
        <v>0</v>
      </c>
      <c r="AL70" s="116">
        <f>+VLOOKUP($B70,'datos9-2014'!$A$2:$BE$78,50,FALSE)</f>
        <v>0</v>
      </c>
      <c r="AM70" s="116">
        <f>+VLOOKUP($B70,'datos9-2014'!$A$2:$BE$78,51,FALSE)</f>
        <v>0</v>
      </c>
      <c r="AN70" s="116">
        <f>+VLOOKUP($B70,'datos9-2014'!$A$2:$BE$78,52,FALSE)</f>
        <v>0</v>
      </c>
      <c r="AO70" s="119">
        <f t="shared" si="19"/>
        <v>0</v>
      </c>
      <c r="AP70" s="116">
        <f>+VLOOKUP($B70,'datos9-2014'!$A$2:$BE$78,55,FALSE)</f>
        <v>0</v>
      </c>
      <c r="AQ70" s="118">
        <f t="shared" si="20"/>
        <v>810595.11</v>
      </c>
      <c r="AS70" s="120">
        <f t="shared" si="21"/>
        <v>1014006.55</v>
      </c>
      <c r="AW70" s="116">
        <v>1966445.14</v>
      </c>
    </row>
    <row r="71" spans="2:49" x14ac:dyDescent="0.2">
      <c r="B71" s="121" t="s">
        <v>123</v>
      </c>
      <c r="C71" s="115"/>
      <c r="D71" s="116">
        <f>+VLOOKUP($B71,'datos9-2014'!$A$2:$BE$78,13,FALSE)</f>
        <v>170538</v>
      </c>
      <c r="E71" s="116">
        <f>+VLOOKUP($B71,'datos9-2014'!$A$2:$BE$78,14,FALSE)</f>
        <v>0</v>
      </c>
      <c r="F71" s="116">
        <f>+VLOOKUP($B71,'datos9-2014'!$A$2:$BE$78,15,FALSE)</f>
        <v>0</v>
      </c>
      <c r="G71" s="68">
        <f t="shared" ref="G71:G82" si="22">SUM(D71:F71)</f>
        <v>170538</v>
      </c>
      <c r="H71" s="116">
        <f>+VLOOKUP($B71,'datos9-2014'!$A$2:$BE$78,17,FALSE)</f>
        <v>593545</v>
      </c>
      <c r="I71" s="116">
        <f>+VLOOKUP($B71,'datos9-2014'!$A$2:$BE$78,18,FALSE)</f>
        <v>13750</v>
      </c>
      <c r="J71" s="116">
        <f>+VLOOKUP($B71,'datos9-2014'!$A$2:$BE$78,19,FALSE)</f>
        <v>285360</v>
      </c>
      <c r="K71" s="116">
        <f>+VLOOKUP($B71,'datos9-2014'!$A$2:$BE$78,20,FALSE)</f>
        <v>643100</v>
      </c>
      <c r="L71" s="68">
        <f t="shared" ref="L71:L82" si="23">SUM(H71:K71)</f>
        <v>1535755</v>
      </c>
      <c r="M71" s="116">
        <f>+VLOOKUP($B71,'datos9-2014'!$A$2:$BE$78,22,FALSE)</f>
        <v>0</v>
      </c>
      <c r="N71" s="116">
        <f>+VLOOKUP($B71,'datos9-2014'!$A$2:$BE$78,23,FALSE)</f>
        <v>0</v>
      </c>
      <c r="O71" s="116">
        <f>+VLOOKUP($B71,'datos9-2014'!$A$2:$BE$78,24,FALSE)</f>
        <v>0</v>
      </c>
      <c r="P71" s="68">
        <f t="shared" ref="P71:P82" si="24">SUM(M71:O71)</f>
        <v>0</v>
      </c>
      <c r="Q71" s="116">
        <f>+VLOOKUP($B71,'datos9-2014'!$A$2:$BE$78,26,FALSE)</f>
        <v>88444</v>
      </c>
      <c r="R71" s="116">
        <f>+VLOOKUP($B71,'datos9-2014'!$A$2:$BE$78,27,FALSE)</f>
        <v>0</v>
      </c>
      <c r="S71" s="116">
        <f>+VLOOKUP($B71,'datos9-2014'!$A$2:$BE$78,28,FALSE)</f>
        <v>0</v>
      </c>
      <c r="T71" s="116">
        <f>+VLOOKUP($B71,'datos9-2014'!$A$2:$BE$78,29,FALSE)</f>
        <v>0</v>
      </c>
      <c r="U71" s="68">
        <f t="shared" ref="U71:U82" si="25">SUM(Q71:T71)</f>
        <v>88444</v>
      </c>
      <c r="V71" s="116">
        <f>+VLOOKUP($B71,'datos9-2014'!$A$2:$BE$78,31,FALSE)</f>
        <v>0</v>
      </c>
      <c r="W71" s="116">
        <f>+VLOOKUP($B71,'datos9-2014'!$A$2:$BE$78,32,FALSE)</f>
        <v>73776</v>
      </c>
      <c r="X71" s="117">
        <f t="shared" ref="X71:X82" si="26">SUM(V71:W71)</f>
        <v>73776</v>
      </c>
      <c r="Y71" s="118">
        <f t="shared" ref="Y71:Y82" si="27">+U71+P71+L71+G71+X71</f>
        <v>1868513</v>
      </c>
      <c r="Z71" s="116">
        <f>+VLOOKUP($B71,'datos9-2014'!$A$2:$BE$78,35,FALSE)</f>
        <v>0</v>
      </c>
      <c r="AA71" s="116">
        <f>+VLOOKUP($B71,'datos9-2014'!$A$2:$BE$78,36,FALSE)</f>
        <v>0</v>
      </c>
      <c r="AB71" s="116">
        <f>+VLOOKUP($B71,'datos9-2014'!$A$2:$BE$78,37,FALSE)</f>
        <v>0</v>
      </c>
      <c r="AC71" s="116">
        <f>+VLOOKUP($B71,'datos9-2014'!$A$2:$BE$78,38,FALSE)</f>
        <v>0</v>
      </c>
      <c r="AD71" s="116">
        <f>+VLOOKUP($B71,'datos9-2014'!$A$2:$BE$78,39,FALSE)</f>
        <v>0</v>
      </c>
      <c r="AE71" s="68">
        <f t="shared" ref="AE71:AE82" si="28">SUM(Z71:AD71)</f>
        <v>0</v>
      </c>
      <c r="AF71" s="116">
        <f>+VLOOKUP($B71,'datos9-2014'!$A$2:$BE$78,42,FALSE)</f>
        <v>0</v>
      </c>
      <c r="AG71" s="116">
        <f>+VLOOKUP($B71,'datos9-2014'!$A$2:$BE$78,44,FALSE)</f>
        <v>186862</v>
      </c>
      <c r="AH71" s="116">
        <f>+VLOOKUP($B71,'datos9-2014'!$A$2:$BE$78,45,FALSE)</f>
        <v>0</v>
      </c>
      <c r="AI71" s="116">
        <f>+VLOOKUP($B71,'datos9-2014'!$A$2:$BE$78,46,FALSE)</f>
        <v>0</v>
      </c>
      <c r="AJ71" s="68">
        <f t="shared" ref="AJ71:AJ82" si="29">SUM(AF71:AI71)</f>
        <v>186862</v>
      </c>
      <c r="AK71" s="116">
        <f>+VLOOKUP($B71,'datos9-2014'!$A$2:$BE$78,49,FALSE)</f>
        <v>0</v>
      </c>
      <c r="AL71" s="116">
        <f>+VLOOKUP($B71,'datos9-2014'!$A$2:$BE$78,50,FALSE)</f>
        <v>0</v>
      </c>
      <c r="AM71" s="116">
        <f>+VLOOKUP($B71,'datos9-2014'!$A$2:$BE$78,51,FALSE)</f>
        <v>0</v>
      </c>
      <c r="AN71" s="116">
        <f>+VLOOKUP($B71,'datos9-2014'!$A$2:$BE$78,52,FALSE)</f>
        <v>0</v>
      </c>
      <c r="AO71" s="119">
        <f t="shared" ref="AO71:AO82" si="30">SUM(AK71:AN71)</f>
        <v>0</v>
      </c>
      <c r="AP71" s="116">
        <f>+VLOOKUP($B71,'datos9-2014'!$A$2:$BE$78,55,FALSE)</f>
        <v>0</v>
      </c>
      <c r="AQ71" s="118">
        <f t="shared" ref="AQ71:AQ82" si="31">AO71+AJ71+AE71+AP71</f>
        <v>186862</v>
      </c>
      <c r="AS71" s="120">
        <f t="shared" ref="AS71:AS82" si="32">+Y71+AQ71</f>
        <v>2055375</v>
      </c>
      <c r="AW71" s="116">
        <v>0</v>
      </c>
    </row>
    <row r="72" spans="2:49" x14ac:dyDescent="0.2">
      <c r="B72" s="121" t="s">
        <v>124</v>
      </c>
      <c r="C72" s="115"/>
      <c r="D72" s="116">
        <f>+VLOOKUP($B72,'datos9-2014'!$A$2:$BE$78,13,FALSE)</f>
        <v>0</v>
      </c>
      <c r="E72" s="116">
        <f>+VLOOKUP($B72,'datos9-2014'!$A$2:$BE$78,14,FALSE)</f>
        <v>0</v>
      </c>
      <c r="F72" s="116">
        <f>+VLOOKUP($B72,'datos9-2014'!$A$2:$BE$78,15,FALSE)</f>
        <v>0</v>
      </c>
      <c r="G72" s="68">
        <f t="shared" si="22"/>
        <v>0</v>
      </c>
      <c r="H72" s="116">
        <f>+VLOOKUP($B72,'datos9-2014'!$A$2:$BE$78,17,FALSE)</f>
        <v>0</v>
      </c>
      <c r="I72" s="116">
        <f>+VLOOKUP($B72,'datos9-2014'!$A$2:$BE$78,18,FALSE)</f>
        <v>0</v>
      </c>
      <c r="J72" s="116">
        <f>+VLOOKUP($B72,'datos9-2014'!$A$2:$BE$78,19,FALSE)</f>
        <v>8724</v>
      </c>
      <c r="K72" s="116">
        <f>+VLOOKUP($B72,'datos9-2014'!$A$2:$BE$78,20,FALSE)</f>
        <v>1799.82</v>
      </c>
      <c r="L72" s="68">
        <f t="shared" si="23"/>
        <v>10523.82</v>
      </c>
      <c r="M72" s="116">
        <f>+VLOOKUP($B72,'datos9-2014'!$A$2:$BE$78,22,FALSE)</f>
        <v>0</v>
      </c>
      <c r="N72" s="116">
        <f>+VLOOKUP($B72,'datos9-2014'!$A$2:$BE$78,23,FALSE)</f>
        <v>0</v>
      </c>
      <c r="O72" s="116">
        <f>+VLOOKUP($B72,'datos9-2014'!$A$2:$BE$78,24,FALSE)</f>
        <v>0</v>
      </c>
      <c r="P72" s="68">
        <f t="shared" si="24"/>
        <v>0</v>
      </c>
      <c r="Q72" s="116">
        <f>+VLOOKUP($B72,'datos9-2014'!$A$2:$BE$78,26,FALSE)</f>
        <v>0</v>
      </c>
      <c r="R72" s="116">
        <f>+VLOOKUP($B72,'datos9-2014'!$A$2:$BE$78,27,FALSE)</f>
        <v>0</v>
      </c>
      <c r="S72" s="116">
        <f>+VLOOKUP($B72,'datos9-2014'!$A$2:$BE$78,28,FALSE)</f>
        <v>0</v>
      </c>
      <c r="T72" s="116">
        <f>+VLOOKUP($B72,'datos9-2014'!$A$2:$BE$78,29,FALSE)</f>
        <v>0</v>
      </c>
      <c r="U72" s="68">
        <f t="shared" si="25"/>
        <v>0</v>
      </c>
      <c r="V72" s="116">
        <f>+VLOOKUP($B72,'datos9-2014'!$A$2:$BE$78,31,FALSE)</f>
        <v>0</v>
      </c>
      <c r="W72" s="116">
        <f>+VLOOKUP($B72,'datos9-2014'!$A$2:$BE$78,32,FALSE)</f>
        <v>0</v>
      </c>
      <c r="X72" s="117">
        <f t="shared" si="26"/>
        <v>0</v>
      </c>
      <c r="Y72" s="118">
        <f t="shared" si="27"/>
        <v>10523.82</v>
      </c>
      <c r="Z72" s="116">
        <f>+VLOOKUP($B72,'datos9-2014'!$A$2:$BE$78,35,FALSE)</f>
        <v>0</v>
      </c>
      <c r="AA72" s="116">
        <f>+VLOOKUP($B72,'datos9-2014'!$A$2:$BE$78,36,FALSE)</f>
        <v>0</v>
      </c>
      <c r="AB72" s="116">
        <f>+VLOOKUP($B72,'datos9-2014'!$A$2:$BE$78,37,FALSE)</f>
        <v>0</v>
      </c>
      <c r="AC72" s="116">
        <f>+VLOOKUP($B72,'datos9-2014'!$A$2:$BE$78,38,FALSE)</f>
        <v>0</v>
      </c>
      <c r="AD72" s="116">
        <f>+VLOOKUP($B72,'datos9-2014'!$A$2:$BE$78,39,FALSE)</f>
        <v>0</v>
      </c>
      <c r="AE72" s="68">
        <f t="shared" si="28"/>
        <v>0</v>
      </c>
      <c r="AF72" s="116">
        <f>+VLOOKUP($B72,'datos9-2014'!$A$2:$BE$78,42,FALSE)</f>
        <v>0</v>
      </c>
      <c r="AG72" s="116">
        <f>+VLOOKUP($B72,'datos9-2014'!$A$2:$BE$78,44,FALSE)</f>
        <v>14742</v>
      </c>
      <c r="AH72" s="116">
        <f>+VLOOKUP($B72,'datos9-2014'!$A$2:$BE$78,45,FALSE)</f>
        <v>0</v>
      </c>
      <c r="AI72" s="116">
        <f>+VLOOKUP($B72,'datos9-2014'!$A$2:$BE$78,46,FALSE)</f>
        <v>0</v>
      </c>
      <c r="AJ72" s="68">
        <f t="shared" si="29"/>
        <v>14742</v>
      </c>
      <c r="AK72" s="116">
        <f>+VLOOKUP($B72,'datos9-2014'!$A$2:$BE$78,49,FALSE)</f>
        <v>0</v>
      </c>
      <c r="AL72" s="116">
        <f>+VLOOKUP($B72,'datos9-2014'!$A$2:$BE$78,50,FALSE)</f>
        <v>0</v>
      </c>
      <c r="AM72" s="116">
        <f>+VLOOKUP($B72,'datos9-2014'!$A$2:$BE$78,51,FALSE)</f>
        <v>0</v>
      </c>
      <c r="AN72" s="116">
        <f>+VLOOKUP($B72,'datos9-2014'!$A$2:$BE$78,52,FALSE)</f>
        <v>0</v>
      </c>
      <c r="AO72" s="119">
        <f t="shared" si="30"/>
        <v>0</v>
      </c>
      <c r="AP72" s="116">
        <f>+VLOOKUP($B72,'datos9-2014'!$A$2:$BE$78,55,FALSE)</f>
        <v>0</v>
      </c>
      <c r="AQ72" s="118">
        <f t="shared" si="31"/>
        <v>14742</v>
      </c>
      <c r="AS72" s="120">
        <f t="shared" si="32"/>
        <v>25265.82</v>
      </c>
      <c r="AW72" s="116">
        <v>2055</v>
      </c>
    </row>
    <row r="73" spans="2:49" x14ac:dyDescent="0.2">
      <c r="B73" s="121" t="s">
        <v>125</v>
      </c>
      <c r="C73" s="115"/>
      <c r="D73" s="116">
        <f>+VLOOKUP($B73,'datos9-2014'!$A$2:$BE$78,13,FALSE)</f>
        <v>0</v>
      </c>
      <c r="E73" s="116">
        <f>+VLOOKUP($B73,'datos9-2014'!$A$2:$BE$78,14,FALSE)</f>
        <v>0</v>
      </c>
      <c r="F73" s="116">
        <f>+VLOOKUP($B73,'datos9-2014'!$A$2:$BE$78,15,FALSE)</f>
        <v>0</v>
      </c>
      <c r="G73" s="68">
        <f t="shared" si="22"/>
        <v>0</v>
      </c>
      <c r="H73" s="116">
        <f>+VLOOKUP($B73,'datos9-2014'!$A$2:$BE$78,17,FALSE)</f>
        <v>0</v>
      </c>
      <c r="I73" s="116">
        <f>+VLOOKUP($B73,'datos9-2014'!$A$2:$BE$78,18,FALSE)</f>
        <v>0</v>
      </c>
      <c r="J73" s="116">
        <f>+VLOOKUP($B73,'datos9-2014'!$A$2:$BE$78,19,FALSE)</f>
        <v>0</v>
      </c>
      <c r="K73" s="116">
        <f>+VLOOKUP($B73,'datos9-2014'!$A$2:$BE$78,20,FALSE)</f>
        <v>0</v>
      </c>
      <c r="L73" s="68">
        <f t="shared" si="23"/>
        <v>0</v>
      </c>
      <c r="M73" s="116">
        <f>+VLOOKUP($B73,'datos9-2014'!$A$2:$BE$78,22,FALSE)</f>
        <v>0</v>
      </c>
      <c r="N73" s="116">
        <f>+VLOOKUP($B73,'datos9-2014'!$A$2:$BE$78,23,FALSE)</f>
        <v>0</v>
      </c>
      <c r="O73" s="116">
        <f>+VLOOKUP($B73,'datos9-2014'!$A$2:$BE$78,24,FALSE)</f>
        <v>0</v>
      </c>
      <c r="P73" s="68">
        <f t="shared" si="24"/>
        <v>0</v>
      </c>
      <c r="Q73" s="116">
        <f>+VLOOKUP($B73,'datos9-2014'!$A$2:$BE$78,26,FALSE)</f>
        <v>0</v>
      </c>
      <c r="R73" s="116">
        <f>+VLOOKUP($B73,'datos9-2014'!$A$2:$BE$78,27,FALSE)</f>
        <v>0</v>
      </c>
      <c r="S73" s="116">
        <f>+VLOOKUP($B73,'datos9-2014'!$A$2:$BE$78,28,FALSE)</f>
        <v>0</v>
      </c>
      <c r="T73" s="116">
        <f>+VLOOKUP($B73,'datos9-2014'!$A$2:$BE$78,29,FALSE)</f>
        <v>0</v>
      </c>
      <c r="U73" s="68">
        <f t="shared" si="25"/>
        <v>0</v>
      </c>
      <c r="V73" s="116">
        <f>+VLOOKUP($B73,'datos9-2014'!$A$2:$BE$78,31,FALSE)</f>
        <v>0</v>
      </c>
      <c r="W73" s="116">
        <f>+VLOOKUP($B73,'datos9-2014'!$A$2:$BE$78,32,FALSE)</f>
        <v>0</v>
      </c>
      <c r="X73" s="117">
        <f t="shared" si="26"/>
        <v>0</v>
      </c>
      <c r="Y73" s="118">
        <f t="shared" si="27"/>
        <v>0</v>
      </c>
      <c r="Z73" s="116">
        <f>+VLOOKUP($B73,'datos9-2014'!$A$2:$BE$78,35,FALSE)</f>
        <v>0</v>
      </c>
      <c r="AA73" s="116">
        <f>+VLOOKUP($B73,'datos9-2014'!$A$2:$BE$78,36,FALSE)</f>
        <v>0</v>
      </c>
      <c r="AB73" s="116">
        <f>+VLOOKUP($B73,'datos9-2014'!$A$2:$BE$78,37,FALSE)</f>
        <v>0</v>
      </c>
      <c r="AC73" s="116">
        <f>+VLOOKUP($B73,'datos9-2014'!$A$2:$BE$78,38,FALSE)</f>
        <v>0</v>
      </c>
      <c r="AD73" s="116">
        <f>+VLOOKUP($B73,'datos9-2014'!$A$2:$BE$78,39,FALSE)</f>
        <v>0</v>
      </c>
      <c r="AE73" s="68">
        <f t="shared" si="28"/>
        <v>0</v>
      </c>
      <c r="AF73" s="116">
        <f>+VLOOKUP($B73,'datos9-2014'!$A$2:$BE$78,42,FALSE)</f>
        <v>122832</v>
      </c>
      <c r="AG73" s="116">
        <f>+VLOOKUP($B73,'datos9-2014'!$A$2:$BE$78,44,FALSE)</f>
        <v>0</v>
      </c>
      <c r="AH73" s="116">
        <f>+VLOOKUP($B73,'datos9-2014'!$A$2:$BE$78,45,FALSE)</f>
        <v>0</v>
      </c>
      <c r="AI73" s="116">
        <f>+VLOOKUP($B73,'datos9-2014'!$A$2:$BE$78,46,FALSE)</f>
        <v>0</v>
      </c>
      <c r="AJ73" s="68">
        <f t="shared" si="29"/>
        <v>122832</v>
      </c>
      <c r="AK73" s="116">
        <f>+VLOOKUP($B73,'datos9-2014'!$A$2:$BE$78,49,FALSE)</f>
        <v>0</v>
      </c>
      <c r="AL73" s="116">
        <f>+VLOOKUP($B73,'datos9-2014'!$A$2:$BE$78,50,FALSE)</f>
        <v>0</v>
      </c>
      <c r="AM73" s="116">
        <f>+VLOOKUP($B73,'datos9-2014'!$A$2:$BE$78,51,FALSE)</f>
        <v>0</v>
      </c>
      <c r="AN73" s="116">
        <f>+VLOOKUP($B73,'datos9-2014'!$A$2:$BE$78,52,FALSE)</f>
        <v>0</v>
      </c>
      <c r="AO73" s="119">
        <f t="shared" si="30"/>
        <v>0</v>
      </c>
      <c r="AP73" s="116">
        <f>+VLOOKUP($B73,'datos9-2014'!$A$2:$BE$78,55,FALSE)</f>
        <v>0</v>
      </c>
      <c r="AQ73" s="118">
        <f t="shared" si="31"/>
        <v>122832</v>
      </c>
      <c r="AS73" s="120">
        <f t="shared" si="32"/>
        <v>122832</v>
      </c>
      <c r="AW73" s="116">
        <v>153911.28</v>
      </c>
    </row>
    <row r="74" spans="2:49" x14ac:dyDescent="0.2">
      <c r="B74" s="121" t="s">
        <v>126</v>
      </c>
      <c r="C74" s="115"/>
      <c r="D74" s="116">
        <f>+VLOOKUP($B74,'datos9-2014'!$A$2:$BE$78,13,FALSE)</f>
        <v>86089.9</v>
      </c>
      <c r="E74" s="116">
        <f>+VLOOKUP($B74,'datos9-2014'!$A$2:$BE$78,14,FALSE)</f>
        <v>0</v>
      </c>
      <c r="F74" s="116">
        <f>+VLOOKUP($B74,'datos9-2014'!$A$2:$BE$78,15,FALSE)</f>
        <v>0</v>
      </c>
      <c r="G74" s="68">
        <f t="shared" si="22"/>
        <v>86089.9</v>
      </c>
      <c r="H74" s="116">
        <f>+VLOOKUP($B74,'datos9-2014'!$A$2:$BE$78,17,FALSE)</f>
        <v>34798.07</v>
      </c>
      <c r="I74" s="116">
        <f>+VLOOKUP($B74,'datos9-2014'!$A$2:$BE$78,18,FALSE)</f>
        <v>0</v>
      </c>
      <c r="J74" s="116">
        <f>+VLOOKUP($B74,'datos9-2014'!$A$2:$BE$78,19,FALSE)</f>
        <v>34165.019999999997</v>
      </c>
      <c r="K74" s="116">
        <f>+VLOOKUP($B74,'datos9-2014'!$A$2:$BE$78,20,FALSE)</f>
        <v>12940</v>
      </c>
      <c r="L74" s="68">
        <f t="shared" si="23"/>
        <v>81903.09</v>
      </c>
      <c r="M74" s="116">
        <f>+VLOOKUP($B74,'datos9-2014'!$A$2:$BE$78,22,FALSE)</f>
        <v>0</v>
      </c>
      <c r="N74" s="116">
        <f>+VLOOKUP($B74,'datos9-2014'!$A$2:$BE$78,23,FALSE)</f>
        <v>0</v>
      </c>
      <c r="O74" s="116">
        <f>+VLOOKUP($B74,'datos9-2014'!$A$2:$BE$78,24,FALSE)</f>
        <v>0</v>
      </c>
      <c r="P74" s="68">
        <f t="shared" si="24"/>
        <v>0</v>
      </c>
      <c r="Q74" s="116">
        <f>+VLOOKUP($B74,'datos9-2014'!$A$2:$BE$78,26,FALSE)</f>
        <v>2512.2199999999998</v>
      </c>
      <c r="R74" s="116">
        <f>+VLOOKUP($B74,'datos9-2014'!$A$2:$BE$78,27,FALSE)</f>
        <v>0</v>
      </c>
      <c r="S74" s="116">
        <f>+VLOOKUP($B74,'datos9-2014'!$A$2:$BE$78,28,FALSE)</f>
        <v>0</v>
      </c>
      <c r="T74" s="116">
        <f>+VLOOKUP($B74,'datos9-2014'!$A$2:$BE$78,29,FALSE)</f>
        <v>0</v>
      </c>
      <c r="U74" s="68">
        <f t="shared" si="25"/>
        <v>2512.2199999999998</v>
      </c>
      <c r="V74" s="116">
        <f>+VLOOKUP($B74,'datos9-2014'!$A$2:$BE$78,31,FALSE)</f>
        <v>0</v>
      </c>
      <c r="W74" s="116">
        <f>+VLOOKUP($B74,'datos9-2014'!$A$2:$BE$78,32,FALSE)</f>
        <v>0</v>
      </c>
      <c r="X74" s="117">
        <f t="shared" si="26"/>
        <v>0</v>
      </c>
      <c r="Y74" s="118">
        <f t="shared" si="27"/>
        <v>170505.21</v>
      </c>
      <c r="Z74" s="116">
        <f>+VLOOKUP($B74,'datos9-2014'!$A$2:$BE$78,35,FALSE)</f>
        <v>0</v>
      </c>
      <c r="AA74" s="116">
        <f>+VLOOKUP($B74,'datos9-2014'!$A$2:$BE$78,36,FALSE)</f>
        <v>0</v>
      </c>
      <c r="AB74" s="116">
        <f>+VLOOKUP($B74,'datos9-2014'!$A$2:$BE$78,37,FALSE)</f>
        <v>0</v>
      </c>
      <c r="AC74" s="116">
        <f>+VLOOKUP($B74,'datos9-2014'!$A$2:$BE$78,38,FALSE)</f>
        <v>0</v>
      </c>
      <c r="AD74" s="116">
        <f>+VLOOKUP($B74,'datos9-2014'!$A$2:$BE$78,39,FALSE)</f>
        <v>0</v>
      </c>
      <c r="AE74" s="68">
        <f t="shared" si="28"/>
        <v>0</v>
      </c>
      <c r="AF74" s="116">
        <f>+VLOOKUP($B74,'datos9-2014'!$A$2:$BE$78,42,FALSE)</f>
        <v>0</v>
      </c>
      <c r="AG74" s="116">
        <f>+VLOOKUP($B74,'datos9-2014'!$A$2:$BE$78,44,FALSE)</f>
        <v>0</v>
      </c>
      <c r="AH74" s="116">
        <f>+VLOOKUP($B74,'datos9-2014'!$A$2:$BE$78,45,FALSE)</f>
        <v>0</v>
      </c>
      <c r="AI74" s="116">
        <f>+VLOOKUP($B74,'datos9-2014'!$A$2:$BE$78,46,FALSE)</f>
        <v>0</v>
      </c>
      <c r="AJ74" s="68">
        <f t="shared" si="29"/>
        <v>0</v>
      </c>
      <c r="AK74" s="116">
        <f>+VLOOKUP($B74,'datos9-2014'!$A$2:$BE$78,49,FALSE)</f>
        <v>0</v>
      </c>
      <c r="AL74" s="116">
        <f>+VLOOKUP($B74,'datos9-2014'!$A$2:$BE$78,50,FALSE)</f>
        <v>0</v>
      </c>
      <c r="AM74" s="116">
        <f>+VLOOKUP($B74,'datos9-2014'!$A$2:$BE$78,51,FALSE)</f>
        <v>0</v>
      </c>
      <c r="AN74" s="116">
        <f>+VLOOKUP($B74,'datos9-2014'!$A$2:$BE$78,52,FALSE)</f>
        <v>0</v>
      </c>
      <c r="AO74" s="119">
        <f t="shared" si="30"/>
        <v>0</v>
      </c>
      <c r="AP74" s="116">
        <f>+VLOOKUP($B74,'datos9-2014'!$A$2:$BE$78,55,FALSE)</f>
        <v>0</v>
      </c>
      <c r="AQ74" s="118">
        <f t="shared" si="31"/>
        <v>0</v>
      </c>
      <c r="AS74" s="120">
        <f t="shared" si="32"/>
        <v>170505.21</v>
      </c>
      <c r="AW74" s="116">
        <v>42602.43</v>
      </c>
    </row>
    <row r="75" spans="2:49" x14ac:dyDescent="0.2">
      <c r="B75" s="121" t="s">
        <v>127</v>
      </c>
      <c r="C75" s="115"/>
      <c r="D75" s="116">
        <f>+VLOOKUP($B75,'datos9-2014'!$A$2:$BE$78,13,FALSE)</f>
        <v>13984.99</v>
      </c>
      <c r="E75" s="116">
        <f>+VLOOKUP($B75,'datos9-2014'!$A$2:$BE$78,14,FALSE)</f>
        <v>0</v>
      </c>
      <c r="F75" s="116">
        <f>+VLOOKUP($B75,'datos9-2014'!$A$2:$BE$78,15,FALSE)</f>
        <v>19149.41</v>
      </c>
      <c r="G75" s="68">
        <f t="shared" si="22"/>
        <v>33134.400000000001</v>
      </c>
      <c r="H75" s="116">
        <f>+VLOOKUP($B75,'datos9-2014'!$A$2:$BE$78,17,FALSE)</f>
        <v>0</v>
      </c>
      <c r="I75" s="116">
        <f>+VLOOKUP($B75,'datos9-2014'!$A$2:$BE$78,18,FALSE)</f>
        <v>0</v>
      </c>
      <c r="J75" s="116">
        <f>+VLOOKUP($B75,'datos9-2014'!$A$2:$BE$78,19,FALSE)</f>
        <v>0</v>
      </c>
      <c r="K75" s="116">
        <f>+VLOOKUP($B75,'datos9-2014'!$A$2:$BE$78,20,FALSE)</f>
        <v>0</v>
      </c>
      <c r="L75" s="68">
        <f t="shared" si="23"/>
        <v>0</v>
      </c>
      <c r="M75" s="116">
        <f>+VLOOKUP($B75,'datos9-2014'!$A$2:$BE$78,22,FALSE)</f>
        <v>0</v>
      </c>
      <c r="N75" s="116">
        <f>+VLOOKUP($B75,'datos9-2014'!$A$2:$BE$78,23,FALSE)</f>
        <v>0</v>
      </c>
      <c r="O75" s="116">
        <f>+VLOOKUP($B75,'datos9-2014'!$A$2:$BE$78,24,FALSE)</f>
        <v>0</v>
      </c>
      <c r="P75" s="68">
        <f t="shared" si="24"/>
        <v>0</v>
      </c>
      <c r="Q75" s="116">
        <f>+VLOOKUP($B75,'datos9-2014'!$A$2:$BE$78,26,FALSE)</f>
        <v>0</v>
      </c>
      <c r="R75" s="116">
        <f>+VLOOKUP($B75,'datos9-2014'!$A$2:$BE$78,27,FALSE)</f>
        <v>0</v>
      </c>
      <c r="S75" s="116">
        <f>+VLOOKUP($B75,'datos9-2014'!$A$2:$BE$78,28,FALSE)</f>
        <v>0</v>
      </c>
      <c r="T75" s="116">
        <f>+VLOOKUP($B75,'datos9-2014'!$A$2:$BE$78,29,FALSE)</f>
        <v>0</v>
      </c>
      <c r="U75" s="68">
        <f t="shared" si="25"/>
        <v>0</v>
      </c>
      <c r="V75" s="116">
        <f>+VLOOKUP($B75,'datos9-2014'!$A$2:$BE$78,31,FALSE)</f>
        <v>0</v>
      </c>
      <c r="W75" s="116">
        <f>+VLOOKUP($B75,'datos9-2014'!$A$2:$BE$78,32,FALSE)</f>
        <v>0</v>
      </c>
      <c r="X75" s="117">
        <f t="shared" si="26"/>
        <v>0</v>
      </c>
      <c r="Y75" s="118">
        <f t="shared" si="27"/>
        <v>33134.400000000001</v>
      </c>
      <c r="Z75" s="116">
        <f>+VLOOKUP($B75,'datos9-2014'!$A$2:$BE$78,35,FALSE)</f>
        <v>2500000</v>
      </c>
      <c r="AA75" s="116">
        <f>+VLOOKUP($B75,'datos9-2014'!$A$2:$BE$78,36,FALSE)</f>
        <v>918125</v>
      </c>
      <c r="AB75" s="116">
        <f>+VLOOKUP($B75,'datos9-2014'!$A$2:$BE$78,37,FALSE)</f>
        <v>0</v>
      </c>
      <c r="AC75" s="116">
        <f>+VLOOKUP($B75,'datos9-2014'!$A$2:$BE$78,38,FALSE)</f>
        <v>0</v>
      </c>
      <c r="AD75" s="116">
        <f>+VLOOKUP($B75,'datos9-2014'!$A$2:$BE$78,39,FALSE)</f>
        <v>0</v>
      </c>
      <c r="AE75" s="68">
        <f t="shared" si="28"/>
        <v>3418125</v>
      </c>
      <c r="AF75" s="116">
        <f>+VLOOKUP($B75,'datos9-2014'!$A$2:$BE$78,42,FALSE)</f>
        <v>127103.56</v>
      </c>
      <c r="AG75" s="116">
        <f>+VLOOKUP($B75,'datos9-2014'!$A$2:$BE$78,44,FALSE)</f>
        <v>0</v>
      </c>
      <c r="AH75" s="116">
        <f>+VLOOKUP($B75,'datos9-2014'!$A$2:$BE$78,45,FALSE)</f>
        <v>0</v>
      </c>
      <c r="AI75" s="116">
        <f>+VLOOKUP($B75,'datos9-2014'!$A$2:$BE$78,46,FALSE)</f>
        <v>0</v>
      </c>
      <c r="AJ75" s="68">
        <f t="shared" si="29"/>
        <v>127103.56</v>
      </c>
      <c r="AK75" s="116">
        <f>+VLOOKUP($B75,'datos9-2014'!$A$2:$BE$78,49,FALSE)</f>
        <v>94685.65</v>
      </c>
      <c r="AL75" s="116">
        <f>+VLOOKUP($B75,'datos9-2014'!$A$2:$BE$78,50,FALSE)</f>
        <v>0</v>
      </c>
      <c r="AM75" s="116">
        <f>+VLOOKUP($B75,'datos9-2014'!$A$2:$BE$78,51,FALSE)</f>
        <v>0</v>
      </c>
      <c r="AN75" s="116">
        <f>+VLOOKUP($B75,'datos9-2014'!$A$2:$BE$78,52,FALSE)</f>
        <v>0</v>
      </c>
      <c r="AO75" s="119">
        <f t="shared" si="30"/>
        <v>94685.65</v>
      </c>
      <c r="AP75" s="116">
        <f>+VLOOKUP($B75,'datos9-2014'!$A$2:$BE$78,55,FALSE)</f>
        <v>0</v>
      </c>
      <c r="AQ75" s="118">
        <f t="shared" si="31"/>
        <v>3639914.21</v>
      </c>
      <c r="AS75" s="120">
        <f t="shared" si="32"/>
        <v>3673048.61</v>
      </c>
      <c r="AW75" s="116">
        <v>752737</v>
      </c>
    </row>
    <row r="76" spans="2:49" x14ac:dyDescent="0.2">
      <c r="B76" s="121" t="s">
        <v>128</v>
      </c>
      <c r="C76" s="115"/>
      <c r="D76" s="116">
        <f>+VLOOKUP($B76,'datos9-2014'!$A$2:$BE$78,13,FALSE)</f>
        <v>6117000</v>
      </c>
      <c r="E76" s="116">
        <f>+VLOOKUP($B76,'datos9-2014'!$A$2:$BE$78,14,FALSE)</f>
        <v>0</v>
      </c>
      <c r="F76" s="116">
        <f>+VLOOKUP($B76,'datos9-2014'!$A$2:$BE$78,15,FALSE)</f>
        <v>0</v>
      </c>
      <c r="G76" s="68">
        <f t="shared" si="22"/>
        <v>6117000</v>
      </c>
      <c r="H76" s="116">
        <f>+VLOOKUP($B76,'datos9-2014'!$A$2:$BE$78,17,FALSE)</f>
        <v>0</v>
      </c>
      <c r="I76" s="116">
        <f>+VLOOKUP($B76,'datos9-2014'!$A$2:$BE$78,18,FALSE)</f>
        <v>690000</v>
      </c>
      <c r="J76" s="116">
        <f>+VLOOKUP($B76,'datos9-2014'!$A$2:$BE$78,19,FALSE)</f>
        <v>0</v>
      </c>
      <c r="K76" s="116">
        <f>+VLOOKUP($B76,'datos9-2014'!$A$2:$BE$78,20,FALSE)</f>
        <v>929000</v>
      </c>
      <c r="L76" s="68">
        <f t="shared" si="23"/>
        <v>1619000</v>
      </c>
      <c r="M76" s="116">
        <f>+VLOOKUP($B76,'datos9-2014'!$A$2:$BE$78,22,FALSE)</f>
        <v>2203000</v>
      </c>
      <c r="N76" s="116">
        <f>+VLOOKUP($B76,'datos9-2014'!$A$2:$BE$78,23,FALSE)</f>
        <v>528000</v>
      </c>
      <c r="O76" s="116">
        <f>+VLOOKUP($B76,'datos9-2014'!$A$2:$BE$78,24,FALSE)</f>
        <v>0</v>
      </c>
      <c r="P76" s="68">
        <f t="shared" si="24"/>
        <v>2731000</v>
      </c>
      <c r="Q76" s="116">
        <f>+VLOOKUP($B76,'datos9-2014'!$A$2:$BE$78,26,FALSE)</f>
        <v>0</v>
      </c>
      <c r="R76" s="116">
        <f>+VLOOKUP($B76,'datos9-2014'!$A$2:$BE$78,27,FALSE)</f>
        <v>0</v>
      </c>
      <c r="S76" s="116">
        <f>+VLOOKUP($B76,'datos9-2014'!$A$2:$BE$78,28,FALSE)</f>
        <v>0</v>
      </c>
      <c r="T76" s="116">
        <f>+VLOOKUP($B76,'datos9-2014'!$A$2:$BE$78,29,FALSE)</f>
        <v>0</v>
      </c>
      <c r="U76" s="68">
        <f t="shared" si="25"/>
        <v>0</v>
      </c>
      <c r="V76" s="116">
        <f>+VLOOKUP($B76,'datos9-2014'!$A$2:$BE$78,31,FALSE)</f>
        <v>0</v>
      </c>
      <c r="W76" s="116">
        <f>+VLOOKUP($B76,'datos9-2014'!$A$2:$BE$78,32,FALSE)</f>
        <v>295000</v>
      </c>
      <c r="X76" s="117">
        <f t="shared" si="26"/>
        <v>295000</v>
      </c>
      <c r="Y76" s="118">
        <f t="shared" si="27"/>
        <v>10762000</v>
      </c>
      <c r="Z76" s="116">
        <f>+VLOOKUP($B76,'datos9-2014'!$A$2:$BE$78,35,FALSE)</f>
        <v>7500000</v>
      </c>
      <c r="AA76" s="116">
        <f>+VLOOKUP($B76,'datos9-2014'!$A$2:$BE$78,36,FALSE)</f>
        <v>860720</v>
      </c>
      <c r="AB76" s="116">
        <f>+VLOOKUP($B76,'datos9-2014'!$A$2:$BE$78,37,FALSE)</f>
        <v>0</v>
      </c>
      <c r="AC76" s="116">
        <f>+VLOOKUP($B76,'datos9-2014'!$A$2:$BE$78,38,FALSE)</f>
        <v>0</v>
      </c>
      <c r="AD76" s="116">
        <f>+VLOOKUP($B76,'datos9-2014'!$A$2:$BE$78,39,FALSE)</f>
        <v>0</v>
      </c>
      <c r="AE76" s="68">
        <f t="shared" si="28"/>
        <v>8360720</v>
      </c>
      <c r="AF76" s="116">
        <f>+VLOOKUP($B76,'datos9-2014'!$A$2:$BE$78,42,FALSE)</f>
        <v>271542</v>
      </c>
      <c r="AG76" s="116">
        <f>+VLOOKUP($B76,'datos9-2014'!$A$2:$BE$78,44,FALSE)</f>
        <v>285319</v>
      </c>
      <c r="AH76" s="116">
        <f>+VLOOKUP($B76,'datos9-2014'!$A$2:$BE$78,45,FALSE)</f>
        <v>0</v>
      </c>
      <c r="AI76" s="116">
        <f>+VLOOKUP($B76,'datos9-2014'!$A$2:$BE$78,46,FALSE)</f>
        <v>0</v>
      </c>
      <c r="AJ76" s="68">
        <f t="shared" si="29"/>
        <v>556861</v>
      </c>
      <c r="AK76" s="116">
        <f>+VLOOKUP($B76,'datos9-2014'!$A$2:$BE$78,49,FALSE)</f>
        <v>4279409</v>
      </c>
      <c r="AL76" s="116">
        <f>+VLOOKUP($B76,'datos9-2014'!$A$2:$BE$78,50,FALSE)</f>
        <v>4941563</v>
      </c>
      <c r="AM76" s="116">
        <f>+VLOOKUP($B76,'datos9-2014'!$A$2:$BE$78,51,FALSE)</f>
        <v>0</v>
      </c>
      <c r="AN76" s="116">
        <f>+VLOOKUP($B76,'datos9-2014'!$A$2:$BE$78,52,FALSE)</f>
        <v>2556720</v>
      </c>
      <c r="AO76" s="119">
        <f t="shared" si="30"/>
        <v>11777692</v>
      </c>
      <c r="AP76" s="116">
        <f>+VLOOKUP($B76,'datos9-2014'!$A$2:$BE$78,55,FALSE)</f>
        <v>305975</v>
      </c>
      <c r="AQ76" s="118">
        <f t="shared" si="31"/>
        <v>21001248</v>
      </c>
      <c r="AS76" s="120">
        <f t="shared" si="32"/>
        <v>31763248</v>
      </c>
      <c r="AW76" s="116">
        <v>0</v>
      </c>
    </row>
    <row r="77" spans="2:49" x14ac:dyDescent="0.2">
      <c r="B77" s="121" t="s">
        <v>129</v>
      </c>
      <c r="C77" s="115"/>
      <c r="D77" s="116">
        <f>+VLOOKUP($B77,'datos9-2014'!$A$2:$BE$78,13,FALSE)</f>
        <v>384682.91</v>
      </c>
      <c r="E77" s="116">
        <f>+VLOOKUP($B77,'datos9-2014'!$A$2:$BE$78,14,FALSE)</f>
        <v>0</v>
      </c>
      <c r="F77" s="116">
        <f>+VLOOKUP($B77,'datos9-2014'!$A$2:$BE$78,15,FALSE)</f>
        <v>0</v>
      </c>
      <c r="G77" s="68">
        <f t="shared" si="22"/>
        <v>384682.91</v>
      </c>
      <c r="H77" s="116">
        <f>+VLOOKUP($B77,'datos9-2014'!$A$2:$BE$78,17,FALSE)</f>
        <v>85985.35</v>
      </c>
      <c r="I77" s="116">
        <f>+VLOOKUP($B77,'datos9-2014'!$A$2:$BE$78,18,FALSE)</f>
        <v>79419.820000000007</v>
      </c>
      <c r="J77" s="116">
        <f>+VLOOKUP($B77,'datos9-2014'!$A$2:$BE$78,19,FALSE)</f>
        <v>442224.73</v>
      </c>
      <c r="K77" s="116">
        <f>+VLOOKUP($B77,'datos9-2014'!$A$2:$BE$78,20,FALSE)</f>
        <v>0</v>
      </c>
      <c r="L77" s="68">
        <f t="shared" si="23"/>
        <v>607629.9</v>
      </c>
      <c r="M77" s="116">
        <f>+VLOOKUP($B77,'datos9-2014'!$A$2:$BE$78,22,FALSE)</f>
        <v>163543.53</v>
      </c>
      <c r="N77" s="116">
        <f>+VLOOKUP($B77,'datos9-2014'!$A$2:$BE$78,23,FALSE)</f>
        <v>0</v>
      </c>
      <c r="O77" s="116">
        <f>+VLOOKUP($B77,'datos9-2014'!$A$2:$BE$78,24,FALSE)</f>
        <v>0</v>
      </c>
      <c r="P77" s="68">
        <f t="shared" si="24"/>
        <v>163543.53</v>
      </c>
      <c r="Q77" s="116">
        <f>+VLOOKUP($B77,'datos9-2014'!$A$2:$BE$78,26,FALSE)</f>
        <v>0</v>
      </c>
      <c r="R77" s="116">
        <f>+VLOOKUP($B77,'datos9-2014'!$A$2:$BE$78,27,FALSE)</f>
        <v>0</v>
      </c>
      <c r="S77" s="116">
        <f>+VLOOKUP($B77,'datos9-2014'!$A$2:$BE$78,28,FALSE)</f>
        <v>0</v>
      </c>
      <c r="T77" s="116">
        <f>+VLOOKUP($B77,'datos9-2014'!$A$2:$BE$78,29,FALSE)</f>
        <v>0</v>
      </c>
      <c r="U77" s="68">
        <f t="shared" si="25"/>
        <v>0</v>
      </c>
      <c r="V77" s="116">
        <f>+VLOOKUP($B77,'datos9-2014'!$A$2:$BE$78,31,FALSE)</f>
        <v>807.08</v>
      </c>
      <c r="W77" s="116">
        <f>+VLOOKUP($B77,'datos9-2014'!$A$2:$BE$78,32,FALSE)</f>
        <v>1650</v>
      </c>
      <c r="X77" s="117">
        <f t="shared" si="26"/>
        <v>2457.08</v>
      </c>
      <c r="Y77" s="118">
        <f t="shared" si="27"/>
        <v>1158313.4200000002</v>
      </c>
      <c r="Z77" s="116">
        <f>+VLOOKUP($B77,'datos9-2014'!$A$2:$BE$78,35,FALSE)</f>
        <v>0</v>
      </c>
      <c r="AA77" s="116">
        <f>+VLOOKUP($B77,'datos9-2014'!$A$2:$BE$78,36,FALSE)</f>
        <v>0</v>
      </c>
      <c r="AB77" s="116">
        <f>+VLOOKUP($B77,'datos9-2014'!$A$2:$BE$78,37,FALSE)</f>
        <v>0</v>
      </c>
      <c r="AC77" s="116">
        <f>+VLOOKUP($B77,'datos9-2014'!$A$2:$BE$78,38,FALSE)</f>
        <v>0</v>
      </c>
      <c r="AD77" s="116">
        <f>+VLOOKUP($B77,'datos9-2014'!$A$2:$BE$78,39,FALSE)</f>
        <v>0</v>
      </c>
      <c r="AE77" s="68">
        <f t="shared" si="28"/>
        <v>0</v>
      </c>
      <c r="AF77" s="116">
        <f>+VLOOKUP($B77,'datos9-2014'!$A$2:$BE$78,42,FALSE)</f>
        <v>0</v>
      </c>
      <c r="AG77" s="116">
        <f>+VLOOKUP($B77,'datos9-2014'!$A$2:$BE$78,44,FALSE)</f>
        <v>219571.05</v>
      </c>
      <c r="AH77" s="116">
        <f>+VLOOKUP($B77,'datos9-2014'!$A$2:$BE$78,45,FALSE)</f>
        <v>0</v>
      </c>
      <c r="AI77" s="116">
        <f>+VLOOKUP($B77,'datos9-2014'!$A$2:$BE$78,46,FALSE)</f>
        <v>0</v>
      </c>
      <c r="AJ77" s="68">
        <f t="shared" si="29"/>
        <v>219571.05</v>
      </c>
      <c r="AK77" s="116">
        <f>+VLOOKUP($B77,'datos9-2014'!$A$2:$BE$78,49,FALSE)</f>
        <v>0</v>
      </c>
      <c r="AL77" s="116">
        <f>+VLOOKUP($B77,'datos9-2014'!$A$2:$BE$78,50,FALSE)</f>
        <v>0</v>
      </c>
      <c r="AM77" s="116">
        <f>+VLOOKUP($B77,'datos9-2014'!$A$2:$BE$78,51,FALSE)</f>
        <v>0</v>
      </c>
      <c r="AN77" s="116">
        <f>+VLOOKUP($B77,'datos9-2014'!$A$2:$BE$78,52,FALSE)</f>
        <v>0</v>
      </c>
      <c r="AO77" s="119">
        <f t="shared" si="30"/>
        <v>0</v>
      </c>
      <c r="AP77" s="116">
        <f>+VLOOKUP($B77,'datos9-2014'!$A$2:$BE$78,55,FALSE)</f>
        <v>0</v>
      </c>
      <c r="AQ77" s="118">
        <f t="shared" si="31"/>
        <v>219571.05</v>
      </c>
      <c r="AS77" s="120">
        <f t="shared" si="32"/>
        <v>1377884.4700000002</v>
      </c>
      <c r="AW77" s="116">
        <v>0</v>
      </c>
    </row>
    <row r="78" spans="2:49" x14ac:dyDescent="0.2">
      <c r="B78" s="121" t="s">
        <v>130</v>
      </c>
      <c r="C78" s="115"/>
      <c r="D78" s="116">
        <f>+VLOOKUP($B78,'datos9-2014'!$A$2:$BE$78,13,FALSE)</f>
        <v>119874.64</v>
      </c>
      <c r="E78" s="116">
        <f>+VLOOKUP($B78,'datos9-2014'!$A$2:$BE$78,14,FALSE)</f>
        <v>0</v>
      </c>
      <c r="F78" s="116">
        <f>+VLOOKUP($B78,'datos9-2014'!$A$2:$BE$78,15,FALSE)</f>
        <v>4100</v>
      </c>
      <c r="G78" s="68">
        <f t="shared" si="22"/>
        <v>123974.64</v>
      </c>
      <c r="H78" s="116">
        <f>+VLOOKUP($B78,'datos9-2014'!$A$2:$BE$78,17,FALSE)</f>
        <v>15467.34</v>
      </c>
      <c r="I78" s="116">
        <f>+VLOOKUP($B78,'datos9-2014'!$A$2:$BE$78,18,FALSE)</f>
        <v>0</v>
      </c>
      <c r="J78" s="116">
        <f>+VLOOKUP($B78,'datos9-2014'!$A$2:$BE$78,19,FALSE)</f>
        <v>3613.86</v>
      </c>
      <c r="K78" s="116">
        <f>+VLOOKUP($B78,'datos9-2014'!$A$2:$BE$78,20,FALSE)</f>
        <v>10625.5</v>
      </c>
      <c r="L78" s="68">
        <f t="shared" si="23"/>
        <v>29706.7</v>
      </c>
      <c r="M78" s="116">
        <f>+VLOOKUP($B78,'datos9-2014'!$A$2:$BE$78,22,FALSE)</f>
        <v>0</v>
      </c>
      <c r="N78" s="116">
        <f>+VLOOKUP($B78,'datos9-2014'!$A$2:$BE$78,23,FALSE)</f>
        <v>857.15</v>
      </c>
      <c r="O78" s="116">
        <f>+VLOOKUP($B78,'datos9-2014'!$A$2:$BE$78,24,FALSE)</f>
        <v>0</v>
      </c>
      <c r="P78" s="68">
        <f t="shared" si="24"/>
        <v>857.15</v>
      </c>
      <c r="Q78" s="116">
        <f>+VLOOKUP($B78,'datos9-2014'!$A$2:$BE$78,26,FALSE)</f>
        <v>227290.16</v>
      </c>
      <c r="R78" s="116">
        <f>+VLOOKUP($B78,'datos9-2014'!$A$2:$BE$78,27,FALSE)</f>
        <v>0</v>
      </c>
      <c r="S78" s="116">
        <f>+VLOOKUP($B78,'datos9-2014'!$A$2:$BE$78,28,FALSE)</f>
        <v>0</v>
      </c>
      <c r="T78" s="116">
        <f>+VLOOKUP($B78,'datos9-2014'!$A$2:$BE$78,29,FALSE)</f>
        <v>2271.79</v>
      </c>
      <c r="U78" s="68">
        <f t="shared" si="25"/>
        <v>229561.95</v>
      </c>
      <c r="V78" s="116">
        <f>+VLOOKUP($B78,'datos9-2014'!$A$2:$BE$78,31,FALSE)</f>
        <v>23105.57</v>
      </c>
      <c r="W78" s="116">
        <f>+VLOOKUP($B78,'datos9-2014'!$A$2:$BE$78,32,FALSE)</f>
        <v>0</v>
      </c>
      <c r="X78" s="117">
        <f t="shared" si="26"/>
        <v>23105.57</v>
      </c>
      <c r="Y78" s="118">
        <f t="shared" si="27"/>
        <v>407206.01</v>
      </c>
      <c r="Z78" s="116">
        <f>+VLOOKUP($B78,'datos9-2014'!$A$2:$BE$78,35,FALSE)</f>
        <v>0</v>
      </c>
      <c r="AA78" s="116">
        <f>+VLOOKUP($B78,'datos9-2014'!$A$2:$BE$78,36,FALSE)</f>
        <v>0</v>
      </c>
      <c r="AB78" s="116">
        <f>+VLOOKUP($B78,'datos9-2014'!$A$2:$BE$78,37,FALSE)</f>
        <v>0</v>
      </c>
      <c r="AC78" s="116">
        <f>+VLOOKUP($B78,'datos9-2014'!$A$2:$BE$78,38,FALSE)</f>
        <v>0</v>
      </c>
      <c r="AD78" s="116">
        <f>+VLOOKUP($B78,'datos9-2014'!$A$2:$BE$78,39,FALSE)</f>
        <v>0</v>
      </c>
      <c r="AE78" s="68">
        <f t="shared" si="28"/>
        <v>0</v>
      </c>
      <c r="AF78" s="116">
        <f>+VLOOKUP($B78,'datos9-2014'!$A$2:$BE$78,42,FALSE)</f>
        <v>1570997.93</v>
      </c>
      <c r="AG78" s="116">
        <f>+VLOOKUP($B78,'datos9-2014'!$A$2:$BE$78,44,FALSE)</f>
        <v>507762.2</v>
      </c>
      <c r="AH78" s="116">
        <f>+VLOOKUP($B78,'datos9-2014'!$A$2:$BE$78,45,FALSE)</f>
        <v>0</v>
      </c>
      <c r="AI78" s="116">
        <f>+VLOOKUP($B78,'datos9-2014'!$A$2:$BE$78,46,FALSE)</f>
        <v>0</v>
      </c>
      <c r="AJ78" s="68">
        <f t="shared" si="29"/>
        <v>2078760.13</v>
      </c>
      <c r="AK78" s="116">
        <f>+VLOOKUP($B78,'datos9-2014'!$A$2:$BE$78,49,FALSE)</f>
        <v>19781.84</v>
      </c>
      <c r="AL78" s="116">
        <f>+VLOOKUP($B78,'datos9-2014'!$A$2:$BE$78,50,FALSE)</f>
        <v>0</v>
      </c>
      <c r="AM78" s="116">
        <f>+VLOOKUP($B78,'datos9-2014'!$A$2:$BE$78,51,FALSE)</f>
        <v>0</v>
      </c>
      <c r="AN78" s="116">
        <f>+VLOOKUP($B78,'datos9-2014'!$A$2:$BE$78,52,FALSE)</f>
        <v>0</v>
      </c>
      <c r="AO78" s="119">
        <f t="shared" si="30"/>
        <v>19781.84</v>
      </c>
      <c r="AP78" s="116">
        <f>+VLOOKUP($B78,'datos9-2014'!$A$2:$BE$78,55,FALSE)</f>
        <v>0</v>
      </c>
      <c r="AQ78" s="118">
        <f t="shared" si="31"/>
        <v>2098541.9699999997</v>
      </c>
      <c r="AS78" s="120">
        <f t="shared" si="32"/>
        <v>2505747.9799999995</v>
      </c>
      <c r="AW78" s="116">
        <v>0</v>
      </c>
    </row>
    <row r="79" spans="2:49" x14ac:dyDescent="0.2">
      <c r="B79" s="121" t="s">
        <v>131</v>
      </c>
      <c r="D79" s="116">
        <f>+VLOOKUP($B79,'datos9-2014'!$A$2:$BE$78,13,FALSE)</f>
        <v>5695.67</v>
      </c>
      <c r="E79" s="116">
        <f>+VLOOKUP($B79,'datos9-2014'!$A$2:$BE$78,14,FALSE)</f>
        <v>0</v>
      </c>
      <c r="F79" s="116">
        <f>+VLOOKUP($B79,'datos9-2014'!$A$2:$BE$78,15,FALSE)</f>
        <v>0</v>
      </c>
      <c r="G79" s="68">
        <f t="shared" si="22"/>
        <v>5695.67</v>
      </c>
      <c r="H79" s="116">
        <f>+VLOOKUP($B79,'datos9-2014'!$A$2:$BE$78,17,FALSE)</f>
        <v>0</v>
      </c>
      <c r="I79" s="116">
        <f>+VLOOKUP($B79,'datos9-2014'!$A$2:$BE$78,18,FALSE)</f>
        <v>0</v>
      </c>
      <c r="J79" s="116">
        <f>+VLOOKUP($B79,'datos9-2014'!$A$2:$BE$78,19,FALSE)</f>
        <v>0</v>
      </c>
      <c r="K79" s="116">
        <f>+VLOOKUP($B79,'datos9-2014'!$A$2:$BE$78,20,FALSE)</f>
        <v>2441</v>
      </c>
      <c r="L79" s="68">
        <f t="shared" si="23"/>
        <v>2441</v>
      </c>
      <c r="M79" s="116">
        <f>+VLOOKUP($B79,'datos9-2014'!$A$2:$BE$78,22,FALSE)</f>
        <v>0</v>
      </c>
      <c r="N79" s="116">
        <f>+VLOOKUP($B79,'datos9-2014'!$A$2:$BE$78,23,FALSE)</f>
        <v>0</v>
      </c>
      <c r="O79" s="116">
        <f>+VLOOKUP($B79,'datos9-2014'!$A$2:$BE$78,24,FALSE)</f>
        <v>0</v>
      </c>
      <c r="P79" s="68">
        <f t="shared" si="24"/>
        <v>0</v>
      </c>
      <c r="Q79" s="116">
        <f>+VLOOKUP($B79,'datos9-2014'!$A$2:$BE$78,26,FALSE)</f>
        <v>0</v>
      </c>
      <c r="R79" s="116">
        <f>+VLOOKUP($B79,'datos9-2014'!$A$2:$BE$78,27,FALSE)</f>
        <v>0</v>
      </c>
      <c r="S79" s="116">
        <f>+VLOOKUP($B79,'datos9-2014'!$A$2:$BE$78,28,FALSE)</f>
        <v>0</v>
      </c>
      <c r="T79" s="116">
        <f>+VLOOKUP($B79,'datos9-2014'!$A$2:$BE$78,29,FALSE)</f>
        <v>0</v>
      </c>
      <c r="U79" s="68">
        <f t="shared" si="25"/>
        <v>0</v>
      </c>
      <c r="V79" s="116">
        <f>+VLOOKUP($B79,'datos9-2014'!$A$2:$BE$78,31,FALSE)</f>
        <v>1035.1400000000001</v>
      </c>
      <c r="W79" s="116">
        <f>+VLOOKUP($B79,'datos9-2014'!$A$2:$BE$78,32,FALSE)</f>
        <v>0</v>
      </c>
      <c r="X79" s="117">
        <f t="shared" si="26"/>
        <v>1035.1400000000001</v>
      </c>
      <c r="Y79" s="118">
        <f t="shared" si="27"/>
        <v>9171.81</v>
      </c>
      <c r="Z79" s="116">
        <f>+VLOOKUP($B79,'datos9-2014'!$A$2:$BE$78,35,FALSE)</f>
        <v>0</v>
      </c>
      <c r="AA79" s="116">
        <f>+VLOOKUP($B79,'datos9-2014'!$A$2:$BE$78,36,FALSE)</f>
        <v>0</v>
      </c>
      <c r="AB79" s="116">
        <f>+VLOOKUP($B79,'datos9-2014'!$A$2:$BE$78,37,FALSE)</f>
        <v>0</v>
      </c>
      <c r="AC79" s="116">
        <f>+VLOOKUP($B79,'datos9-2014'!$A$2:$BE$78,38,FALSE)</f>
        <v>0</v>
      </c>
      <c r="AD79" s="116">
        <f>+VLOOKUP($B79,'datos9-2014'!$A$2:$BE$78,39,FALSE)</f>
        <v>0</v>
      </c>
      <c r="AE79" s="68">
        <f t="shared" si="28"/>
        <v>0</v>
      </c>
      <c r="AF79" s="116">
        <f>+VLOOKUP($B79,'datos9-2014'!$A$2:$BE$78,42,FALSE)</f>
        <v>0</v>
      </c>
      <c r="AG79" s="116">
        <f>+VLOOKUP($B79,'datos9-2014'!$A$2:$BE$78,44,FALSE)</f>
        <v>0</v>
      </c>
      <c r="AH79" s="116">
        <f>+VLOOKUP($B79,'datos9-2014'!$A$2:$BE$78,45,FALSE)</f>
        <v>0</v>
      </c>
      <c r="AI79" s="116">
        <f>+VLOOKUP($B79,'datos9-2014'!$A$2:$BE$78,46,FALSE)</f>
        <v>0</v>
      </c>
      <c r="AJ79" s="68">
        <f t="shared" si="29"/>
        <v>0</v>
      </c>
      <c r="AK79" s="116">
        <f>+VLOOKUP($B79,'datos9-2014'!$A$2:$BE$78,49,FALSE)</f>
        <v>0</v>
      </c>
      <c r="AL79" s="116">
        <f>+VLOOKUP($B79,'datos9-2014'!$A$2:$BE$78,50,FALSE)</f>
        <v>0</v>
      </c>
      <c r="AM79" s="116">
        <f>+VLOOKUP($B79,'datos9-2014'!$A$2:$BE$78,51,FALSE)</f>
        <v>0</v>
      </c>
      <c r="AN79" s="116">
        <f>+VLOOKUP($B79,'datos9-2014'!$A$2:$BE$78,52,FALSE)</f>
        <v>0</v>
      </c>
      <c r="AO79" s="119">
        <f t="shared" si="30"/>
        <v>0</v>
      </c>
      <c r="AP79" s="116">
        <f>+VLOOKUP($B79,'datos9-2014'!$A$2:$BE$78,55,FALSE)</f>
        <v>0</v>
      </c>
      <c r="AQ79" s="118">
        <f t="shared" si="31"/>
        <v>0</v>
      </c>
      <c r="AS79" s="120">
        <f t="shared" si="32"/>
        <v>9171.81</v>
      </c>
      <c r="AW79" s="116">
        <v>73094.600000000006</v>
      </c>
    </row>
    <row r="80" spans="2:49" x14ac:dyDescent="0.2">
      <c r="B80" s="121" t="s">
        <v>132</v>
      </c>
      <c r="C80" s="115"/>
      <c r="D80" s="116">
        <f>+VLOOKUP($B80,'datos9-2014'!$A$2:$BE$78,13,FALSE)</f>
        <v>14699.44</v>
      </c>
      <c r="E80" s="116">
        <f>+VLOOKUP($B80,'datos9-2014'!$A$2:$BE$78,14,FALSE)</f>
        <v>0</v>
      </c>
      <c r="F80" s="116">
        <f>+VLOOKUP($B80,'datos9-2014'!$A$2:$BE$78,15,FALSE)</f>
        <v>0</v>
      </c>
      <c r="G80" s="68">
        <f t="shared" si="22"/>
        <v>14699.44</v>
      </c>
      <c r="H80" s="116">
        <f>+VLOOKUP($B80,'datos9-2014'!$A$2:$BE$78,17,FALSE)</f>
        <v>63292.73</v>
      </c>
      <c r="I80" s="116">
        <f>+VLOOKUP($B80,'datos9-2014'!$A$2:$BE$78,18,FALSE)</f>
        <v>0</v>
      </c>
      <c r="J80" s="116">
        <f>+VLOOKUP($B80,'datos9-2014'!$A$2:$BE$78,19,FALSE)</f>
        <v>0</v>
      </c>
      <c r="K80" s="116">
        <f>+VLOOKUP($B80,'datos9-2014'!$A$2:$BE$78,20,FALSE)</f>
        <v>0</v>
      </c>
      <c r="L80" s="68">
        <f t="shared" si="23"/>
        <v>63292.73</v>
      </c>
      <c r="M80" s="116">
        <f>+VLOOKUP($B80,'datos9-2014'!$A$2:$BE$78,22,FALSE)</f>
        <v>34492.83</v>
      </c>
      <c r="N80" s="116">
        <f>+VLOOKUP($B80,'datos9-2014'!$A$2:$BE$78,23,FALSE)</f>
        <v>0</v>
      </c>
      <c r="O80" s="116">
        <f>+VLOOKUP($B80,'datos9-2014'!$A$2:$BE$78,24,FALSE)</f>
        <v>0</v>
      </c>
      <c r="P80" s="68">
        <f t="shared" si="24"/>
        <v>34492.83</v>
      </c>
      <c r="Q80" s="116">
        <f>+VLOOKUP($B80,'datos9-2014'!$A$2:$BE$78,26,FALSE)</f>
        <v>0</v>
      </c>
      <c r="R80" s="116">
        <f>+VLOOKUP($B80,'datos9-2014'!$A$2:$BE$78,27,FALSE)</f>
        <v>0</v>
      </c>
      <c r="S80" s="116">
        <f>+VLOOKUP($B80,'datos9-2014'!$A$2:$BE$78,28,FALSE)</f>
        <v>0</v>
      </c>
      <c r="T80" s="116">
        <f>+VLOOKUP($B80,'datos9-2014'!$A$2:$BE$78,29,FALSE)</f>
        <v>4050</v>
      </c>
      <c r="U80" s="68">
        <f t="shared" si="25"/>
        <v>4050</v>
      </c>
      <c r="V80" s="116">
        <f>+VLOOKUP($B80,'datos9-2014'!$A$2:$BE$78,31,FALSE)</f>
        <v>0</v>
      </c>
      <c r="W80" s="116">
        <f>+VLOOKUP($B80,'datos9-2014'!$A$2:$BE$78,32,FALSE)</f>
        <v>0</v>
      </c>
      <c r="X80" s="117">
        <f t="shared" si="26"/>
        <v>0</v>
      </c>
      <c r="Y80" s="118">
        <f t="shared" si="27"/>
        <v>116535</v>
      </c>
      <c r="Z80" s="116">
        <f>+VLOOKUP($B80,'datos9-2014'!$A$2:$BE$78,35,FALSE)</f>
        <v>0</v>
      </c>
      <c r="AA80" s="116">
        <f>+VLOOKUP($B80,'datos9-2014'!$A$2:$BE$78,36,FALSE)</f>
        <v>0</v>
      </c>
      <c r="AB80" s="116">
        <f>+VLOOKUP($B80,'datos9-2014'!$A$2:$BE$78,37,FALSE)</f>
        <v>0</v>
      </c>
      <c r="AC80" s="116">
        <f>+VLOOKUP($B80,'datos9-2014'!$A$2:$BE$78,38,FALSE)</f>
        <v>0</v>
      </c>
      <c r="AD80" s="116">
        <f>+VLOOKUP($B80,'datos9-2014'!$A$2:$BE$78,39,FALSE)</f>
        <v>0</v>
      </c>
      <c r="AE80" s="68">
        <f t="shared" si="28"/>
        <v>0</v>
      </c>
      <c r="AF80" s="116">
        <f>+VLOOKUP($B80,'datos9-2014'!$A$2:$BE$78,42,FALSE)</f>
        <v>3000</v>
      </c>
      <c r="AG80" s="116">
        <f>+VLOOKUP($B80,'datos9-2014'!$A$2:$BE$78,44,FALSE)</f>
        <v>38736.980000000003</v>
      </c>
      <c r="AH80" s="116">
        <f>+VLOOKUP($B80,'datos9-2014'!$A$2:$BE$78,45,FALSE)</f>
        <v>0</v>
      </c>
      <c r="AI80" s="116">
        <f>+VLOOKUP($B80,'datos9-2014'!$A$2:$BE$78,46,FALSE)</f>
        <v>0</v>
      </c>
      <c r="AJ80" s="68">
        <f t="shared" si="29"/>
        <v>41736.980000000003</v>
      </c>
      <c r="AK80" s="116">
        <f>+VLOOKUP($B80,'datos9-2014'!$A$2:$BE$78,49,FALSE)</f>
        <v>0</v>
      </c>
      <c r="AL80" s="116">
        <f>+VLOOKUP($B80,'datos9-2014'!$A$2:$BE$78,50,FALSE)</f>
        <v>0</v>
      </c>
      <c r="AM80" s="116">
        <f>+VLOOKUP($B80,'datos9-2014'!$A$2:$BE$78,51,FALSE)</f>
        <v>0</v>
      </c>
      <c r="AN80" s="116">
        <f>+VLOOKUP($B80,'datos9-2014'!$A$2:$BE$78,52,FALSE)</f>
        <v>0</v>
      </c>
      <c r="AO80" s="119">
        <f t="shared" si="30"/>
        <v>0</v>
      </c>
      <c r="AP80" s="116">
        <f>+VLOOKUP($B80,'datos9-2014'!$A$2:$BE$78,55,FALSE)</f>
        <v>0</v>
      </c>
      <c r="AQ80" s="118">
        <f t="shared" si="31"/>
        <v>41736.980000000003</v>
      </c>
      <c r="AS80" s="120">
        <f t="shared" si="32"/>
        <v>158271.98000000001</v>
      </c>
      <c r="AW80" s="116">
        <v>3000</v>
      </c>
    </row>
    <row r="81" spans="2:56" x14ac:dyDescent="0.2">
      <c r="B81" s="121" t="s">
        <v>133</v>
      </c>
      <c r="C81" s="115"/>
      <c r="D81" s="116">
        <f>+VLOOKUP($B81,'datos9-2014'!$A$2:$BE$78,13,FALSE)</f>
        <v>55886.35</v>
      </c>
      <c r="E81" s="116">
        <f>+VLOOKUP($B81,'datos9-2014'!$A$2:$BE$78,14,FALSE)</f>
        <v>0</v>
      </c>
      <c r="F81" s="116">
        <f>+VLOOKUP($B81,'datos9-2014'!$A$2:$BE$78,15,FALSE)</f>
        <v>0</v>
      </c>
      <c r="G81" s="68">
        <f t="shared" si="22"/>
        <v>55886.35</v>
      </c>
      <c r="H81" s="116">
        <f>+VLOOKUP($B81,'datos9-2014'!$A$2:$BE$78,17,FALSE)</f>
        <v>0</v>
      </c>
      <c r="I81" s="116">
        <f>+VLOOKUP($B81,'datos9-2014'!$A$2:$BE$78,18,FALSE)</f>
        <v>0</v>
      </c>
      <c r="J81" s="116">
        <f>+VLOOKUP($B81,'datos9-2014'!$A$2:$BE$78,19,FALSE)</f>
        <v>424051</v>
      </c>
      <c r="K81" s="116">
        <f>+VLOOKUP($B81,'datos9-2014'!$A$2:$BE$78,20,FALSE)</f>
        <v>131655.85</v>
      </c>
      <c r="L81" s="68">
        <f t="shared" si="23"/>
        <v>555706.85</v>
      </c>
      <c r="M81" s="116">
        <f>+VLOOKUP($B81,'datos9-2014'!$A$2:$BE$78,22,FALSE)</f>
        <v>139716</v>
      </c>
      <c r="N81" s="116">
        <f>+VLOOKUP($B81,'datos9-2014'!$A$2:$BE$78,23,FALSE)</f>
        <v>0</v>
      </c>
      <c r="O81" s="116">
        <f>+VLOOKUP($B81,'datos9-2014'!$A$2:$BE$78,24,FALSE)</f>
        <v>0</v>
      </c>
      <c r="P81" s="68">
        <f t="shared" si="24"/>
        <v>139716</v>
      </c>
      <c r="Q81" s="116">
        <f>+VLOOKUP($B81,'datos9-2014'!$A$2:$BE$78,26,FALSE)</f>
        <v>0</v>
      </c>
      <c r="R81" s="116">
        <f>+VLOOKUP($B81,'datos9-2014'!$A$2:$BE$78,27,FALSE)</f>
        <v>0</v>
      </c>
      <c r="S81" s="116">
        <f>+VLOOKUP($B81,'datos9-2014'!$A$2:$BE$78,28,FALSE)</f>
        <v>0</v>
      </c>
      <c r="T81" s="116">
        <f>+VLOOKUP($B81,'datos9-2014'!$A$2:$BE$78,29,FALSE)</f>
        <v>0</v>
      </c>
      <c r="U81" s="68">
        <f t="shared" si="25"/>
        <v>0</v>
      </c>
      <c r="V81" s="116">
        <f>+VLOOKUP($B81,'datos9-2014'!$A$2:$BE$78,31,FALSE)</f>
        <v>0</v>
      </c>
      <c r="W81" s="116">
        <f>+VLOOKUP($B81,'datos9-2014'!$A$2:$BE$78,32,FALSE)</f>
        <v>0</v>
      </c>
      <c r="X81" s="117">
        <f t="shared" si="26"/>
        <v>0</v>
      </c>
      <c r="Y81" s="118">
        <f t="shared" si="27"/>
        <v>751309.2</v>
      </c>
      <c r="Z81" s="116">
        <f>+VLOOKUP($B81,'datos9-2014'!$A$2:$BE$78,35,FALSE)</f>
        <v>0</v>
      </c>
      <c r="AA81" s="116">
        <f>+VLOOKUP($B81,'datos9-2014'!$A$2:$BE$78,36,FALSE)</f>
        <v>0</v>
      </c>
      <c r="AB81" s="116">
        <f>+VLOOKUP($B81,'datos9-2014'!$A$2:$BE$78,37,FALSE)</f>
        <v>0</v>
      </c>
      <c r="AC81" s="116">
        <f>+VLOOKUP($B81,'datos9-2014'!$A$2:$BE$78,38,FALSE)</f>
        <v>0</v>
      </c>
      <c r="AD81" s="116">
        <f>+VLOOKUP($B81,'datos9-2014'!$A$2:$BE$78,39,FALSE)</f>
        <v>0</v>
      </c>
      <c r="AE81" s="68">
        <f t="shared" si="28"/>
        <v>0</v>
      </c>
      <c r="AF81" s="116">
        <f>+VLOOKUP($B81,'datos9-2014'!$A$2:$BE$78,42,FALSE)</f>
        <v>360514.91</v>
      </c>
      <c r="AG81" s="116">
        <f>+VLOOKUP($B81,'datos9-2014'!$A$2:$BE$78,44,FALSE)</f>
        <v>222581.05</v>
      </c>
      <c r="AH81" s="116">
        <f>+VLOOKUP($B81,'datos9-2014'!$A$2:$BE$78,45,FALSE)</f>
        <v>0</v>
      </c>
      <c r="AI81" s="116">
        <f>+VLOOKUP($B81,'datos9-2014'!$A$2:$BE$78,46,FALSE)</f>
        <v>0</v>
      </c>
      <c r="AJ81" s="68">
        <f t="shared" si="29"/>
        <v>583095.96</v>
      </c>
      <c r="AK81" s="116">
        <f>+VLOOKUP($B81,'datos9-2014'!$A$2:$BE$78,49,FALSE)</f>
        <v>20474.060000000001</v>
      </c>
      <c r="AL81" s="116">
        <f>+VLOOKUP($B81,'datos9-2014'!$A$2:$BE$78,50,FALSE)</f>
        <v>0</v>
      </c>
      <c r="AM81" s="116">
        <f>+VLOOKUP($B81,'datos9-2014'!$A$2:$BE$78,51,FALSE)</f>
        <v>0</v>
      </c>
      <c r="AN81" s="116">
        <f>+VLOOKUP($B81,'datos9-2014'!$A$2:$BE$78,52,FALSE)</f>
        <v>0</v>
      </c>
      <c r="AO81" s="119">
        <f t="shared" si="30"/>
        <v>20474.060000000001</v>
      </c>
      <c r="AP81" s="116">
        <f>+VLOOKUP($B81,'datos9-2014'!$A$2:$BE$78,55,FALSE)</f>
        <v>0</v>
      </c>
      <c r="AQ81" s="118">
        <f t="shared" si="31"/>
        <v>603570.02</v>
      </c>
      <c r="AS81" s="120">
        <f t="shared" si="32"/>
        <v>1354879.22</v>
      </c>
      <c r="AW81" s="116">
        <v>0</v>
      </c>
    </row>
    <row r="82" spans="2:56" x14ac:dyDescent="0.2">
      <c r="B82" s="121" t="s">
        <v>134</v>
      </c>
      <c r="C82" s="115"/>
      <c r="D82" s="116">
        <f>+VLOOKUP($B82,'datos9-2014'!$A$2:$BE$78,13,FALSE)</f>
        <v>0</v>
      </c>
      <c r="E82" s="116">
        <f>+VLOOKUP($B82,'datos9-2014'!$A$2:$BE$78,14,FALSE)</f>
        <v>0</v>
      </c>
      <c r="F82" s="116">
        <f>+VLOOKUP($B82,'datos9-2014'!$A$2:$BE$78,15,FALSE)</f>
        <v>0</v>
      </c>
      <c r="G82" s="68">
        <f t="shared" si="22"/>
        <v>0</v>
      </c>
      <c r="H82" s="116">
        <f>+VLOOKUP($B82,'datos9-2014'!$A$2:$BE$78,17,FALSE)</f>
        <v>0</v>
      </c>
      <c r="I82" s="116">
        <f>+VLOOKUP($B82,'datos9-2014'!$A$2:$BE$78,18,FALSE)</f>
        <v>0</v>
      </c>
      <c r="J82" s="116">
        <f>+VLOOKUP($B82,'datos9-2014'!$A$2:$BE$78,19,FALSE)</f>
        <v>15359.09</v>
      </c>
      <c r="K82" s="116">
        <f>+VLOOKUP($B82,'datos9-2014'!$A$2:$BE$78,20,FALSE)</f>
        <v>0</v>
      </c>
      <c r="L82" s="68">
        <f t="shared" si="23"/>
        <v>15359.09</v>
      </c>
      <c r="M82" s="116">
        <f>+VLOOKUP($B82,'datos9-2014'!$A$2:$BE$78,22,FALSE)</f>
        <v>0</v>
      </c>
      <c r="N82" s="116">
        <f>+VLOOKUP($B82,'datos9-2014'!$A$2:$BE$78,23,FALSE)</f>
        <v>0</v>
      </c>
      <c r="O82" s="116">
        <f>+VLOOKUP($B82,'datos9-2014'!$A$2:$BE$78,24,FALSE)</f>
        <v>0</v>
      </c>
      <c r="P82" s="68">
        <f t="shared" si="24"/>
        <v>0</v>
      </c>
      <c r="Q82" s="116">
        <f>+VLOOKUP($B82,'datos9-2014'!$A$2:$BE$78,26,FALSE)</f>
        <v>0</v>
      </c>
      <c r="R82" s="116">
        <f>+VLOOKUP($B82,'datos9-2014'!$A$2:$BE$78,27,FALSE)</f>
        <v>0</v>
      </c>
      <c r="S82" s="116">
        <f>+VLOOKUP($B82,'datos9-2014'!$A$2:$BE$78,28,FALSE)</f>
        <v>0</v>
      </c>
      <c r="T82" s="116">
        <f>+VLOOKUP($B82,'datos9-2014'!$A$2:$BE$78,29,FALSE)</f>
        <v>0</v>
      </c>
      <c r="U82" s="68">
        <f t="shared" si="25"/>
        <v>0</v>
      </c>
      <c r="V82" s="116">
        <f>+VLOOKUP($B82,'datos9-2014'!$A$2:$BE$78,31,FALSE)</f>
        <v>0</v>
      </c>
      <c r="W82" s="116">
        <f>+VLOOKUP($B82,'datos9-2014'!$A$2:$BE$78,32,FALSE)</f>
        <v>0</v>
      </c>
      <c r="X82" s="117">
        <f t="shared" si="26"/>
        <v>0</v>
      </c>
      <c r="Y82" s="118">
        <f t="shared" si="27"/>
        <v>15359.09</v>
      </c>
      <c r="Z82" s="116">
        <f>+VLOOKUP($B82,'datos9-2014'!$A$2:$BE$78,35,FALSE)</f>
        <v>3738500</v>
      </c>
      <c r="AA82" s="116">
        <f>+VLOOKUP($B82,'datos9-2014'!$A$2:$BE$78,36,FALSE)</f>
        <v>0</v>
      </c>
      <c r="AB82" s="116">
        <f>+VLOOKUP($B82,'datos9-2014'!$A$2:$BE$78,37,FALSE)</f>
        <v>0</v>
      </c>
      <c r="AC82" s="116">
        <f>+VLOOKUP($B82,'datos9-2014'!$A$2:$BE$78,38,FALSE)</f>
        <v>0</v>
      </c>
      <c r="AD82" s="116">
        <f>+VLOOKUP($B82,'datos9-2014'!$A$2:$BE$78,39,FALSE)</f>
        <v>0</v>
      </c>
      <c r="AE82" s="68">
        <f t="shared" si="28"/>
        <v>3738500</v>
      </c>
      <c r="AF82" s="116">
        <f>+VLOOKUP($B82,'datos9-2014'!$A$2:$BE$78,42,FALSE)</f>
        <v>1320429.08</v>
      </c>
      <c r="AG82" s="116">
        <f>+VLOOKUP($B82,'datos9-2014'!$A$2:$BE$78,44,FALSE)</f>
        <v>494204.02</v>
      </c>
      <c r="AH82" s="116">
        <f>+VLOOKUP($B82,'datos9-2014'!$A$2:$BE$78,45,FALSE)</f>
        <v>0</v>
      </c>
      <c r="AI82" s="116">
        <f>+VLOOKUP($B82,'datos9-2014'!$A$2:$BE$78,46,FALSE)</f>
        <v>0</v>
      </c>
      <c r="AJ82" s="68">
        <f t="shared" si="29"/>
        <v>1814633.1</v>
      </c>
      <c r="AK82" s="116">
        <f>+VLOOKUP($B82,'datos9-2014'!$A$2:$BE$78,49,FALSE)</f>
        <v>0</v>
      </c>
      <c r="AL82" s="116">
        <f>+VLOOKUP($B82,'datos9-2014'!$A$2:$BE$78,50,FALSE)</f>
        <v>0</v>
      </c>
      <c r="AM82" s="116">
        <f>+VLOOKUP($B82,'datos9-2014'!$A$2:$BE$78,51,FALSE)</f>
        <v>0</v>
      </c>
      <c r="AN82" s="116">
        <f>+VLOOKUP($B82,'datos9-2014'!$A$2:$BE$78,52,FALSE)</f>
        <v>0</v>
      </c>
      <c r="AO82" s="119">
        <f t="shared" si="30"/>
        <v>0</v>
      </c>
      <c r="AP82" s="116">
        <f>+VLOOKUP($B82,'datos9-2014'!$A$2:$BE$78,55,FALSE)</f>
        <v>0</v>
      </c>
      <c r="AQ82" s="118">
        <f t="shared" si="31"/>
        <v>5553133.0999999996</v>
      </c>
      <c r="AS82" s="120">
        <f t="shared" si="32"/>
        <v>5568492.1899999995</v>
      </c>
      <c r="AW82" s="116">
        <v>6235.93</v>
      </c>
    </row>
    <row r="83" spans="2:56" s="12" customFormat="1" x14ac:dyDescent="0.2"/>
    <row r="84" spans="2:56" s="123" customFormat="1" hidden="1" x14ac:dyDescent="0.2">
      <c r="B84" s="122">
        <v>1</v>
      </c>
      <c r="C84" s="122">
        <v>2</v>
      </c>
    </row>
    <row r="85" spans="2:56" x14ac:dyDescent="0.2">
      <c r="D85" s="140">
        <f t="shared" ref="D85:AB85" si="33">SUM(D7:D82)</f>
        <v>89302319.469999999</v>
      </c>
      <c r="E85" s="140">
        <f t="shared" si="33"/>
        <v>56795790.519999996</v>
      </c>
      <c r="F85" s="140">
        <f t="shared" si="33"/>
        <v>1229376.0899999999</v>
      </c>
      <c r="G85" s="140">
        <f t="shared" si="33"/>
        <v>147327486.08000001</v>
      </c>
      <c r="H85" s="140">
        <f t="shared" si="33"/>
        <v>10421425.189999999</v>
      </c>
      <c r="I85" s="140">
        <f t="shared" si="33"/>
        <v>6292739.7400000002</v>
      </c>
      <c r="J85" s="140">
        <f t="shared" si="33"/>
        <v>15561316.689999999</v>
      </c>
      <c r="K85" s="140">
        <f t="shared" si="33"/>
        <v>46732752.230000004</v>
      </c>
      <c r="L85" s="140">
        <f t="shared" si="33"/>
        <v>79008233.850000024</v>
      </c>
      <c r="M85" s="140">
        <f t="shared" si="33"/>
        <v>21874093.280000001</v>
      </c>
      <c r="N85" s="140">
        <f t="shared" si="33"/>
        <v>3365101.08</v>
      </c>
      <c r="O85" s="140">
        <f t="shared" si="33"/>
        <v>271401.82</v>
      </c>
      <c r="P85" s="140">
        <f t="shared" si="33"/>
        <v>25510596.180000003</v>
      </c>
      <c r="Q85" s="140">
        <f t="shared" si="33"/>
        <v>8285973.6900000004</v>
      </c>
      <c r="R85" s="140">
        <f t="shared" si="33"/>
        <v>76356.19</v>
      </c>
      <c r="S85" s="140">
        <f t="shared" si="33"/>
        <v>92774.92</v>
      </c>
      <c r="T85" s="140">
        <f t="shared" si="33"/>
        <v>554015.07000000007</v>
      </c>
      <c r="U85" s="140">
        <f t="shared" si="33"/>
        <v>9009119.870000001</v>
      </c>
      <c r="V85" s="140">
        <f t="shared" si="33"/>
        <v>1088363.8999999999</v>
      </c>
      <c r="W85" s="140">
        <f t="shared" si="33"/>
        <v>14315052.549999999</v>
      </c>
      <c r="X85" s="140">
        <f t="shared" si="33"/>
        <v>15403416.449999999</v>
      </c>
      <c r="Y85" s="140">
        <f t="shared" si="33"/>
        <v>276258852.43000001</v>
      </c>
      <c r="Z85" s="140">
        <f t="shared" si="33"/>
        <v>137954224.31</v>
      </c>
      <c r="AA85" s="140">
        <f t="shared" si="33"/>
        <v>14836251.989999998</v>
      </c>
      <c r="AB85" s="140">
        <f t="shared" si="33"/>
        <v>26400</v>
      </c>
      <c r="AC85" s="140">
        <f t="shared" ref="AC85:AQ85" si="34">SUM(AC7:AC82)</f>
        <v>89666.06</v>
      </c>
      <c r="AD85" s="140">
        <f t="shared" si="34"/>
        <v>1422140.11</v>
      </c>
      <c r="AE85" s="140">
        <f t="shared" si="34"/>
        <v>154328682.47</v>
      </c>
      <c r="AF85" s="140">
        <f t="shared" si="34"/>
        <v>44158893.699999996</v>
      </c>
      <c r="AG85" s="140">
        <f t="shared" si="34"/>
        <v>14831180.109999999</v>
      </c>
      <c r="AH85" s="140">
        <f t="shared" si="34"/>
        <v>678020.30999999994</v>
      </c>
      <c r="AI85" s="140">
        <f t="shared" si="34"/>
        <v>494006.98</v>
      </c>
      <c r="AJ85" s="140">
        <f t="shared" si="34"/>
        <v>60162101.100000009</v>
      </c>
      <c r="AK85" s="140">
        <f t="shared" si="34"/>
        <v>15048314.909999998</v>
      </c>
      <c r="AL85" s="140">
        <f t="shared" si="34"/>
        <v>53347754.420000002</v>
      </c>
      <c r="AM85" s="140">
        <f t="shared" si="34"/>
        <v>25646214.459999997</v>
      </c>
      <c r="AN85" s="140">
        <f t="shared" si="34"/>
        <v>34937401.370000005</v>
      </c>
      <c r="AO85" s="140">
        <f t="shared" si="34"/>
        <v>128979685.16</v>
      </c>
      <c r="AP85" s="140">
        <f t="shared" si="34"/>
        <v>545973.47</v>
      </c>
      <c r="AQ85" s="140">
        <f t="shared" si="34"/>
        <v>344016442.19999999</v>
      </c>
      <c r="AR85" s="140" t="s">
        <v>65</v>
      </c>
      <c r="AS85" s="140">
        <f>SUM(AS7:AS82)</f>
        <v>620275294.63000011</v>
      </c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</row>
    <row r="86" spans="2:56" x14ac:dyDescent="0.2">
      <c r="D86" s="124"/>
      <c r="E86" s="124"/>
      <c r="F86" s="29"/>
      <c r="G86" s="29" t="s">
        <v>65</v>
      </c>
      <c r="H86" s="29"/>
      <c r="I86" s="124"/>
      <c r="J86" s="124"/>
      <c r="K86" s="29"/>
      <c r="L86" s="29"/>
      <c r="M86" s="124"/>
      <c r="N86" s="124"/>
      <c r="O86" s="124"/>
      <c r="P86" s="124" t="s">
        <v>65</v>
      </c>
      <c r="Q86" s="29"/>
      <c r="R86" s="124"/>
      <c r="S86" s="124"/>
      <c r="T86" s="29"/>
      <c r="U86" s="29"/>
      <c r="V86" s="29"/>
      <c r="W86" s="125"/>
      <c r="X86" s="126"/>
      <c r="Y86" s="29"/>
      <c r="Z86" s="124"/>
      <c r="AA86" s="124"/>
      <c r="AB86" s="124"/>
      <c r="AC86" s="124"/>
      <c r="AD86" s="29"/>
      <c r="AE86" s="29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29"/>
      <c r="AR86" s="124"/>
      <c r="AS86" s="29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</row>
    <row r="87" spans="2:56" x14ac:dyDescent="0.2"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7"/>
      <c r="Y87" s="122"/>
      <c r="Z87" s="128"/>
      <c r="AA87" s="128"/>
      <c r="AB87" s="128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</row>
    <row r="88" spans="2:56" x14ac:dyDescent="0.2">
      <c r="D88" s="129">
        <f>D85/G85</f>
        <v>0.60614839665090137</v>
      </c>
      <c r="E88" s="129">
        <f>E85/G85</f>
        <v>0.38550709057208393</v>
      </c>
      <c r="F88" s="129">
        <f>F85/G85</f>
        <v>8.3445127770145934E-3</v>
      </c>
      <c r="G88" s="129">
        <f>SUM(D88:F88)</f>
        <v>0.99999999999999989</v>
      </c>
      <c r="H88" s="129">
        <f>H85/L85</f>
        <v>0.13190302683876531</v>
      </c>
      <c r="I88" s="129">
        <f>I85/L85</f>
        <v>7.96466321718695E-2</v>
      </c>
      <c r="J88" s="129">
        <f>J85/L85</f>
        <v>0.19695816412683922</v>
      </c>
      <c r="K88" s="129">
        <f>K85/L85</f>
        <v>0.59149217686252575</v>
      </c>
      <c r="L88" s="129">
        <f>SUM(H88:K88)</f>
        <v>0.99999999999999978</v>
      </c>
      <c r="M88" s="130">
        <f>M85/P85</f>
        <v>0.85745127733035986</v>
      </c>
      <c r="N88" s="130">
        <f>N85/P85</f>
        <v>0.13190993484653246</v>
      </c>
      <c r="O88" s="130">
        <f>O85/P85</f>
        <v>1.0638787823107627E-2</v>
      </c>
      <c r="P88" s="129">
        <f>SUM(M88:O88)</f>
        <v>1</v>
      </c>
      <c r="Z88" s="13" t="s">
        <v>65</v>
      </c>
      <c r="AS88" s="11" t="s">
        <v>65</v>
      </c>
    </row>
    <row r="89" spans="2:56" x14ac:dyDescent="0.2">
      <c r="D89" s="133">
        <f>D85+F85</f>
        <v>90531695.560000002</v>
      </c>
      <c r="J89" s="13" t="s">
        <v>65</v>
      </c>
      <c r="L89" s="133">
        <f>L85+P85</f>
        <v>104518830.03000003</v>
      </c>
      <c r="N89" s="129">
        <f>N85/P89</f>
        <v>0.92536735774361689</v>
      </c>
      <c r="O89" s="129">
        <f>O85/P89</f>
        <v>7.4632642256383191E-2</v>
      </c>
      <c r="P89" s="133">
        <f>SUM(N85:O85)</f>
        <v>3636502.9</v>
      </c>
    </row>
    <row r="90" spans="2:56" x14ac:dyDescent="0.2">
      <c r="F90" s="11" t="s">
        <v>65</v>
      </c>
      <c r="L90" s="129">
        <f>L85/L89</f>
        <v>0.75592344295589897</v>
      </c>
    </row>
    <row r="91" spans="2:56" x14ac:dyDescent="0.2">
      <c r="L91" s="129">
        <f>P85/L89</f>
        <v>0.24407655704410103</v>
      </c>
    </row>
    <row r="92" spans="2:56" s="88" customFormat="1" x14ac:dyDescent="0.2"/>
  </sheetData>
  <mergeCells count="12">
    <mergeCell ref="D4:W4"/>
    <mergeCell ref="D5:G5"/>
    <mergeCell ref="M5:P5"/>
    <mergeCell ref="Q5:U5"/>
    <mergeCell ref="V5:X5"/>
    <mergeCell ref="H5:L5"/>
    <mergeCell ref="AQ4:AQ6"/>
    <mergeCell ref="AK5:AO5"/>
    <mergeCell ref="Z4:AO4"/>
    <mergeCell ref="Y4:Y6"/>
    <mergeCell ref="Z5:AE5"/>
    <mergeCell ref="AF5:AJ5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2"/>
  <sheetViews>
    <sheetView topLeftCell="A2" workbookViewId="0">
      <pane xSplit="7" ySplit="6" topLeftCell="X8" activePane="bottomRight" state="frozen"/>
      <selection activeCell="A2" sqref="A2"/>
      <selection pane="topRight" activeCell="H2" sqref="H2"/>
      <selection pane="bottomLeft" activeCell="A8" sqref="A8"/>
      <selection pane="bottomRight" activeCell="AP6" sqref="AP6"/>
    </sheetView>
  </sheetViews>
  <sheetFormatPr baseColWidth="10" defaultColWidth="11.42578125" defaultRowHeight="12.75" x14ac:dyDescent="0.2"/>
  <cols>
    <col min="1" max="1" width="2.28515625" style="3" customWidth="1"/>
    <col min="2" max="2" width="44.85546875" style="3" customWidth="1"/>
    <col min="3" max="3" width="2.140625" style="12" bestFit="1" customWidth="1"/>
    <col min="4" max="4" width="11.85546875" style="13" bestFit="1" customWidth="1"/>
    <col min="5" max="5" width="12.28515625" style="13" bestFit="1" customWidth="1"/>
    <col min="6" max="6" width="10.7109375" style="11" bestFit="1" customWidth="1"/>
    <col min="7" max="7" width="13" style="11" bestFit="1" customWidth="1"/>
    <col min="8" max="8" width="11.85546875" style="11" bestFit="1" customWidth="1"/>
    <col min="9" max="9" width="12.7109375" style="13" bestFit="1" customWidth="1"/>
    <col min="10" max="10" width="13.28515625" style="13" bestFit="1" customWidth="1"/>
    <col min="11" max="12" width="11.85546875" style="11" bestFit="1" customWidth="1"/>
    <col min="13" max="13" width="13.7109375" style="13" bestFit="1" customWidth="1"/>
    <col min="14" max="14" width="10.7109375" style="13" bestFit="1" customWidth="1"/>
    <col min="15" max="15" width="11.28515625" style="13" bestFit="1" customWidth="1"/>
    <col min="16" max="16" width="11.85546875" style="13" bestFit="1" customWidth="1"/>
    <col min="17" max="17" width="10.7109375" style="11" bestFit="1" customWidth="1"/>
    <col min="18" max="18" width="9" style="13" bestFit="1" customWidth="1"/>
    <col min="19" max="19" width="10" style="13" bestFit="1" customWidth="1"/>
    <col min="20" max="20" width="9" style="11" bestFit="1" customWidth="1"/>
    <col min="21" max="22" width="10.7109375" style="11" bestFit="1" customWidth="1"/>
    <col min="23" max="23" width="11.85546875" style="131" bestFit="1" customWidth="1"/>
    <col min="24" max="24" width="12.42578125" style="132" customWidth="1"/>
    <col min="25" max="25" width="15" style="11" customWidth="1"/>
    <col min="26" max="28" width="12.42578125" style="13" customWidth="1"/>
    <col min="29" max="29" width="10.7109375" style="13" customWidth="1"/>
    <col min="30" max="30" width="12.28515625" style="11" bestFit="1" customWidth="1"/>
    <col min="31" max="31" width="13.42578125" style="11" customWidth="1"/>
    <col min="32" max="32" width="12.42578125" style="13" customWidth="1"/>
    <col min="33" max="33" width="11.42578125" style="13" customWidth="1"/>
    <col min="34" max="34" width="12" style="13" customWidth="1"/>
    <col min="35" max="35" width="11.28515625" style="13" customWidth="1"/>
    <col min="36" max="36" width="12.7109375" style="13" customWidth="1"/>
    <col min="37" max="39" width="11.85546875" style="13" customWidth="1"/>
    <col min="40" max="40" width="12.7109375" style="13" customWidth="1"/>
    <col min="41" max="41" width="14.42578125" style="13" customWidth="1"/>
    <col min="42" max="42" width="12.85546875" style="13" customWidth="1"/>
    <col min="43" max="43" width="14.42578125" style="11" customWidth="1"/>
    <col min="44" max="44" width="1.28515625" style="13" customWidth="1"/>
    <col min="45" max="45" width="15.7109375" style="11" customWidth="1"/>
    <col min="46" max="46" width="5.140625" style="3" customWidth="1"/>
    <col min="47" max="16384" width="11.42578125" style="3"/>
  </cols>
  <sheetData>
    <row r="1" spans="1:49" s="78" customFormat="1" hidden="1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/>
      <c r="AB1" s="1"/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</row>
    <row r="2" spans="1:49" ht="58.5" customHeight="1" thickBot="1" x14ac:dyDescent="0.25">
      <c r="B2" s="134" t="s">
        <v>205</v>
      </c>
      <c r="C2" s="135"/>
      <c r="D2" s="136"/>
      <c r="E2" s="136"/>
      <c r="F2" s="100"/>
      <c r="G2" s="100"/>
      <c r="H2" s="100"/>
      <c r="I2" s="136"/>
      <c r="J2" s="136"/>
      <c r="K2" s="100"/>
      <c r="L2" s="100"/>
      <c r="M2" s="136"/>
      <c r="N2" s="136"/>
      <c r="O2" s="136"/>
      <c r="P2" s="136"/>
      <c r="Q2" s="100"/>
      <c r="R2" s="136"/>
      <c r="S2" s="136"/>
      <c r="T2" s="100"/>
      <c r="U2" s="100"/>
      <c r="V2" s="100"/>
      <c r="W2" s="137"/>
      <c r="X2" s="138"/>
      <c r="Y2" s="100"/>
      <c r="Z2" s="136"/>
      <c r="AA2" s="136"/>
      <c r="AB2" s="136"/>
      <c r="AC2" s="136"/>
      <c r="AD2" s="100"/>
      <c r="AE2" s="100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00"/>
      <c r="AR2" s="136"/>
      <c r="AS2" s="100"/>
    </row>
    <row r="3" spans="1:49" s="9" customFormat="1" ht="13.5" thickBot="1" x14ac:dyDescent="0.25"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1"/>
      <c r="X3" s="132"/>
      <c r="Y3" s="11"/>
      <c r="Z3" s="13"/>
      <c r="AA3" s="13"/>
      <c r="AB3" s="13"/>
      <c r="AC3" s="13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49" ht="15" customHeight="1" x14ac:dyDescent="0.2">
      <c r="D4" s="337" t="s">
        <v>160</v>
      </c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139"/>
      <c r="Y4" s="331" t="s">
        <v>161</v>
      </c>
      <c r="Z4" s="329" t="s">
        <v>162</v>
      </c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299"/>
      <c r="AQ4" s="323" t="s">
        <v>163</v>
      </c>
      <c r="AR4" s="82"/>
    </row>
    <row r="5" spans="1:49" ht="30" customHeight="1" thickBot="1" x14ac:dyDescent="0.25">
      <c r="D5" s="326" t="s">
        <v>164</v>
      </c>
      <c r="E5" s="335"/>
      <c r="F5" s="335"/>
      <c r="G5" s="336"/>
      <c r="H5" s="326" t="s">
        <v>165</v>
      </c>
      <c r="I5" s="339"/>
      <c r="J5" s="339"/>
      <c r="K5" s="339"/>
      <c r="L5" s="340"/>
      <c r="M5" s="326" t="s">
        <v>166</v>
      </c>
      <c r="N5" s="335"/>
      <c r="O5" s="335"/>
      <c r="P5" s="336"/>
      <c r="Q5" s="326" t="s">
        <v>167</v>
      </c>
      <c r="R5" s="335"/>
      <c r="S5" s="335"/>
      <c r="T5" s="335"/>
      <c r="U5" s="336"/>
      <c r="V5" s="326" t="s">
        <v>168</v>
      </c>
      <c r="W5" s="335"/>
      <c r="X5" s="335"/>
      <c r="Y5" s="332"/>
      <c r="Z5" s="334" t="s">
        <v>169</v>
      </c>
      <c r="AA5" s="335"/>
      <c r="AB5" s="335"/>
      <c r="AC5" s="335"/>
      <c r="AD5" s="335"/>
      <c r="AE5" s="336"/>
      <c r="AF5" s="326" t="s">
        <v>170</v>
      </c>
      <c r="AG5" s="335"/>
      <c r="AH5" s="335"/>
      <c r="AI5" s="335"/>
      <c r="AJ5" s="336"/>
      <c r="AK5" s="326" t="s">
        <v>171</v>
      </c>
      <c r="AL5" s="327"/>
      <c r="AM5" s="327"/>
      <c r="AN5" s="327"/>
      <c r="AO5" s="328"/>
      <c r="AP5" s="298"/>
      <c r="AQ5" s="324"/>
    </row>
    <row r="6" spans="1:49" ht="53.25" customHeight="1" thickBot="1" x14ac:dyDescent="0.25">
      <c r="B6" s="103" t="s">
        <v>147</v>
      </c>
      <c r="C6" s="104"/>
      <c r="D6" s="306" t="s">
        <v>174</v>
      </c>
      <c r="E6" s="105" t="s">
        <v>175</v>
      </c>
      <c r="F6" s="105" t="s">
        <v>176</v>
      </c>
      <c r="G6" s="307" t="s">
        <v>283</v>
      </c>
      <c r="H6" s="106" t="s">
        <v>178</v>
      </c>
      <c r="I6" s="306" t="s">
        <v>179</v>
      </c>
      <c r="J6" s="306" t="s">
        <v>180</v>
      </c>
      <c r="K6" s="107" t="s">
        <v>181</v>
      </c>
      <c r="L6" s="307" t="s">
        <v>284</v>
      </c>
      <c r="M6" s="105" t="s">
        <v>182</v>
      </c>
      <c r="N6" s="106" t="s">
        <v>183</v>
      </c>
      <c r="O6" s="106" t="s">
        <v>184</v>
      </c>
      <c r="P6" s="308" t="s">
        <v>285</v>
      </c>
      <c r="Q6" s="108" t="s">
        <v>185</v>
      </c>
      <c r="R6" s="108" t="s">
        <v>186</v>
      </c>
      <c r="S6" s="108" t="s">
        <v>187</v>
      </c>
      <c r="T6" s="108" t="s">
        <v>188</v>
      </c>
      <c r="U6" s="308" t="s">
        <v>289</v>
      </c>
      <c r="V6" s="108" t="s">
        <v>168</v>
      </c>
      <c r="W6" s="108" t="s">
        <v>189</v>
      </c>
      <c r="X6" s="309" t="s">
        <v>290</v>
      </c>
      <c r="Y6" s="333"/>
      <c r="Z6" s="109" t="s">
        <v>190</v>
      </c>
      <c r="AA6" s="109" t="s">
        <v>191</v>
      </c>
      <c r="AB6" s="109" t="s">
        <v>192</v>
      </c>
      <c r="AC6" s="108" t="s">
        <v>193</v>
      </c>
      <c r="AD6" s="108" t="s">
        <v>194</v>
      </c>
      <c r="AE6" s="308" t="s">
        <v>286</v>
      </c>
      <c r="AF6" s="105" t="s">
        <v>195</v>
      </c>
      <c r="AG6" s="108" t="s">
        <v>196</v>
      </c>
      <c r="AH6" s="108" t="s">
        <v>197</v>
      </c>
      <c r="AI6" s="110" t="s">
        <v>198</v>
      </c>
      <c r="AJ6" s="308" t="s">
        <v>287</v>
      </c>
      <c r="AK6" s="111" t="s">
        <v>199</v>
      </c>
      <c r="AL6" s="111" t="s">
        <v>200</v>
      </c>
      <c r="AM6" s="111" t="s">
        <v>201</v>
      </c>
      <c r="AN6" s="112" t="s">
        <v>202</v>
      </c>
      <c r="AO6" s="309" t="s">
        <v>288</v>
      </c>
      <c r="AP6" s="310" t="s">
        <v>172</v>
      </c>
      <c r="AQ6" s="325"/>
      <c r="AS6" s="113" t="s">
        <v>203</v>
      </c>
      <c r="AU6" s="13">
        <f>+COUNTA(B8:B83)-COUNTBLANK(T8:T83)-COUNTIF(T8:T83,0)+3</f>
        <v>12</v>
      </c>
      <c r="AV6" s="13">
        <f>+COUNTA(B8:B83)-COUNTBLANK(AS8:AS83)-COUNTIF(AS8:AS83,0)</f>
        <v>74</v>
      </c>
    </row>
    <row r="7" spans="1:49" hidden="1" x14ac:dyDescent="0.2">
      <c r="B7" s="16">
        <v>1</v>
      </c>
      <c r="C7" s="16">
        <v>2</v>
      </c>
      <c r="D7" s="141">
        <v>3</v>
      </c>
      <c r="E7" s="141">
        <v>4</v>
      </c>
      <c r="F7" s="142">
        <v>5</v>
      </c>
      <c r="G7" s="141">
        <v>6</v>
      </c>
      <c r="H7" s="142">
        <v>13</v>
      </c>
      <c r="I7" s="142">
        <v>7</v>
      </c>
      <c r="J7" s="141">
        <v>8</v>
      </c>
      <c r="K7" s="142">
        <v>9</v>
      </c>
      <c r="L7" s="141">
        <v>10</v>
      </c>
      <c r="M7" s="142">
        <v>11</v>
      </c>
      <c r="N7" s="141">
        <v>12</v>
      </c>
      <c r="O7" s="141">
        <v>14</v>
      </c>
      <c r="P7" s="142">
        <v>15</v>
      </c>
      <c r="Q7" s="141">
        <v>16</v>
      </c>
      <c r="R7" s="142">
        <v>17</v>
      </c>
      <c r="S7" s="142"/>
      <c r="T7" s="141">
        <v>18</v>
      </c>
      <c r="U7" s="142">
        <v>19</v>
      </c>
      <c r="V7" s="142"/>
      <c r="W7" s="141">
        <v>20</v>
      </c>
      <c r="X7" s="143"/>
      <c r="Y7" s="141">
        <v>22</v>
      </c>
      <c r="Z7" s="142">
        <v>23</v>
      </c>
      <c r="AA7" s="142"/>
      <c r="AB7" s="142"/>
      <c r="AC7" s="141">
        <v>24</v>
      </c>
      <c r="AD7" s="142">
        <v>25</v>
      </c>
      <c r="AE7" s="141">
        <v>26</v>
      </c>
      <c r="AF7" s="142">
        <v>27</v>
      </c>
      <c r="AG7" s="141">
        <v>28</v>
      </c>
      <c r="AH7" s="142">
        <v>29</v>
      </c>
      <c r="AI7" s="141">
        <v>30</v>
      </c>
      <c r="AJ7" s="141">
        <v>32</v>
      </c>
      <c r="AK7" s="142">
        <v>33</v>
      </c>
      <c r="AL7" s="141">
        <v>34</v>
      </c>
      <c r="AM7" s="142">
        <v>35</v>
      </c>
      <c r="AN7" s="141">
        <v>36</v>
      </c>
      <c r="AO7" s="141">
        <v>38</v>
      </c>
      <c r="AP7" s="141"/>
      <c r="AQ7" s="142">
        <v>39</v>
      </c>
      <c r="AR7" s="141">
        <v>40</v>
      </c>
      <c r="AS7" s="142">
        <v>41</v>
      </c>
    </row>
    <row r="8" spans="1:49" x14ac:dyDescent="0.2">
      <c r="B8" s="18" t="s">
        <v>58</v>
      </c>
      <c r="C8" s="115"/>
      <c r="D8" s="116">
        <f>+VLOOKUP($B8,'datos9-2015'!$A$2:$BE$78,13,FALSE)</f>
        <v>7872111</v>
      </c>
      <c r="E8" s="116">
        <f>+VLOOKUP($B8,'datos9-2015'!$A$2:$BE$78,14,FALSE)</f>
        <v>0</v>
      </c>
      <c r="F8" s="116">
        <f>+VLOOKUP($B8,'datos9-2015'!$A$2:$BE$78,15,FALSE)</f>
        <v>0</v>
      </c>
      <c r="G8" s="68">
        <f t="shared" ref="G8:G39" si="0">SUM(D8:F8)</f>
        <v>7872111</v>
      </c>
      <c r="H8" s="116">
        <f>+VLOOKUP($B8,'datos9-2015'!$A$2:$BE$78,17,FALSE)</f>
        <v>0</v>
      </c>
      <c r="I8" s="116">
        <f>+VLOOKUP($B8,'datos9-2015'!$A$2:$BE$78,18,FALSE)</f>
        <v>0</v>
      </c>
      <c r="J8" s="116">
        <f>+VLOOKUP($B8,'datos9-2015'!$A$2:$BE$78,19,FALSE)</f>
        <v>0</v>
      </c>
      <c r="K8" s="116">
        <f>+VLOOKUP($B8,'datos9-2015'!$A$2:$BE$78,20,FALSE)</f>
        <v>2629702</v>
      </c>
      <c r="L8" s="68">
        <f t="shared" ref="L8:L39" si="1">SUM(H8:K8)</f>
        <v>2629702</v>
      </c>
      <c r="M8" s="116">
        <f>+VLOOKUP($B8,'datos9-2015'!$A$2:$BE$78,22,FALSE)</f>
        <v>2908694</v>
      </c>
      <c r="N8" s="116">
        <f>+VLOOKUP($B8,'datos9-2015'!$A$2:$BE$78,23,FALSE)</f>
        <v>0</v>
      </c>
      <c r="O8" s="116">
        <f>+VLOOKUP($B8,'datos9-2015'!$A$2:$BE$78,24,FALSE)</f>
        <v>0</v>
      </c>
      <c r="P8" s="68">
        <f t="shared" ref="P8:P39" si="2">SUM(M8:O8)</f>
        <v>2908694</v>
      </c>
      <c r="Q8" s="116">
        <f>+VLOOKUP($B8,'datos9-2015'!$A$2:$BE$78,26,FALSE)</f>
        <v>0</v>
      </c>
      <c r="R8" s="116">
        <f>+VLOOKUP($B8,'datos9-2015'!$A$2:$BE$78,27,FALSE)</f>
        <v>0</v>
      </c>
      <c r="S8" s="116">
        <f>+VLOOKUP($B8,'datos9-2015'!$A$2:$BE$78,28,FALSE)</f>
        <v>0</v>
      </c>
      <c r="T8" s="116">
        <f>+VLOOKUP($B8,'datos9-2015'!$A$2:$BE$78,29,FALSE)</f>
        <v>0</v>
      </c>
      <c r="U8" s="68">
        <f t="shared" ref="U8:U39" si="3">SUM(Q8:T8)</f>
        <v>0</v>
      </c>
      <c r="V8" s="116">
        <f>+VLOOKUP($B8,'datos9-2015'!$A$2:$BE$78,31,FALSE)</f>
        <v>0</v>
      </c>
      <c r="W8" s="116">
        <f>+VLOOKUP($B8,'datos9-2015'!$A$2:$BE$78,32,FALSE)</f>
        <v>0</v>
      </c>
      <c r="X8" s="117">
        <f t="shared" ref="X8:X39" si="4">SUM(V8:W8)</f>
        <v>0</v>
      </c>
      <c r="Y8" s="118">
        <f t="shared" ref="Y8:Y39" si="5">+U8+P8+L8+G8+X8</f>
        <v>13410507</v>
      </c>
      <c r="Z8" s="116">
        <f>+VLOOKUP($B8,'datos9-2015'!$A$2:$BE$78,35,FALSE)</f>
        <v>0</v>
      </c>
      <c r="AA8" s="116">
        <f>+VLOOKUP($B8,'datos9-2015'!$A$2:$BE$78,36,FALSE)</f>
        <v>0</v>
      </c>
      <c r="AB8" s="116">
        <f>+VLOOKUP($B8,'datos9-2015'!$A$2:$BE$78,37,FALSE)</f>
        <v>0</v>
      </c>
      <c r="AC8" s="116">
        <f>+VLOOKUP($B8,'datos9-2015'!$A$2:$BE$78,38,FALSE)</f>
        <v>8571344</v>
      </c>
      <c r="AD8" s="116">
        <f>+VLOOKUP($B8,'datos9-2015'!$A$2:$BE$78,39,FALSE)</f>
        <v>1425289</v>
      </c>
      <c r="AE8" s="68">
        <f t="shared" ref="AE8:AE39" si="6">SUM(Z8:AD8)</f>
        <v>9996633</v>
      </c>
      <c r="AF8" s="116">
        <f>+VLOOKUP($B8,'datos9-2015'!$A$2:$BE$78,42,FALSE)</f>
        <v>0</v>
      </c>
      <c r="AG8" s="116">
        <f>+VLOOKUP($B8,'datos9-2015'!$A$2:$BE$78,44,FALSE)</f>
        <v>0</v>
      </c>
      <c r="AH8" s="116">
        <f>+VLOOKUP($B8,'datos9-2015'!$A$2:$BE$78,45,FALSE)</f>
        <v>0</v>
      </c>
      <c r="AI8" s="116">
        <f>+VLOOKUP($B8,'datos9-2015'!$A$2:$BE$78,46,FALSE)</f>
        <v>0</v>
      </c>
      <c r="AJ8" s="68">
        <f t="shared" ref="AJ8:AJ39" si="7">SUM(AF8:AI8)</f>
        <v>0</v>
      </c>
      <c r="AK8" s="116">
        <f>+VLOOKUP($B8,'datos9-2015'!$A$2:$BE$78,49,FALSE)</f>
        <v>1425131</v>
      </c>
      <c r="AL8" s="116">
        <f>+VLOOKUP($B8,'datos9-2015'!$A$2:$BE$78,50,FALSE)</f>
        <v>23432180</v>
      </c>
      <c r="AM8" s="116">
        <f>+VLOOKUP($B8,'datos9-2015'!$A$2:$BE$78,51,FALSE)</f>
        <v>17101712</v>
      </c>
      <c r="AN8" s="116">
        <f>+VLOOKUP($B8,'datos9-2015'!$A$2:$BE$78,52,FALSE)</f>
        <v>25650563</v>
      </c>
      <c r="AO8" s="119">
        <f t="shared" ref="AO8:AO39" si="8">SUM(AK8:AN8)</f>
        <v>67609586</v>
      </c>
      <c r="AP8" s="116">
        <f>+VLOOKUP($B8,'datos9-2015'!$A$2:$BE$78,55,FALSE)</f>
        <v>0</v>
      </c>
      <c r="AQ8" s="118">
        <f t="shared" ref="AQ8:AQ39" si="9">AO8+AJ8+AE8+AP8</f>
        <v>77606219</v>
      </c>
      <c r="AS8" s="120">
        <f t="shared" ref="AS8:AS39" si="10">+AQ8+Y8</f>
        <v>91016726</v>
      </c>
      <c r="AU8" s="13"/>
      <c r="AW8" s="13"/>
    </row>
    <row r="9" spans="1:49" x14ac:dyDescent="0.2">
      <c r="B9" s="18" t="s">
        <v>59</v>
      </c>
      <c r="C9" s="115"/>
      <c r="D9" s="116">
        <f>+VLOOKUP($B9,'datos9-2015'!$A$2:$BE$78,13,FALSE)</f>
        <v>89507.86</v>
      </c>
      <c r="E9" s="116">
        <f>+VLOOKUP($B9,'datos9-2015'!$A$2:$BE$78,14,FALSE)</f>
        <v>21509.35</v>
      </c>
      <c r="F9" s="116">
        <f>+VLOOKUP($B9,'datos9-2015'!$A$2:$BE$78,15,FALSE)</f>
        <v>0</v>
      </c>
      <c r="G9" s="68">
        <f t="shared" si="0"/>
        <v>111017.20999999999</v>
      </c>
      <c r="H9" s="116">
        <f>+VLOOKUP($B9,'datos9-2015'!$A$2:$BE$78,17,FALSE)</f>
        <v>0</v>
      </c>
      <c r="I9" s="116">
        <f>+VLOOKUP($B9,'datos9-2015'!$A$2:$BE$78,18,FALSE)</f>
        <v>84892.96</v>
      </c>
      <c r="J9" s="116">
        <f>+VLOOKUP($B9,'datos9-2015'!$A$2:$BE$78,19,FALSE)</f>
        <v>351902</v>
      </c>
      <c r="K9" s="116">
        <f>+VLOOKUP($B9,'datos9-2015'!$A$2:$BE$78,20,FALSE)</f>
        <v>49178.720000000001</v>
      </c>
      <c r="L9" s="68">
        <f t="shared" si="1"/>
        <v>485973.68000000005</v>
      </c>
      <c r="M9" s="116">
        <f>+VLOOKUP($B9,'datos9-2015'!$A$2:$BE$78,22,FALSE)</f>
        <v>0</v>
      </c>
      <c r="N9" s="116">
        <f>+VLOOKUP($B9,'datos9-2015'!$A$2:$BE$78,23,FALSE)</f>
        <v>0</v>
      </c>
      <c r="O9" s="116">
        <f>+VLOOKUP($B9,'datos9-2015'!$A$2:$BE$78,24,FALSE)</f>
        <v>0</v>
      </c>
      <c r="P9" s="68">
        <f t="shared" si="2"/>
        <v>0</v>
      </c>
      <c r="Q9" s="116">
        <f>+VLOOKUP($B9,'datos9-2015'!$A$2:$BE$78,26,FALSE)</f>
        <v>0</v>
      </c>
      <c r="R9" s="116">
        <f>+VLOOKUP($B9,'datos9-2015'!$A$2:$BE$78,27,FALSE)</f>
        <v>0</v>
      </c>
      <c r="S9" s="116">
        <f>+VLOOKUP($B9,'datos9-2015'!$A$2:$BE$78,28,FALSE)</f>
        <v>0</v>
      </c>
      <c r="T9" s="116">
        <f>+VLOOKUP($B9,'datos9-2015'!$A$2:$BE$78,29,FALSE)</f>
        <v>0</v>
      </c>
      <c r="U9" s="68">
        <f t="shared" si="3"/>
        <v>0</v>
      </c>
      <c r="V9" s="116">
        <f>+VLOOKUP($B9,'datos9-2015'!$A$2:$BE$78,31,FALSE)</f>
        <v>0</v>
      </c>
      <c r="W9" s="116">
        <f>+VLOOKUP($B9,'datos9-2015'!$A$2:$BE$78,32,FALSE)</f>
        <v>0</v>
      </c>
      <c r="X9" s="117">
        <f t="shared" si="4"/>
        <v>0</v>
      </c>
      <c r="Y9" s="118">
        <f t="shared" si="5"/>
        <v>596990.89</v>
      </c>
      <c r="Z9" s="116">
        <f>+VLOOKUP($B9,'datos9-2015'!$A$2:$BE$78,35,FALSE)</f>
        <v>0</v>
      </c>
      <c r="AA9" s="116">
        <f>+VLOOKUP($B9,'datos9-2015'!$A$2:$BE$78,36,FALSE)</f>
        <v>0</v>
      </c>
      <c r="AB9" s="116">
        <f>+VLOOKUP($B9,'datos9-2015'!$A$2:$BE$78,37,FALSE)</f>
        <v>0</v>
      </c>
      <c r="AC9" s="116">
        <f>+VLOOKUP($B9,'datos9-2015'!$A$2:$BE$78,38,FALSE)</f>
        <v>0</v>
      </c>
      <c r="AD9" s="116">
        <f>+VLOOKUP($B9,'datos9-2015'!$A$2:$BE$78,39,FALSE)</f>
        <v>0</v>
      </c>
      <c r="AE9" s="68">
        <f t="shared" si="6"/>
        <v>0</v>
      </c>
      <c r="AF9" s="116">
        <f>+VLOOKUP($B9,'datos9-2015'!$A$2:$BE$78,42,FALSE)</f>
        <v>0</v>
      </c>
      <c r="AG9" s="116">
        <f>+VLOOKUP($B9,'datos9-2015'!$A$2:$BE$78,44,FALSE)</f>
        <v>49584</v>
      </c>
      <c r="AH9" s="116">
        <f>+VLOOKUP($B9,'datos9-2015'!$A$2:$BE$78,45,FALSE)</f>
        <v>0</v>
      </c>
      <c r="AI9" s="116">
        <f>+VLOOKUP($B9,'datos9-2015'!$A$2:$BE$78,46,FALSE)</f>
        <v>0</v>
      </c>
      <c r="AJ9" s="68">
        <f t="shared" si="7"/>
        <v>49584</v>
      </c>
      <c r="AK9" s="116">
        <f>+VLOOKUP($B9,'datos9-2015'!$A$2:$BE$78,49,FALSE)</f>
        <v>0</v>
      </c>
      <c r="AL9" s="116">
        <f>+VLOOKUP($B9,'datos9-2015'!$A$2:$BE$78,50,FALSE)</f>
        <v>0</v>
      </c>
      <c r="AM9" s="116">
        <f>+VLOOKUP($B9,'datos9-2015'!$A$2:$BE$78,51,FALSE)</f>
        <v>0</v>
      </c>
      <c r="AN9" s="116">
        <f>+VLOOKUP($B9,'datos9-2015'!$A$2:$BE$78,52,FALSE)</f>
        <v>0</v>
      </c>
      <c r="AO9" s="119">
        <f t="shared" si="8"/>
        <v>0</v>
      </c>
      <c r="AP9" s="116">
        <f>+VLOOKUP($B9,'datos9-2015'!$A$2:$BE$78,55,FALSE)</f>
        <v>0</v>
      </c>
      <c r="AQ9" s="118">
        <f t="shared" si="9"/>
        <v>49584</v>
      </c>
      <c r="AS9" s="120">
        <f t="shared" si="10"/>
        <v>646574.89</v>
      </c>
    </row>
    <row r="10" spans="1:49" x14ac:dyDescent="0.2">
      <c r="B10" s="18" t="s">
        <v>60</v>
      </c>
      <c r="C10" s="115"/>
      <c r="D10" s="116">
        <f>+VLOOKUP($B10,'datos9-2015'!$A$2:$BE$78,13,FALSE)</f>
        <v>146880.51999999999</v>
      </c>
      <c r="E10" s="116">
        <f>+VLOOKUP($B10,'datos9-2015'!$A$2:$BE$78,14,FALSE)</f>
        <v>0</v>
      </c>
      <c r="F10" s="116">
        <f>+VLOOKUP($B10,'datos9-2015'!$A$2:$BE$78,15,FALSE)</f>
        <v>0</v>
      </c>
      <c r="G10" s="68">
        <f t="shared" si="0"/>
        <v>146880.51999999999</v>
      </c>
      <c r="H10" s="116">
        <f>+VLOOKUP($B10,'datos9-2015'!$A$2:$BE$78,17,FALSE)</f>
        <v>51635.75</v>
      </c>
      <c r="I10" s="116">
        <f>+VLOOKUP($B10,'datos9-2015'!$A$2:$BE$78,18,FALSE)</f>
        <v>0</v>
      </c>
      <c r="J10" s="116">
        <f>+VLOOKUP($B10,'datos9-2015'!$A$2:$BE$78,19,FALSE)</f>
        <v>0</v>
      </c>
      <c r="K10" s="116">
        <f>+VLOOKUP($B10,'datos9-2015'!$A$2:$BE$78,20,FALSE)</f>
        <v>0</v>
      </c>
      <c r="L10" s="68">
        <f t="shared" si="1"/>
        <v>51635.75</v>
      </c>
      <c r="M10" s="116">
        <f>+VLOOKUP($B10,'datos9-2015'!$A$2:$BE$78,22,FALSE)</f>
        <v>0</v>
      </c>
      <c r="N10" s="116">
        <f>+VLOOKUP($B10,'datos9-2015'!$A$2:$BE$78,23,FALSE)</f>
        <v>0</v>
      </c>
      <c r="O10" s="116">
        <f>+VLOOKUP($B10,'datos9-2015'!$A$2:$BE$78,24,FALSE)</f>
        <v>0</v>
      </c>
      <c r="P10" s="68">
        <f t="shared" si="2"/>
        <v>0</v>
      </c>
      <c r="Q10" s="116">
        <f>+VLOOKUP($B10,'datos9-2015'!$A$2:$BE$78,26,FALSE)</f>
        <v>0</v>
      </c>
      <c r="R10" s="116">
        <f>+VLOOKUP($B10,'datos9-2015'!$A$2:$BE$78,27,FALSE)</f>
        <v>0</v>
      </c>
      <c r="S10" s="116">
        <f>+VLOOKUP($B10,'datos9-2015'!$A$2:$BE$78,28,FALSE)</f>
        <v>0</v>
      </c>
      <c r="T10" s="116">
        <f>+VLOOKUP($B10,'datos9-2015'!$A$2:$BE$78,29,FALSE)</f>
        <v>0</v>
      </c>
      <c r="U10" s="68">
        <f t="shared" si="3"/>
        <v>0</v>
      </c>
      <c r="V10" s="116">
        <f>+VLOOKUP($B10,'datos9-2015'!$A$2:$BE$78,31,FALSE)</f>
        <v>0</v>
      </c>
      <c r="W10" s="116">
        <f>+VLOOKUP($B10,'datos9-2015'!$A$2:$BE$78,32,FALSE)</f>
        <v>0</v>
      </c>
      <c r="X10" s="117">
        <f t="shared" si="4"/>
        <v>0</v>
      </c>
      <c r="Y10" s="118">
        <f t="shared" si="5"/>
        <v>198516.27</v>
      </c>
      <c r="Z10" s="116">
        <f>+VLOOKUP($B10,'datos9-2015'!$A$2:$BE$78,35,FALSE)</f>
        <v>0</v>
      </c>
      <c r="AA10" s="116">
        <f>+VLOOKUP($B10,'datos9-2015'!$A$2:$BE$78,36,FALSE)</f>
        <v>0</v>
      </c>
      <c r="AB10" s="116">
        <f>+VLOOKUP($B10,'datos9-2015'!$A$2:$BE$78,37,FALSE)</f>
        <v>0</v>
      </c>
      <c r="AC10" s="116">
        <f>+VLOOKUP($B10,'datos9-2015'!$A$2:$BE$78,38,FALSE)</f>
        <v>0</v>
      </c>
      <c r="AD10" s="116">
        <f>+VLOOKUP($B10,'datos9-2015'!$A$2:$BE$78,39,FALSE)</f>
        <v>0</v>
      </c>
      <c r="AE10" s="68">
        <f t="shared" si="6"/>
        <v>0</v>
      </c>
      <c r="AF10" s="116">
        <f>+VLOOKUP($B10,'datos9-2015'!$A$2:$BE$78,42,FALSE)</f>
        <v>0</v>
      </c>
      <c r="AG10" s="116">
        <f>+VLOOKUP($B10,'datos9-2015'!$A$2:$BE$78,44,FALSE)</f>
        <v>9957</v>
      </c>
      <c r="AH10" s="116">
        <f>+VLOOKUP($B10,'datos9-2015'!$A$2:$BE$78,45,FALSE)</f>
        <v>0</v>
      </c>
      <c r="AI10" s="116">
        <f>+VLOOKUP($B10,'datos9-2015'!$A$2:$BE$78,46,FALSE)</f>
        <v>0</v>
      </c>
      <c r="AJ10" s="68">
        <f t="shared" si="7"/>
        <v>9957</v>
      </c>
      <c r="AK10" s="116">
        <f>+VLOOKUP($B10,'datos9-2015'!$A$2:$BE$78,49,FALSE)</f>
        <v>0</v>
      </c>
      <c r="AL10" s="116">
        <f>+VLOOKUP($B10,'datos9-2015'!$A$2:$BE$78,50,FALSE)</f>
        <v>0</v>
      </c>
      <c r="AM10" s="116">
        <f>+VLOOKUP($B10,'datos9-2015'!$A$2:$BE$78,51,FALSE)</f>
        <v>0</v>
      </c>
      <c r="AN10" s="116">
        <f>+VLOOKUP($B10,'datos9-2015'!$A$2:$BE$78,52,FALSE)</f>
        <v>0</v>
      </c>
      <c r="AO10" s="119">
        <f t="shared" si="8"/>
        <v>0</v>
      </c>
      <c r="AP10" s="116">
        <f>+VLOOKUP($B10,'datos9-2015'!$A$2:$BE$78,55,FALSE)</f>
        <v>0</v>
      </c>
      <c r="AQ10" s="118">
        <f t="shared" si="9"/>
        <v>9957</v>
      </c>
      <c r="AS10" s="120">
        <f t="shared" si="10"/>
        <v>208473.27</v>
      </c>
    </row>
    <row r="11" spans="1:49" x14ac:dyDescent="0.2">
      <c r="B11" s="18" t="s">
        <v>61</v>
      </c>
      <c r="C11" s="115"/>
      <c r="D11" s="116">
        <f>+VLOOKUP($B11,'datos9-2015'!$A$2:$BE$78,13,FALSE)</f>
        <v>37803.24</v>
      </c>
      <c r="E11" s="116">
        <f>+VLOOKUP($B11,'datos9-2015'!$A$2:$BE$78,14,FALSE)</f>
        <v>0</v>
      </c>
      <c r="F11" s="116">
        <f>+VLOOKUP($B11,'datos9-2015'!$A$2:$BE$78,15,FALSE)</f>
        <v>75157</v>
      </c>
      <c r="G11" s="68">
        <f t="shared" si="0"/>
        <v>112960.23999999999</v>
      </c>
      <c r="H11" s="116">
        <f>+VLOOKUP($B11,'datos9-2015'!$A$2:$BE$78,17,FALSE)</f>
        <v>19629.310000000001</v>
      </c>
      <c r="I11" s="116">
        <f>+VLOOKUP($B11,'datos9-2015'!$A$2:$BE$78,18,FALSE)</f>
        <v>0</v>
      </c>
      <c r="J11" s="116">
        <f>+VLOOKUP($B11,'datos9-2015'!$A$2:$BE$78,19,FALSE)</f>
        <v>0</v>
      </c>
      <c r="K11" s="116">
        <f>+VLOOKUP($B11,'datos9-2015'!$A$2:$BE$78,20,FALSE)</f>
        <v>38287.94</v>
      </c>
      <c r="L11" s="68">
        <f t="shared" si="1"/>
        <v>57917.25</v>
      </c>
      <c r="M11" s="116">
        <f>+VLOOKUP($B11,'datos9-2015'!$A$2:$BE$78,22,FALSE)</f>
        <v>0</v>
      </c>
      <c r="N11" s="116">
        <f>+VLOOKUP($B11,'datos9-2015'!$A$2:$BE$78,23,FALSE)</f>
        <v>0</v>
      </c>
      <c r="O11" s="116">
        <f>+VLOOKUP($B11,'datos9-2015'!$A$2:$BE$78,24,FALSE)</f>
        <v>0</v>
      </c>
      <c r="P11" s="68">
        <f t="shared" si="2"/>
        <v>0</v>
      </c>
      <c r="Q11" s="116">
        <f>+VLOOKUP($B11,'datos9-2015'!$A$2:$BE$78,26,FALSE)</f>
        <v>0</v>
      </c>
      <c r="R11" s="116">
        <f>+VLOOKUP($B11,'datos9-2015'!$A$2:$BE$78,27,FALSE)</f>
        <v>0</v>
      </c>
      <c r="S11" s="116">
        <f>+VLOOKUP($B11,'datos9-2015'!$A$2:$BE$78,28,FALSE)</f>
        <v>0</v>
      </c>
      <c r="T11" s="116">
        <f>+VLOOKUP($B11,'datos9-2015'!$A$2:$BE$78,29,FALSE)</f>
        <v>139837.57999999999</v>
      </c>
      <c r="U11" s="68">
        <f t="shared" si="3"/>
        <v>139837.57999999999</v>
      </c>
      <c r="V11" s="116">
        <f>+VLOOKUP($B11,'datos9-2015'!$A$2:$BE$78,31,FALSE)</f>
        <v>0</v>
      </c>
      <c r="W11" s="116">
        <f>+VLOOKUP($B11,'datos9-2015'!$A$2:$BE$78,32,FALSE)</f>
        <v>0</v>
      </c>
      <c r="X11" s="117">
        <f t="shared" si="4"/>
        <v>0</v>
      </c>
      <c r="Y11" s="118">
        <f t="shared" si="5"/>
        <v>310715.06999999995</v>
      </c>
      <c r="Z11" s="116">
        <f>+VLOOKUP($B11,'datos9-2015'!$A$2:$BE$78,35,FALSE)</f>
        <v>0</v>
      </c>
      <c r="AA11" s="116">
        <f>+VLOOKUP($B11,'datos9-2015'!$A$2:$BE$78,36,FALSE)</f>
        <v>577059</v>
      </c>
      <c r="AB11" s="116">
        <f>+VLOOKUP($B11,'datos9-2015'!$A$2:$BE$78,37,FALSE)</f>
        <v>0</v>
      </c>
      <c r="AC11" s="116">
        <f>+VLOOKUP($B11,'datos9-2015'!$A$2:$BE$78,38,FALSE)</f>
        <v>0</v>
      </c>
      <c r="AD11" s="116">
        <f>+VLOOKUP($B11,'datos9-2015'!$A$2:$BE$78,39,FALSE)</f>
        <v>0</v>
      </c>
      <c r="AE11" s="68">
        <f t="shared" si="6"/>
        <v>577059</v>
      </c>
      <c r="AF11" s="116">
        <f>+VLOOKUP($B11,'datos9-2015'!$A$2:$BE$78,42,FALSE)</f>
        <v>333000</v>
      </c>
      <c r="AG11" s="116">
        <f>+VLOOKUP($B11,'datos9-2015'!$A$2:$BE$78,44,FALSE)</f>
        <v>10000</v>
      </c>
      <c r="AH11" s="116">
        <f>+VLOOKUP($B11,'datos9-2015'!$A$2:$BE$78,45,FALSE)</f>
        <v>0</v>
      </c>
      <c r="AI11" s="116">
        <f>+VLOOKUP($B11,'datos9-2015'!$A$2:$BE$78,46,FALSE)</f>
        <v>0</v>
      </c>
      <c r="AJ11" s="68">
        <f t="shared" si="7"/>
        <v>343000</v>
      </c>
      <c r="AK11" s="116">
        <f>+VLOOKUP($B11,'datos9-2015'!$A$2:$BE$78,49,FALSE)</f>
        <v>0</v>
      </c>
      <c r="AL11" s="116">
        <f>+VLOOKUP($B11,'datos9-2015'!$A$2:$BE$78,50,FALSE)</f>
        <v>0</v>
      </c>
      <c r="AM11" s="116">
        <f>+VLOOKUP($B11,'datos9-2015'!$A$2:$BE$78,51,FALSE)</f>
        <v>0</v>
      </c>
      <c r="AN11" s="116">
        <f>+VLOOKUP($B11,'datos9-2015'!$A$2:$BE$78,52,FALSE)</f>
        <v>0</v>
      </c>
      <c r="AO11" s="119">
        <f t="shared" si="8"/>
        <v>0</v>
      </c>
      <c r="AP11" s="116">
        <f>+VLOOKUP($B11,'datos9-2015'!$A$2:$BE$78,55,FALSE)</f>
        <v>0</v>
      </c>
      <c r="AQ11" s="118">
        <f t="shared" si="9"/>
        <v>920059</v>
      </c>
      <c r="AS11" s="120">
        <f t="shared" si="10"/>
        <v>1230774.0699999998</v>
      </c>
    </row>
    <row r="12" spans="1:49" x14ac:dyDescent="0.2">
      <c r="B12" s="18" t="s">
        <v>62</v>
      </c>
      <c r="C12" s="115"/>
      <c r="D12" s="116">
        <f>+VLOOKUP($B12,'datos9-2015'!$A$2:$BE$78,13,FALSE)</f>
        <v>0</v>
      </c>
      <c r="E12" s="116">
        <f>+VLOOKUP($B12,'datos9-2015'!$A$2:$BE$78,14,FALSE)</f>
        <v>0</v>
      </c>
      <c r="F12" s="116">
        <f>+VLOOKUP($B12,'datos9-2015'!$A$2:$BE$78,15,FALSE)</f>
        <v>0</v>
      </c>
      <c r="G12" s="68">
        <f t="shared" si="0"/>
        <v>0</v>
      </c>
      <c r="H12" s="116">
        <f>+VLOOKUP($B12,'datos9-2015'!$A$2:$BE$78,17,FALSE)</f>
        <v>5102.88</v>
      </c>
      <c r="I12" s="116">
        <f>+VLOOKUP($B12,'datos9-2015'!$A$2:$BE$78,18,FALSE)</f>
        <v>0</v>
      </c>
      <c r="J12" s="116">
        <f>+VLOOKUP($B12,'datos9-2015'!$A$2:$BE$78,19,FALSE)</f>
        <v>0</v>
      </c>
      <c r="K12" s="116">
        <f>+VLOOKUP($B12,'datos9-2015'!$A$2:$BE$78,20,FALSE)</f>
        <v>2310</v>
      </c>
      <c r="L12" s="68">
        <f t="shared" si="1"/>
        <v>7412.88</v>
      </c>
      <c r="M12" s="116">
        <f>+VLOOKUP($B12,'datos9-2015'!$A$2:$BE$78,22,FALSE)</f>
        <v>0</v>
      </c>
      <c r="N12" s="116">
        <f>+VLOOKUP($B12,'datos9-2015'!$A$2:$BE$78,23,FALSE)</f>
        <v>0</v>
      </c>
      <c r="O12" s="116">
        <f>+VLOOKUP($B12,'datos9-2015'!$A$2:$BE$78,24,FALSE)</f>
        <v>0</v>
      </c>
      <c r="P12" s="68">
        <f t="shared" si="2"/>
        <v>0</v>
      </c>
      <c r="Q12" s="116">
        <f>+VLOOKUP($B12,'datos9-2015'!$A$2:$BE$78,26,FALSE)</f>
        <v>0</v>
      </c>
      <c r="R12" s="116">
        <f>+VLOOKUP($B12,'datos9-2015'!$A$2:$BE$78,27,FALSE)</f>
        <v>0</v>
      </c>
      <c r="S12" s="116">
        <f>+VLOOKUP($B12,'datos9-2015'!$A$2:$BE$78,28,FALSE)</f>
        <v>0</v>
      </c>
      <c r="T12" s="116">
        <f>+VLOOKUP($B12,'datos9-2015'!$A$2:$BE$78,29,FALSE)</f>
        <v>0</v>
      </c>
      <c r="U12" s="68">
        <f t="shared" si="3"/>
        <v>0</v>
      </c>
      <c r="V12" s="116">
        <f>+VLOOKUP($B12,'datos9-2015'!$A$2:$BE$78,31,FALSE)</f>
        <v>12000</v>
      </c>
      <c r="W12" s="116">
        <f>+VLOOKUP($B12,'datos9-2015'!$A$2:$BE$78,32,FALSE)</f>
        <v>3407.79</v>
      </c>
      <c r="X12" s="117">
        <f t="shared" si="4"/>
        <v>15407.79</v>
      </c>
      <c r="Y12" s="118">
        <f t="shared" si="5"/>
        <v>22820.670000000002</v>
      </c>
      <c r="Z12" s="116">
        <f>+VLOOKUP($B12,'datos9-2015'!$A$2:$BE$78,35,FALSE)</f>
        <v>0</v>
      </c>
      <c r="AA12" s="116">
        <f>+VLOOKUP($B12,'datos9-2015'!$A$2:$BE$78,36,FALSE)</f>
        <v>0</v>
      </c>
      <c r="AB12" s="116">
        <f>+VLOOKUP($B12,'datos9-2015'!$A$2:$BE$78,37,FALSE)</f>
        <v>0</v>
      </c>
      <c r="AC12" s="116">
        <f>+VLOOKUP($B12,'datos9-2015'!$A$2:$BE$78,38,FALSE)</f>
        <v>0</v>
      </c>
      <c r="AD12" s="116">
        <f>+VLOOKUP($B12,'datos9-2015'!$A$2:$BE$78,39,FALSE)</f>
        <v>0</v>
      </c>
      <c r="AE12" s="68">
        <f t="shared" si="6"/>
        <v>0</v>
      </c>
      <c r="AF12" s="116">
        <f>+VLOOKUP($B12,'datos9-2015'!$A$2:$BE$78,42,FALSE)</f>
        <v>0</v>
      </c>
      <c r="AG12" s="116">
        <f>+VLOOKUP($B12,'datos9-2015'!$A$2:$BE$78,44,FALSE)</f>
        <v>0</v>
      </c>
      <c r="AH12" s="116">
        <f>+VLOOKUP($B12,'datos9-2015'!$A$2:$BE$78,45,FALSE)</f>
        <v>540723</v>
      </c>
      <c r="AI12" s="116">
        <f>+VLOOKUP($B12,'datos9-2015'!$A$2:$BE$78,46,FALSE)</f>
        <v>0</v>
      </c>
      <c r="AJ12" s="68">
        <f t="shared" si="7"/>
        <v>540723</v>
      </c>
      <c r="AK12" s="116">
        <f>+VLOOKUP($B12,'datos9-2015'!$A$2:$BE$78,49,FALSE)</f>
        <v>0</v>
      </c>
      <c r="AL12" s="116">
        <f>+VLOOKUP($B12,'datos9-2015'!$A$2:$BE$78,50,FALSE)</f>
        <v>0</v>
      </c>
      <c r="AM12" s="116">
        <f>+VLOOKUP($B12,'datos9-2015'!$A$2:$BE$78,51,FALSE)</f>
        <v>0</v>
      </c>
      <c r="AN12" s="116">
        <f>+VLOOKUP($B12,'datos9-2015'!$A$2:$BE$78,52,FALSE)</f>
        <v>0</v>
      </c>
      <c r="AO12" s="119">
        <f t="shared" si="8"/>
        <v>0</v>
      </c>
      <c r="AP12" s="116">
        <f>+VLOOKUP($B12,'datos9-2015'!$A$2:$BE$78,55,FALSE)</f>
        <v>0</v>
      </c>
      <c r="AQ12" s="118">
        <f t="shared" si="9"/>
        <v>540723</v>
      </c>
      <c r="AS12" s="120">
        <f t="shared" si="10"/>
        <v>563543.67000000004</v>
      </c>
    </row>
    <row r="13" spans="1:49" x14ac:dyDescent="0.2">
      <c r="B13" s="18" t="s">
        <v>63</v>
      </c>
      <c r="C13" s="115"/>
      <c r="D13" s="116">
        <f>+VLOOKUP($B13,'datos9-2015'!$A$2:$BE$78,13,FALSE)</f>
        <v>712051.39</v>
      </c>
      <c r="E13" s="116">
        <f>+VLOOKUP($B13,'datos9-2015'!$A$2:$BE$78,14,FALSE)</f>
        <v>61512.11</v>
      </c>
      <c r="F13" s="116">
        <f>+VLOOKUP($B13,'datos9-2015'!$A$2:$BE$78,15,FALSE)</f>
        <v>10596.1</v>
      </c>
      <c r="G13" s="68">
        <f t="shared" si="0"/>
        <v>784159.6</v>
      </c>
      <c r="H13" s="116">
        <f>+VLOOKUP($B13,'datos9-2015'!$A$2:$BE$78,17,FALSE)</f>
        <v>924999.65</v>
      </c>
      <c r="I13" s="116">
        <f>+VLOOKUP($B13,'datos9-2015'!$A$2:$BE$78,18,FALSE)</f>
        <v>245970.23</v>
      </c>
      <c r="J13" s="116">
        <f>+VLOOKUP($B13,'datos9-2015'!$A$2:$BE$78,19,FALSE)</f>
        <v>35462.67</v>
      </c>
      <c r="K13" s="116">
        <f>+VLOOKUP($B13,'datos9-2015'!$A$2:$BE$78,20,FALSE)</f>
        <v>1883255.82</v>
      </c>
      <c r="L13" s="68">
        <f t="shared" si="1"/>
        <v>3089688.37</v>
      </c>
      <c r="M13" s="116">
        <f>+VLOOKUP($B13,'datos9-2015'!$A$2:$BE$78,22,FALSE)</f>
        <v>38283</v>
      </c>
      <c r="N13" s="116">
        <f>+VLOOKUP($B13,'datos9-2015'!$A$2:$BE$78,23,FALSE)</f>
        <v>0</v>
      </c>
      <c r="O13" s="116">
        <f>+VLOOKUP($B13,'datos9-2015'!$A$2:$BE$78,24,FALSE)</f>
        <v>0</v>
      </c>
      <c r="P13" s="68">
        <f t="shared" si="2"/>
        <v>38283</v>
      </c>
      <c r="Q13" s="116">
        <f>+VLOOKUP($B13,'datos9-2015'!$A$2:$BE$78,26,FALSE)</f>
        <v>0</v>
      </c>
      <c r="R13" s="116">
        <f>+VLOOKUP($B13,'datos9-2015'!$A$2:$BE$78,27,FALSE)</f>
        <v>0</v>
      </c>
      <c r="S13" s="116">
        <f>+VLOOKUP($B13,'datos9-2015'!$A$2:$BE$78,28,FALSE)</f>
        <v>6465</v>
      </c>
      <c r="T13" s="116">
        <f>+VLOOKUP($B13,'datos9-2015'!$A$2:$BE$78,29,FALSE)</f>
        <v>0</v>
      </c>
      <c r="U13" s="68">
        <f t="shared" si="3"/>
        <v>6465</v>
      </c>
      <c r="V13" s="116">
        <f>+VLOOKUP($B13,'datos9-2015'!$A$2:$BE$78,31,FALSE)</f>
        <v>44288.46</v>
      </c>
      <c r="W13" s="116">
        <f>+VLOOKUP($B13,'datos9-2015'!$A$2:$BE$78,32,FALSE)</f>
        <v>0</v>
      </c>
      <c r="X13" s="117">
        <f t="shared" si="4"/>
        <v>44288.46</v>
      </c>
      <c r="Y13" s="118">
        <f t="shared" si="5"/>
        <v>3962884.43</v>
      </c>
      <c r="Z13" s="116">
        <f>+VLOOKUP($B13,'datos9-2015'!$A$2:$BE$78,35,FALSE)</f>
        <v>0</v>
      </c>
      <c r="AA13" s="116">
        <f>+VLOOKUP($B13,'datos9-2015'!$A$2:$BE$78,36,FALSE)</f>
        <v>313401</v>
      </c>
      <c r="AB13" s="116">
        <f>+VLOOKUP($B13,'datos9-2015'!$A$2:$BE$78,37,FALSE)</f>
        <v>0</v>
      </c>
      <c r="AC13" s="116">
        <f>+VLOOKUP($B13,'datos9-2015'!$A$2:$BE$78,38,FALSE)</f>
        <v>0</v>
      </c>
      <c r="AD13" s="116">
        <f>+VLOOKUP($B13,'datos9-2015'!$A$2:$BE$78,39,FALSE)</f>
        <v>0</v>
      </c>
      <c r="AE13" s="68">
        <f t="shared" si="6"/>
        <v>313401</v>
      </c>
      <c r="AF13" s="116">
        <f>+VLOOKUP($B13,'datos9-2015'!$A$2:$BE$78,42,FALSE)</f>
        <v>2127518</v>
      </c>
      <c r="AG13" s="116">
        <f>+VLOOKUP($B13,'datos9-2015'!$A$2:$BE$78,44,FALSE)</f>
        <v>410542</v>
      </c>
      <c r="AH13" s="116">
        <f>+VLOOKUP($B13,'datos9-2015'!$A$2:$BE$78,45,FALSE)</f>
        <v>0</v>
      </c>
      <c r="AI13" s="116">
        <f>+VLOOKUP($B13,'datos9-2015'!$A$2:$BE$78,46,FALSE)</f>
        <v>0</v>
      </c>
      <c r="AJ13" s="68">
        <f t="shared" si="7"/>
        <v>2538060</v>
      </c>
      <c r="AK13" s="116">
        <f>+VLOOKUP($B13,'datos9-2015'!$A$2:$BE$78,49,FALSE)</f>
        <v>0</v>
      </c>
      <c r="AL13" s="116">
        <f>+VLOOKUP($B13,'datos9-2015'!$A$2:$BE$78,50,FALSE)</f>
        <v>0</v>
      </c>
      <c r="AM13" s="116">
        <f>+VLOOKUP($B13,'datos9-2015'!$A$2:$BE$78,51,FALSE)</f>
        <v>0</v>
      </c>
      <c r="AN13" s="116">
        <f>+VLOOKUP($B13,'datos9-2015'!$A$2:$BE$78,52,FALSE)</f>
        <v>0</v>
      </c>
      <c r="AO13" s="119">
        <f t="shared" si="8"/>
        <v>0</v>
      </c>
      <c r="AP13" s="116">
        <f>+VLOOKUP($B13,'datos9-2015'!$A$2:$BE$78,55,FALSE)</f>
        <v>0</v>
      </c>
      <c r="AQ13" s="118">
        <f t="shared" si="9"/>
        <v>2851461</v>
      </c>
      <c r="AS13" s="120">
        <f t="shared" si="10"/>
        <v>6814345.4299999997</v>
      </c>
    </row>
    <row r="14" spans="1:49" x14ac:dyDescent="0.2">
      <c r="B14" s="18" t="s">
        <v>64</v>
      </c>
      <c r="C14" s="115"/>
      <c r="D14" s="116">
        <f>+VLOOKUP($B14,'datos9-2015'!$A$2:$BE$78,13,FALSE)</f>
        <v>280290.49</v>
      </c>
      <c r="E14" s="116">
        <f>+VLOOKUP($B14,'datos9-2015'!$A$2:$BE$78,14,FALSE)</f>
        <v>0</v>
      </c>
      <c r="F14" s="116">
        <f>+VLOOKUP($B14,'datos9-2015'!$A$2:$BE$78,15,FALSE)</f>
        <v>0</v>
      </c>
      <c r="G14" s="68">
        <f t="shared" si="0"/>
        <v>280290.49</v>
      </c>
      <c r="H14" s="116">
        <f>+VLOOKUP($B14,'datos9-2015'!$A$2:$BE$78,17,FALSE)</f>
        <v>0</v>
      </c>
      <c r="I14" s="116">
        <f>+VLOOKUP($B14,'datos9-2015'!$A$2:$BE$78,18,FALSE)</f>
        <v>5692.37</v>
      </c>
      <c r="J14" s="116">
        <f>+VLOOKUP($B14,'datos9-2015'!$A$2:$BE$78,19,FALSE)</f>
        <v>3774.13</v>
      </c>
      <c r="K14" s="116">
        <f>+VLOOKUP($B14,'datos9-2015'!$A$2:$BE$78,20,FALSE)</f>
        <v>345645.21</v>
      </c>
      <c r="L14" s="68">
        <f t="shared" si="1"/>
        <v>355111.71</v>
      </c>
      <c r="M14" s="116">
        <f>+VLOOKUP($B14,'datos9-2015'!$A$2:$BE$78,22,FALSE)</f>
        <v>45000</v>
      </c>
      <c r="N14" s="116">
        <f>+VLOOKUP($B14,'datos9-2015'!$A$2:$BE$78,23,FALSE)</f>
        <v>148359.87</v>
      </c>
      <c r="O14" s="116">
        <f>+VLOOKUP($B14,'datos9-2015'!$A$2:$BE$78,24,FALSE)</f>
        <v>0</v>
      </c>
      <c r="P14" s="68">
        <f t="shared" si="2"/>
        <v>193359.87</v>
      </c>
      <c r="Q14" s="116">
        <f>+VLOOKUP($B14,'datos9-2015'!$A$2:$BE$78,26,FALSE)</f>
        <v>82875.73</v>
      </c>
      <c r="R14" s="116">
        <f>+VLOOKUP($B14,'datos9-2015'!$A$2:$BE$78,27,FALSE)</f>
        <v>0</v>
      </c>
      <c r="S14" s="116">
        <f>+VLOOKUP($B14,'datos9-2015'!$A$2:$BE$78,28,FALSE)</f>
        <v>0</v>
      </c>
      <c r="T14" s="116">
        <f>+VLOOKUP($B14,'datos9-2015'!$A$2:$BE$78,29,FALSE)</f>
        <v>0</v>
      </c>
      <c r="U14" s="68">
        <f t="shared" si="3"/>
        <v>82875.73</v>
      </c>
      <c r="V14" s="116">
        <f>+VLOOKUP($B14,'datos9-2015'!$A$2:$BE$78,31,FALSE)</f>
        <v>39088.230000000003</v>
      </c>
      <c r="W14" s="116">
        <f>+VLOOKUP($B14,'datos9-2015'!$A$2:$BE$78,32,FALSE)</f>
        <v>21599.32</v>
      </c>
      <c r="X14" s="117">
        <f t="shared" si="4"/>
        <v>60687.55</v>
      </c>
      <c r="Y14" s="118">
        <f t="shared" si="5"/>
        <v>972325.35000000009</v>
      </c>
      <c r="Z14" s="116">
        <f>+VLOOKUP($B14,'datos9-2015'!$A$2:$BE$78,35,FALSE)</f>
        <v>0</v>
      </c>
      <c r="AA14" s="116">
        <f>+VLOOKUP($B14,'datos9-2015'!$A$2:$BE$78,36,FALSE)</f>
        <v>1014535</v>
      </c>
      <c r="AB14" s="116">
        <f>+VLOOKUP($B14,'datos9-2015'!$A$2:$BE$78,37,FALSE)</f>
        <v>0</v>
      </c>
      <c r="AC14" s="116">
        <f>+VLOOKUP($B14,'datos9-2015'!$A$2:$BE$78,38,FALSE)</f>
        <v>18540.96</v>
      </c>
      <c r="AD14" s="116">
        <f>+VLOOKUP($B14,'datos9-2015'!$A$2:$BE$78,39,FALSE)</f>
        <v>0</v>
      </c>
      <c r="AE14" s="68">
        <f t="shared" si="6"/>
        <v>1033075.96</v>
      </c>
      <c r="AF14" s="116">
        <f>+VLOOKUP($B14,'datos9-2015'!$A$2:$BE$78,42,FALSE)</f>
        <v>374801.95</v>
      </c>
      <c r="AG14" s="116">
        <f>+VLOOKUP($B14,'datos9-2015'!$A$2:$BE$78,44,FALSE)</f>
        <v>29498.03</v>
      </c>
      <c r="AH14" s="116">
        <f>+VLOOKUP($B14,'datos9-2015'!$A$2:$BE$78,45,FALSE)</f>
        <v>0</v>
      </c>
      <c r="AI14" s="116">
        <f>+VLOOKUP($B14,'datos9-2015'!$A$2:$BE$78,46,FALSE)</f>
        <v>0</v>
      </c>
      <c r="AJ14" s="68">
        <f t="shared" si="7"/>
        <v>404299.98</v>
      </c>
      <c r="AK14" s="116">
        <f>+VLOOKUP($B14,'datos9-2015'!$A$2:$BE$78,49,FALSE)</f>
        <v>1920529.35</v>
      </c>
      <c r="AL14" s="116">
        <f>+VLOOKUP($B14,'datos9-2015'!$A$2:$BE$78,50,FALSE)</f>
        <v>450000</v>
      </c>
      <c r="AM14" s="116">
        <f>+VLOOKUP($B14,'datos9-2015'!$A$2:$BE$78,51,FALSE)</f>
        <v>0</v>
      </c>
      <c r="AN14" s="116">
        <f>+VLOOKUP($B14,'datos9-2015'!$A$2:$BE$78,52,FALSE)</f>
        <v>0</v>
      </c>
      <c r="AO14" s="119">
        <f t="shared" si="8"/>
        <v>2370529.35</v>
      </c>
      <c r="AP14" s="116">
        <f>+VLOOKUP($B14,'datos9-2015'!$A$2:$BE$78,55,FALSE)</f>
        <v>0</v>
      </c>
      <c r="AQ14" s="118">
        <f t="shared" si="9"/>
        <v>3807905.29</v>
      </c>
      <c r="AS14" s="120">
        <f t="shared" si="10"/>
        <v>4780230.6400000006</v>
      </c>
    </row>
    <row r="15" spans="1:49" x14ac:dyDescent="0.2">
      <c r="B15" s="18" t="s">
        <v>66</v>
      </c>
      <c r="C15" s="115"/>
      <c r="D15" s="116">
        <f>+VLOOKUP($B15,'datos9-2015'!$A$2:$BE$78,13,FALSE)</f>
        <v>0</v>
      </c>
      <c r="E15" s="116">
        <f>+VLOOKUP($B15,'datos9-2015'!$A$2:$BE$78,14,FALSE)</f>
        <v>0</v>
      </c>
      <c r="F15" s="116">
        <f>+VLOOKUP($B15,'datos9-2015'!$A$2:$BE$78,15,FALSE)</f>
        <v>0</v>
      </c>
      <c r="G15" s="68">
        <f t="shared" si="0"/>
        <v>0</v>
      </c>
      <c r="H15" s="116">
        <f>+VLOOKUP($B15,'datos9-2015'!$A$2:$BE$78,17,FALSE)</f>
        <v>0</v>
      </c>
      <c r="I15" s="116">
        <f>+VLOOKUP($B15,'datos9-2015'!$A$2:$BE$78,18,FALSE)</f>
        <v>0</v>
      </c>
      <c r="J15" s="116">
        <f>+VLOOKUP($B15,'datos9-2015'!$A$2:$BE$78,19,FALSE)</f>
        <v>0</v>
      </c>
      <c r="K15" s="116">
        <f>+VLOOKUP($B15,'datos9-2015'!$A$2:$BE$78,20,FALSE)</f>
        <v>0</v>
      </c>
      <c r="L15" s="68">
        <f t="shared" si="1"/>
        <v>0</v>
      </c>
      <c r="M15" s="116">
        <f>+VLOOKUP($B15,'datos9-2015'!$A$2:$BE$78,22,FALSE)</f>
        <v>0</v>
      </c>
      <c r="N15" s="116">
        <f>+VLOOKUP($B15,'datos9-2015'!$A$2:$BE$78,23,FALSE)</f>
        <v>0</v>
      </c>
      <c r="O15" s="116">
        <f>+VLOOKUP($B15,'datos9-2015'!$A$2:$BE$78,24,FALSE)</f>
        <v>0</v>
      </c>
      <c r="P15" s="68">
        <f t="shared" si="2"/>
        <v>0</v>
      </c>
      <c r="Q15" s="116">
        <f>+VLOOKUP($B15,'datos9-2015'!$A$2:$BE$78,26,FALSE)</f>
        <v>0</v>
      </c>
      <c r="R15" s="116">
        <f>+VLOOKUP($B15,'datos9-2015'!$A$2:$BE$78,27,FALSE)</f>
        <v>0</v>
      </c>
      <c r="S15" s="116">
        <f>+VLOOKUP($B15,'datos9-2015'!$A$2:$BE$78,28,FALSE)</f>
        <v>0</v>
      </c>
      <c r="T15" s="116">
        <f>+VLOOKUP($B15,'datos9-2015'!$A$2:$BE$78,29,FALSE)</f>
        <v>0</v>
      </c>
      <c r="U15" s="68">
        <f t="shared" si="3"/>
        <v>0</v>
      </c>
      <c r="V15" s="116">
        <f>+VLOOKUP($B15,'datos9-2015'!$A$2:$BE$78,31,FALSE)</f>
        <v>0</v>
      </c>
      <c r="W15" s="116">
        <f>+VLOOKUP($B15,'datos9-2015'!$A$2:$BE$78,32,FALSE)</f>
        <v>0</v>
      </c>
      <c r="X15" s="117">
        <f t="shared" si="4"/>
        <v>0</v>
      </c>
      <c r="Y15" s="118">
        <f t="shared" si="5"/>
        <v>0</v>
      </c>
      <c r="Z15" s="116">
        <f>+VLOOKUP($B15,'datos9-2015'!$A$2:$BE$78,35,FALSE)</f>
        <v>113946.7</v>
      </c>
      <c r="AA15" s="116">
        <f>+VLOOKUP($B15,'datos9-2015'!$A$2:$BE$78,36,FALSE)</f>
        <v>409085.17</v>
      </c>
      <c r="AB15" s="116">
        <f>+VLOOKUP($B15,'datos9-2015'!$A$2:$BE$78,37,FALSE)</f>
        <v>0</v>
      </c>
      <c r="AC15" s="116">
        <f>+VLOOKUP($B15,'datos9-2015'!$A$2:$BE$78,38,FALSE)</f>
        <v>0</v>
      </c>
      <c r="AD15" s="116">
        <f>+VLOOKUP($B15,'datos9-2015'!$A$2:$BE$78,39,FALSE)</f>
        <v>0</v>
      </c>
      <c r="AE15" s="68">
        <f t="shared" si="6"/>
        <v>523031.87</v>
      </c>
      <c r="AF15" s="116">
        <f>+VLOOKUP($B15,'datos9-2015'!$A$2:$BE$78,42,FALSE)</f>
        <v>0</v>
      </c>
      <c r="AG15" s="116">
        <f>+VLOOKUP($B15,'datos9-2015'!$A$2:$BE$78,44,FALSE)</f>
        <v>0</v>
      </c>
      <c r="AH15" s="116">
        <f>+VLOOKUP($B15,'datos9-2015'!$A$2:$BE$78,45,FALSE)</f>
        <v>0</v>
      </c>
      <c r="AI15" s="116">
        <f>+VLOOKUP($B15,'datos9-2015'!$A$2:$BE$78,46,FALSE)</f>
        <v>0</v>
      </c>
      <c r="AJ15" s="68">
        <f t="shared" si="7"/>
        <v>0</v>
      </c>
      <c r="AK15" s="116">
        <f>+VLOOKUP($B15,'datos9-2015'!$A$2:$BE$78,49,FALSE)</f>
        <v>0</v>
      </c>
      <c r="AL15" s="116">
        <f>+VLOOKUP($B15,'datos9-2015'!$A$2:$BE$78,50,FALSE)</f>
        <v>0</v>
      </c>
      <c r="AM15" s="116">
        <f>+VLOOKUP($B15,'datos9-2015'!$A$2:$BE$78,51,FALSE)</f>
        <v>0</v>
      </c>
      <c r="AN15" s="116">
        <f>+VLOOKUP($B15,'datos9-2015'!$A$2:$BE$78,52,FALSE)</f>
        <v>0</v>
      </c>
      <c r="AO15" s="119">
        <f t="shared" si="8"/>
        <v>0</v>
      </c>
      <c r="AP15" s="116">
        <f>+VLOOKUP($B15,'datos9-2015'!$A$2:$BE$78,55,FALSE)</f>
        <v>0</v>
      </c>
      <c r="AQ15" s="118">
        <f t="shared" si="9"/>
        <v>523031.87</v>
      </c>
      <c r="AS15" s="120">
        <f t="shared" si="10"/>
        <v>523031.87</v>
      </c>
    </row>
    <row r="16" spans="1:49" x14ac:dyDescent="0.2">
      <c r="B16" s="18" t="s">
        <v>67</v>
      </c>
      <c r="C16" s="115"/>
      <c r="D16" s="116">
        <f>+VLOOKUP($B16,'datos9-2015'!$A$2:$BE$78,13,FALSE)</f>
        <v>44051</v>
      </c>
      <c r="E16" s="116">
        <f>+VLOOKUP($B16,'datos9-2015'!$A$2:$BE$78,14,FALSE)</f>
        <v>0</v>
      </c>
      <c r="F16" s="116">
        <f>+VLOOKUP($B16,'datos9-2015'!$A$2:$BE$78,15,FALSE)</f>
        <v>0</v>
      </c>
      <c r="G16" s="68">
        <f t="shared" si="0"/>
        <v>44051</v>
      </c>
      <c r="H16" s="116">
        <f>+VLOOKUP($B16,'datos9-2015'!$A$2:$BE$78,17,FALSE)</f>
        <v>11233.84</v>
      </c>
      <c r="I16" s="116">
        <f>+VLOOKUP($B16,'datos9-2015'!$A$2:$BE$78,18,FALSE)</f>
        <v>107236.57</v>
      </c>
      <c r="J16" s="116">
        <f>+VLOOKUP($B16,'datos9-2015'!$A$2:$BE$78,19,FALSE)</f>
        <v>26608.99</v>
      </c>
      <c r="K16" s="116">
        <f>+VLOOKUP($B16,'datos9-2015'!$A$2:$BE$78,20,FALSE)</f>
        <v>30293.71</v>
      </c>
      <c r="L16" s="68">
        <f t="shared" si="1"/>
        <v>175373.11</v>
      </c>
      <c r="M16" s="116">
        <f>+VLOOKUP($B16,'datos9-2015'!$A$2:$BE$78,22,FALSE)</f>
        <v>287495.56</v>
      </c>
      <c r="N16" s="116">
        <f>+VLOOKUP($B16,'datos9-2015'!$A$2:$BE$78,23,FALSE)</f>
        <v>31000</v>
      </c>
      <c r="O16" s="116">
        <f>+VLOOKUP($B16,'datos9-2015'!$A$2:$BE$78,24,FALSE)</f>
        <v>0</v>
      </c>
      <c r="P16" s="68">
        <f t="shared" si="2"/>
        <v>318495.56</v>
      </c>
      <c r="Q16" s="116">
        <f>+VLOOKUP($B16,'datos9-2015'!$A$2:$BE$78,26,FALSE)</f>
        <v>0</v>
      </c>
      <c r="R16" s="116">
        <f>+VLOOKUP($B16,'datos9-2015'!$A$2:$BE$78,27,FALSE)</f>
        <v>0</v>
      </c>
      <c r="S16" s="116">
        <f>+VLOOKUP($B16,'datos9-2015'!$A$2:$BE$78,28,FALSE)</f>
        <v>0</v>
      </c>
      <c r="T16" s="116">
        <f>+VLOOKUP($B16,'datos9-2015'!$A$2:$BE$78,29,FALSE)</f>
        <v>0</v>
      </c>
      <c r="U16" s="68">
        <f t="shared" si="3"/>
        <v>0</v>
      </c>
      <c r="V16" s="116">
        <f>+VLOOKUP($B16,'datos9-2015'!$A$2:$BE$78,31,FALSE)</f>
        <v>0</v>
      </c>
      <c r="W16" s="116">
        <f>+VLOOKUP($B16,'datos9-2015'!$A$2:$BE$78,32,FALSE)</f>
        <v>0</v>
      </c>
      <c r="X16" s="117">
        <f t="shared" si="4"/>
        <v>0</v>
      </c>
      <c r="Y16" s="118">
        <f t="shared" si="5"/>
        <v>537919.66999999993</v>
      </c>
      <c r="Z16" s="116">
        <f>+VLOOKUP($B16,'datos9-2015'!$A$2:$BE$78,35,FALSE)</f>
        <v>0</v>
      </c>
      <c r="AA16" s="116">
        <f>+VLOOKUP($B16,'datos9-2015'!$A$2:$BE$78,36,FALSE)</f>
        <v>298461.78999999998</v>
      </c>
      <c r="AB16" s="116">
        <f>+VLOOKUP($B16,'datos9-2015'!$A$2:$BE$78,37,FALSE)</f>
        <v>0</v>
      </c>
      <c r="AC16" s="116">
        <f>+VLOOKUP($B16,'datos9-2015'!$A$2:$BE$78,38,FALSE)</f>
        <v>0</v>
      </c>
      <c r="AD16" s="116">
        <f>+VLOOKUP($B16,'datos9-2015'!$A$2:$BE$78,39,FALSE)</f>
        <v>0</v>
      </c>
      <c r="AE16" s="68">
        <f t="shared" si="6"/>
        <v>298461.78999999998</v>
      </c>
      <c r="AF16" s="116">
        <f>+VLOOKUP($B16,'datos9-2015'!$A$2:$BE$78,42,FALSE)</f>
        <v>227487.54</v>
      </c>
      <c r="AG16" s="116">
        <f>+VLOOKUP($B16,'datos9-2015'!$A$2:$BE$78,44,FALSE)</f>
        <v>2172.63</v>
      </c>
      <c r="AH16" s="116">
        <f>+VLOOKUP($B16,'datos9-2015'!$A$2:$BE$78,45,FALSE)</f>
        <v>0</v>
      </c>
      <c r="AI16" s="116">
        <f>+VLOOKUP($B16,'datos9-2015'!$A$2:$BE$78,46,FALSE)</f>
        <v>0</v>
      </c>
      <c r="AJ16" s="68">
        <f t="shared" si="7"/>
        <v>229660.17</v>
      </c>
      <c r="AK16" s="116">
        <f>+VLOOKUP($B16,'datos9-2015'!$A$2:$BE$78,49,FALSE)</f>
        <v>0</v>
      </c>
      <c r="AL16" s="116">
        <f>+VLOOKUP($B16,'datos9-2015'!$A$2:$BE$78,50,FALSE)</f>
        <v>0</v>
      </c>
      <c r="AM16" s="116">
        <f>+VLOOKUP($B16,'datos9-2015'!$A$2:$BE$78,51,FALSE)</f>
        <v>0</v>
      </c>
      <c r="AN16" s="116">
        <f>+VLOOKUP($B16,'datos9-2015'!$A$2:$BE$78,52,FALSE)</f>
        <v>0</v>
      </c>
      <c r="AO16" s="119">
        <f t="shared" si="8"/>
        <v>0</v>
      </c>
      <c r="AP16" s="116">
        <f>+VLOOKUP($B16,'datos9-2015'!$A$2:$BE$78,55,FALSE)</f>
        <v>0</v>
      </c>
      <c r="AQ16" s="118">
        <f t="shared" si="9"/>
        <v>528121.96</v>
      </c>
      <c r="AS16" s="120">
        <f t="shared" si="10"/>
        <v>1066041.6299999999</v>
      </c>
    </row>
    <row r="17" spans="2:45" x14ac:dyDescent="0.2">
      <c r="B17" s="18" t="s">
        <v>68</v>
      </c>
      <c r="C17" s="115"/>
      <c r="D17" s="116">
        <f>+VLOOKUP($B17,'datos9-2015'!$A$2:$BE$78,13,FALSE)</f>
        <v>6685419.4500000002</v>
      </c>
      <c r="E17" s="116">
        <f>+VLOOKUP($B17,'datos9-2015'!$A$2:$BE$78,14,FALSE)</f>
        <v>0</v>
      </c>
      <c r="F17" s="116">
        <f>+VLOOKUP($B17,'datos9-2015'!$A$2:$BE$78,15,FALSE)</f>
        <v>302862.81</v>
      </c>
      <c r="G17" s="68">
        <f t="shared" si="0"/>
        <v>6988282.2599999998</v>
      </c>
      <c r="H17" s="116">
        <f>+VLOOKUP($B17,'datos9-2015'!$A$2:$BE$78,17,FALSE)</f>
        <v>20074.509999999998</v>
      </c>
      <c r="I17" s="116">
        <f>+VLOOKUP($B17,'datos9-2015'!$A$2:$BE$78,18,FALSE)</f>
        <v>0</v>
      </c>
      <c r="J17" s="116">
        <f>+VLOOKUP($B17,'datos9-2015'!$A$2:$BE$78,19,FALSE)</f>
        <v>0</v>
      </c>
      <c r="K17" s="116">
        <f>+VLOOKUP($B17,'datos9-2015'!$A$2:$BE$78,20,FALSE)</f>
        <v>859198.39</v>
      </c>
      <c r="L17" s="68">
        <f t="shared" si="1"/>
        <v>879272.9</v>
      </c>
      <c r="M17" s="116">
        <f>+VLOOKUP($B17,'datos9-2015'!$A$2:$BE$78,22,FALSE)</f>
        <v>63000</v>
      </c>
      <c r="N17" s="116">
        <f>+VLOOKUP($B17,'datos9-2015'!$A$2:$BE$78,23,FALSE)</f>
        <v>0</v>
      </c>
      <c r="O17" s="116">
        <f>+VLOOKUP($B17,'datos9-2015'!$A$2:$BE$78,24,FALSE)</f>
        <v>0</v>
      </c>
      <c r="P17" s="68">
        <f t="shared" si="2"/>
        <v>63000</v>
      </c>
      <c r="Q17" s="116">
        <f>+VLOOKUP($B17,'datos9-2015'!$A$2:$BE$78,26,FALSE)</f>
        <v>0</v>
      </c>
      <c r="R17" s="116">
        <f>+VLOOKUP($B17,'datos9-2015'!$A$2:$BE$78,27,FALSE)</f>
        <v>0</v>
      </c>
      <c r="S17" s="116">
        <f>+VLOOKUP($B17,'datos9-2015'!$A$2:$BE$78,28,FALSE)</f>
        <v>0</v>
      </c>
      <c r="T17" s="116">
        <f>+VLOOKUP($B17,'datos9-2015'!$A$2:$BE$78,29,FALSE)</f>
        <v>0</v>
      </c>
      <c r="U17" s="68">
        <f t="shared" si="3"/>
        <v>0</v>
      </c>
      <c r="V17" s="116">
        <f>+VLOOKUP($B17,'datos9-2015'!$A$2:$BE$78,31,FALSE)</f>
        <v>0</v>
      </c>
      <c r="W17" s="116">
        <f>+VLOOKUP($B17,'datos9-2015'!$A$2:$BE$78,32,FALSE)</f>
        <v>0</v>
      </c>
      <c r="X17" s="117">
        <f t="shared" si="4"/>
        <v>0</v>
      </c>
      <c r="Y17" s="118">
        <f t="shared" si="5"/>
        <v>7930555.1600000001</v>
      </c>
      <c r="Z17" s="116">
        <f>+VLOOKUP($B17,'datos9-2015'!$A$2:$BE$78,35,FALSE)</f>
        <v>0</v>
      </c>
      <c r="AA17" s="116">
        <f>+VLOOKUP($B17,'datos9-2015'!$A$2:$BE$78,36,FALSE)</f>
        <v>115000</v>
      </c>
      <c r="AB17" s="116">
        <f>+VLOOKUP($B17,'datos9-2015'!$A$2:$BE$78,37,FALSE)</f>
        <v>0</v>
      </c>
      <c r="AC17" s="116">
        <f>+VLOOKUP($B17,'datos9-2015'!$A$2:$BE$78,38,FALSE)</f>
        <v>0</v>
      </c>
      <c r="AD17" s="116">
        <f>+VLOOKUP($B17,'datos9-2015'!$A$2:$BE$78,39,FALSE)</f>
        <v>0</v>
      </c>
      <c r="AE17" s="68">
        <f t="shared" si="6"/>
        <v>115000</v>
      </c>
      <c r="AF17" s="116">
        <f>+VLOOKUP($B17,'datos9-2015'!$A$2:$BE$78,42,FALSE)</f>
        <v>0</v>
      </c>
      <c r="AG17" s="116">
        <f>+VLOOKUP($B17,'datos9-2015'!$A$2:$BE$78,44,FALSE)</f>
        <v>108000</v>
      </c>
      <c r="AH17" s="116">
        <f>+VLOOKUP($B17,'datos9-2015'!$A$2:$BE$78,45,FALSE)</f>
        <v>0</v>
      </c>
      <c r="AI17" s="116">
        <f>+VLOOKUP($B17,'datos9-2015'!$A$2:$BE$78,46,FALSE)</f>
        <v>0</v>
      </c>
      <c r="AJ17" s="68">
        <f t="shared" si="7"/>
        <v>108000</v>
      </c>
      <c r="AK17" s="116">
        <f>+VLOOKUP($B17,'datos9-2015'!$A$2:$BE$78,49,FALSE)</f>
        <v>0</v>
      </c>
      <c r="AL17" s="116">
        <f>+VLOOKUP($B17,'datos9-2015'!$A$2:$BE$78,50,FALSE)</f>
        <v>0</v>
      </c>
      <c r="AM17" s="116">
        <f>+VLOOKUP($B17,'datos9-2015'!$A$2:$BE$78,51,FALSE)</f>
        <v>52000</v>
      </c>
      <c r="AN17" s="116">
        <f>+VLOOKUP($B17,'datos9-2015'!$A$2:$BE$78,52,FALSE)</f>
        <v>0</v>
      </c>
      <c r="AO17" s="119">
        <f t="shared" si="8"/>
        <v>52000</v>
      </c>
      <c r="AP17" s="116">
        <f>+VLOOKUP($B17,'datos9-2015'!$A$2:$BE$78,55,FALSE)</f>
        <v>0</v>
      </c>
      <c r="AQ17" s="118">
        <f t="shared" si="9"/>
        <v>275000</v>
      </c>
      <c r="AS17" s="120">
        <f t="shared" si="10"/>
        <v>8205555.1600000001</v>
      </c>
    </row>
    <row r="18" spans="2:45" x14ac:dyDescent="0.2">
      <c r="B18" s="18" t="s">
        <v>69</v>
      </c>
      <c r="C18" s="115"/>
      <c r="D18" s="116">
        <f>+VLOOKUP($B18,'datos9-2015'!$A$2:$BE$78,13,FALSE)</f>
        <v>82989</v>
      </c>
      <c r="E18" s="116">
        <f>+VLOOKUP($B18,'datos9-2015'!$A$2:$BE$78,14,FALSE)</f>
        <v>0</v>
      </c>
      <c r="F18" s="116">
        <f>+VLOOKUP($B18,'datos9-2015'!$A$2:$BE$78,15,FALSE)</f>
        <v>0</v>
      </c>
      <c r="G18" s="68">
        <f t="shared" si="0"/>
        <v>82989</v>
      </c>
      <c r="H18" s="116">
        <f>+VLOOKUP($B18,'datos9-2015'!$A$2:$BE$78,17,FALSE)</f>
        <v>0</v>
      </c>
      <c r="I18" s="116">
        <f>+VLOOKUP($B18,'datos9-2015'!$A$2:$BE$78,18,FALSE)</f>
        <v>0</v>
      </c>
      <c r="J18" s="116">
        <f>+VLOOKUP($B18,'datos9-2015'!$A$2:$BE$78,19,FALSE)</f>
        <v>0</v>
      </c>
      <c r="K18" s="116">
        <f>+VLOOKUP($B18,'datos9-2015'!$A$2:$BE$78,20,FALSE)</f>
        <v>90415.61</v>
      </c>
      <c r="L18" s="68">
        <f t="shared" si="1"/>
        <v>90415.61</v>
      </c>
      <c r="M18" s="116">
        <f>+VLOOKUP($B18,'datos9-2015'!$A$2:$BE$78,22,FALSE)</f>
        <v>320562.98</v>
      </c>
      <c r="N18" s="116">
        <f>+VLOOKUP($B18,'datos9-2015'!$A$2:$BE$78,23,FALSE)</f>
        <v>0</v>
      </c>
      <c r="O18" s="116">
        <f>+VLOOKUP($B18,'datos9-2015'!$A$2:$BE$78,24,FALSE)</f>
        <v>0</v>
      </c>
      <c r="P18" s="68">
        <f t="shared" si="2"/>
        <v>320562.98</v>
      </c>
      <c r="Q18" s="116">
        <f>+VLOOKUP($B18,'datos9-2015'!$A$2:$BE$78,26,FALSE)</f>
        <v>0</v>
      </c>
      <c r="R18" s="116">
        <f>+VLOOKUP($B18,'datos9-2015'!$A$2:$BE$78,27,FALSE)</f>
        <v>0</v>
      </c>
      <c r="S18" s="116">
        <f>+VLOOKUP($B18,'datos9-2015'!$A$2:$BE$78,28,FALSE)</f>
        <v>0</v>
      </c>
      <c r="T18" s="116">
        <f>+VLOOKUP($B18,'datos9-2015'!$A$2:$BE$78,29,FALSE)</f>
        <v>19565.55</v>
      </c>
      <c r="U18" s="68">
        <f t="shared" si="3"/>
        <v>19565.55</v>
      </c>
      <c r="V18" s="116">
        <f>+VLOOKUP($B18,'datos9-2015'!$A$2:$BE$78,31,FALSE)</f>
        <v>0</v>
      </c>
      <c r="W18" s="116">
        <f>+VLOOKUP($B18,'datos9-2015'!$A$2:$BE$78,32,FALSE)</f>
        <v>0</v>
      </c>
      <c r="X18" s="117">
        <f t="shared" si="4"/>
        <v>0</v>
      </c>
      <c r="Y18" s="118">
        <f t="shared" si="5"/>
        <v>513533.13999999996</v>
      </c>
      <c r="Z18" s="116">
        <f>+VLOOKUP($B18,'datos9-2015'!$A$2:$BE$78,35,FALSE)</f>
        <v>0</v>
      </c>
      <c r="AA18" s="116">
        <f>+VLOOKUP($B18,'datos9-2015'!$A$2:$BE$78,36,FALSE)</f>
        <v>0</v>
      </c>
      <c r="AB18" s="116">
        <f>+VLOOKUP($B18,'datos9-2015'!$A$2:$BE$78,37,FALSE)</f>
        <v>0</v>
      </c>
      <c r="AC18" s="116">
        <f>+VLOOKUP($B18,'datos9-2015'!$A$2:$BE$78,38,FALSE)</f>
        <v>0</v>
      </c>
      <c r="AD18" s="116">
        <f>+VLOOKUP($B18,'datos9-2015'!$A$2:$BE$78,39,FALSE)</f>
        <v>0</v>
      </c>
      <c r="AE18" s="68">
        <f t="shared" si="6"/>
        <v>0</v>
      </c>
      <c r="AF18" s="116">
        <f>+VLOOKUP($B18,'datos9-2015'!$A$2:$BE$78,42,FALSE)</f>
        <v>0</v>
      </c>
      <c r="AG18" s="116">
        <f>+VLOOKUP($B18,'datos9-2015'!$A$2:$BE$78,44,FALSE)</f>
        <v>182762.39</v>
      </c>
      <c r="AH18" s="116">
        <f>+VLOOKUP($B18,'datos9-2015'!$A$2:$BE$78,45,FALSE)</f>
        <v>0</v>
      </c>
      <c r="AI18" s="116">
        <f>+VLOOKUP($B18,'datos9-2015'!$A$2:$BE$78,46,FALSE)</f>
        <v>540853.73</v>
      </c>
      <c r="AJ18" s="68">
        <f t="shared" si="7"/>
        <v>723616.12</v>
      </c>
      <c r="AK18" s="116">
        <f>+VLOOKUP($B18,'datos9-2015'!$A$2:$BE$78,49,FALSE)</f>
        <v>0</v>
      </c>
      <c r="AL18" s="116">
        <f>+VLOOKUP($B18,'datos9-2015'!$A$2:$BE$78,50,FALSE)</f>
        <v>0</v>
      </c>
      <c r="AM18" s="116">
        <f>+VLOOKUP($B18,'datos9-2015'!$A$2:$BE$78,51,FALSE)</f>
        <v>0</v>
      </c>
      <c r="AN18" s="116">
        <f>+VLOOKUP($B18,'datos9-2015'!$A$2:$BE$78,52,FALSE)</f>
        <v>0</v>
      </c>
      <c r="AO18" s="119">
        <f t="shared" si="8"/>
        <v>0</v>
      </c>
      <c r="AP18" s="116">
        <f>+VLOOKUP($B18,'datos9-2015'!$A$2:$BE$78,55,FALSE)</f>
        <v>0</v>
      </c>
      <c r="AQ18" s="118">
        <f t="shared" si="9"/>
        <v>723616.12</v>
      </c>
      <c r="AS18" s="120">
        <f t="shared" si="10"/>
        <v>1237149.26</v>
      </c>
    </row>
    <row r="19" spans="2:45" x14ac:dyDescent="0.2">
      <c r="B19" s="18" t="s">
        <v>70</v>
      </c>
      <c r="C19" s="115"/>
      <c r="D19" s="116">
        <f>+VLOOKUP($B19,'datos9-2015'!$A$2:$BE$78,13,FALSE)</f>
        <v>191189.93</v>
      </c>
      <c r="E19" s="116">
        <f>+VLOOKUP($B19,'datos9-2015'!$A$2:$BE$78,14,FALSE)</f>
        <v>0</v>
      </c>
      <c r="F19" s="116">
        <f>+VLOOKUP($B19,'datos9-2015'!$A$2:$BE$78,15,FALSE)</f>
        <v>0</v>
      </c>
      <c r="G19" s="68">
        <f t="shared" si="0"/>
        <v>191189.93</v>
      </c>
      <c r="H19" s="116">
        <f>+VLOOKUP($B19,'datos9-2015'!$A$2:$BE$78,17,FALSE)</f>
        <v>0</v>
      </c>
      <c r="I19" s="116">
        <f>+VLOOKUP($B19,'datos9-2015'!$A$2:$BE$78,18,FALSE)</f>
        <v>0</v>
      </c>
      <c r="J19" s="116">
        <f>+VLOOKUP($B19,'datos9-2015'!$A$2:$BE$78,19,FALSE)</f>
        <v>0</v>
      </c>
      <c r="K19" s="116">
        <f>+VLOOKUP($B19,'datos9-2015'!$A$2:$BE$78,20,FALSE)</f>
        <v>0</v>
      </c>
      <c r="L19" s="68">
        <f t="shared" si="1"/>
        <v>0</v>
      </c>
      <c r="M19" s="116">
        <f>+VLOOKUP($B19,'datos9-2015'!$A$2:$BE$78,22,FALSE)</f>
        <v>71793.3</v>
      </c>
      <c r="N19" s="116">
        <f>+VLOOKUP($B19,'datos9-2015'!$A$2:$BE$78,23,FALSE)</f>
        <v>0</v>
      </c>
      <c r="O19" s="116">
        <f>+VLOOKUP($B19,'datos9-2015'!$A$2:$BE$78,24,FALSE)</f>
        <v>0</v>
      </c>
      <c r="P19" s="68">
        <f t="shared" si="2"/>
        <v>71793.3</v>
      </c>
      <c r="Q19" s="116">
        <f>+VLOOKUP($B19,'datos9-2015'!$A$2:$BE$78,26,FALSE)</f>
        <v>0</v>
      </c>
      <c r="R19" s="116">
        <f>+VLOOKUP($B19,'datos9-2015'!$A$2:$BE$78,27,FALSE)</f>
        <v>0</v>
      </c>
      <c r="S19" s="116">
        <f>+VLOOKUP($B19,'datos9-2015'!$A$2:$BE$78,28,FALSE)</f>
        <v>0</v>
      </c>
      <c r="T19" s="116">
        <f>+VLOOKUP($B19,'datos9-2015'!$A$2:$BE$78,29,FALSE)</f>
        <v>0</v>
      </c>
      <c r="U19" s="68">
        <f t="shared" si="3"/>
        <v>0</v>
      </c>
      <c r="V19" s="116">
        <f>+VLOOKUP($B19,'datos9-2015'!$A$2:$BE$78,31,FALSE)</f>
        <v>0</v>
      </c>
      <c r="W19" s="116">
        <f>+VLOOKUP($B19,'datos9-2015'!$A$2:$BE$78,32,FALSE)</f>
        <v>0</v>
      </c>
      <c r="X19" s="117">
        <f t="shared" si="4"/>
        <v>0</v>
      </c>
      <c r="Y19" s="118">
        <f t="shared" si="5"/>
        <v>262983.23</v>
      </c>
      <c r="Z19" s="116">
        <f>+VLOOKUP($B19,'datos9-2015'!$A$2:$BE$78,35,FALSE)</f>
        <v>0</v>
      </c>
      <c r="AA19" s="116">
        <f>+VLOOKUP($B19,'datos9-2015'!$A$2:$BE$78,36,FALSE)</f>
        <v>0</v>
      </c>
      <c r="AB19" s="116">
        <f>+VLOOKUP($B19,'datos9-2015'!$A$2:$BE$78,37,FALSE)</f>
        <v>0</v>
      </c>
      <c r="AC19" s="116">
        <f>+VLOOKUP($B19,'datos9-2015'!$A$2:$BE$78,38,FALSE)</f>
        <v>43735</v>
      </c>
      <c r="AD19" s="116">
        <f>+VLOOKUP($B19,'datos9-2015'!$A$2:$BE$78,39,FALSE)</f>
        <v>0</v>
      </c>
      <c r="AE19" s="68">
        <f t="shared" si="6"/>
        <v>43735</v>
      </c>
      <c r="AF19" s="116">
        <f>+VLOOKUP($B19,'datos9-2015'!$A$2:$BE$78,42,FALSE)</f>
        <v>3366716.5</v>
      </c>
      <c r="AG19" s="116">
        <f>+VLOOKUP($B19,'datos9-2015'!$A$2:$BE$78,44,FALSE)</f>
        <v>1188097.8400000001</v>
      </c>
      <c r="AH19" s="116">
        <f>+VLOOKUP($B19,'datos9-2015'!$A$2:$BE$78,45,FALSE)</f>
        <v>0</v>
      </c>
      <c r="AI19" s="116">
        <f>+VLOOKUP($B19,'datos9-2015'!$A$2:$BE$78,46,FALSE)</f>
        <v>0</v>
      </c>
      <c r="AJ19" s="68">
        <f t="shared" si="7"/>
        <v>4554814.34</v>
      </c>
      <c r="AK19" s="116">
        <f>+VLOOKUP($B19,'datos9-2015'!$A$2:$BE$78,49,FALSE)</f>
        <v>0</v>
      </c>
      <c r="AL19" s="116">
        <f>+VLOOKUP($B19,'datos9-2015'!$A$2:$BE$78,50,FALSE)</f>
        <v>131330.85</v>
      </c>
      <c r="AM19" s="116">
        <f>+VLOOKUP($B19,'datos9-2015'!$A$2:$BE$78,51,FALSE)</f>
        <v>0</v>
      </c>
      <c r="AN19" s="116">
        <f>+VLOOKUP($B19,'datos9-2015'!$A$2:$BE$78,52,FALSE)</f>
        <v>0</v>
      </c>
      <c r="AO19" s="119">
        <f t="shared" si="8"/>
        <v>131330.85</v>
      </c>
      <c r="AP19" s="116">
        <f>+VLOOKUP($B19,'datos9-2015'!$A$2:$BE$78,55,FALSE)</f>
        <v>0</v>
      </c>
      <c r="AQ19" s="118">
        <f t="shared" si="9"/>
        <v>4729880.1899999995</v>
      </c>
      <c r="AS19" s="120">
        <f t="shared" si="10"/>
        <v>4992863.42</v>
      </c>
    </row>
    <row r="20" spans="2:45" x14ac:dyDescent="0.2">
      <c r="B20" s="18" t="s">
        <v>71</v>
      </c>
      <c r="C20" s="115"/>
      <c r="D20" s="116">
        <f>+VLOOKUP($B20,'datos9-2015'!$A$2:$BE$78,13,FALSE)</f>
        <v>83859.929999999993</v>
      </c>
      <c r="E20" s="116">
        <f>+VLOOKUP($B20,'datos9-2015'!$A$2:$BE$78,14,FALSE)</f>
        <v>0</v>
      </c>
      <c r="F20" s="116">
        <f>+VLOOKUP($B20,'datos9-2015'!$A$2:$BE$78,15,FALSE)</f>
        <v>0</v>
      </c>
      <c r="G20" s="68">
        <f t="shared" si="0"/>
        <v>83859.929999999993</v>
      </c>
      <c r="H20" s="116">
        <f>+VLOOKUP($B20,'datos9-2015'!$A$2:$BE$78,17,FALSE)</f>
        <v>0</v>
      </c>
      <c r="I20" s="116">
        <f>+VLOOKUP($B20,'datos9-2015'!$A$2:$BE$78,18,FALSE)</f>
        <v>0</v>
      </c>
      <c r="J20" s="116">
        <f>+VLOOKUP($B20,'datos9-2015'!$A$2:$BE$78,19,FALSE)</f>
        <v>0</v>
      </c>
      <c r="K20" s="116">
        <f>+VLOOKUP($B20,'datos9-2015'!$A$2:$BE$78,20,FALSE)</f>
        <v>21614.23</v>
      </c>
      <c r="L20" s="68">
        <f t="shared" si="1"/>
        <v>21614.23</v>
      </c>
      <c r="M20" s="116">
        <f>+VLOOKUP($B20,'datos9-2015'!$A$2:$BE$78,22,FALSE)</f>
        <v>0</v>
      </c>
      <c r="N20" s="116">
        <f>+VLOOKUP($B20,'datos9-2015'!$A$2:$BE$78,23,FALSE)</f>
        <v>0</v>
      </c>
      <c r="O20" s="116">
        <f>+VLOOKUP($B20,'datos9-2015'!$A$2:$BE$78,24,FALSE)</f>
        <v>0</v>
      </c>
      <c r="P20" s="68">
        <f t="shared" si="2"/>
        <v>0</v>
      </c>
      <c r="Q20" s="116">
        <f>+VLOOKUP($B20,'datos9-2015'!$A$2:$BE$78,26,FALSE)</f>
        <v>0</v>
      </c>
      <c r="R20" s="116">
        <f>+VLOOKUP($B20,'datos9-2015'!$A$2:$BE$78,27,FALSE)</f>
        <v>0</v>
      </c>
      <c r="S20" s="116">
        <f>+VLOOKUP($B20,'datos9-2015'!$A$2:$BE$78,28,FALSE)</f>
        <v>0</v>
      </c>
      <c r="T20" s="116">
        <f>+VLOOKUP($B20,'datos9-2015'!$A$2:$BE$78,29,FALSE)</f>
        <v>0</v>
      </c>
      <c r="U20" s="68">
        <f t="shared" si="3"/>
        <v>0</v>
      </c>
      <c r="V20" s="116">
        <f>+VLOOKUP($B20,'datos9-2015'!$A$2:$BE$78,31,FALSE)</f>
        <v>0</v>
      </c>
      <c r="W20" s="116">
        <f>+VLOOKUP($B20,'datos9-2015'!$A$2:$BE$78,32,FALSE)</f>
        <v>0</v>
      </c>
      <c r="X20" s="117">
        <f t="shared" si="4"/>
        <v>0</v>
      </c>
      <c r="Y20" s="118">
        <f t="shared" si="5"/>
        <v>105474.15999999999</v>
      </c>
      <c r="Z20" s="116">
        <f>+VLOOKUP($B20,'datos9-2015'!$A$2:$BE$78,35,FALSE)</f>
        <v>625000</v>
      </c>
      <c r="AA20" s="116">
        <f>+VLOOKUP($B20,'datos9-2015'!$A$2:$BE$78,36,FALSE)</f>
        <v>0</v>
      </c>
      <c r="AB20" s="116">
        <f>+VLOOKUP($B20,'datos9-2015'!$A$2:$BE$78,37,FALSE)</f>
        <v>0</v>
      </c>
      <c r="AC20" s="116">
        <f>+VLOOKUP($B20,'datos9-2015'!$A$2:$BE$78,38,FALSE)</f>
        <v>0</v>
      </c>
      <c r="AD20" s="116">
        <f>+VLOOKUP($B20,'datos9-2015'!$A$2:$BE$78,39,FALSE)</f>
        <v>0</v>
      </c>
      <c r="AE20" s="68">
        <f t="shared" si="6"/>
        <v>625000</v>
      </c>
      <c r="AF20" s="116">
        <f>+VLOOKUP($B20,'datos9-2015'!$A$2:$BE$78,42,FALSE)</f>
        <v>1095032.28</v>
      </c>
      <c r="AG20" s="116">
        <f>+VLOOKUP($B20,'datos9-2015'!$A$2:$BE$78,44,FALSE)</f>
        <v>241111.78</v>
      </c>
      <c r="AH20" s="116">
        <f>+VLOOKUP($B20,'datos9-2015'!$A$2:$BE$78,45,FALSE)</f>
        <v>75467.78</v>
      </c>
      <c r="AI20" s="116">
        <f>+VLOOKUP($B20,'datos9-2015'!$A$2:$BE$78,46,FALSE)</f>
        <v>4160</v>
      </c>
      <c r="AJ20" s="68">
        <f t="shared" si="7"/>
        <v>1415771.84</v>
      </c>
      <c r="AK20" s="116">
        <f>+VLOOKUP($B20,'datos9-2015'!$A$2:$BE$78,49,FALSE)</f>
        <v>0</v>
      </c>
      <c r="AL20" s="116">
        <f>+VLOOKUP($B20,'datos9-2015'!$A$2:$BE$78,50,FALSE)</f>
        <v>0</v>
      </c>
      <c r="AM20" s="116">
        <f>+VLOOKUP($B20,'datos9-2015'!$A$2:$BE$78,51,FALSE)</f>
        <v>0</v>
      </c>
      <c r="AN20" s="116">
        <f>+VLOOKUP($B20,'datos9-2015'!$A$2:$BE$78,52,FALSE)</f>
        <v>0</v>
      </c>
      <c r="AO20" s="119">
        <f t="shared" si="8"/>
        <v>0</v>
      </c>
      <c r="AP20" s="116">
        <f>+VLOOKUP($B20,'datos9-2015'!$A$2:$BE$78,55,FALSE)</f>
        <v>0</v>
      </c>
      <c r="AQ20" s="118">
        <f t="shared" si="9"/>
        <v>2040771.84</v>
      </c>
      <c r="AS20" s="120">
        <f t="shared" si="10"/>
        <v>2146246</v>
      </c>
    </row>
    <row r="21" spans="2:45" x14ac:dyDescent="0.2">
      <c r="B21" s="18" t="s">
        <v>72</v>
      </c>
      <c r="C21" s="115"/>
      <c r="D21" s="116">
        <f>+VLOOKUP($B21,'datos9-2015'!$A$2:$BE$78,13,FALSE)</f>
        <v>319661.88</v>
      </c>
      <c r="E21" s="116">
        <f>+VLOOKUP($B21,'datos9-2015'!$A$2:$BE$78,14,FALSE)</f>
        <v>0</v>
      </c>
      <c r="F21" s="116">
        <f>+VLOOKUP($B21,'datos9-2015'!$A$2:$BE$78,15,FALSE)</f>
        <v>64848.4</v>
      </c>
      <c r="G21" s="68">
        <f t="shared" si="0"/>
        <v>384510.28</v>
      </c>
      <c r="H21" s="116">
        <f>+VLOOKUP($B21,'datos9-2015'!$A$2:$BE$78,17,FALSE)</f>
        <v>30915.97</v>
      </c>
      <c r="I21" s="116">
        <f>+VLOOKUP($B21,'datos9-2015'!$A$2:$BE$78,18,FALSE)</f>
        <v>0</v>
      </c>
      <c r="J21" s="116">
        <f>+VLOOKUP($B21,'datos9-2015'!$A$2:$BE$78,19,FALSE)</f>
        <v>20555</v>
      </c>
      <c r="K21" s="116">
        <f>+VLOOKUP($B21,'datos9-2015'!$A$2:$BE$78,20,FALSE)</f>
        <v>174484.83</v>
      </c>
      <c r="L21" s="68">
        <f t="shared" si="1"/>
        <v>225955.8</v>
      </c>
      <c r="M21" s="116">
        <f>+VLOOKUP($B21,'datos9-2015'!$A$2:$BE$78,22,FALSE)</f>
        <v>76754</v>
      </c>
      <c r="N21" s="116">
        <f>+VLOOKUP($B21,'datos9-2015'!$A$2:$BE$78,23,FALSE)</f>
        <v>0</v>
      </c>
      <c r="O21" s="116">
        <f>+VLOOKUP($B21,'datos9-2015'!$A$2:$BE$78,24,FALSE)</f>
        <v>0</v>
      </c>
      <c r="P21" s="68">
        <f t="shared" si="2"/>
        <v>76754</v>
      </c>
      <c r="Q21" s="116">
        <f>+VLOOKUP($B21,'datos9-2015'!$A$2:$BE$78,26,FALSE)</f>
        <v>0</v>
      </c>
      <c r="R21" s="116">
        <f>+VLOOKUP($B21,'datos9-2015'!$A$2:$BE$78,27,FALSE)</f>
        <v>0</v>
      </c>
      <c r="S21" s="116">
        <f>+VLOOKUP($B21,'datos9-2015'!$A$2:$BE$78,28,FALSE)</f>
        <v>0</v>
      </c>
      <c r="T21" s="116">
        <f>+VLOOKUP($B21,'datos9-2015'!$A$2:$BE$78,29,FALSE)</f>
        <v>0</v>
      </c>
      <c r="U21" s="68">
        <f t="shared" si="3"/>
        <v>0</v>
      </c>
      <c r="V21" s="116">
        <f>+VLOOKUP($B21,'datos9-2015'!$A$2:$BE$78,31,FALSE)</f>
        <v>0</v>
      </c>
      <c r="W21" s="116">
        <f>+VLOOKUP($B21,'datos9-2015'!$A$2:$BE$78,32,FALSE)</f>
        <v>0</v>
      </c>
      <c r="X21" s="117">
        <f t="shared" si="4"/>
        <v>0</v>
      </c>
      <c r="Y21" s="118">
        <f t="shared" si="5"/>
        <v>687220.08000000007</v>
      </c>
      <c r="Z21" s="116">
        <f>+VLOOKUP($B21,'datos9-2015'!$A$2:$BE$78,35,FALSE)</f>
        <v>0</v>
      </c>
      <c r="AA21" s="116">
        <f>+VLOOKUP($B21,'datos9-2015'!$A$2:$BE$78,36,FALSE)</f>
        <v>0</v>
      </c>
      <c r="AB21" s="116">
        <f>+VLOOKUP($B21,'datos9-2015'!$A$2:$BE$78,37,FALSE)</f>
        <v>0</v>
      </c>
      <c r="AC21" s="116">
        <f>+VLOOKUP($B21,'datos9-2015'!$A$2:$BE$78,38,FALSE)</f>
        <v>0</v>
      </c>
      <c r="AD21" s="116">
        <f>+VLOOKUP($B21,'datos9-2015'!$A$2:$BE$78,39,FALSE)</f>
        <v>0</v>
      </c>
      <c r="AE21" s="68">
        <f t="shared" si="6"/>
        <v>0</v>
      </c>
      <c r="AF21" s="116">
        <f>+VLOOKUP($B21,'datos9-2015'!$A$2:$BE$78,42,FALSE)</f>
        <v>62355.85</v>
      </c>
      <c r="AG21" s="116">
        <f>+VLOOKUP($B21,'datos9-2015'!$A$2:$BE$78,44,FALSE)</f>
        <v>45092.19</v>
      </c>
      <c r="AH21" s="116">
        <f>+VLOOKUP($B21,'datos9-2015'!$A$2:$BE$78,45,FALSE)</f>
        <v>0</v>
      </c>
      <c r="AI21" s="116">
        <f>+VLOOKUP($B21,'datos9-2015'!$A$2:$BE$78,46,FALSE)</f>
        <v>0</v>
      </c>
      <c r="AJ21" s="68">
        <f t="shared" si="7"/>
        <v>107448.04000000001</v>
      </c>
      <c r="AK21" s="116">
        <f>+VLOOKUP($B21,'datos9-2015'!$A$2:$BE$78,49,FALSE)</f>
        <v>0</v>
      </c>
      <c r="AL21" s="116">
        <f>+VLOOKUP($B21,'datos9-2015'!$A$2:$BE$78,50,FALSE)</f>
        <v>0</v>
      </c>
      <c r="AM21" s="116">
        <f>+VLOOKUP($B21,'datos9-2015'!$A$2:$BE$78,51,FALSE)</f>
        <v>0</v>
      </c>
      <c r="AN21" s="116">
        <f>+VLOOKUP($B21,'datos9-2015'!$A$2:$BE$78,52,FALSE)</f>
        <v>0</v>
      </c>
      <c r="AO21" s="119">
        <f t="shared" si="8"/>
        <v>0</v>
      </c>
      <c r="AP21" s="116">
        <f>+VLOOKUP($B21,'datos9-2015'!$A$2:$BE$78,55,FALSE)</f>
        <v>0</v>
      </c>
      <c r="AQ21" s="118">
        <f t="shared" si="9"/>
        <v>107448.04000000001</v>
      </c>
      <c r="AS21" s="120">
        <f t="shared" si="10"/>
        <v>794668.12000000011</v>
      </c>
    </row>
    <row r="22" spans="2:45" x14ac:dyDescent="0.2">
      <c r="B22" s="18" t="s">
        <v>73</v>
      </c>
      <c r="C22" s="115"/>
      <c r="D22" s="116">
        <f>+VLOOKUP($B22,'datos9-2015'!$A$2:$BE$78,13,FALSE)</f>
        <v>1389074.22</v>
      </c>
      <c r="E22" s="116">
        <f>+VLOOKUP($B22,'datos9-2015'!$A$2:$BE$78,14,FALSE)</f>
        <v>24909140.260000002</v>
      </c>
      <c r="F22" s="116">
        <f>+VLOOKUP($B22,'datos9-2015'!$A$2:$BE$78,15,FALSE)</f>
        <v>0</v>
      </c>
      <c r="G22" s="68">
        <f t="shared" si="0"/>
        <v>26298214.48</v>
      </c>
      <c r="H22" s="116">
        <f>+VLOOKUP($B22,'datos9-2015'!$A$2:$BE$78,17,FALSE)</f>
        <v>438378.43</v>
      </c>
      <c r="I22" s="116">
        <f>+VLOOKUP($B22,'datos9-2015'!$A$2:$BE$78,18,FALSE)</f>
        <v>293284.37</v>
      </c>
      <c r="J22" s="116">
        <f>+VLOOKUP($B22,'datos9-2015'!$A$2:$BE$78,19,FALSE)</f>
        <v>87657</v>
      </c>
      <c r="K22" s="116">
        <f>+VLOOKUP($B22,'datos9-2015'!$A$2:$BE$78,20,FALSE)</f>
        <v>218000.69</v>
      </c>
      <c r="L22" s="68">
        <f t="shared" si="1"/>
        <v>1037320.49</v>
      </c>
      <c r="M22" s="116">
        <f>+VLOOKUP($B22,'datos9-2015'!$A$2:$BE$78,22,FALSE)</f>
        <v>105215.32</v>
      </c>
      <c r="N22" s="116">
        <f>+VLOOKUP($B22,'datos9-2015'!$A$2:$BE$78,23,FALSE)</f>
        <v>250676.79</v>
      </c>
      <c r="O22" s="116">
        <f>+VLOOKUP($B22,'datos9-2015'!$A$2:$BE$78,24,FALSE)</f>
        <v>40803.51</v>
      </c>
      <c r="P22" s="68">
        <f t="shared" si="2"/>
        <v>396695.62</v>
      </c>
      <c r="Q22" s="116">
        <f>+VLOOKUP($B22,'datos9-2015'!$A$2:$BE$78,26,FALSE)</f>
        <v>11364.96</v>
      </c>
      <c r="R22" s="116">
        <f>+VLOOKUP($B22,'datos9-2015'!$A$2:$BE$78,27,FALSE)</f>
        <v>0</v>
      </c>
      <c r="S22" s="116">
        <f>+VLOOKUP($B22,'datos9-2015'!$A$2:$BE$78,28,FALSE)</f>
        <v>0</v>
      </c>
      <c r="T22" s="116">
        <f>+VLOOKUP($B22,'datos9-2015'!$A$2:$BE$78,29,FALSE)</f>
        <v>0</v>
      </c>
      <c r="U22" s="68">
        <f t="shared" si="3"/>
        <v>11364.96</v>
      </c>
      <c r="V22" s="116">
        <f>+VLOOKUP($B22,'datos9-2015'!$A$2:$BE$78,31,FALSE)</f>
        <v>5720</v>
      </c>
      <c r="W22" s="116">
        <f>+VLOOKUP($B22,'datos9-2015'!$A$2:$BE$78,32,FALSE)</f>
        <v>113936.54</v>
      </c>
      <c r="X22" s="117">
        <f t="shared" si="4"/>
        <v>119656.54</v>
      </c>
      <c r="Y22" s="118">
        <f t="shared" si="5"/>
        <v>27863252.09</v>
      </c>
      <c r="Z22" s="116">
        <f>+VLOOKUP($B22,'datos9-2015'!$A$2:$BE$78,35,FALSE)</f>
        <v>2493097.98</v>
      </c>
      <c r="AA22" s="116">
        <f>+VLOOKUP($B22,'datos9-2015'!$A$2:$BE$78,36,FALSE)</f>
        <v>134999.70000000001</v>
      </c>
      <c r="AB22" s="116">
        <f>+VLOOKUP($B22,'datos9-2015'!$A$2:$BE$78,37,FALSE)</f>
        <v>0</v>
      </c>
      <c r="AC22" s="116">
        <f>+VLOOKUP($B22,'datos9-2015'!$A$2:$BE$78,38,FALSE)</f>
        <v>0</v>
      </c>
      <c r="AD22" s="116">
        <f>+VLOOKUP($B22,'datos9-2015'!$A$2:$BE$78,39,FALSE)</f>
        <v>0</v>
      </c>
      <c r="AE22" s="68">
        <f t="shared" si="6"/>
        <v>2628097.6800000002</v>
      </c>
      <c r="AF22" s="116">
        <f>+VLOOKUP($B22,'datos9-2015'!$A$2:$BE$78,42,FALSE)</f>
        <v>2192774.7599999998</v>
      </c>
      <c r="AG22" s="116">
        <f>+VLOOKUP($B22,'datos9-2015'!$A$2:$BE$78,44,FALSE)</f>
        <v>267632.92</v>
      </c>
      <c r="AH22" s="116">
        <f>+VLOOKUP($B22,'datos9-2015'!$A$2:$BE$78,45,FALSE)</f>
        <v>0</v>
      </c>
      <c r="AI22" s="116">
        <f>+VLOOKUP($B22,'datos9-2015'!$A$2:$BE$78,46,FALSE)</f>
        <v>0</v>
      </c>
      <c r="AJ22" s="68">
        <f t="shared" si="7"/>
        <v>2460407.6799999997</v>
      </c>
      <c r="AK22" s="116">
        <f>+VLOOKUP($B22,'datos9-2015'!$A$2:$BE$78,49,FALSE)</f>
        <v>0</v>
      </c>
      <c r="AL22" s="116">
        <f>+VLOOKUP($B22,'datos9-2015'!$A$2:$BE$78,50,FALSE)</f>
        <v>0</v>
      </c>
      <c r="AM22" s="116">
        <f>+VLOOKUP($B22,'datos9-2015'!$A$2:$BE$78,51,FALSE)</f>
        <v>11815.52</v>
      </c>
      <c r="AN22" s="116">
        <f>+VLOOKUP($B22,'datos9-2015'!$A$2:$BE$78,52,FALSE)</f>
        <v>0</v>
      </c>
      <c r="AO22" s="119">
        <f t="shared" si="8"/>
        <v>11815.52</v>
      </c>
      <c r="AP22" s="116">
        <f>+VLOOKUP($B22,'datos9-2015'!$A$2:$BE$78,55,FALSE)</f>
        <v>0</v>
      </c>
      <c r="AQ22" s="118">
        <f t="shared" si="9"/>
        <v>5100320.88</v>
      </c>
      <c r="AS22" s="120">
        <f t="shared" si="10"/>
        <v>32963572.969999999</v>
      </c>
    </row>
    <row r="23" spans="2:45" x14ac:dyDescent="0.2">
      <c r="B23" s="18" t="s">
        <v>74</v>
      </c>
      <c r="C23" s="115"/>
      <c r="D23" s="116">
        <f>+VLOOKUP($B23,'datos9-2015'!$A$2:$BE$78,13,FALSE)</f>
        <v>0</v>
      </c>
      <c r="E23" s="116">
        <f>+VLOOKUP($B23,'datos9-2015'!$A$2:$BE$78,14,FALSE)</f>
        <v>0</v>
      </c>
      <c r="F23" s="116">
        <f>+VLOOKUP($B23,'datos9-2015'!$A$2:$BE$78,15,FALSE)</f>
        <v>0</v>
      </c>
      <c r="G23" s="68">
        <f t="shared" si="0"/>
        <v>0</v>
      </c>
      <c r="H23" s="116">
        <f>+VLOOKUP($B23,'datos9-2015'!$A$2:$BE$78,17,FALSE)</f>
        <v>0</v>
      </c>
      <c r="I23" s="116">
        <f>+VLOOKUP($B23,'datos9-2015'!$A$2:$BE$78,18,FALSE)</f>
        <v>0</v>
      </c>
      <c r="J23" s="116">
        <f>+VLOOKUP($B23,'datos9-2015'!$A$2:$BE$78,19,FALSE)</f>
        <v>0</v>
      </c>
      <c r="K23" s="116">
        <f>+VLOOKUP($B23,'datos9-2015'!$A$2:$BE$78,20,FALSE)</f>
        <v>23459374</v>
      </c>
      <c r="L23" s="68">
        <f t="shared" si="1"/>
        <v>23459374</v>
      </c>
      <c r="M23" s="116">
        <f>+VLOOKUP($B23,'datos9-2015'!$A$2:$BE$78,22,FALSE)</f>
        <v>1747025</v>
      </c>
      <c r="N23" s="116">
        <f>+VLOOKUP($B23,'datos9-2015'!$A$2:$BE$78,23,FALSE)</f>
        <v>0</v>
      </c>
      <c r="O23" s="116">
        <f>+VLOOKUP($B23,'datos9-2015'!$A$2:$BE$78,24,FALSE)</f>
        <v>0</v>
      </c>
      <c r="P23" s="68">
        <f t="shared" si="2"/>
        <v>1747025</v>
      </c>
      <c r="Q23" s="116">
        <f>+VLOOKUP($B23,'datos9-2015'!$A$2:$BE$78,26,FALSE)</f>
        <v>0</v>
      </c>
      <c r="R23" s="116">
        <f>+VLOOKUP($B23,'datos9-2015'!$A$2:$BE$78,27,FALSE)</f>
        <v>0</v>
      </c>
      <c r="S23" s="116">
        <f>+VLOOKUP($B23,'datos9-2015'!$A$2:$BE$78,28,FALSE)</f>
        <v>0</v>
      </c>
      <c r="T23" s="116">
        <f>+VLOOKUP($B23,'datos9-2015'!$A$2:$BE$78,29,FALSE)</f>
        <v>0</v>
      </c>
      <c r="U23" s="68">
        <f t="shared" si="3"/>
        <v>0</v>
      </c>
      <c r="V23" s="116">
        <f>+VLOOKUP($B23,'datos9-2015'!$A$2:$BE$78,31,FALSE)</f>
        <v>0</v>
      </c>
      <c r="W23" s="116">
        <f>+VLOOKUP($B23,'datos9-2015'!$A$2:$BE$78,32,FALSE)</f>
        <v>0</v>
      </c>
      <c r="X23" s="117">
        <f t="shared" si="4"/>
        <v>0</v>
      </c>
      <c r="Y23" s="118">
        <f t="shared" si="5"/>
        <v>25206399</v>
      </c>
      <c r="Z23" s="116">
        <f>+VLOOKUP($B23,'datos9-2015'!$A$2:$BE$78,35,FALSE)</f>
        <v>0</v>
      </c>
      <c r="AA23" s="116">
        <f>+VLOOKUP($B23,'datos9-2015'!$A$2:$BE$78,36,FALSE)</f>
        <v>200000</v>
      </c>
      <c r="AB23" s="116">
        <f>+VLOOKUP($B23,'datos9-2015'!$A$2:$BE$78,37,FALSE)</f>
        <v>0</v>
      </c>
      <c r="AC23" s="116">
        <f>+VLOOKUP($B23,'datos9-2015'!$A$2:$BE$78,38,FALSE)</f>
        <v>0</v>
      </c>
      <c r="AD23" s="116">
        <f>+VLOOKUP($B23,'datos9-2015'!$A$2:$BE$78,39,FALSE)</f>
        <v>0</v>
      </c>
      <c r="AE23" s="68">
        <f t="shared" si="6"/>
        <v>200000</v>
      </c>
      <c r="AF23" s="116">
        <f>+VLOOKUP($B23,'datos9-2015'!$A$2:$BE$78,42,FALSE)</f>
        <v>99500</v>
      </c>
      <c r="AG23" s="116">
        <f>+VLOOKUP($B23,'datos9-2015'!$A$2:$BE$78,44,FALSE)</f>
        <v>64193</v>
      </c>
      <c r="AH23" s="116">
        <f>+VLOOKUP($B23,'datos9-2015'!$A$2:$BE$78,45,FALSE)</f>
        <v>0</v>
      </c>
      <c r="AI23" s="116">
        <f>+VLOOKUP($B23,'datos9-2015'!$A$2:$BE$78,46,FALSE)</f>
        <v>0</v>
      </c>
      <c r="AJ23" s="68">
        <f t="shared" si="7"/>
        <v>163693</v>
      </c>
      <c r="AK23" s="116">
        <f>+VLOOKUP($B23,'datos9-2015'!$A$2:$BE$78,49,FALSE)</f>
        <v>0</v>
      </c>
      <c r="AL23" s="116">
        <f>+VLOOKUP($B23,'datos9-2015'!$A$2:$BE$78,50,FALSE)</f>
        <v>205355</v>
      </c>
      <c r="AM23" s="116">
        <f>+VLOOKUP($B23,'datos9-2015'!$A$2:$BE$78,51,FALSE)</f>
        <v>0</v>
      </c>
      <c r="AN23" s="116">
        <f>+VLOOKUP($B23,'datos9-2015'!$A$2:$BE$78,52,FALSE)</f>
        <v>0</v>
      </c>
      <c r="AO23" s="119">
        <f t="shared" si="8"/>
        <v>205355</v>
      </c>
      <c r="AP23" s="116">
        <f>+VLOOKUP($B23,'datos9-2015'!$A$2:$BE$78,55,FALSE)</f>
        <v>0</v>
      </c>
      <c r="AQ23" s="118">
        <f t="shared" si="9"/>
        <v>569048</v>
      </c>
      <c r="AS23" s="120">
        <f t="shared" si="10"/>
        <v>25775447</v>
      </c>
    </row>
    <row r="24" spans="2:45" x14ac:dyDescent="0.2">
      <c r="B24" s="18" t="s">
        <v>75</v>
      </c>
      <c r="C24" s="115"/>
      <c r="D24" s="116">
        <f>+VLOOKUP($B24,'datos9-2015'!$A$2:$BE$78,13,FALSE)</f>
        <v>19436</v>
      </c>
      <c r="E24" s="116">
        <f>+VLOOKUP($B24,'datos9-2015'!$A$2:$BE$78,14,FALSE)</f>
        <v>0</v>
      </c>
      <c r="F24" s="116">
        <f>+VLOOKUP($B24,'datos9-2015'!$A$2:$BE$78,15,FALSE)</f>
        <v>0</v>
      </c>
      <c r="G24" s="68">
        <f t="shared" si="0"/>
        <v>19436</v>
      </c>
      <c r="H24" s="116">
        <f>+VLOOKUP($B24,'datos9-2015'!$A$2:$BE$78,17,FALSE)</f>
        <v>0</v>
      </c>
      <c r="I24" s="116">
        <f>+VLOOKUP($B24,'datos9-2015'!$A$2:$BE$78,18,FALSE)</f>
        <v>0</v>
      </c>
      <c r="J24" s="116">
        <f>+VLOOKUP($B24,'datos9-2015'!$A$2:$BE$78,19,FALSE)</f>
        <v>0</v>
      </c>
      <c r="K24" s="116">
        <f>+VLOOKUP($B24,'datos9-2015'!$A$2:$BE$78,20,FALSE)</f>
        <v>7448.04</v>
      </c>
      <c r="L24" s="68">
        <f t="shared" si="1"/>
        <v>7448.04</v>
      </c>
      <c r="M24" s="116">
        <f>+VLOOKUP($B24,'datos9-2015'!$A$2:$BE$78,22,FALSE)</f>
        <v>0</v>
      </c>
      <c r="N24" s="116">
        <f>+VLOOKUP($B24,'datos9-2015'!$A$2:$BE$78,23,FALSE)</f>
        <v>0</v>
      </c>
      <c r="O24" s="116">
        <f>+VLOOKUP($B24,'datos9-2015'!$A$2:$BE$78,24,FALSE)</f>
        <v>0</v>
      </c>
      <c r="P24" s="68">
        <f t="shared" si="2"/>
        <v>0</v>
      </c>
      <c r="Q24" s="116">
        <f>+VLOOKUP($B24,'datos9-2015'!$A$2:$BE$78,26,FALSE)</f>
        <v>0</v>
      </c>
      <c r="R24" s="116">
        <f>+VLOOKUP($B24,'datos9-2015'!$A$2:$BE$78,27,FALSE)</f>
        <v>0</v>
      </c>
      <c r="S24" s="116">
        <f>+VLOOKUP($B24,'datos9-2015'!$A$2:$BE$78,28,FALSE)</f>
        <v>0</v>
      </c>
      <c r="T24" s="116">
        <f>+VLOOKUP($B24,'datos9-2015'!$A$2:$BE$78,29,FALSE)</f>
        <v>0</v>
      </c>
      <c r="U24" s="68">
        <f t="shared" si="3"/>
        <v>0</v>
      </c>
      <c r="V24" s="116">
        <f>+VLOOKUP($B24,'datos9-2015'!$A$2:$BE$78,31,FALSE)</f>
        <v>0</v>
      </c>
      <c r="W24" s="116">
        <f>+VLOOKUP($B24,'datos9-2015'!$A$2:$BE$78,32,FALSE)</f>
        <v>0</v>
      </c>
      <c r="X24" s="117">
        <f t="shared" si="4"/>
        <v>0</v>
      </c>
      <c r="Y24" s="118">
        <f t="shared" si="5"/>
        <v>26884.04</v>
      </c>
      <c r="Z24" s="116">
        <f>+VLOOKUP($B24,'datos9-2015'!$A$2:$BE$78,35,FALSE)</f>
        <v>0</v>
      </c>
      <c r="AA24" s="116">
        <f>+VLOOKUP($B24,'datos9-2015'!$A$2:$BE$78,36,FALSE)</f>
        <v>742950</v>
      </c>
      <c r="AB24" s="116">
        <f>+VLOOKUP($B24,'datos9-2015'!$A$2:$BE$78,37,FALSE)</f>
        <v>0</v>
      </c>
      <c r="AC24" s="116">
        <f>+VLOOKUP($B24,'datos9-2015'!$A$2:$BE$78,38,FALSE)</f>
        <v>10000</v>
      </c>
      <c r="AD24" s="116">
        <f>+VLOOKUP($B24,'datos9-2015'!$A$2:$BE$78,39,FALSE)</f>
        <v>0</v>
      </c>
      <c r="AE24" s="68">
        <f t="shared" si="6"/>
        <v>752950</v>
      </c>
      <c r="AF24" s="116">
        <f>+VLOOKUP($B24,'datos9-2015'!$A$2:$BE$78,42,FALSE)</f>
        <v>60000</v>
      </c>
      <c r="AG24" s="116">
        <f>+VLOOKUP($B24,'datos9-2015'!$A$2:$BE$78,44,FALSE)</f>
        <v>216864.99</v>
      </c>
      <c r="AH24" s="116">
        <f>+VLOOKUP($B24,'datos9-2015'!$A$2:$BE$78,45,FALSE)</f>
        <v>0</v>
      </c>
      <c r="AI24" s="116">
        <f>+VLOOKUP($B24,'datos9-2015'!$A$2:$BE$78,46,FALSE)</f>
        <v>0</v>
      </c>
      <c r="AJ24" s="68">
        <f t="shared" si="7"/>
        <v>276864.99</v>
      </c>
      <c r="AK24" s="116">
        <f>+VLOOKUP($B24,'datos9-2015'!$A$2:$BE$78,49,FALSE)</f>
        <v>94011.14</v>
      </c>
      <c r="AL24" s="116">
        <f>+VLOOKUP($B24,'datos9-2015'!$A$2:$BE$78,50,FALSE)</f>
        <v>150499.18</v>
      </c>
      <c r="AM24" s="116">
        <f>+VLOOKUP($B24,'datos9-2015'!$A$2:$BE$78,51,FALSE)</f>
        <v>0</v>
      </c>
      <c r="AN24" s="116">
        <f>+VLOOKUP($B24,'datos9-2015'!$A$2:$BE$78,52,FALSE)</f>
        <v>0</v>
      </c>
      <c r="AO24" s="119">
        <f t="shared" si="8"/>
        <v>244510.32</v>
      </c>
      <c r="AP24" s="116">
        <f>+VLOOKUP($B24,'datos9-2015'!$A$2:$BE$78,55,FALSE)</f>
        <v>0</v>
      </c>
      <c r="AQ24" s="118">
        <f t="shared" si="9"/>
        <v>1274325.31</v>
      </c>
      <c r="AS24" s="120">
        <f t="shared" si="10"/>
        <v>1301209.3500000001</v>
      </c>
    </row>
    <row r="25" spans="2:45" x14ac:dyDescent="0.2">
      <c r="B25" s="18" t="s">
        <v>76</v>
      </c>
      <c r="C25" s="115"/>
      <c r="D25" s="116">
        <f>+VLOOKUP($B25,'datos9-2015'!$A$2:$BE$78,13,FALSE)</f>
        <v>99195.54</v>
      </c>
      <c r="E25" s="116">
        <f>+VLOOKUP($B25,'datos9-2015'!$A$2:$BE$78,14,FALSE)</f>
        <v>3100</v>
      </c>
      <c r="F25" s="116">
        <f>+VLOOKUP($B25,'datos9-2015'!$A$2:$BE$78,15,FALSE)</f>
        <v>3828.48</v>
      </c>
      <c r="G25" s="68">
        <f t="shared" si="0"/>
        <v>106124.01999999999</v>
      </c>
      <c r="H25" s="116">
        <f>+VLOOKUP($B25,'datos9-2015'!$A$2:$BE$78,17,FALSE)</f>
        <v>44700</v>
      </c>
      <c r="I25" s="116">
        <f>+VLOOKUP($B25,'datos9-2015'!$A$2:$BE$78,18,FALSE)</f>
        <v>0</v>
      </c>
      <c r="J25" s="116">
        <f>+VLOOKUP($B25,'datos9-2015'!$A$2:$BE$78,19,FALSE)</f>
        <v>113945.46</v>
      </c>
      <c r="K25" s="116">
        <f>+VLOOKUP($B25,'datos9-2015'!$A$2:$BE$78,20,FALSE)</f>
        <v>16424.14</v>
      </c>
      <c r="L25" s="68">
        <f t="shared" si="1"/>
        <v>175069.60000000003</v>
      </c>
      <c r="M25" s="116">
        <f>+VLOOKUP($B25,'datos9-2015'!$A$2:$BE$78,22,FALSE)</f>
        <v>594344.24</v>
      </c>
      <c r="N25" s="116">
        <f>+VLOOKUP($B25,'datos9-2015'!$A$2:$BE$78,23,FALSE)</f>
        <v>62470.83</v>
      </c>
      <c r="O25" s="116">
        <f>+VLOOKUP($B25,'datos9-2015'!$A$2:$BE$78,24,FALSE)</f>
        <v>0</v>
      </c>
      <c r="P25" s="68">
        <f t="shared" si="2"/>
        <v>656815.06999999995</v>
      </c>
      <c r="Q25" s="116">
        <f>+VLOOKUP($B25,'datos9-2015'!$A$2:$BE$78,26,FALSE)</f>
        <v>0</v>
      </c>
      <c r="R25" s="116">
        <f>+VLOOKUP($B25,'datos9-2015'!$A$2:$BE$78,27,FALSE)</f>
        <v>0</v>
      </c>
      <c r="S25" s="116">
        <f>+VLOOKUP($B25,'datos9-2015'!$A$2:$BE$78,28,FALSE)</f>
        <v>0</v>
      </c>
      <c r="T25" s="116">
        <f>+VLOOKUP($B25,'datos9-2015'!$A$2:$BE$78,29,FALSE)</f>
        <v>1546.5</v>
      </c>
      <c r="U25" s="68">
        <f t="shared" si="3"/>
        <v>1546.5</v>
      </c>
      <c r="V25" s="116">
        <f>+VLOOKUP($B25,'datos9-2015'!$A$2:$BE$78,31,FALSE)</f>
        <v>0</v>
      </c>
      <c r="W25" s="116">
        <f>+VLOOKUP($B25,'datos9-2015'!$A$2:$BE$78,32,FALSE)</f>
        <v>0</v>
      </c>
      <c r="X25" s="117">
        <f t="shared" si="4"/>
        <v>0</v>
      </c>
      <c r="Y25" s="118">
        <f t="shared" si="5"/>
        <v>939555.19</v>
      </c>
      <c r="Z25" s="116">
        <f>+VLOOKUP($B25,'datos9-2015'!$A$2:$BE$78,35,FALSE)</f>
        <v>0</v>
      </c>
      <c r="AA25" s="116">
        <f>+VLOOKUP($B25,'datos9-2015'!$A$2:$BE$78,36,FALSE)</f>
        <v>0</v>
      </c>
      <c r="AB25" s="116">
        <f>+VLOOKUP($B25,'datos9-2015'!$A$2:$BE$78,37,FALSE)</f>
        <v>0</v>
      </c>
      <c r="AC25" s="116">
        <f>+VLOOKUP($B25,'datos9-2015'!$A$2:$BE$78,38,FALSE)</f>
        <v>0</v>
      </c>
      <c r="AD25" s="116">
        <f>+VLOOKUP($B25,'datos9-2015'!$A$2:$BE$78,39,FALSE)</f>
        <v>0</v>
      </c>
      <c r="AE25" s="68">
        <f t="shared" si="6"/>
        <v>0</v>
      </c>
      <c r="AF25" s="116">
        <f>+VLOOKUP($B25,'datos9-2015'!$A$2:$BE$78,42,FALSE)</f>
        <v>333457.84999999998</v>
      </c>
      <c r="AG25" s="116">
        <f>+VLOOKUP($B25,'datos9-2015'!$A$2:$BE$78,44,FALSE)</f>
        <v>90278.04</v>
      </c>
      <c r="AH25" s="116">
        <f>+VLOOKUP($B25,'datos9-2015'!$A$2:$BE$78,45,FALSE)</f>
        <v>0</v>
      </c>
      <c r="AI25" s="116">
        <f>+VLOOKUP($B25,'datos9-2015'!$A$2:$BE$78,46,FALSE)</f>
        <v>0</v>
      </c>
      <c r="AJ25" s="68">
        <f t="shared" si="7"/>
        <v>423735.88999999996</v>
      </c>
      <c r="AK25" s="116">
        <f>+VLOOKUP($B25,'datos9-2015'!$A$2:$BE$78,49,FALSE)</f>
        <v>33042.18</v>
      </c>
      <c r="AL25" s="116">
        <f>+VLOOKUP($B25,'datos9-2015'!$A$2:$BE$78,50,FALSE)</f>
        <v>0</v>
      </c>
      <c r="AM25" s="116">
        <f>+VLOOKUP($B25,'datos9-2015'!$A$2:$BE$78,51,FALSE)</f>
        <v>127213.03</v>
      </c>
      <c r="AN25" s="116">
        <f>+VLOOKUP($B25,'datos9-2015'!$A$2:$BE$78,52,FALSE)</f>
        <v>249424.5</v>
      </c>
      <c r="AO25" s="119">
        <f t="shared" si="8"/>
        <v>409679.70999999996</v>
      </c>
      <c r="AP25" s="116">
        <f>+VLOOKUP($B25,'datos9-2015'!$A$2:$BE$78,55,FALSE)</f>
        <v>96494.65</v>
      </c>
      <c r="AQ25" s="118">
        <f t="shared" si="9"/>
        <v>929910.24999999988</v>
      </c>
      <c r="AS25" s="120">
        <f t="shared" si="10"/>
        <v>1869465.44</v>
      </c>
    </row>
    <row r="26" spans="2:45" x14ac:dyDescent="0.2">
      <c r="B26" s="18" t="s">
        <v>77</v>
      </c>
      <c r="C26" s="115"/>
      <c r="D26" s="116">
        <f>+VLOOKUP($B26,'datos9-2015'!$A$2:$BE$78,13,FALSE)</f>
        <v>184931.71</v>
      </c>
      <c r="E26" s="116">
        <f>+VLOOKUP($B26,'datos9-2015'!$A$2:$BE$78,14,FALSE)</f>
        <v>0</v>
      </c>
      <c r="F26" s="116">
        <f>+VLOOKUP($B26,'datos9-2015'!$A$2:$BE$78,15,FALSE)</f>
        <v>504</v>
      </c>
      <c r="G26" s="68">
        <f t="shared" si="0"/>
        <v>185435.71</v>
      </c>
      <c r="H26" s="116">
        <f>+VLOOKUP($B26,'datos9-2015'!$A$2:$BE$78,17,FALSE)</f>
        <v>176428.19</v>
      </c>
      <c r="I26" s="116">
        <f>+VLOOKUP($B26,'datos9-2015'!$A$2:$BE$78,18,FALSE)</f>
        <v>0</v>
      </c>
      <c r="J26" s="116">
        <f>+VLOOKUP($B26,'datos9-2015'!$A$2:$BE$78,19,FALSE)</f>
        <v>0</v>
      </c>
      <c r="K26" s="116">
        <f>+VLOOKUP($B26,'datos9-2015'!$A$2:$BE$78,20,FALSE)</f>
        <v>26160.41</v>
      </c>
      <c r="L26" s="68">
        <f t="shared" si="1"/>
        <v>202588.6</v>
      </c>
      <c r="M26" s="116">
        <f>+VLOOKUP($B26,'datos9-2015'!$A$2:$BE$78,22,FALSE)</f>
        <v>1140463.94</v>
      </c>
      <c r="N26" s="116">
        <f>+VLOOKUP($B26,'datos9-2015'!$A$2:$BE$78,23,FALSE)</f>
        <v>289987.89</v>
      </c>
      <c r="O26" s="116">
        <f>+VLOOKUP($B26,'datos9-2015'!$A$2:$BE$78,24,FALSE)</f>
        <v>0</v>
      </c>
      <c r="P26" s="68">
        <f t="shared" si="2"/>
        <v>1430451.83</v>
      </c>
      <c r="Q26" s="116">
        <f>+VLOOKUP($B26,'datos9-2015'!$A$2:$BE$78,26,FALSE)</f>
        <v>0</v>
      </c>
      <c r="R26" s="116">
        <f>+VLOOKUP($B26,'datos9-2015'!$A$2:$BE$78,27,FALSE)</f>
        <v>0</v>
      </c>
      <c r="S26" s="116">
        <f>+VLOOKUP($B26,'datos9-2015'!$A$2:$BE$78,28,FALSE)</f>
        <v>0</v>
      </c>
      <c r="T26" s="116">
        <f>+VLOOKUP($B26,'datos9-2015'!$A$2:$BE$78,29,FALSE)</f>
        <v>0</v>
      </c>
      <c r="U26" s="68">
        <f t="shared" si="3"/>
        <v>0</v>
      </c>
      <c r="V26" s="116">
        <f>+VLOOKUP($B26,'datos9-2015'!$A$2:$BE$78,31,FALSE)</f>
        <v>0</v>
      </c>
      <c r="W26" s="116">
        <f>+VLOOKUP($B26,'datos9-2015'!$A$2:$BE$78,32,FALSE)</f>
        <v>56902.25</v>
      </c>
      <c r="X26" s="117">
        <f t="shared" si="4"/>
        <v>56902.25</v>
      </c>
      <c r="Y26" s="118">
        <f t="shared" si="5"/>
        <v>1875378.3900000001</v>
      </c>
      <c r="Z26" s="116">
        <f>+VLOOKUP($B26,'datos9-2015'!$A$2:$BE$78,35,FALSE)</f>
        <v>0</v>
      </c>
      <c r="AA26" s="116">
        <f>+VLOOKUP($B26,'datos9-2015'!$A$2:$BE$78,36,FALSE)</f>
        <v>349859.86</v>
      </c>
      <c r="AB26" s="116">
        <f>+VLOOKUP($B26,'datos9-2015'!$A$2:$BE$78,37,FALSE)</f>
        <v>0</v>
      </c>
      <c r="AC26" s="116">
        <f>+VLOOKUP($B26,'datos9-2015'!$A$2:$BE$78,38,FALSE)</f>
        <v>0</v>
      </c>
      <c r="AD26" s="116">
        <f>+VLOOKUP($B26,'datos9-2015'!$A$2:$BE$78,39,FALSE)</f>
        <v>0</v>
      </c>
      <c r="AE26" s="68">
        <f t="shared" si="6"/>
        <v>349859.86</v>
      </c>
      <c r="AF26" s="116">
        <f>+VLOOKUP($B26,'datos9-2015'!$A$2:$BE$78,42,FALSE)</f>
        <v>70182.95</v>
      </c>
      <c r="AG26" s="116">
        <f>+VLOOKUP($B26,'datos9-2015'!$A$2:$BE$78,44,FALSE)</f>
        <v>20805.3</v>
      </c>
      <c r="AH26" s="116">
        <f>+VLOOKUP($B26,'datos9-2015'!$A$2:$BE$78,45,FALSE)</f>
        <v>0</v>
      </c>
      <c r="AI26" s="116">
        <f>+VLOOKUP($B26,'datos9-2015'!$A$2:$BE$78,46,FALSE)</f>
        <v>0</v>
      </c>
      <c r="AJ26" s="68">
        <f t="shared" si="7"/>
        <v>90988.25</v>
      </c>
      <c r="AK26" s="116">
        <f>+VLOOKUP($B26,'datos9-2015'!$A$2:$BE$78,49,FALSE)</f>
        <v>299230.18</v>
      </c>
      <c r="AL26" s="116">
        <f>+VLOOKUP($B26,'datos9-2015'!$A$2:$BE$78,50,FALSE)</f>
        <v>0</v>
      </c>
      <c r="AM26" s="116">
        <f>+VLOOKUP($B26,'datos9-2015'!$A$2:$BE$78,51,FALSE)</f>
        <v>117545.43</v>
      </c>
      <c r="AN26" s="116">
        <f>+VLOOKUP($B26,'datos9-2015'!$A$2:$BE$78,52,FALSE)</f>
        <v>171837.72</v>
      </c>
      <c r="AO26" s="119">
        <f t="shared" si="8"/>
        <v>588613.32999999996</v>
      </c>
      <c r="AP26" s="116">
        <f>+VLOOKUP($B26,'datos9-2015'!$A$2:$BE$78,55,FALSE)</f>
        <v>0</v>
      </c>
      <c r="AQ26" s="118">
        <f t="shared" si="9"/>
        <v>1029461.44</v>
      </c>
      <c r="AS26" s="120">
        <f t="shared" si="10"/>
        <v>2904839.83</v>
      </c>
    </row>
    <row r="27" spans="2:45" x14ac:dyDescent="0.2">
      <c r="B27" s="18" t="s">
        <v>78</v>
      </c>
      <c r="C27" s="115"/>
      <c r="D27" s="116">
        <f>+VLOOKUP($B27,'datos9-2015'!$A$2:$BE$78,13,FALSE)</f>
        <v>2631.77</v>
      </c>
      <c r="E27" s="116">
        <f>+VLOOKUP($B27,'datos9-2015'!$A$2:$BE$78,14,FALSE)</f>
        <v>0</v>
      </c>
      <c r="F27" s="116">
        <f>+VLOOKUP($B27,'datos9-2015'!$A$2:$BE$78,15,FALSE)</f>
        <v>12100.25</v>
      </c>
      <c r="G27" s="68">
        <f t="shared" si="0"/>
        <v>14732.02</v>
      </c>
      <c r="H27" s="116">
        <f>+VLOOKUP($B27,'datos9-2015'!$A$2:$BE$78,17,FALSE)</f>
        <v>619.57000000000005</v>
      </c>
      <c r="I27" s="116">
        <f>+VLOOKUP($B27,'datos9-2015'!$A$2:$BE$78,18,FALSE)</f>
        <v>0</v>
      </c>
      <c r="J27" s="116">
        <f>+VLOOKUP($B27,'datos9-2015'!$A$2:$BE$78,19,FALSE)</f>
        <v>0</v>
      </c>
      <c r="K27" s="116">
        <f>+VLOOKUP($B27,'datos9-2015'!$A$2:$BE$78,20,FALSE)</f>
        <v>0</v>
      </c>
      <c r="L27" s="68">
        <f t="shared" si="1"/>
        <v>619.57000000000005</v>
      </c>
      <c r="M27" s="116">
        <f>+VLOOKUP($B27,'datos9-2015'!$A$2:$BE$78,22,FALSE)</f>
        <v>1675</v>
      </c>
      <c r="N27" s="116">
        <f>+VLOOKUP($B27,'datos9-2015'!$A$2:$BE$78,23,FALSE)</f>
        <v>0</v>
      </c>
      <c r="O27" s="116">
        <f>+VLOOKUP($B27,'datos9-2015'!$A$2:$BE$78,24,FALSE)</f>
        <v>0</v>
      </c>
      <c r="P27" s="68">
        <f t="shared" si="2"/>
        <v>1675</v>
      </c>
      <c r="Q27" s="116">
        <f>+VLOOKUP($B27,'datos9-2015'!$A$2:$BE$78,26,FALSE)</f>
        <v>0</v>
      </c>
      <c r="R27" s="116">
        <f>+VLOOKUP($B27,'datos9-2015'!$A$2:$BE$78,27,FALSE)</f>
        <v>0</v>
      </c>
      <c r="S27" s="116">
        <f>+VLOOKUP($B27,'datos9-2015'!$A$2:$BE$78,28,FALSE)</f>
        <v>0</v>
      </c>
      <c r="T27" s="116">
        <f>+VLOOKUP($B27,'datos9-2015'!$A$2:$BE$78,29,FALSE)</f>
        <v>0</v>
      </c>
      <c r="U27" s="68">
        <f t="shared" si="3"/>
        <v>0</v>
      </c>
      <c r="V27" s="116">
        <f>+VLOOKUP($B27,'datos9-2015'!$A$2:$BE$78,31,FALSE)</f>
        <v>0</v>
      </c>
      <c r="W27" s="116">
        <f>+VLOOKUP($B27,'datos9-2015'!$A$2:$BE$78,32,FALSE)</f>
        <v>0</v>
      </c>
      <c r="X27" s="117">
        <f t="shared" si="4"/>
        <v>0</v>
      </c>
      <c r="Y27" s="118">
        <f t="shared" si="5"/>
        <v>17026.59</v>
      </c>
      <c r="Z27" s="116">
        <f>+VLOOKUP($B27,'datos9-2015'!$A$2:$BE$78,35,FALSE)</f>
        <v>0</v>
      </c>
      <c r="AA27" s="116">
        <f>+VLOOKUP($B27,'datos9-2015'!$A$2:$BE$78,36,FALSE)</f>
        <v>0</v>
      </c>
      <c r="AB27" s="116">
        <f>+VLOOKUP($B27,'datos9-2015'!$A$2:$BE$78,37,FALSE)</f>
        <v>1000</v>
      </c>
      <c r="AC27" s="116">
        <f>+VLOOKUP($B27,'datos9-2015'!$A$2:$BE$78,38,FALSE)</f>
        <v>0</v>
      </c>
      <c r="AD27" s="116">
        <f>+VLOOKUP($B27,'datos9-2015'!$A$2:$BE$78,39,FALSE)</f>
        <v>0</v>
      </c>
      <c r="AE27" s="68">
        <f t="shared" si="6"/>
        <v>1000</v>
      </c>
      <c r="AF27" s="116">
        <f>+VLOOKUP($B27,'datos9-2015'!$A$2:$BE$78,42,FALSE)</f>
        <v>0</v>
      </c>
      <c r="AG27" s="116">
        <f>+VLOOKUP($B27,'datos9-2015'!$A$2:$BE$78,44,FALSE)</f>
        <v>0</v>
      </c>
      <c r="AH27" s="116">
        <f>+VLOOKUP($B27,'datos9-2015'!$A$2:$BE$78,45,FALSE)</f>
        <v>0</v>
      </c>
      <c r="AI27" s="116">
        <f>+VLOOKUP($B27,'datos9-2015'!$A$2:$BE$78,46,FALSE)</f>
        <v>0</v>
      </c>
      <c r="AJ27" s="68">
        <f t="shared" si="7"/>
        <v>0</v>
      </c>
      <c r="AK27" s="116">
        <f>+VLOOKUP($B27,'datos9-2015'!$A$2:$BE$78,49,FALSE)</f>
        <v>0</v>
      </c>
      <c r="AL27" s="116">
        <f>+VLOOKUP($B27,'datos9-2015'!$A$2:$BE$78,50,FALSE)</f>
        <v>0</v>
      </c>
      <c r="AM27" s="116">
        <f>+VLOOKUP($B27,'datos9-2015'!$A$2:$BE$78,51,FALSE)</f>
        <v>0</v>
      </c>
      <c r="AN27" s="116">
        <f>+VLOOKUP($B27,'datos9-2015'!$A$2:$BE$78,52,FALSE)</f>
        <v>0</v>
      </c>
      <c r="AO27" s="119">
        <f t="shared" si="8"/>
        <v>0</v>
      </c>
      <c r="AP27" s="116">
        <f>+VLOOKUP($B27,'datos9-2015'!$A$2:$BE$78,55,FALSE)</f>
        <v>0</v>
      </c>
      <c r="AQ27" s="118">
        <f t="shared" si="9"/>
        <v>1000</v>
      </c>
      <c r="AS27" s="120">
        <f t="shared" si="10"/>
        <v>18026.59</v>
      </c>
    </row>
    <row r="28" spans="2:45" x14ac:dyDescent="0.2">
      <c r="B28" s="18" t="s">
        <v>79</v>
      </c>
      <c r="C28" s="115"/>
      <c r="D28" s="116">
        <f>+VLOOKUP($B28,'datos9-2015'!$A$2:$BE$78,13,FALSE)</f>
        <v>12353.85</v>
      </c>
      <c r="E28" s="116">
        <f>+VLOOKUP($B28,'datos9-2015'!$A$2:$BE$78,14,FALSE)</f>
        <v>0</v>
      </c>
      <c r="F28" s="116">
        <f>+VLOOKUP($B28,'datos9-2015'!$A$2:$BE$78,15,FALSE)</f>
        <v>0</v>
      </c>
      <c r="G28" s="68">
        <f t="shared" si="0"/>
        <v>12353.85</v>
      </c>
      <c r="H28" s="116">
        <f>+VLOOKUP($B28,'datos9-2015'!$A$2:$BE$78,17,FALSE)</f>
        <v>0</v>
      </c>
      <c r="I28" s="116">
        <f>+VLOOKUP($B28,'datos9-2015'!$A$2:$BE$78,18,FALSE)</f>
        <v>0</v>
      </c>
      <c r="J28" s="116">
        <f>+VLOOKUP($B28,'datos9-2015'!$A$2:$BE$78,19,FALSE)</f>
        <v>0</v>
      </c>
      <c r="K28" s="116">
        <f>+VLOOKUP($B28,'datos9-2015'!$A$2:$BE$78,20,FALSE)</f>
        <v>13991.27</v>
      </c>
      <c r="L28" s="68">
        <f t="shared" si="1"/>
        <v>13991.27</v>
      </c>
      <c r="M28" s="116">
        <f>+VLOOKUP($B28,'datos9-2015'!$A$2:$BE$78,22,FALSE)</f>
        <v>25381.54</v>
      </c>
      <c r="N28" s="116">
        <f>+VLOOKUP($B28,'datos9-2015'!$A$2:$BE$78,23,FALSE)</f>
        <v>0</v>
      </c>
      <c r="O28" s="116">
        <f>+VLOOKUP($B28,'datos9-2015'!$A$2:$BE$78,24,FALSE)</f>
        <v>0</v>
      </c>
      <c r="P28" s="68">
        <f t="shared" si="2"/>
        <v>25381.54</v>
      </c>
      <c r="Q28" s="116">
        <f>+VLOOKUP($B28,'datos9-2015'!$A$2:$BE$78,26,FALSE)</f>
        <v>0</v>
      </c>
      <c r="R28" s="116">
        <f>+VLOOKUP($B28,'datos9-2015'!$A$2:$BE$78,27,FALSE)</f>
        <v>0</v>
      </c>
      <c r="S28" s="116">
        <f>+VLOOKUP($B28,'datos9-2015'!$A$2:$BE$78,28,FALSE)</f>
        <v>0</v>
      </c>
      <c r="T28" s="116">
        <f>+VLOOKUP($B28,'datos9-2015'!$A$2:$BE$78,29,FALSE)</f>
        <v>0</v>
      </c>
      <c r="U28" s="68">
        <f t="shared" si="3"/>
        <v>0</v>
      </c>
      <c r="V28" s="116">
        <f>+VLOOKUP($B28,'datos9-2015'!$A$2:$BE$78,31,FALSE)</f>
        <v>0</v>
      </c>
      <c r="W28" s="116">
        <f>+VLOOKUP($B28,'datos9-2015'!$A$2:$BE$78,32,FALSE)</f>
        <v>0</v>
      </c>
      <c r="X28" s="117">
        <f t="shared" si="4"/>
        <v>0</v>
      </c>
      <c r="Y28" s="118">
        <f t="shared" si="5"/>
        <v>51726.659999999996</v>
      </c>
      <c r="Z28" s="116">
        <f>+VLOOKUP($B28,'datos9-2015'!$A$2:$BE$78,35,FALSE)</f>
        <v>0</v>
      </c>
      <c r="AA28" s="116">
        <f>+VLOOKUP($B28,'datos9-2015'!$A$2:$BE$78,36,FALSE)</f>
        <v>0</v>
      </c>
      <c r="AB28" s="116">
        <f>+VLOOKUP($B28,'datos9-2015'!$A$2:$BE$78,37,FALSE)</f>
        <v>0</v>
      </c>
      <c r="AC28" s="116">
        <f>+VLOOKUP($B28,'datos9-2015'!$A$2:$BE$78,38,FALSE)</f>
        <v>0</v>
      </c>
      <c r="AD28" s="116">
        <f>+VLOOKUP($B28,'datos9-2015'!$A$2:$BE$78,39,FALSE)</f>
        <v>0</v>
      </c>
      <c r="AE28" s="68">
        <f t="shared" si="6"/>
        <v>0</v>
      </c>
      <c r="AF28" s="116">
        <f>+VLOOKUP($B28,'datos9-2015'!$A$2:$BE$78,42,FALSE)</f>
        <v>121900</v>
      </c>
      <c r="AG28" s="116">
        <f>+VLOOKUP($B28,'datos9-2015'!$A$2:$BE$78,44,FALSE)</f>
        <v>345746</v>
      </c>
      <c r="AH28" s="116">
        <f>+VLOOKUP($B28,'datos9-2015'!$A$2:$BE$78,45,FALSE)</f>
        <v>0</v>
      </c>
      <c r="AI28" s="116">
        <f>+VLOOKUP($B28,'datos9-2015'!$A$2:$BE$78,46,FALSE)</f>
        <v>0</v>
      </c>
      <c r="AJ28" s="68">
        <f t="shared" si="7"/>
        <v>467646</v>
      </c>
      <c r="AK28" s="116">
        <f>+VLOOKUP($B28,'datos9-2015'!$A$2:$BE$78,49,FALSE)</f>
        <v>0</v>
      </c>
      <c r="AL28" s="116">
        <f>+VLOOKUP($B28,'datos9-2015'!$A$2:$BE$78,50,FALSE)</f>
        <v>0</v>
      </c>
      <c r="AM28" s="116">
        <f>+VLOOKUP($B28,'datos9-2015'!$A$2:$BE$78,51,FALSE)</f>
        <v>0</v>
      </c>
      <c r="AN28" s="116">
        <f>+VLOOKUP($B28,'datos9-2015'!$A$2:$BE$78,52,FALSE)</f>
        <v>0</v>
      </c>
      <c r="AO28" s="119">
        <f t="shared" si="8"/>
        <v>0</v>
      </c>
      <c r="AP28" s="116">
        <f>+VLOOKUP($B28,'datos9-2015'!$A$2:$BE$78,55,FALSE)</f>
        <v>0</v>
      </c>
      <c r="AQ28" s="118">
        <f t="shared" si="9"/>
        <v>467646</v>
      </c>
      <c r="AS28" s="120">
        <f t="shared" si="10"/>
        <v>519372.66</v>
      </c>
    </row>
    <row r="29" spans="2:45" x14ac:dyDescent="0.2">
      <c r="B29" s="18" t="s">
        <v>80</v>
      </c>
      <c r="C29" s="115"/>
      <c r="D29" s="116">
        <f>+VLOOKUP($B29,'datos9-2015'!$A$2:$BE$78,13,FALSE)</f>
        <v>0</v>
      </c>
      <c r="E29" s="116">
        <f>+VLOOKUP($B29,'datos9-2015'!$A$2:$BE$78,14,FALSE)</f>
        <v>0</v>
      </c>
      <c r="F29" s="116">
        <f>+VLOOKUP($B29,'datos9-2015'!$A$2:$BE$78,15,FALSE)</f>
        <v>0</v>
      </c>
      <c r="G29" s="68">
        <f t="shared" si="0"/>
        <v>0</v>
      </c>
      <c r="H29" s="116">
        <f>+VLOOKUP($B29,'datos9-2015'!$A$2:$BE$78,17,FALSE)</f>
        <v>4000</v>
      </c>
      <c r="I29" s="116">
        <f>+VLOOKUP($B29,'datos9-2015'!$A$2:$BE$78,18,FALSE)</f>
        <v>0</v>
      </c>
      <c r="J29" s="116">
        <f>+VLOOKUP($B29,'datos9-2015'!$A$2:$BE$78,19,FALSE)</f>
        <v>0</v>
      </c>
      <c r="K29" s="116">
        <f>+VLOOKUP($B29,'datos9-2015'!$A$2:$BE$78,20,FALSE)</f>
        <v>0</v>
      </c>
      <c r="L29" s="68">
        <f t="shared" si="1"/>
        <v>4000</v>
      </c>
      <c r="M29" s="116">
        <f>+VLOOKUP($B29,'datos9-2015'!$A$2:$BE$78,22,FALSE)</f>
        <v>33000</v>
      </c>
      <c r="N29" s="116">
        <f>+VLOOKUP($B29,'datos9-2015'!$A$2:$BE$78,23,FALSE)</f>
        <v>0</v>
      </c>
      <c r="O29" s="116">
        <f>+VLOOKUP($B29,'datos9-2015'!$A$2:$BE$78,24,FALSE)</f>
        <v>0</v>
      </c>
      <c r="P29" s="68">
        <f t="shared" si="2"/>
        <v>33000</v>
      </c>
      <c r="Q29" s="116">
        <f>+VLOOKUP($B29,'datos9-2015'!$A$2:$BE$78,26,FALSE)</f>
        <v>0</v>
      </c>
      <c r="R29" s="116">
        <f>+VLOOKUP($B29,'datos9-2015'!$A$2:$BE$78,27,FALSE)</f>
        <v>0</v>
      </c>
      <c r="S29" s="116">
        <f>+VLOOKUP($B29,'datos9-2015'!$A$2:$BE$78,28,FALSE)</f>
        <v>0</v>
      </c>
      <c r="T29" s="116">
        <f>+VLOOKUP($B29,'datos9-2015'!$A$2:$BE$78,29,FALSE)</f>
        <v>0</v>
      </c>
      <c r="U29" s="68">
        <f t="shared" si="3"/>
        <v>0</v>
      </c>
      <c r="V29" s="116">
        <f>+VLOOKUP($B29,'datos9-2015'!$A$2:$BE$78,31,FALSE)</f>
        <v>0</v>
      </c>
      <c r="W29" s="116">
        <f>+VLOOKUP($B29,'datos9-2015'!$A$2:$BE$78,32,FALSE)</f>
        <v>0</v>
      </c>
      <c r="X29" s="117">
        <f t="shared" si="4"/>
        <v>0</v>
      </c>
      <c r="Y29" s="118">
        <f t="shared" si="5"/>
        <v>37000</v>
      </c>
      <c r="Z29" s="116">
        <f>+VLOOKUP($B29,'datos9-2015'!$A$2:$BE$78,35,FALSE)</f>
        <v>0</v>
      </c>
      <c r="AA29" s="116">
        <f>+VLOOKUP($B29,'datos9-2015'!$A$2:$BE$78,36,FALSE)</f>
        <v>0</v>
      </c>
      <c r="AB29" s="116">
        <f>+VLOOKUP($B29,'datos9-2015'!$A$2:$BE$78,37,FALSE)</f>
        <v>0</v>
      </c>
      <c r="AC29" s="116">
        <f>+VLOOKUP($B29,'datos9-2015'!$A$2:$BE$78,38,FALSE)</f>
        <v>0</v>
      </c>
      <c r="AD29" s="116">
        <f>+VLOOKUP($B29,'datos9-2015'!$A$2:$BE$78,39,FALSE)</f>
        <v>0</v>
      </c>
      <c r="AE29" s="68">
        <f t="shared" si="6"/>
        <v>0</v>
      </c>
      <c r="AF29" s="116">
        <f>+VLOOKUP($B29,'datos9-2015'!$A$2:$BE$78,42,FALSE)</f>
        <v>55332</v>
      </c>
      <c r="AG29" s="116">
        <f>+VLOOKUP($B29,'datos9-2015'!$A$2:$BE$78,44,FALSE)</f>
        <v>700</v>
      </c>
      <c r="AH29" s="116">
        <f>+VLOOKUP($B29,'datos9-2015'!$A$2:$BE$78,45,FALSE)</f>
        <v>0</v>
      </c>
      <c r="AI29" s="116">
        <f>+VLOOKUP($B29,'datos9-2015'!$A$2:$BE$78,46,FALSE)</f>
        <v>0</v>
      </c>
      <c r="AJ29" s="68">
        <f t="shared" si="7"/>
        <v>56032</v>
      </c>
      <c r="AK29" s="116">
        <f>+VLOOKUP($B29,'datos9-2015'!$A$2:$BE$78,49,FALSE)</f>
        <v>0</v>
      </c>
      <c r="AL29" s="116">
        <f>+VLOOKUP($B29,'datos9-2015'!$A$2:$BE$78,50,FALSE)</f>
        <v>0</v>
      </c>
      <c r="AM29" s="116">
        <f>+VLOOKUP($B29,'datos9-2015'!$A$2:$BE$78,51,FALSE)</f>
        <v>0</v>
      </c>
      <c r="AN29" s="116">
        <f>+VLOOKUP($B29,'datos9-2015'!$A$2:$BE$78,52,FALSE)</f>
        <v>0</v>
      </c>
      <c r="AO29" s="119">
        <f t="shared" si="8"/>
        <v>0</v>
      </c>
      <c r="AP29" s="116">
        <f>+VLOOKUP($B29,'datos9-2015'!$A$2:$BE$78,55,FALSE)</f>
        <v>0</v>
      </c>
      <c r="AQ29" s="118">
        <f t="shared" si="9"/>
        <v>56032</v>
      </c>
      <c r="AS29" s="120">
        <f t="shared" si="10"/>
        <v>93032</v>
      </c>
    </row>
    <row r="30" spans="2:45" x14ac:dyDescent="0.2">
      <c r="B30" s="18" t="s">
        <v>81</v>
      </c>
      <c r="C30" s="115"/>
      <c r="D30" s="116">
        <f>+VLOOKUP($B30,'datos9-2015'!$A$2:$BE$78,13,FALSE)</f>
        <v>9000880</v>
      </c>
      <c r="E30" s="116">
        <f>+VLOOKUP($B30,'datos9-2015'!$A$2:$BE$78,14,FALSE)</f>
        <v>0</v>
      </c>
      <c r="F30" s="116">
        <f>+VLOOKUP($B30,'datos9-2015'!$A$2:$BE$78,15,FALSE)</f>
        <v>0</v>
      </c>
      <c r="G30" s="68">
        <f t="shared" si="0"/>
        <v>9000880</v>
      </c>
      <c r="H30" s="116">
        <f>+VLOOKUP($B30,'datos9-2015'!$A$2:$BE$78,17,FALSE)</f>
        <v>0</v>
      </c>
      <c r="I30" s="116">
        <f>+VLOOKUP($B30,'datos9-2015'!$A$2:$BE$78,18,FALSE)</f>
        <v>6131285</v>
      </c>
      <c r="J30" s="116">
        <f>+VLOOKUP($B30,'datos9-2015'!$A$2:$BE$78,19,FALSE)</f>
        <v>0</v>
      </c>
      <c r="K30" s="116">
        <f>+VLOOKUP($B30,'datos9-2015'!$A$2:$BE$78,20,FALSE)</f>
        <v>0</v>
      </c>
      <c r="L30" s="68">
        <f t="shared" si="1"/>
        <v>6131285</v>
      </c>
      <c r="M30" s="116">
        <f>+VLOOKUP($B30,'datos9-2015'!$A$2:$BE$78,22,FALSE)</f>
        <v>0</v>
      </c>
      <c r="N30" s="116">
        <f>+VLOOKUP($B30,'datos9-2015'!$A$2:$BE$78,23,FALSE)</f>
        <v>0</v>
      </c>
      <c r="O30" s="116">
        <f>+VLOOKUP($B30,'datos9-2015'!$A$2:$BE$78,24,FALSE)</f>
        <v>0</v>
      </c>
      <c r="P30" s="68">
        <f t="shared" si="2"/>
        <v>0</v>
      </c>
      <c r="Q30" s="116">
        <f>+VLOOKUP($B30,'datos9-2015'!$A$2:$BE$78,26,FALSE)</f>
        <v>0</v>
      </c>
      <c r="R30" s="116">
        <f>+VLOOKUP($B30,'datos9-2015'!$A$2:$BE$78,27,FALSE)</f>
        <v>0</v>
      </c>
      <c r="S30" s="116">
        <f>+VLOOKUP($B30,'datos9-2015'!$A$2:$BE$78,28,FALSE)</f>
        <v>0</v>
      </c>
      <c r="T30" s="116">
        <f>+VLOOKUP($B30,'datos9-2015'!$A$2:$BE$78,29,FALSE)</f>
        <v>0</v>
      </c>
      <c r="U30" s="68">
        <f t="shared" si="3"/>
        <v>0</v>
      </c>
      <c r="V30" s="116">
        <f>+VLOOKUP($B30,'datos9-2015'!$A$2:$BE$78,31,FALSE)</f>
        <v>0</v>
      </c>
      <c r="W30" s="116">
        <f>+VLOOKUP($B30,'datos9-2015'!$A$2:$BE$78,32,FALSE)</f>
        <v>2769487</v>
      </c>
      <c r="X30" s="117">
        <f t="shared" si="4"/>
        <v>2769487</v>
      </c>
      <c r="Y30" s="118">
        <f t="shared" si="5"/>
        <v>17901652</v>
      </c>
      <c r="Z30" s="116">
        <f>+VLOOKUP($B30,'datos9-2015'!$A$2:$BE$78,35,FALSE)</f>
        <v>2159563</v>
      </c>
      <c r="AA30" s="116">
        <f>+VLOOKUP($B30,'datos9-2015'!$A$2:$BE$78,36,FALSE)</f>
        <v>2136477</v>
      </c>
      <c r="AB30" s="116">
        <f>+VLOOKUP($B30,'datos9-2015'!$A$2:$BE$78,37,FALSE)</f>
        <v>0</v>
      </c>
      <c r="AC30" s="116">
        <f>+VLOOKUP($B30,'datos9-2015'!$A$2:$BE$78,38,FALSE)</f>
        <v>0</v>
      </c>
      <c r="AD30" s="116">
        <f>+VLOOKUP($B30,'datos9-2015'!$A$2:$BE$78,39,FALSE)</f>
        <v>0</v>
      </c>
      <c r="AE30" s="68">
        <f t="shared" si="6"/>
        <v>4296040</v>
      </c>
      <c r="AF30" s="116">
        <f>+VLOOKUP($B30,'datos9-2015'!$A$2:$BE$78,42,FALSE)</f>
        <v>3059520</v>
      </c>
      <c r="AG30" s="116">
        <f>+VLOOKUP($B30,'datos9-2015'!$A$2:$BE$78,44,FALSE)</f>
        <v>0</v>
      </c>
      <c r="AH30" s="116">
        <f>+VLOOKUP($B30,'datos9-2015'!$A$2:$BE$78,45,FALSE)</f>
        <v>0</v>
      </c>
      <c r="AI30" s="116">
        <f>+VLOOKUP($B30,'datos9-2015'!$A$2:$BE$78,46,FALSE)</f>
        <v>0</v>
      </c>
      <c r="AJ30" s="68">
        <f t="shared" si="7"/>
        <v>3059520</v>
      </c>
      <c r="AK30" s="116">
        <f>+VLOOKUP($B30,'datos9-2015'!$A$2:$BE$78,49,FALSE)</f>
        <v>1091523</v>
      </c>
      <c r="AL30" s="116">
        <f>+VLOOKUP($B30,'datos9-2015'!$A$2:$BE$78,50,FALSE)</f>
        <v>1089019</v>
      </c>
      <c r="AM30" s="116">
        <f>+VLOOKUP($B30,'datos9-2015'!$A$2:$BE$78,51,FALSE)</f>
        <v>0</v>
      </c>
      <c r="AN30" s="116">
        <f>+VLOOKUP($B30,'datos9-2015'!$A$2:$BE$78,52,FALSE)</f>
        <v>0</v>
      </c>
      <c r="AO30" s="119">
        <f t="shared" si="8"/>
        <v>2180542</v>
      </c>
      <c r="AP30" s="116">
        <f>+VLOOKUP($B30,'datos9-2015'!$A$2:$BE$78,55,FALSE)</f>
        <v>0</v>
      </c>
      <c r="AQ30" s="118">
        <f t="shared" si="9"/>
        <v>9536102</v>
      </c>
      <c r="AS30" s="120">
        <f t="shared" si="10"/>
        <v>27437754</v>
      </c>
    </row>
    <row r="31" spans="2:45" x14ac:dyDescent="0.2">
      <c r="B31" s="18" t="s">
        <v>82</v>
      </c>
      <c r="C31" s="115"/>
      <c r="D31" s="116">
        <f>+VLOOKUP($B31,'datos9-2015'!$A$2:$BE$78,13,FALSE)</f>
        <v>0</v>
      </c>
      <c r="E31" s="116">
        <f>+VLOOKUP($B31,'datos9-2015'!$A$2:$BE$78,14,FALSE)</f>
        <v>0</v>
      </c>
      <c r="F31" s="116">
        <f>+VLOOKUP($B31,'datos9-2015'!$A$2:$BE$78,15,FALSE)</f>
        <v>0</v>
      </c>
      <c r="G31" s="68">
        <f t="shared" si="0"/>
        <v>0</v>
      </c>
      <c r="H31" s="116">
        <f>+VLOOKUP($B31,'datos9-2015'!$A$2:$BE$78,17,FALSE)</f>
        <v>0</v>
      </c>
      <c r="I31" s="116">
        <f>+VLOOKUP($B31,'datos9-2015'!$A$2:$BE$78,18,FALSE)</f>
        <v>0</v>
      </c>
      <c r="J31" s="116">
        <f>+VLOOKUP($B31,'datos9-2015'!$A$2:$BE$78,19,FALSE)</f>
        <v>0</v>
      </c>
      <c r="K31" s="116">
        <f>+VLOOKUP($B31,'datos9-2015'!$A$2:$BE$78,20,FALSE)</f>
        <v>0</v>
      </c>
      <c r="L31" s="68">
        <f t="shared" si="1"/>
        <v>0</v>
      </c>
      <c r="M31" s="116">
        <f>+VLOOKUP($B31,'datos9-2015'!$A$2:$BE$78,22,FALSE)</f>
        <v>14997.61</v>
      </c>
      <c r="N31" s="116">
        <f>+VLOOKUP($B31,'datos9-2015'!$A$2:$BE$78,23,FALSE)</f>
        <v>0</v>
      </c>
      <c r="O31" s="116">
        <f>+VLOOKUP($B31,'datos9-2015'!$A$2:$BE$78,24,FALSE)</f>
        <v>0</v>
      </c>
      <c r="P31" s="68">
        <f t="shared" si="2"/>
        <v>14997.61</v>
      </c>
      <c r="Q31" s="116">
        <f>+VLOOKUP($B31,'datos9-2015'!$A$2:$BE$78,26,FALSE)</f>
        <v>0</v>
      </c>
      <c r="R31" s="116">
        <f>+VLOOKUP($B31,'datos9-2015'!$A$2:$BE$78,27,FALSE)</f>
        <v>0</v>
      </c>
      <c r="S31" s="116">
        <f>+VLOOKUP($B31,'datos9-2015'!$A$2:$BE$78,28,FALSE)</f>
        <v>0</v>
      </c>
      <c r="T31" s="116">
        <f>+VLOOKUP($B31,'datos9-2015'!$A$2:$BE$78,29,FALSE)</f>
        <v>0</v>
      </c>
      <c r="U31" s="68">
        <f t="shared" si="3"/>
        <v>0</v>
      </c>
      <c r="V31" s="116">
        <f>+VLOOKUP($B31,'datos9-2015'!$A$2:$BE$78,31,FALSE)</f>
        <v>0</v>
      </c>
      <c r="W31" s="116">
        <f>+VLOOKUP($B31,'datos9-2015'!$A$2:$BE$78,32,FALSE)</f>
        <v>800</v>
      </c>
      <c r="X31" s="117">
        <f t="shared" si="4"/>
        <v>800</v>
      </c>
      <c r="Y31" s="118">
        <f t="shared" si="5"/>
        <v>15797.61</v>
      </c>
      <c r="Z31" s="116">
        <f>+VLOOKUP($B31,'datos9-2015'!$A$2:$BE$78,35,FALSE)</f>
        <v>0</v>
      </c>
      <c r="AA31" s="116">
        <f>+VLOOKUP($B31,'datos9-2015'!$A$2:$BE$78,36,FALSE)</f>
        <v>0</v>
      </c>
      <c r="AB31" s="116">
        <f>+VLOOKUP($B31,'datos9-2015'!$A$2:$BE$78,37,FALSE)</f>
        <v>0</v>
      </c>
      <c r="AC31" s="116">
        <f>+VLOOKUP($B31,'datos9-2015'!$A$2:$BE$78,38,FALSE)</f>
        <v>0</v>
      </c>
      <c r="AD31" s="116">
        <f>+VLOOKUP($B31,'datos9-2015'!$A$2:$BE$78,39,FALSE)</f>
        <v>0</v>
      </c>
      <c r="AE31" s="68">
        <f t="shared" si="6"/>
        <v>0</v>
      </c>
      <c r="AF31" s="116">
        <f>+VLOOKUP($B31,'datos9-2015'!$A$2:$BE$78,42,FALSE)</f>
        <v>0</v>
      </c>
      <c r="AG31" s="116">
        <f>+VLOOKUP($B31,'datos9-2015'!$A$2:$BE$78,44,FALSE)</f>
        <v>0</v>
      </c>
      <c r="AH31" s="116">
        <f>+VLOOKUP($B31,'datos9-2015'!$A$2:$BE$78,45,FALSE)</f>
        <v>0</v>
      </c>
      <c r="AI31" s="116">
        <f>+VLOOKUP($B31,'datos9-2015'!$A$2:$BE$78,46,FALSE)</f>
        <v>34866.93</v>
      </c>
      <c r="AJ31" s="68">
        <f t="shared" si="7"/>
        <v>34866.93</v>
      </c>
      <c r="AK31" s="116">
        <f>+VLOOKUP($B31,'datos9-2015'!$A$2:$BE$78,49,FALSE)</f>
        <v>0</v>
      </c>
      <c r="AL31" s="116">
        <f>+VLOOKUP($B31,'datos9-2015'!$A$2:$BE$78,50,FALSE)</f>
        <v>0</v>
      </c>
      <c r="AM31" s="116">
        <f>+VLOOKUP($B31,'datos9-2015'!$A$2:$BE$78,51,FALSE)</f>
        <v>0</v>
      </c>
      <c r="AN31" s="116">
        <f>+VLOOKUP($B31,'datos9-2015'!$A$2:$BE$78,52,FALSE)</f>
        <v>0</v>
      </c>
      <c r="AO31" s="119">
        <f t="shared" si="8"/>
        <v>0</v>
      </c>
      <c r="AP31" s="116">
        <f>+VLOOKUP($B31,'datos9-2015'!$A$2:$BE$78,55,FALSE)</f>
        <v>0</v>
      </c>
      <c r="AQ31" s="118">
        <f t="shared" si="9"/>
        <v>34866.93</v>
      </c>
      <c r="AS31" s="120">
        <f t="shared" si="10"/>
        <v>50664.54</v>
      </c>
    </row>
    <row r="32" spans="2:45" x14ac:dyDescent="0.2">
      <c r="B32" s="18" t="s">
        <v>83</v>
      </c>
      <c r="C32" s="115"/>
      <c r="D32" s="116">
        <f>+VLOOKUP($B32,'datos9-2015'!$A$2:$BE$78,13,FALSE)</f>
        <v>31321.46</v>
      </c>
      <c r="E32" s="116">
        <f>+VLOOKUP($B32,'datos9-2015'!$A$2:$BE$78,14,FALSE)</f>
        <v>0</v>
      </c>
      <c r="F32" s="116">
        <f>+VLOOKUP($B32,'datos9-2015'!$A$2:$BE$78,15,FALSE)</f>
        <v>0</v>
      </c>
      <c r="G32" s="68">
        <f t="shared" si="0"/>
        <v>31321.46</v>
      </c>
      <c r="H32" s="116">
        <f>+VLOOKUP($B32,'datos9-2015'!$A$2:$BE$78,17,FALSE)</f>
        <v>68537.960000000006</v>
      </c>
      <c r="I32" s="116">
        <f>+VLOOKUP($B32,'datos9-2015'!$A$2:$BE$78,18,FALSE)</f>
        <v>322</v>
      </c>
      <c r="J32" s="116">
        <f>+VLOOKUP($B32,'datos9-2015'!$A$2:$BE$78,19,FALSE)</f>
        <v>28614.81</v>
      </c>
      <c r="K32" s="116">
        <f>+VLOOKUP($B32,'datos9-2015'!$A$2:$BE$78,20,FALSE)</f>
        <v>0</v>
      </c>
      <c r="L32" s="68">
        <f t="shared" si="1"/>
        <v>97474.77</v>
      </c>
      <c r="M32" s="116">
        <f>+VLOOKUP($B32,'datos9-2015'!$A$2:$BE$78,22,FALSE)</f>
        <v>0</v>
      </c>
      <c r="N32" s="116">
        <f>+VLOOKUP($B32,'datos9-2015'!$A$2:$BE$78,23,FALSE)</f>
        <v>0</v>
      </c>
      <c r="O32" s="116">
        <f>+VLOOKUP($B32,'datos9-2015'!$A$2:$BE$78,24,FALSE)</f>
        <v>0</v>
      </c>
      <c r="P32" s="68">
        <f t="shared" si="2"/>
        <v>0</v>
      </c>
      <c r="Q32" s="116">
        <f>+VLOOKUP($B32,'datos9-2015'!$A$2:$BE$78,26,FALSE)</f>
        <v>0</v>
      </c>
      <c r="R32" s="116">
        <f>+VLOOKUP($B32,'datos9-2015'!$A$2:$BE$78,27,FALSE)</f>
        <v>0</v>
      </c>
      <c r="S32" s="116">
        <f>+VLOOKUP($B32,'datos9-2015'!$A$2:$BE$78,28,FALSE)</f>
        <v>0</v>
      </c>
      <c r="T32" s="116">
        <f>+VLOOKUP($B32,'datos9-2015'!$A$2:$BE$78,29,FALSE)</f>
        <v>0</v>
      </c>
      <c r="U32" s="68">
        <f t="shared" si="3"/>
        <v>0</v>
      </c>
      <c r="V32" s="116">
        <f>+VLOOKUP($B32,'datos9-2015'!$A$2:$BE$78,31,FALSE)</f>
        <v>0</v>
      </c>
      <c r="W32" s="116">
        <f>+VLOOKUP($B32,'datos9-2015'!$A$2:$BE$78,32,FALSE)</f>
        <v>0</v>
      </c>
      <c r="X32" s="117">
        <f t="shared" si="4"/>
        <v>0</v>
      </c>
      <c r="Y32" s="118">
        <f t="shared" si="5"/>
        <v>128796.23000000001</v>
      </c>
      <c r="Z32" s="116">
        <f>+VLOOKUP($B32,'datos9-2015'!$A$2:$BE$78,35,FALSE)</f>
        <v>0</v>
      </c>
      <c r="AA32" s="116">
        <f>+VLOOKUP($B32,'datos9-2015'!$A$2:$BE$78,36,FALSE)</f>
        <v>0</v>
      </c>
      <c r="AB32" s="116">
        <f>+VLOOKUP($B32,'datos9-2015'!$A$2:$BE$78,37,FALSE)</f>
        <v>0</v>
      </c>
      <c r="AC32" s="116">
        <f>+VLOOKUP($B32,'datos9-2015'!$A$2:$BE$78,38,FALSE)</f>
        <v>0</v>
      </c>
      <c r="AD32" s="116">
        <f>+VLOOKUP($B32,'datos9-2015'!$A$2:$BE$78,39,FALSE)</f>
        <v>0</v>
      </c>
      <c r="AE32" s="68">
        <f t="shared" si="6"/>
        <v>0</v>
      </c>
      <c r="AF32" s="116">
        <f>+VLOOKUP($B32,'datos9-2015'!$A$2:$BE$78,42,FALSE)</f>
        <v>0</v>
      </c>
      <c r="AG32" s="116">
        <f>+VLOOKUP($B32,'datos9-2015'!$A$2:$BE$78,44,FALSE)</f>
        <v>0</v>
      </c>
      <c r="AH32" s="116">
        <f>+VLOOKUP($B32,'datos9-2015'!$A$2:$BE$78,45,FALSE)</f>
        <v>0</v>
      </c>
      <c r="AI32" s="116">
        <f>+VLOOKUP($B32,'datos9-2015'!$A$2:$BE$78,46,FALSE)</f>
        <v>0</v>
      </c>
      <c r="AJ32" s="68">
        <f t="shared" si="7"/>
        <v>0</v>
      </c>
      <c r="AK32" s="116">
        <f>+VLOOKUP($B32,'datos9-2015'!$A$2:$BE$78,49,FALSE)</f>
        <v>0</v>
      </c>
      <c r="AL32" s="116">
        <f>+VLOOKUP($B32,'datos9-2015'!$A$2:$BE$78,50,FALSE)</f>
        <v>0</v>
      </c>
      <c r="AM32" s="116">
        <f>+VLOOKUP($B32,'datos9-2015'!$A$2:$BE$78,51,FALSE)</f>
        <v>0</v>
      </c>
      <c r="AN32" s="116">
        <f>+VLOOKUP($B32,'datos9-2015'!$A$2:$BE$78,52,FALSE)</f>
        <v>0</v>
      </c>
      <c r="AO32" s="119">
        <f t="shared" si="8"/>
        <v>0</v>
      </c>
      <c r="AP32" s="116">
        <f>+VLOOKUP($B32,'datos9-2015'!$A$2:$BE$78,55,FALSE)</f>
        <v>0</v>
      </c>
      <c r="AQ32" s="118">
        <f t="shared" si="9"/>
        <v>0</v>
      </c>
      <c r="AS32" s="120">
        <f t="shared" si="10"/>
        <v>128796.23000000001</v>
      </c>
    </row>
    <row r="33" spans="2:45" x14ac:dyDescent="0.2">
      <c r="B33" s="18" t="s">
        <v>84</v>
      </c>
      <c r="C33" s="115"/>
      <c r="D33" s="116">
        <f>+VLOOKUP($B33,'datos9-2015'!$A$2:$BE$78,13,FALSE)</f>
        <v>632710</v>
      </c>
      <c r="E33" s="116">
        <f>+VLOOKUP($B33,'datos9-2015'!$A$2:$BE$78,14,FALSE)</f>
        <v>21783886</v>
      </c>
      <c r="F33" s="116">
        <f>+VLOOKUP($B33,'datos9-2015'!$A$2:$BE$78,15,FALSE)</f>
        <v>0</v>
      </c>
      <c r="G33" s="68">
        <f t="shared" si="0"/>
        <v>22416596</v>
      </c>
      <c r="H33" s="116">
        <f>+VLOOKUP($B33,'datos9-2015'!$A$2:$BE$78,17,FALSE)</f>
        <v>0</v>
      </c>
      <c r="I33" s="116">
        <f>+VLOOKUP($B33,'datos9-2015'!$A$2:$BE$78,18,FALSE)</f>
        <v>0</v>
      </c>
      <c r="J33" s="116">
        <f>+VLOOKUP($B33,'datos9-2015'!$A$2:$BE$78,19,FALSE)</f>
        <v>0</v>
      </c>
      <c r="K33" s="116">
        <f>+VLOOKUP($B33,'datos9-2015'!$A$2:$BE$78,20,FALSE)</f>
        <v>436986</v>
      </c>
      <c r="L33" s="68">
        <f t="shared" si="1"/>
        <v>436986</v>
      </c>
      <c r="M33" s="116">
        <f>+VLOOKUP($B33,'datos9-2015'!$A$2:$BE$78,22,FALSE)</f>
        <v>0</v>
      </c>
      <c r="N33" s="116">
        <f>+VLOOKUP($B33,'datos9-2015'!$A$2:$BE$78,23,FALSE)</f>
        <v>0</v>
      </c>
      <c r="O33" s="116">
        <f>+VLOOKUP($B33,'datos9-2015'!$A$2:$BE$78,24,FALSE)</f>
        <v>386</v>
      </c>
      <c r="P33" s="68">
        <f t="shared" si="2"/>
        <v>386</v>
      </c>
      <c r="Q33" s="116">
        <f>+VLOOKUP($B33,'datos9-2015'!$A$2:$BE$78,26,FALSE)</f>
        <v>0</v>
      </c>
      <c r="R33" s="116">
        <f>+VLOOKUP($B33,'datos9-2015'!$A$2:$BE$78,27,FALSE)</f>
        <v>0</v>
      </c>
      <c r="S33" s="116">
        <f>+VLOOKUP($B33,'datos9-2015'!$A$2:$BE$78,28,FALSE)</f>
        <v>0</v>
      </c>
      <c r="T33" s="116">
        <f>+VLOOKUP($B33,'datos9-2015'!$A$2:$BE$78,29,FALSE)</f>
        <v>0</v>
      </c>
      <c r="U33" s="68">
        <f t="shared" si="3"/>
        <v>0</v>
      </c>
      <c r="V33" s="116">
        <f>+VLOOKUP($B33,'datos9-2015'!$A$2:$BE$78,31,FALSE)</f>
        <v>0</v>
      </c>
      <c r="W33" s="116">
        <f>+VLOOKUP($B33,'datos9-2015'!$A$2:$BE$78,32,FALSE)</f>
        <v>21100</v>
      </c>
      <c r="X33" s="117">
        <f t="shared" si="4"/>
        <v>21100</v>
      </c>
      <c r="Y33" s="118">
        <f t="shared" si="5"/>
        <v>22875068</v>
      </c>
      <c r="Z33" s="116">
        <f>+VLOOKUP($B33,'datos9-2015'!$A$2:$BE$78,35,FALSE)</f>
        <v>0</v>
      </c>
      <c r="AA33" s="116">
        <f>+VLOOKUP($B33,'datos9-2015'!$A$2:$BE$78,36,FALSE)</f>
        <v>0</v>
      </c>
      <c r="AB33" s="116">
        <f>+VLOOKUP($B33,'datos9-2015'!$A$2:$BE$78,37,FALSE)</f>
        <v>0</v>
      </c>
      <c r="AC33" s="116">
        <f>+VLOOKUP($B33,'datos9-2015'!$A$2:$BE$78,38,FALSE)</f>
        <v>0</v>
      </c>
      <c r="AD33" s="116">
        <f>+VLOOKUP($B33,'datos9-2015'!$A$2:$BE$78,39,FALSE)</f>
        <v>0</v>
      </c>
      <c r="AE33" s="68">
        <f t="shared" si="6"/>
        <v>0</v>
      </c>
      <c r="AF33" s="116">
        <f>+VLOOKUP($B33,'datos9-2015'!$A$2:$BE$78,42,FALSE)</f>
        <v>0</v>
      </c>
      <c r="AG33" s="116">
        <f>+VLOOKUP($B33,'datos9-2015'!$A$2:$BE$78,44,FALSE)</f>
        <v>224919</v>
      </c>
      <c r="AH33" s="116">
        <f>+VLOOKUP($B33,'datos9-2015'!$A$2:$BE$78,45,FALSE)</f>
        <v>0</v>
      </c>
      <c r="AI33" s="116">
        <f>+VLOOKUP($B33,'datos9-2015'!$A$2:$BE$78,46,FALSE)</f>
        <v>0</v>
      </c>
      <c r="AJ33" s="68">
        <f t="shared" si="7"/>
        <v>224919</v>
      </c>
      <c r="AK33" s="116">
        <f>+VLOOKUP($B33,'datos9-2015'!$A$2:$BE$78,49,FALSE)</f>
        <v>0</v>
      </c>
      <c r="AL33" s="116">
        <f>+VLOOKUP($B33,'datos9-2015'!$A$2:$BE$78,50,FALSE)</f>
        <v>0</v>
      </c>
      <c r="AM33" s="116">
        <f>+VLOOKUP($B33,'datos9-2015'!$A$2:$BE$78,51,FALSE)</f>
        <v>0</v>
      </c>
      <c r="AN33" s="116">
        <f>+VLOOKUP($B33,'datos9-2015'!$A$2:$BE$78,52,FALSE)</f>
        <v>0</v>
      </c>
      <c r="AO33" s="119">
        <f t="shared" si="8"/>
        <v>0</v>
      </c>
      <c r="AP33" s="116">
        <f>+VLOOKUP($B33,'datos9-2015'!$A$2:$BE$78,55,FALSE)</f>
        <v>0</v>
      </c>
      <c r="AQ33" s="118">
        <f t="shared" si="9"/>
        <v>224919</v>
      </c>
      <c r="AS33" s="120">
        <f t="shared" si="10"/>
        <v>23099987</v>
      </c>
    </row>
    <row r="34" spans="2:45" x14ac:dyDescent="0.2">
      <c r="B34" s="18" t="s">
        <v>85</v>
      </c>
      <c r="C34" s="115"/>
      <c r="D34" s="116">
        <f>+VLOOKUP($B34,'datos9-2015'!$A$2:$BE$78,13,FALSE)</f>
        <v>0</v>
      </c>
      <c r="E34" s="116">
        <f>+VLOOKUP($B34,'datos9-2015'!$A$2:$BE$78,14,FALSE)</f>
        <v>0</v>
      </c>
      <c r="F34" s="116">
        <f>+VLOOKUP($B34,'datos9-2015'!$A$2:$BE$78,15,FALSE)</f>
        <v>0</v>
      </c>
      <c r="G34" s="68">
        <f t="shared" si="0"/>
        <v>0</v>
      </c>
      <c r="H34" s="116">
        <f>+VLOOKUP($B34,'datos9-2015'!$A$2:$BE$78,17,FALSE)</f>
        <v>0</v>
      </c>
      <c r="I34" s="116">
        <f>+VLOOKUP($B34,'datos9-2015'!$A$2:$BE$78,18,FALSE)</f>
        <v>0</v>
      </c>
      <c r="J34" s="116">
        <f>+VLOOKUP($B34,'datos9-2015'!$A$2:$BE$78,19,FALSE)</f>
        <v>0</v>
      </c>
      <c r="K34" s="116">
        <f>+VLOOKUP($B34,'datos9-2015'!$A$2:$BE$78,20,FALSE)</f>
        <v>0</v>
      </c>
      <c r="L34" s="68">
        <f t="shared" si="1"/>
        <v>0</v>
      </c>
      <c r="M34" s="116">
        <f>+VLOOKUP($B34,'datos9-2015'!$A$2:$BE$78,22,FALSE)</f>
        <v>598</v>
      </c>
      <c r="N34" s="116">
        <f>+VLOOKUP($B34,'datos9-2015'!$A$2:$BE$78,23,FALSE)</f>
        <v>0</v>
      </c>
      <c r="O34" s="116">
        <f>+VLOOKUP($B34,'datos9-2015'!$A$2:$BE$78,24,FALSE)</f>
        <v>0</v>
      </c>
      <c r="P34" s="68">
        <f t="shared" si="2"/>
        <v>598</v>
      </c>
      <c r="Q34" s="116">
        <f>+VLOOKUP($B34,'datos9-2015'!$A$2:$BE$78,26,FALSE)</f>
        <v>0</v>
      </c>
      <c r="R34" s="116">
        <f>+VLOOKUP($B34,'datos9-2015'!$A$2:$BE$78,27,FALSE)</f>
        <v>0</v>
      </c>
      <c r="S34" s="116">
        <f>+VLOOKUP($B34,'datos9-2015'!$A$2:$BE$78,28,FALSE)</f>
        <v>0</v>
      </c>
      <c r="T34" s="116">
        <f>+VLOOKUP($B34,'datos9-2015'!$A$2:$BE$78,29,FALSE)</f>
        <v>0</v>
      </c>
      <c r="U34" s="68">
        <f t="shared" si="3"/>
        <v>0</v>
      </c>
      <c r="V34" s="116">
        <f>+VLOOKUP($B34,'datos9-2015'!$A$2:$BE$78,31,FALSE)</f>
        <v>9700</v>
      </c>
      <c r="W34" s="116">
        <f>+VLOOKUP($B34,'datos9-2015'!$A$2:$BE$78,32,FALSE)</f>
        <v>0</v>
      </c>
      <c r="X34" s="117">
        <f t="shared" si="4"/>
        <v>9700</v>
      </c>
      <c r="Y34" s="118">
        <f t="shared" si="5"/>
        <v>10298</v>
      </c>
      <c r="Z34" s="116">
        <f>+VLOOKUP($B34,'datos9-2015'!$A$2:$BE$78,35,FALSE)</f>
        <v>0</v>
      </c>
      <c r="AA34" s="116">
        <f>+VLOOKUP($B34,'datos9-2015'!$A$2:$BE$78,36,FALSE)</f>
        <v>0</v>
      </c>
      <c r="AB34" s="116">
        <f>+VLOOKUP($B34,'datos9-2015'!$A$2:$BE$78,37,FALSE)</f>
        <v>0</v>
      </c>
      <c r="AC34" s="116">
        <f>+VLOOKUP($B34,'datos9-2015'!$A$2:$BE$78,38,FALSE)</f>
        <v>0</v>
      </c>
      <c r="AD34" s="116">
        <f>+VLOOKUP($B34,'datos9-2015'!$A$2:$BE$78,39,FALSE)</f>
        <v>0</v>
      </c>
      <c r="AE34" s="68">
        <f t="shared" si="6"/>
        <v>0</v>
      </c>
      <c r="AF34" s="116">
        <f>+VLOOKUP($B34,'datos9-2015'!$A$2:$BE$78,42,FALSE)</f>
        <v>339511</v>
      </c>
      <c r="AG34" s="116">
        <f>+VLOOKUP($B34,'datos9-2015'!$A$2:$BE$78,44,FALSE)</f>
        <v>32284</v>
      </c>
      <c r="AH34" s="116">
        <f>+VLOOKUP($B34,'datos9-2015'!$A$2:$BE$78,45,FALSE)</f>
        <v>0</v>
      </c>
      <c r="AI34" s="116">
        <f>+VLOOKUP($B34,'datos9-2015'!$A$2:$BE$78,46,FALSE)</f>
        <v>0</v>
      </c>
      <c r="AJ34" s="68">
        <f t="shared" si="7"/>
        <v>371795</v>
      </c>
      <c r="AK34" s="116">
        <f>+VLOOKUP($B34,'datos9-2015'!$A$2:$BE$78,49,FALSE)</f>
        <v>0</v>
      </c>
      <c r="AL34" s="116">
        <f>+VLOOKUP($B34,'datos9-2015'!$A$2:$BE$78,50,FALSE)</f>
        <v>0</v>
      </c>
      <c r="AM34" s="116">
        <f>+VLOOKUP($B34,'datos9-2015'!$A$2:$BE$78,51,FALSE)</f>
        <v>0</v>
      </c>
      <c r="AN34" s="116">
        <f>+VLOOKUP($B34,'datos9-2015'!$A$2:$BE$78,52,FALSE)</f>
        <v>0</v>
      </c>
      <c r="AO34" s="119">
        <f t="shared" si="8"/>
        <v>0</v>
      </c>
      <c r="AP34" s="116">
        <f>+VLOOKUP($B34,'datos9-2015'!$A$2:$BE$78,55,FALSE)</f>
        <v>0</v>
      </c>
      <c r="AQ34" s="118">
        <f t="shared" si="9"/>
        <v>371795</v>
      </c>
      <c r="AS34" s="120">
        <f t="shared" si="10"/>
        <v>382093</v>
      </c>
    </row>
    <row r="35" spans="2:45" x14ac:dyDescent="0.2">
      <c r="B35" s="18" t="s">
        <v>86</v>
      </c>
      <c r="C35" s="115"/>
      <c r="D35" s="116">
        <f>+VLOOKUP($B35,'datos9-2015'!$A$2:$BE$78,13,FALSE)</f>
        <v>61883.14</v>
      </c>
      <c r="E35" s="116">
        <f>+VLOOKUP($B35,'datos9-2015'!$A$2:$BE$78,14,FALSE)</f>
        <v>0</v>
      </c>
      <c r="F35" s="116">
        <f>+VLOOKUP($B35,'datos9-2015'!$A$2:$BE$78,15,FALSE)</f>
        <v>0</v>
      </c>
      <c r="G35" s="68">
        <f t="shared" si="0"/>
        <v>61883.14</v>
      </c>
      <c r="H35" s="116">
        <f>+VLOOKUP($B35,'datos9-2015'!$A$2:$BE$78,17,FALSE)</f>
        <v>129708.7</v>
      </c>
      <c r="I35" s="116">
        <f>+VLOOKUP($B35,'datos9-2015'!$A$2:$BE$78,18,FALSE)</f>
        <v>34555.980000000003</v>
      </c>
      <c r="J35" s="116">
        <f>+VLOOKUP($B35,'datos9-2015'!$A$2:$BE$78,19,FALSE)</f>
        <v>49774.559999999998</v>
      </c>
      <c r="K35" s="116">
        <f>+VLOOKUP($B35,'datos9-2015'!$A$2:$BE$78,20,FALSE)</f>
        <v>6425</v>
      </c>
      <c r="L35" s="68">
        <f t="shared" si="1"/>
        <v>220464.24</v>
      </c>
      <c r="M35" s="116">
        <f>+VLOOKUP($B35,'datos9-2015'!$A$2:$BE$78,22,FALSE)</f>
        <v>10000</v>
      </c>
      <c r="N35" s="116">
        <f>+VLOOKUP($B35,'datos9-2015'!$A$2:$BE$78,23,FALSE)</f>
        <v>0</v>
      </c>
      <c r="O35" s="116">
        <f>+VLOOKUP($B35,'datos9-2015'!$A$2:$BE$78,24,FALSE)</f>
        <v>0</v>
      </c>
      <c r="P35" s="68">
        <f t="shared" si="2"/>
        <v>10000</v>
      </c>
      <c r="Q35" s="116">
        <f>+VLOOKUP($B35,'datos9-2015'!$A$2:$BE$78,26,FALSE)</f>
        <v>0</v>
      </c>
      <c r="R35" s="116">
        <f>+VLOOKUP($B35,'datos9-2015'!$A$2:$BE$78,27,FALSE)</f>
        <v>0</v>
      </c>
      <c r="S35" s="116">
        <f>+VLOOKUP($B35,'datos9-2015'!$A$2:$BE$78,28,FALSE)</f>
        <v>0</v>
      </c>
      <c r="T35" s="116">
        <f>+VLOOKUP($B35,'datos9-2015'!$A$2:$BE$78,29,FALSE)</f>
        <v>0</v>
      </c>
      <c r="U35" s="68">
        <f t="shared" si="3"/>
        <v>0</v>
      </c>
      <c r="V35" s="116">
        <f>+VLOOKUP($B35,'datos9-2015'!$A$2:$BE$78,31,FALSE)</f>
        <v>31169.599999999999</v>
      </c>
      <c r="W35" s="116">
        <f>+VLOOKUP($B35,'datos9-2015'!$A$2:$BE$78,32,FALSE)</f>
        <v>0</v>
      </c>
      <c r="X35" s="117">
        <f t="shared" si="4"/>
        <v>31169.599999999999</v>
      </c>
      <c r="Y35" s="118">
        <f t="shared" si="5"/>
        <v>323516.98</v>
      </c>
      <c r="Z35" s="116">
        <f>+VLOOKUP($B35,'datos9-2015'!$A$2:$BE$78,35,FALSE)</f>
        <v>0</v>
      </c>
      <c r="AA35" s="116">
        <f>+VLOOKUP($B35,'datos9-2015'!$A$2:$BE$78,36,FALSE)</f>
        <v>0</v>
      </c>
      <c r="AB35" s="116">
        <f>+VLOOKUP($B35,'datos9-2015'!$A$2:$BE$78,37,FALSE)</f>
        <v>0</v>
      </c>
      <c r="AC35" s="116">
        <f>+VLOOKUP($B35,'datos9-2015'!$A$2:$BE$78,38,FALSE)</f>
        <v>0</v>
      </c>
      <c r="AD35" s="116">
        <f>+VLOOKUP($B35,'datos9-2015'!$A$2:$BE$78,39,FALSE)</f>
        <v>0</v>
      </c>
      <c r="AE35" s="68">
        <f t="shared" si="6"/>
        <v>0</v>
      </c>
      <c r="AF35" s="116">
        <f>+VLOOKUP($B35,'datos9-2015'!$A$2:$BE$78,42,FALSE)</f>
        <v>80000</v>
      </c>
      <c r="AG35" s="116">
        <f>+VLOOKUP($B35,'datos9-2015'!$A$2:$BE$78,44,FALSE)</f>
        <v>400</v>
      </c>
      <c r="AH35" s="116">
        <f>+VLOOKUP($B35,'datos9-2015'!$A$2:$BE$78,45,FALSE)</f>
        <v>0</v>
      </c>
      <c r="AI35" s="116">
        <f>+VLOOKUP($B35,'datos9-2015'!$A$2:$BE$78,46,FALSE)</f>
        <v>0</v>
      </c>
      <c r="AJ35" s="68">
        <f t="shared" si="7"/>
        <v>80400</v>
      </c>
      <c r="AK35" s="116">
        <f>+VLOOKUP($B35,'datos9-2015'!$A$2:$BE$78,49,FALSE)</f>
        <v>0</v>
      </c>
      <c r="AL35" s="116">
        <f>+VLOOKUP($B35,'datos9-2015'!$A$2:$BE$78,50,FALSE)</f>
        <v>0</v>
      </c>
      <c r="AM35" s="116">
        <f>+VLOOKUP($B35,'datos9-2015'!$A$2:$BE$78,51,FALSE)</f>
        <v>0</v>
      </c>
      <c r="AN35" s="116">
        <f>+VLOOKUP($B35,'datos9-2015'!$A$2:$BE$78,52,FALSE)</f>
        <v>0</v>
      </c>
      <c r="AO35" s="119">
        <f t="shared" si="8"/>
        <v>0</v>
      </c>
      <c r="AP35" s="116">
        <f>+VLOOKUP($B35,'datos9-2015'!$A$2:$BE$78,55,FALSE)</f>
        <v>0</v>
      </c>
      <c r="AQ35" s="118">
        <f t="shared" si="9"/>
        <v>80400</v>
      </c>
      <c r="AS35" s="120">
        <f t="shared" si="10"/>
        <v>403916.98</v>
      </c>
    </row>
    <row r="36" spans="2:45" x14ac:dyDescent="0.2">
      <c r="B36" s="18" t="s">
        <v>87</v>
      </c>
      <c r="C36" s="115"/>
      <c r="D36" s="116">
        <f>+VLOOKUP($B36,'datos9-2015'!$A$2:$BE$78,13,FALSE)</f>
        <v>310552.5</v>
      </c>
      <c r="E36" s="116">
        <f>+VLOOKUP($B36,'datos9-2015'!$A$2:$BE$78,14,FALSE)</f>
        <v>0</v>
      </c>
      <c r="F36" s="116">
        <f>+VLOOKUP($B36,'datos9-2015'!$A$2:$BE$78,15,FALSE)</f>
        <v>0</v>
      </c>
      <c r="G36" s="68">
        <f t="shared" si="0"/>
        <v>310552.5</v>
      </c>
      <c r="H36" s="116">
        <f>+VLOOKUP($B36,'datos9-2015'!$A$2:$BE$78,17,FALSE)</f>
        <v>0</v>
      </c>
      <c r="I36" s="116">
        <f>+VLOOKUP($B36,'datos9-2015'!$A$2:$BE$78,18,FALSE)</f>
        <v>14302.56</v>
      </c>
      <c r="J36" s="116">
        <f>+VLOOKUP($B36,'datos9-2015'!$A$2:$BE$78,19,FALSE)</f>
        <v>992664</v>
      </c>
      <c r="K36" s="116">
        <f>+VLOOKUP($B36,'datos9-2015'!$A$2:$BE$78,20,FALSE)</f>
        <v>115894.7</v>
      </c>
      <c r="L36" s="68">
        <f t="shared" si="1"/>
        <v>1122861.26</v>
      </c>
      <c r="M36" s="116">
        <f>+VLOOKUP($B36,'datos9-2015'!$A$2:$BE$78,22,FALSE)</f>
        <v>0</v>
      </c>
      <c r="N36" s="116">
        <f>+VLOOKUP($B36,'datos9-2015'!$A$2:$BE$78,23,FALSE)</f>
        <v>251821.42</v>
      </c>
      <c r="O36" s="116">
        <f>+VLOOKUP($B36,'datos9-2015'!$A$2:$BE$78,24,FALSE)</f>
        <v>0</v>
      </c>
      <c r="P36" s="68">
        <f t="shared" si="2"/>
        <v>251821.42</v>
      </c>
      <c r="Q36" s="116">
        <f>+VLOOKUP($B36,'datos9-2015'!$A$2:$BE$78,26,FALSE)</f>
        <v>1914498.95</v>
      </c>
      <c r="R36" s="116">
        <f>+VLOOKUP($B36,'datos9-2015'!$A$2:$BE$78,27,FALSE)</f>
        <v>28117.01</v>
      </c>
      <c r="S36" s="116">
        <f>+VLOOKUP($B36,'datos9-2015'!$A$2:$BE$78,28,FALSE)</f>
        <v>0</v>
      </c>
      <c r="T36" s="116">
        <f>+VLOOKUP($B36,'datos9-2015'!$A$2:$BE$78,29,FALSE)</f>
        <v>0</v>
      </c>
      <c r="U36" s="68">
        <f t="shared" si="3"/>
        <v>1942615.96</v>
      </c>
      <c r="V36" s="116">
        <f>+VLOOKUP($B36,'datos9-2015'!$A$2:$BE$78,31,FALSE)</f>
        <v>0</v>
      </c>
      <c r="W36" s="116">
        <f>+VLOOKUP($B36,'datos9-2015'!$A$2:$BE$78,32,FALSE)</f>
        <v>0</v>
      </c>
      <c r="X36" s="117">
        <f t="shared" si="4"/>
        <v>0</v>
      </c>
      <c r="Y36" s="118">
        <f t="shared" si="5"/>
        <v>3627851.1399999997</v>
      </c>
      <c r="Z36" s="116">
        <f>+VLOOKUP($B36,'datos9-2015'!$A$2:$BE$78,35,FALSE)</f>
        <v>0</v>
      </c>
      <c r="AA36" s="116">
        <f>+VLOOKUP($B36,'datos9-2015'!$A$2:$BE$78,36,FALSE)</f>
        <v>233286</v>
      </c>
      <c r="AB36" s="116">
        <f>+VLOOKUP($B36,'datos9-2015'!$A$2:$BE$78,37,FALSE)</f>
        <v>0</v>
      </c>
      <c r="AC36" s="116">
        <f>+VLOOKUP($B36,'datos9-2015'!$A$2:$BE$78,38,FALSE)</f>
        <v>0</v>
      </c>
      <c r="AD36" s="116">
        <f>+VLOOKUP($B36,'datos9-2015'!$A$2:$BE$78,39,FALSE)</f>
        <v>0</v>
      </c>
      <c r="AE36" s="68">
        <f t="shared" si="6"/>
        <v>233286</v>
      </c>
      <c r="AF36" s="116">
        <f>+VLOOKUP($B36,'datos9-2015'!$A$2:$BE$78,42,FALSE)</f>
        <v>2394877.63</v>
      </c>
      <c r="AG36" s="116">
        <f>+VLOOKUP($B36,'datos9-2015'!$A$2:$BE$78,44,FALSE)</f>
        <v>726033.32</v>
      </c>
      <c r="AH36" s="116">
        <f>+VLOOKUP($B36,'datos9-2015'!$A$2:$BE$78,45,FALSE)</f>
        <v>0</v>
      </c>
      <c r="AI36" s="116">
        <f>+VLOOKUP($B36,'datos9-2015'!$A$2:$BE$78,46,FALSE)</f>
        <v>0</v>
      </c>
      <c r="AJ36" s="68">
        <f t="shared" si="7"/>
        <v>3120910.9499999997</v>
      </c>
      <c r="AK36" s="116">
        <f>+VLOOKUP($B36,'datos9-2015'!$A$2:$BE$78,49,FALSE)</f>
        <v>0</v>
      </c>
      <c r="AL36" s="116">
        <f>+VLOOKUP($B36,'datos9-2015'!$A$2:$BE$78,50,FALSE)</f>
        <v>0</v>
      </c>
      <c r="AM36" s="116">
        <f>+VLOOKUP($B36,'datos9-2015'!$A$2:$BE$78,51,FALSE)</f>
        <v>0</v>
      </c>
      <c r="AN36" s="116">
        <f>+VLOOKUP($B36,'datos9-2015'!$A$2:$BE$78,52,FALSE)</f>
        <v>10013.959999999999</v>
      </c>
      <c r="AO36" s="119">
        <f t="shared" si="8"/>
        <v>10013.959999999999</v>
      </c>
      <c r="AP36" s="116">
        <f>+VLOOKUP($B36,'datos9-2015'!$A$2:$BE$78,55,FALSE)</f>
        <v>0</v>
      </c>
      <c r="AQ36" s="118">
        <f t="shared" si="9"/>
        <v>3364210.9099999997</v>
      </c>
      <c r="AS36" s="120">
        <f t="shared" si="10"/>
        <v>6992062.0499999989</v>
      </c>
    </row>
    <row r="37" spans="2:45" x14ac:dyDescent="0.2">
      <c r="B37" s="18" t="s">
        <v>88</v>
      </c>
      <c r="C37" s="115"/>
      <c r="D37" s="116">
        <f>+VLOOKUP($B37,'datos9-2015'!$A$2:$BE$78,13,FALSE)</f>
        <v>0</v>
      </c>
      <c r="E37" s="116">
        <f>+VLOOKUP($B37,'datos9-2015'!$A$2:$BE$78,14,FALSE)</f>
        <v>0</v>
      </c>
      <c r="F37" s="116">
        <f>+VLOOKUP($B37,'datos9-2015'!$A$2:$BE$78,15,FALSE)</f>
        <v>0</v>
      </c>
      <c r="G37" s="68">
        <f t="shared" si="0"/>
        <v>0</v>
      </c>
      <c r="H37" s="116">
        <f>+VLOOKUP($B37,'datos9-2015'!$A$2:$BE$78,17,FALSE)</f>
        <v>0</v>
      </c>
      <c r="I37" s="116">
        <f>+VLOOKUP($B37,'datos9-2015'!$A$2:$BE$78,18,FALSE)</f>
        <v>7000</v>
      </c>
      <c r="J37" s="116">
        <f>+VLOOKUP($B37,'datos9-2015'!$A$2:$BE$78,19,FALSE)</f>
        <v>3200</v>
      </c>
      <c r="K37" s="116">
        <f>+VLOOKUP($B37,'datos9-2015'!$A$2:$BE$78,20,FALSE)</f>
        <v>0</v>
      </c>
      <c r="L37" s="68">
        <f t="shared" si="1"/>
        <v>10200</v>
      </c>
      <c r="M37" s="116">
        <f>+VLOOKUP($B37,'datos9-2015'!$A$2:$BE$78,22,FALSE)</f>
        <v>26700</v>
      </c>
      <c r="N37" s="116">
        <f>+VLOOKUP($B37,'datos9-2015'!$A$2:$BE$78,23,FALSE)</f>
        <v>0</v>
      </c>
      <c r="O37" s="116">
        <f>+VLOOKUP($B37,'datos9-2015'!$A$2:$BE$78,24,FALSE)</f>
        <v>0</v>
      </c>
      <c r="P37" s="68">
        <f t="shared" si="2"/>
        <v>26700</v>
      </c>
      <c r="Q37" s="116">
        <f>+VLOOKUP($B37,'datos9-2015'!$A$2:$BE$78,26,FALSE)</f>
        <v>0</v>
      </c>
      <c r="R37" s="116">
        <f>+VLOOKUP($B37,'datos9-2015'!$A$2:$BE$78,27,FALSE)</f>
        <v>0</v>
      </c>
      <c r="S37" s="116">
        <f>+VLOOKUP($B37,'datos9-2015'!$A$2:$BE$78,28,FALSE)</f>
        <v>0</v>
      </c>
      <c r="T37" s="116">
        <f>+VLOOKUP($B37,'datos9-2015'!$A$2:$BE$78,29,FALSE)</f>
        <v>0</v>
      </c>
      <c r="U37" s="68">
        <f t="shared" si="3"/>
        <v>0</v>
      </c>
      <c r="V37" s="116">
        <f>+VLOOKUP($B37,'datos9-2015'!$A$2:$BE$78,31,FALSE)</f>
        <v>0</v>
      </c>
      <c r="W37" s="116">
        <f>+VLOOKUP($B37,'datos9-2015'!$A$2:$BE$78,32,FALSE)</f>
        <v>0</v>
      </c>
      <c r="X37" s="117">
        <f t="shared" si="4"/>
        <v>0</v>
      </c>
      <c r="Y37" s="118">
        <f t="shared" si="5"/>
        <v>36900</v>
      </c>
      <c r="Z37" s="116">
        <f>+VLOOKUP($B37,'datos9-2015'!$A$2:$BE$78,35,FALSE)</f>
        <v>0</v>
      </c>
      <c r="AA37" s="116">
        <f>+VLOOKUP($B37,'datos9-2015'!$A$2:$BE$78,36,FALSE)</f>
        <v>0</v>
      </c>
      <c r="AB37" s="116">
        <f>+VLOOKUP($B37,'datos9-2015'!$A$2:$BE$78,37,FALSE)</f>
        <v>0</v>
      </c>
      <c r="AC37" s="116">
        <f>+VLOOKUP($B37,'datos9-2015'!$A$2:$BE$78,38,FALSE)</f>
        <v>0</v>
      </c>
      <c r="AD37" s="116">
        <f>+VLOOKUP($B37,'datos9-2015'!$A$2:$BE$78,39,FALSE)</f>
        <v>0</v>
      </c>
      <c r="AE37" s="68">
        <f t="shared" si="6"/>
        <v>0</v>
      </c>
      <c r="AF37" s="116">
        <f>+VLOOKUP($B37,'datos9-2015'!$A$2:$BE$78,42,FALSE)</f>
        <v>63226</v>
      </c>
      <c r="AG37" s="116">
        <f>+VLOOKUP($B37,'datos9-2015'!$A$2:$BE$78,44,FALSE)</f>
        <v>23719</v>
      </c>
      <c r="AH37" s="116">
        <f>+VLOOKUP($B37,'datos9-2015'!$A$2:$BE$78,45,FALSE)</f>
        <v>0</v>
      </c>
      <c r="AI37" s="116">
        <f>+VLOOKUP($B37,'datos9-2015'!$A$2:$BE$78,46,FALSE)</f>
        <v>0</v>
      </c>
      <c r="AJ37" s="68">
        <f t="shared" si="7"/>
        <v>86945</v>
      </c>
      <c r="AK37" s="116">
        <f>+VLOOKUP($B37,'datos9-2015'!$A$2:$BE$78,49,FALSE)</f>
        <v>0</v>
      </c>
      <c r="AL37" s="116">
        <f>+VLOOKUP($B37,'datos9-2015'!$A$2:$BE$78,50,FALSE)</f>
        <v>0</v>
      </c>
      <c r="AM37" s="116">
        <f>+VLOOKUP($B37,'datos9-2015'!$A$2:$BE$78,51,FALSE)</f>
        <v>0</v>
      </c>
      <c r="AN37" s="116">
        <f>+VLOOKUP($B37,'datos9-2015'!$A$2:$BE$78,52,FALSE)</f>
        <v>0</v>
      </c>
      <c r="AO37" s="119">
        <f t="shared" si="8"/>
        <v>0</v>
      </c>
      <c r="AP37" s="116">
        <f>+VLOOKUP($B37,'datos9-2015'!$A$2:$BE$78,55,FALSE)</f>
        <v>0</v>
      </c>
      <c r="AQ37" s="118">
        <f t="shared" si="9"/>
        <v>86945</v>
      </c>
      <c r="AS37" s="120">
        <f t="shared" si="10"/>
        <v>123845</v>
      </c>
    </row>
    <row r="38" spans="2:45" x14ac:dyDescent="0.2">
      <c r="B38" s="18" t="s">
        <v>89</v>
      </c>
      <c r="C38" s="115"/>
      <c r="D38" s="116">
        <f>+VLOOKUP($B38,'datos9-2015'!$A$2:$BE$78,13,FALSE)</f>
        <v>128377.42</v>
      </c>
      <c r="E38" s="116">
        <f>+VLOOKUP($B38,'datos9-2015'!$A$2:$BE$78,14,FALSE)</f>
        <v>0</v>
      </c>
      <c r="F38" s="116">
        <f>+VLOOKUP($B38,'datos9-2015'!$A$2:$BE$78,15,FALSE)</f>
        <v>0</v>
      </c>
      <c r="G38" s="68">
        <f t="shared" si="0"/>
        <v>128377.42</v>
      </c>
      <c r="H38" s="116">
        <f>+VLOOKUP($B38,'datos9-2015'!$A$2:$BE$78,17,FALSE)</f>
        <v>45170.63</v>
      </c>
      <c r="I38" s="116">
        <f>+VLOOKUP($B38,'datos9-2015'!$A$2:$BE$78,18,FALSE)</f>
        <v>0</v>
      </c>
      <c r="J38" s="116">
        <f>+VLOOKUP($B38,'datos9-2015'!$A$2:$BE$78,19,FALSE)</f>
        <v>382370.37</v>
      </c>
      <c r="K38" s="116">
        <f>+VLOOKUP($B38,'datos9-2015'!$A$2:$BE$78,20,FALSE)</f>
        <v>0</v>
      </c>
      <c r="L38" s="68">
        <f t="shared" si="1"/>
        <v>427541</v>
      </c>
      <c r="M38" s="116">
        <f>+VLOOKUP($B38,'datos9-2015'!$A$2:$BE$78,22,FALSE)</f>
        <v>0</v>
      </c>
      <c r="N38" s="116">
        <f>+VLOOKUP($B38,'datos9-2015'!$A$2:$BE$78,23,FALSE)</f>
        <v>0</v>
      </c>
      <c r="O38" s="116">
        <f>+VLOOKUP($B38,'datos9-2015'!$A$2:$BE$78,24,FALSE)</f>
        <v>0</v>
      </c>
      <c r="P38" s="68">
        <f t="shared" si="2"/>
        <v>0</v>
      </c>
      <c r="Q38" s="116">
        <f>+VLOOKUP($B38,'datos9-2015'!$A$2:$BE$78,26,FALSE)</f>
        <v>0</v>
      </c>
      <c r="R38" s="116">
        <f>+VLOOKUP($B38,'datos9-2015'!$A$2:$BE$78,27,FALSE)</f>
        <v>0</v>
      </c>
      <c r="S38" s="116">
        <f>+VLOOKUP($B38,'datos9-2015'!$A$2:$BE$78,28,FALSE)</f>
        <v>0</v>
      </c>
      <c r="T38" s="116">
        <f>+VLOOKUP($B38,'datos9-2015'!$A$2:$BE$78,29,FALSE)</f>
        <v>0</v>
      </c>
      <c r="U38" s="68">
        <f t="shared" si="3"/>
        <v>0</v>
      </c>
      <c r="V38" s="116">
        <f>+VLOOKUP($B38,'datos9-2015'!$A$2:$BE$78,31,FALSE)</f>
        <v>0</v>
      </c>
      <c r="W38" s="116">
        <f>+VLOOKUP($B38,'datos9-2015'!$A$2:$BE$78,32,FALSE)</f>
        <v>0</v>
      </c>
      <c r="X38" s="117">
        <f t="shared" si="4"/>
        <v>0</v>
      </c>
      <c r="Y38" s="118">
        <f t="shared" si="5"/>
        <v>555918.42000000004</v>
      </c>
      <c r="Z38" s="116">
        <f>+VLOOKUP($B38,'datos9-2015'!$A$2:$BE$78,35,FALSE)</f>
        <v>0</v>
      </c>
      <c r="AA38" s="116">
        <f>+VLOOKUP($B38,'datos9-2015'!$A$2:$BE$78,36,FALSE)</f>
        <v>0</v>
      </c>
      <c r="AB38" s="116">
        <f>+VLOOKUP($B38,'datos9-2015'!$A$2:$BE$78,37,FALSE)</f>
        <v>0</v>
      </c>
      <c r="AC38" s="116">
        <f>+VLOOKUP($B38,'datos9-2015'!$A$2:$BE$78,38,FALSE)</f>
        <v>0</v>
      </c>
      <c r="AD38" s="116">
        <f>+VLOOKUP($B38,'datos9-2015'!$A$2:$BE$78,39,FALSE)</f>
        <v>0</v>
      </c>
      <c r="AE38" s="68">
        <f t="shared" si="6"/>
        <v>0</v>
      </c>
      <c r="AF38" s="116">
        <f>+VLOOKUP($B38,'datos9-2015'!$A$2:$BE$78,42,FALSE)</f>
        <v>256708.33</v>
      </c>
      <c r="AG38" s="116">
        <f>+VLOOKUP($B38,'datos9-2015'!$A$2:$BE$78,44,FALSE)</f>
        <v>296355.24</v>
      </c>
      <c r="AH38" s="116">
        <f>+VLOOKUP($B38,'datos9-2015'!$A$2:$BE$78,45,FALSE)</f>
        <v>0</v>
      </c>
      <c r="AI38" s="116">
        <f>+VLOOKUP($B38,'datos9-2015'!$A$2:$BE$78,46,FALSE)</f>
        <v>0</v>
      </c>
      <c r="AJ38" s="68">
        <f t="shared" si="7"/>
        <v>553063.56999999995</v>
      </c>
      <c r="AK38" s="116">
        <f>+VLOOKUP($B38,'datos9-2015'!$A$2:$BE$78,49,FALSE)</f>
        <v>0</v>
      </c>
      <c r="AL38" s="116">
        <f>+VLOOKUP($B38,'datos9-2015'!$A$2:$BE$78,50,FALSE)</f>
        <v>0</v>
      </c>
      <c r="AM38" s="116">
        <f>+VLOOKUP($B38,'datos9-2015'!$A$2:$BE$78,51,FALSE)</f>
        <v>0</v>
      </c>
      <c r="AN38" s="116">
        <f>+VLOOKUP($B38,'datos9-2015'!$A$2:$BE$78,52,FALSE)</f>
        <v>0</v>
      </c>
      <c r="AO38" s="119">
        <f t="shared" si="8"/>
        <v>0</v>
      </c>
      <c r="AP38" s="116">
        <f>+VLOOKUP($B38,'datos9-2015'!$A$2:$BE$78,55,FALSE)</f>
        <v>0</v>
      </c>
      <c r="AQ38" s="118">
        <f t="shared" si="9"/>
        <v>553063.56999999995</v>
      </c>
      <c r="AS38" s="120">
        <f t="shared" si="10"/>
        <v>1108981.99</v>
      </c>
    </row>
    <row r="39" spans="2:45" x14ac:dyDescent="0.2">
      <c r="B39" s="18" t="s">
        <v>90</v>
      </c>
      <c r="C39" s="115"/>
      <c r="D39" s="116">
        <f>+VLOOKUP($B39,'datos9-2015'!$A$2:$BE$78,13,FALSE)</f>
        <v>168869.86</v>
      </c>
      <c r="E39" s="116">
        <f>+VLOOKUP($B39,'datos9-2015'!$A$2:$BE$78,14,FALSE)</f>
        <v>0</v>
      </c>
      <c r="F39" s="116">
        <f>+VLOOKUP($B39,'datos9-2015'!$A$2:$BE$78,15,FALSE)</f>
        <v>12276.2</v>
      </c>
      <c r="G39" s="68">
        <f t="shared" si="0"/>
        <v>181146.06</v>
      </c>
      <c r="H39" s="116">
        <f>+VLOOKUP($B39,'datos9-2015'!$A$2:$BE$78,17,FALSE)</f>
        <v>5973.37</v>
      </c>
      <c r="I39" s="116">
        <f>+VLOOKUP($B39,'datos9-2015'!$A$2:$BE$78,18,FALSE)</f>
        <v>0</v>
      </c>
      <c r="J39" s="116">
        <f>+VLOOKUP($B39,'datos9-2015'!$A$2:$BE$78,19,FALSE)</f>
        <v>360520.6</v>
      </c>
      <c r="K39" s="116">
        <f>+VLOOKUP($B39,'datos9-2015'!$A$2:$BE$78,20,FALSE)</f>
        <v>0</v>
      </c>
      <c r="L39" s="68">
        <f t="shared" si="1"/>
        <v>366493.97</v>
      </c>
      <c r="M39" s="116">
        <f>+VLOOKUP($B39,'datos9-2015'!$A$2:$BE$78,22,FALSE)</f>
        <v>35911.629999999997</v>
      </c>
      <c r="N39" s="116">
        <f>+VLOOKUP($B39,'datos9-2015'!$A$2:$BE$78,23,FALSE)</f>
        <v>0</v>
      </c>
      <c r="O39" s="116">
        <f>+VLOOKUP($B39,'datos9-2015'!$A$2:$BE$78,24,FALSE)</f>
        <v>0</v>
      </c>
      <c r="P39" s="68">
        <f t="shared" si="2"/>
        <v>35911.629999999997</v>
      </c>
      <c r="Q39" s="116">
        <f>+VLOOKUP($B39,'datos9-2015'!$A$2:$BE$78,26,FALSE)</f>
        <v>0</v>
      </c>
      <c r="R39" s="116">
        <f>+VLOOKUP($B39,'datos9-2015'!$A$2:$BE$78,27,FALSE)</f>
        <v>0</v>
      </c>
      <c r="S39" s="116">
        <f>+VLOOKUP($B39,'datos9-2015'!$A$2:$BE$78,28,FALSE)</f>
        <v>0</v>
      </c>
      <c r="T39" s="116">
        <f>+VLOOKUP($B39,'datos9-2015'!$A$2:$BE$78,29,FALSE)</f>
        <v>0</v>
      </c>
      <c r="U39" s="68">
        <f t="shared" si="3"/>
        <v>0</v>
      </c>
      <c r="V39" s="116">
        <f>+VLOOKUP($B39,'datos9-2015'!$A$2:$BE$78,31,FALSE)</f>
        <v>0</v>
      </c>
      <c r="W39" s="116">
        <f>+VLOOKUP($B39,'datos9-2015'!$A$2:$BE$78,32,FALSE)</f>
        <v>0</v>
      </c>
      <c r="X39" s="117">
        <f t="shared" si="4"/>
        <v>0</v>
      </c>
      <c r="Y39" s="118">
        <f t="shared" si="5"/>
        <v>583551.65999999992</v>
      </c>
      <c r="Z39" s="116">
        <f>+VLOOKUP($B39,'datos9-2015'!$A$2:$BE$78,35,FALSE)</f>
        <v>0</v>
      </c>
      <c r="AA39" s="116">
        <f>+VLOOKUP($B39,'datos9-2015'!$A$2:$BE$78,36,FALSE)</f>
        <v>0</v>
      </c>
      <c r="AB39" s="116">
        <f>+VLOOKUP($B39,'datos9-2015'!$A$2:$BE$78,37,FALSE)</f>
        <v>0</v>
      </c>
      <c r="AC39" s="116">
        <f>+VLOOKUP($B39,'datos9-2015'!$A$2:$BE$78,38,FALSE)</f>
        <v>0</v>
      </c>
      <c r="AD39" s="116">
        <f>+VLOOKUP($B39,'datos9-2015'!$A$2:$BE$78,39,FALSE)</f>
        <v>0</v>
      </c>
      <c r="AE39" s="68">
        <f t="shared" si="6"/>
        <v>0</v>
      </c>
      <c r="AF39" s="116">
        <f>+VLOOKUP($B39,'datos9-2015'!$A$2:$BE$78,42,FALSE)</f>
        <v>236267.71</v>
      </c>
      <c r="AG39" s="116">
        <f>+VLOOKUP($B39,'datos9-2015'!$A$2:$BE$78,44,FALSE)</f>
        <v>10356.620000000001</v>
      </c>
      <c r="AH39" s="116">
        <f>+VLOOKUP($B39,'datos9-2015'!$A$2:$BE$78,45,FALSE)</f>
        <v>0</v>
      </c>
      <c r="AI39" s="116">
        <f>+VLOOKUP($B39,'datos9-2015'!$A$2:$BE$78,46,FALSE)</f>
        <v>0</v>
      </c>
      <c r="AJ39" s="68">
        <f t="shared" si="7"/>
        <v>246624.33</v>
      </c>
      <c r="AK39" s="116">
        <f>+VLOOKUP($B39,'datos9-2015'!$A$2:$BE$78,49,FALSE)</f>
        <v>0</v>
      </c>
      <c r="AL39" s="116">
        <f>+VLOOKUP($B39,'datos9-2015'!$A$2:$BE$78,50,FALSE)</f>
        <v>0</v>
      </c>
      <c r="AM39" s="116">
        <f>+VLOOKUP($B39,'datos9-2015'!$A$2:$BE$78,51,FALSE)</f>
        <v>0</v>
      </c>
      <c r="AN39" s="116">
        <f>+VLOOKUP($B39,'datos9-2015'!$A$2:$BE$78,52,FALSE)</f>
        <v>0</v>
      </c>
      <c r="AO39" s="119">
        <f t="shared" si="8"/>
        <v>0</v>
      </c>
      <c r="AP39" s="116">
        <f>+VLOOKUP($B39,'datos9-2015'!$A$2:$BE$78,55,FALSE)</f>
        <v>0</v>
      </c>
      <c r="AQ39" s="118">
        <f t="shared" si="9"/>
        <v>246624.33</v>
      </c>
      <c r="AS39" s="120">
        <f t="shared" si="10"/>
        <v>830175.98999999987</v>
      </c>
    </row>
    <row r="40" spans="2:45" x14ac:dyDescent="0.2">
      <c r="B40" s="18" t="s">
        <v>92</v>
      </c>
      <c r="C40" s="115"/>
      <c r="D40" s="116">
        <f>+VLOOKUP($B40,'datos9-2015'!$A$2:$BE$78,13,FALSE)</f>
        <v>61843.28</v>
      </c>
      <c r="E40" s="116">
        <f>+VLOOKUP($B40,'datos9-2015'!$A$2:$BE$78,14,FALSE)</f>
        <v>0</v>
      </c>
      <c r="F40" s="116">
        <f>+VLOOKUP($B40,'datos9-2015'!$A$2:$BE$78,15,FALSE)</f>
        <v>0</v>
      </c>
      <c r="G40" s="68">
        <f t="shared" ref="G40:G71" si="11">SUM(D40:F40)</f>
        <v>61843.28</v>
      </c>
      <c r="H40" s="116">
        <f>+VLOOKUP($B40,'datos9-2015'!$A$2:$BE$78,17,FALSE)</f>
        <v>39500</v>
      </c>
      <c r="I40" s="116">
        <f>+VLOOKUP($B40,'datos9-2015'!$A$2:$BE$78,18,FALSE)</f>
        <v>0</v>
      </c>
      <c r="J40" s="116">
        <f>+VLOOKUP($B40,'datos9-2015'!$A$2:$BE$78,19,FALSE)</f>
        <v>0</v>
      </c>
      <c r="K40" s="116">
        <f>+VLOOKUP($B40,'datos9-2015'!$A$2:$BE$78,20,FALSE)</f>
        <v>0</v>
      </c>
      <c r="L40" s="68">
        <f t="shared" ref="L40:L71" si="12">SUM(H40:K40)</f>
        <v>39500</v>
      </c>
      <c r="M40" s="116">
        <f>+VLOOKUP($B40,'datos9-2015'!$A$2:$BE$78,22,FALSE)</f>
        <v>0</v>
      </c>
      <c r="N40" s="116">
        <f>+VLOOKUP($B40,'datos9-2015'!$A$2:$BE$78,23,FALSE)</f>
        <v>0</v>
      </c>
      <c r="O40" s="116">
        <f>+VLOOKUP($B40,'datos9-2015'!$A$2:$BE$78,24,FALSE)</f>
        <v>0</v>
      </c>
      <c r="P40" s="68">
        <f t="shared" ref="P40:P71" si="13">SUM(M40:O40)</f>
        <v>0</v>
      </c>
      <c r="Q40" s="116">
        <f>+VLOOKUP($B40,'datos9-2015'!$A$2:$BE$78,26,FALSE)</f>
        <v>878331.34</v>
      </c>
      <c r="R40" s="116">
        <f>+VLOOKUP($B40,'datos9-2015'!$A$2:$BE$78,27,FALSE)</f>
        <v>0</v>
      </c>
      <c r="S40" s="116">
        <f>+VLOOKUP($B40,'datos9-2015'!$A$2:$BE$78,28,FALSE)</f>
        <v>0</v>
      </c>
      <c r="T40" s="116">
        <f>+VLOOKUP($B40,'datos9-2015'!$A$2:$BE$78,29,FALSE)</f>
        <v>0</v>
      </c>
      <c r="U40" s="68">
        <f t="shared" ref="U40:U71" si="14">SUM(Q40:T40)</f>
        <v>878331.34</v>
      </c>
      <c r="V40" s="116">
        <f>+VLOOKUP($B40,'datos9-2015'!$A$2:$BE$78,31,FALSE)</f>
        <v>0</v>
      </c>
      <c r="W40" s="116">
        <f>+VLOOKUP($B40,'datos9-2015'!$A$2:$BE$78,32,FALSE)</f>
        <v>0</v>
      </c>
      <c r="X40" s="117">
        <f t="shared" ref="X40:X71" si="15">SUM(V40:W40)</f>
        <v>0</v>
      </c>
      <c r="Y40" s="118">
        <f t="shared" ref="Y40:Y71" si="16">+U40+P40+L40+G40+X40</f>
        <v>979674.62</v>
      </c>
      <c r="Z40" s="116">
        <f>+VLOOKUP($B40,'datos9-2015'!$A$2:$BE$78,35,FALSE)</f>
        <v>0</v>
      </c>
      <c r="AA40" s="116">
        <f>+VLOOKUP($B40,'datos9-2015'!$A$2:$BE$78,36,FALSE)</f>
        <v>0</v>
      </c>
      <c r="AB40" s="116">
        <f>+VLOOKUP($B40,'datos9-2015'!$A$2:$BE$78,37,FALSE)</f>
        <v>0</v>
      </c>
      <c r="AC40" s="116">
        <f>+VLOOKUP($B40,'datos9-2015'!$A$2:$BE$78,38,FALSE)</f>
        <v>0</v>
      </c>
      <c r="AD40" s="116">
        <f>+VLOOKUP($B40,'datos9-2015'!$A$2:$BE$78,39,FALSE)</f>
        <v>0</v>
      </c>
      <c r="AE40" s="68">
        <f t="shared" ref="AE40:AE71" si="17">SUM(Z40:AD40)</f>
        <v>0</v>
      </c>
      <c r="AF40" s="116">
        <f>+VLOOKUP($B40,'datos9-2015'!$A$2:$BE$78,42,FALSE)</f>
        <v>262807.69</v>
      </c>
      <c r="AG40" s="116">
        <f>+VLOOKUP($B40,'datos9-2015'!$A$2:$BE$78,44,FALSE)</f>
        <v>121443.53</v>
      </c>
      <c r="AH40" s="116">
        <f>+VLOOKUP($B40,'datos9-2015'!$A$2:$BE$78,45,FALSE)</f>
        <v>0</v>
      </c>
      <c r="AI40" s="116">
        <f>+VLOOKUP($B40,'datos9-2015'!$A$2:$BE$78,46,FALSE)</f>
        <v>0</v>
      </c>
      <c r="AJ40" s="68">
        <f t="shared" ref="AJ40:AJ71" si="18">SUM(AF40:AI40)</f>
        <v>384251.22</v>
      </c>
      <c r="AK40" s="116">
        <f>+VLOOKUP($B40,'datos9-2015'!$A$2:$BE$78,49,FALSE)</f>
        <v>0</v>
      </c>
      <c r="AL40" s="116">
        <f>+VLOOKUP($B40,'datos9-2015'!$A$2:$BE$78,50,FALSE)</f>
        <v>0</v>
      </c>
      <c r="AM40" s="116">
        <f>+VLOOKUP($B40,'datos9-2015'!$A$2:$BE$78,51,FALSE)</f>
        <v>0</v>
      </c>
      <c r="AN40" s="116">
        <f>+VLOOKUP($B40,'datos9-2015'!$A$2:$BE$78,52,FALSE)</f>
        <v>0</v>
      </c>
      <c r="AO40" s="119">
        <f t="shared" ref="AO40:AO71" si="19">SUM(AK40:AN40)</f>
        <v>0</v>
      </c>
      <c r="AP40" s="116">
        <f>+VLOOKUP($B40,'datos9-2015'!$A$2:$BE$78,55,FALSE)</f>
        <v>0</v>
      </c>
      <c r="AQ40" s="118">
        <f t="shared" ref="AQ40:AQ71" si="20">AO40+AJ40+AE40+AP40</f>
        <v>384251.22</v>
      </c>
      <c r="AS40" s="120">
        <f t="shared" ref="AS40:AS71" si="21">+AQ40+Y40</f>
        <v>1363925.8399999999</v>
      </c>
    </row>
    <row r="41" spans="2:45" x14ac:dyDescent="0.2">
      <c r="B41" s="18" t="s">
        <v>93</v>
      </c>
      <c r="C41" s="115"/>
      <c r="D41" s="116">
        <f>+VLOOKUP($B41,'datos9-2015'!$A$2:$BE$78,13,FALSE)</f>
        <v>0</v>
      </c>
      <c r="E41" s="116">
        <f>+VLOOKUP($B41,'datos9-2015'!$A$2:$BE$78,14,FALSE)</f>
        <v>0</v>
      </c>
      <c r="F41" s="116">
        <f>+VLOOKUP($B41,'datos9-2015'!$A$2:$BE$78,15,FALSE)</f>
        <v>0</v>
      </c>
      <c r="G41" s="68">
        <f t="shared" si="11"/>
        <v>0</v>
      </c>
      <c r="H41" s="116">
        <f>+VLOOKUP($B41,'datos9-2015'!$A$2:$BE$78,17,FALSE)</f>
        <v>3500</v>
      </c>
      <c r="I41" s="116">
        <f>+VLOOKUP($B41,'datos9-2015'!$A$2:$BE$78,18,FALSE)</f>
        <v>0</v>
      </c>
      <c r="J41" s="116">
        <f>+VLOOKUP($B41,'datos9-2015'!$A$2:$BE$78,19,FALSE)</f>
        <v>0</v>
      </c>
      <c r="K41" s="116">
        <f>+VLOOKUP($B41,'datos9-2015'!$A$2:$BE$78,20,FALSE)</f>
        <v>4150</v>
      </c>
      <c r="L41" s="68">
        <f t="shared" si="12"/>
        <v>7650</v>
      </c>
      <c r="M41" s="116">
        <f>+VLOOKUP($B41,'datos9-2015'!$A$2:$BE$78,22,FALSE)</f>
        <v>26380</v>
      </c>
      <c r="N41" s="116">
        <f>+VLOOKUP($B41,'datos9-2015'!$A$2:$BE$78,23,FALSE)</f>
        <v>0</v>
      </c>
      <c r="O41" s="116">
        <f>+VLOOKUP($B41,'datos9-2015'!$A$2:$BE$78,24,FALSE)</f>
        <v>0</v>
      </c>
      <c r="P41" s="68">
        <f t="shared" si="13"/>
        <v>26380</v>
      </c>
      <c r="Q41" s="116">
        <f>+VLOOKUP($B41,'datos9-2015'!$A$2:$BE$78,26,FALSE)</f>
        <v>0</v>
      </c>
      <c r="R41" s="116">
        <f>+VLOOKUP($B41,'datos9-2015'!$A$2:$BE$78,27,FALSE)</f>
        <v>0</v>
      </c>
      <c r="S41" s="116">
        <f>+VLOOKUP($B41,'datos9-2015'!$A$2:$BE$78,28,FALSE)</f>
        <v>1097</v>
      </c>
      <c r="T41" s="116">
        <f>+VLOOKUP($B41,'datos9-2015'!$A$2:$BE$78,29,FALSE)</f>
        <v>0</v>
      </c>
      <c r="U41" s="68">
        <f t="shared" si="14"/>
        <v>1097</v>
      </c>
      <c r="V41" s="116">
        <f>+VLOOKUP($B41,'datos9-2015'!$A$2:$BE$78,31,FALSE)</f>
        <v>621746</v>
      </c>
      <c r="W41" s="116">
        <f>+VLOOKUP($B41,'datos9-2015'!$A$2:$BE$78,32,FALSE)</f>
        <v>0</v>
      </c>
      <c r="X41" s="117">
        <f t="shared" si="15"/>
        <v>621746</v>
      </c>
      <c r="Y41" s="118">
        <f t="shared" si="16"/>
        <v>656873</v>
      </c>
      <c r="Z41" s="116">
        <f>+VLOOKUP($B41,'datos9-2015'!$A$2:$BE$78,35,FALSE)</f>
        <v>0</v>
      </c>
      <c r="AA41" s="116">
        <f>+VLOOKUP($B41,'datos9-2015'!$A$2:$BE$78,36,FALSE)</f>
        <v>350740</v>
      </c>
      <c r="AB41" s="116">
        <f>+VLOOKUP($B41,'datos9-2015'!$A$2:$BE$78,37,FALSE)</f>
        <v>10500</v>
      </c>
      <c r="AC41" s="116">
        <f>+VLOOKUP($B41,'datos9-2015'!$A$2:$BE$78,38,FALSE)</f>
        <v>0</v>
      </c>
      <c r="AD41" s="116">
        <f>+VLOOKUP($B41,'datos9-2015'!$A$2:$BE$78,39,FALSE)</f>
        <v>0</v>
      </c>
      <c r="AE41" s="68">
        <f t="shared" si="17"/>
        <v>361240</v>
      </c>
      <c r="AF41" s="116">
        <f>+VLOOKUP($B41,'datos9-2015'!$A$2:$BE$78,42,FALSE)</f>
        <v>195331</v>
      </c>
      <c r="AG41" s="116">
        <f>+VLOOKUP($B41,'datos9-2015'!$A$2:$BE$78,44,FALSE)</f>
        <v>37435</v>
      </c>
      <c r="AH41" s="116">
        <f>+VLOOKUP($B41,'datos9-2015'!$A$2:$BE$78,45,FALSE)</f>
        <v>0</v>
      </c>
      <c r="AI41" s="116">
        <f>+VLOOKUP($B41,'datos9-2015'!$A$2:$BE$78,46,FALSE)</f>
        <v>0</v>
      </c>
      <c r="AJ41" s="68">
        <f t="shared" si="18"/>
        <v>232766</v>
      </c>
      <c r="AK41" s="116">
        <f>+VLOOKUP($B41,'datos9-2015'!$A$2:$BE$78,49,FALSE)</f>
        <v>377247</v>
      </c>
      <c r="AL41" s="116">
        <f>+VLOOKUP($B41,'datos9-2015'!$A$2:$BE$78,50,FALSE)</f>
        <v>0</v>
      </c>
      <c r="AM41" s="116">
        <f>+VLOOKUP($B41,'datos9-2015'!$A$2:$BE$78,51,FALSE)</f>
        <v>0</v>
      </c>
      <c r="AN41" s="116">
        <f>+VLOOKUP($B41,'datos9-2015'!$A$2:$BE$78,52,FALSE)</f>
        <v>0</v>
      </c>
      <c r="AO41" s="119">
        <f t="shared" si="19"/>
        <v>377247</v>
      </c>
      <c r="AP41" s="116">
        <f>+VLOOKUP($B41,'datos9-2015'!$A$2:$BE$78,55,FALSE)</f>
        <v>0</v>
      </c>
      <c r="AQ41" s="118">
        <f t="shared" si="20"/>
        <v>971253</v>
      </c>
      <c r="AS41" s="120">
        <f t="shared" si="21"/>
        <v>1628126</v>
      </c>
    </row>
    <row r="42" spans="2:45" x14ac:dyDescent="0.2">
      <c r="B42" s="18" t="s">
        <v>94</v>
      </c>
      <c r="C42" s="115"/>
      <c r="D42" s="116">
        <f>+VLOOKUP($B42,'datos9-2015'!$A$2:$BE$78,13,FALSE)</f>
        <v>5638.54</v>
      </c>
      <c r="E42" s="116">
        <f>+VLOOKUP($B42,'datos9-2015'!$A$2:$BE$78,14,FALSE)</f>
        <v>0</v>
      </c>
      <c r="F42" s="116">
        <f>+VLOOKUP($B42,'datos9-2015'!$A$2:$BE$78,15,FALSE)</f>
        <v>0</v>
      </c>
      <c r="G42" s="68">
        <f t="shared" si="11"/>
        <v>5638.54</v>
      </c>
      <c r="H42" s="116">
        <f>+VLOOKUP($B42,'datos9-2015'!$A$2:$BE$78,17,FALSE)</f>
        <v>0</v>
      </c>
      <c r="I42" s="116">
        <f>+VLOOKUP($B42,'datos9-2015'!$A$2:$BE$78,18,FALSE)</f>
        <v>0</v>
      </c>
      <c r="J42" s="116">
        <f>+VLOOKUP($B42,'datos9-2015'!$A$2:$BE$78,19,FALSE)</f>
        <v>13147</v>
      </c>
      <c r="K42" s="116">
        <f>+VLOOKUP($B42,'datos9-2015'!$A$2:$BE$78,20,FALSE)</f>
        <v>23193.79</v>
      </c>
      <c r="L42" s="68">
        <f t="shared" si="12"/>
        <v>36340.79</v>
      </c>
      <c r="M42" s="116">
        <f>+VLOOKUP($B42,'datos9-2015'!$A$2:$BE$78,22,FALSE)</f>
        <v>17134.599999999999</v>
      </c>
      <c r="N42" s="116">
        <f>+VLOOKUP($B42,'datos9-2015'!$A$2:$BE$78,23,FALSE)</f>
        <v>0</v>
      </c>
      <c r="O42" s="116">
        <f>+VLOOKUP($B42,'datos9-2015'!$A$2:$BE$78,24,FALSE)</f>
        <v>0</v>
      </c>
      <c r="P42" s="68">
        <f t="shared" si="13"/>
        <v>17134.599999999999</v>
      </c>
      <c r="Q42" s="116">
        <f>+VLOOKUP($B42,'datos9-2015'!$A$2:$BE$78,26,FALSE)</f>
        <v>0</v>
      </c>
      <c r="R42" s="116">
        <f>+VLOOKUP($B42,'datos9-2015'!$A$2:$BE$78,27,FALSE)</f>
        <v>0</v>
      </c>
      <c r="S42" s="116">
        <f>+VLOOKUP($B42,'datos9-2015'!$A$2:$BE$78,28,FALSE)</f>
        <v>0</v>
      </c>
      <c r="T42" s="116">
        <f>+VLOOKUP($B42,'datos9-2015'!$A$2:$BE$78,29,FALSE)</f>
        <v>0</v>
      </c>
      <c r="U42" s="68">
        <f t="shared" si="14"/>
        <v>0</v>
      </c>
      <c r="V42" s="116">
        <f>+VLOOKUP($B42,'datos9-2015'!$A$2:$BE$78,31,FALSE)</f>
        <v>0</v>
      </c>
      <c r="W42" s="116">
        <f>+VLOOKUP($B42,'datos9-2015'!$A$2:$BE$78,32,FALSE)</f>
        <v>0</v>
      </c>
      <c r="X42" s="117">
        <f t="shared" si="15"/>
        <v>0</v>
      </c>
      <c r="Y42" s="118">
        <f t="shared" si="16"/>
        <v>59113.93</v>
      </c>
      <c r="Z42" s="116">
        <f>+VLOOKUP($B42,'datos9-2015'!$A$2:$BE$78,35,FALSE)</f>
        <v>0</v>
      </c>
      <c r="AA42" s="116">
        <f>+VLOOKUP($B42,'datos9-2015'!$A$2:$BE$78,36,FALSE)</f>
        <v>0</v>
      </c>
      <c r="AB42" s="116">
        <f>+VLOOKUP($B42,'datos9-2015'!$A$2:$BE$78,37,FALSE)</f>
        <v>0</v>
      </c>
      <c r="AC42" s="116">
        <f>+VLOOKUP($B42,'datos9-2015'!$A$2:$BE$78,38,FALSE)</f>
        <v>0</v>
      </c>
      <c r="AD42" s="116">
        <f>+VLOOKUP($B42,'datos9-2015'!$A$2:$BE$78,39,FALSE)</f>
        <v>0</v>
      </c>
      <c r="AE42" s="68">
        <f t="shared" si="17"/>
        <v>0</v>
      </c>
      <c r="AF42" s="116">
        <f>+VLOOKUP($B42,'datos9-2015'!$A$2:$BE$78,42,FALSE)</f>
        <v>25000</v>
      </c>
      <c r="AG42" s="116">
        <f>+VLOOKUP($B42,'datos9-2015'!$A$2:$BE$78,44,FALSE)</f>
        <v>0</v>
      </c>
      <c r="AH42" s="116">
        <f>+VLOOKUP($B42,'datos9-2015'!$A$2:$BE$78,45,FALSE)</f>
        <v>0</v>
      </c>
      <c r="AI42" s="116">
        <f>+VLOOKUP($B42,'datos9-2015'!$A$2:$BE$78,46,FALSE)</f>
        <v>0</v>
      </c>
      <c r="AJ42" s="68">
        <f t="shared" si="18"/>
        <v>25000</v>
      </c>
      <c r="AK42" s="116">
        <f>+VLOOKUP($B42,'datos9-2015'!$A$2:$BE$78,49,FALSE)</f>
        <v>0</v>
      </c>
      <c r="AL42" s="116">
        <f>+VLOOKUP($B42,'datos9-2015'!$A$2:$BE$78,50,FALSE)</f>
        <v>0</v>
      </c>
      <c r="AM42" s="116">
        <f>+VLOOKUP($B42,'datos9-2015'!$A$2:$BE$78,51,FALSE)</f>
        <v>0</v>
      </c>
      <c r="AN42" s="116">
        <f>+VLOOKUP($B42,'datos9-2015'!$A$2:$BE$78,52,FALSE)</f>
        <v>0</v>
      </c>
      <c r="AO42" s="119">
        <f t="shared" si="19"/>
        <v>0</v>
      </c>
      <c r="AP42" s="116">
        <f>+VLOOKUP($B42,'datos9-2015'!$A$2:$BE$78,55,FALSE)</f>
        <v>0</v>
      </c>
      <c r="AQ42" s="118">
        <f t="shared" si="20"/>
        <v>25000</v>
      </c>
      <c r="AS42" s="120">
        <f t="shared" si="21"/>
        <v>84113.93</v>
      </c>
    </row>
    <row r="43" spans="2:45" x14ac:dyDescent="0.2">
      <c r="B43" s="18" t="s">
        <v>95</v>
      </c>
      <c r="C43" s="115"/>
      <c r="D43" s="116">
        <f>+VLOOKUP($B43,'datos9-2015'!$A$2:$BE$78,13,FALSE)</f>
        <v>0</v>
      </c>
      <c r="E43" s="116">
        <f>+VLOOKUP($B43,'datos9-2015'!$A$2:$BE$78,14,FALSE)</f>
        <v>0</v>
      </c>
      <c r="F43" s="116">
        <f>+VLOOKUP($B43,'datos9-2015'!$A$2:$BE$78,15,FALSE)</f>
        <v>0</v>
      </c>
      <c r="G43" s="68">
        <f t="shared" si="11"/>
        <v>0</v>
      </c>
      <c r="H43" s="116">
        <f>+VLOOKUP($B43,'datos9-2015'!$A$2:$BE$78,17,FALSE)</f>
        <v>123621.7</v>
      </c>
      <c r="I43" s="116">
        <f>+VLOOKUP($B43,'datos9-2015'!$A$2:$BE$78,18,FALSE)</f>
        <v>0</v>
      </c>
      <c r="J43" s="116">
        <f>+VLOOKUP($B43,'datos9-2015'!$A$2:$BE$78,19,FALSE)</f>
        <v>0</v>
      </c>
      <c r="K43" s="116">
        <f>+VLOOKUP($B43,'datos9-2015'!$A$2:$BE$78,20,FALSE)</f>
        <v>20000</v>
      </c>
      <c r="L43" s="68">
        <f t="shared" si="12"/>
        <v>143621.70000000001</v>
      </c>
      <c r="M43" s="116">
        <f>+VLOOKUP($B43,'datos9-2015'!$A$2:$BE$78,22,FALSE)</f>
        <v>26017.97</v>
      </c>
      <c r="N43" s="116">
        <f>+VLOOKUP($B43,'datos9-2015'!$A$2:$BE$78,23,FALSE)</f>
        <v>0</v>
      </c>
      <c r="O43" s="116">
        <f>+VLOOKUP($B43,'datos9-2015'!$A$2:$BE$78,24,FALSE)</f>
        <v>0</v>
      </c>
      <c r="P43" s="68">
        <f t="shared" si="13"/>
        <v>26017.97</v>
      </c>
      <c r="Q43" s="116">
        <f>+VLOOKUP($B43,'datos9-2015'!$A$2:$BE$78,26,FALSE)</f>
        <v>0</v>
      </c>
      <c r="R43" s="116">
        <f>+VLOOKUP($B43,'datos9-2015'!$A$2:$BE$78,27,FALSE)</f>
        <v>0</v>
      </c>
      <c r="S43" s="116">
        <f>+VLOOKUP($B43,'datos9-2015'!$A$2:$BE$78,28,FALSE)</f>
        <v>0</v>
      </c>
      <c r="T43" s="116">
        <f>+VLOOKUP($B43,'datos9-2015'!$A$2:$BE$78,29,FALSE)</f>
        <v>0</v>
      </c>
      <c r="U43" s="68">
        <f t="shared" si="14"/>
        <v>0</v>
      </c>
      <c r="V43" s="116">
        <f>+VLOOKUP($B43,'datos9-2015'!$A$2:$BE$78,31,FALSE)</f>
        <v>0</v>
      </c>
      <c r="W43" s="116">
        <f>+VLOOKUP($B43,'datos9-2015'!$A$2:$BE$78,32,FALSE)</f>
        <v>0</v>
      </c>
      <c r="X43" s="117">
        <f t="shared" si="15"/>
        <v>0</v>
      </c>
      <c r="Y43" s="118">
        <f t="shared" si="16"/>
        <v>169639.67</v>
      </c>
      <c r="Z43" s="116">
        <f>+VLOOKUP($B43,'datos9-2015'!$A$2:$BE$78,35,FALSE)</f>
        <v>0</v>
      </c>
      <c r="AA43" s="116">
        <f>+VLOOKUP($B43,'datos9-2015'!$A$2:$BE$78,36,FALSE)</f>
        <v>0</v>
      </c>
      <c r="AB43" s="116">
        <f>+VLOOKUP($B43,'datos9-2015'!$A$2:$BE$78,37,FALSE)</f>
        <v>0</v>
      </c>
      <c r="AC43" s="116">
        <f>+VLOOKUP($B43,'datos9-2015'!$A$2:$BE$78,38,FALSE)</f>
        <v>0</v>
      </c>
      <c r="AD43" s="116">
        <f>+VLOOKUP($B43,'datos9-2015'!$A$2:$BE$78,39,FALSE)</f>
        <v>0</v>
      </c>
      <c r="AE43" s="68">
        <f t="shared" si="17"/>
        <v>0</v>
      </c>
      <c r="AF43" s="116">
        <f>+VLOOKUP($B43,'datos9-2015'!$A$2:$BE$78,42,FALSE)</f>
        <v>0</v>
      </c>
      <c r="AG43" s="116">
        <f>+VLOOKUP($B43,'datos9-2015'!$A$2:$BE$78,44,FALSE)</f>
        <v>0</v>
      </c>
      <c r="AH43" s="116">
        <f>+VLOOKUP($B43,'datos9-2015'!$A$2:$BE$78,45,FALSE)</f>
        <v>0</v>
      </c>
      <c r="AI43" s="116">
        <f>+VLOOKUP($B43,'datos9-2015'!$A$2:$BE$78,46,FALSE)</f>
        <v>0</v>
      </c>
      <c r="AJ43" s="68">
        <f t="shared" si="18"/>
        <v>0</v>
      </c>
      <c r="AK43" s="116">
        <f>+VLOOKUP($B43,'datos9-2015'!$A$2:$BE$78,49,FALSE)</f>
        <v>0</v>
      </c>
      <c r="AL43" s="116">
        <f>+VLOOKUP($B43,'datos9-2015'!$A$2:$BE$78,50,FALSE)</f>
        <v>0</v>
      </c>
      <c r="AM43" s="116">
        <f>+VLOOKUP($B43,'datos9-2015'!$A$2:$BE$78,51,FALSE)</f>
        <v>0</v>
      </c>
      <c r="AN43" s="116">
        <f>+VLOOKUP($B43,'datos9-2015'!$A$2:$BE$78,52,FALSE)</f>
        <v>0</v>
      </c>
      <c r="AO43" s="119">
        <f t="shared" si="19"/>
        <v>0</v>
      </c>
      <c r="AP43" s="116">
        <f>+VLOOKUP($B43,'datos9-2015'!$A$2:$BE$78,55,FALSE)</f>
        <v>0</v>
      </c>
      <c r="AQ43" s="118">
        <f t="shared" si="20"/>
        <v>0</v>
      </c>
      <c r="AS43" s="120">
        <f t="shared" si="21"/>
        <v>169639.67</v>
      </c>
    </row>
    <row r="44" spans="2:45" x14ac:dyDescent="0.2">
      <c r="B44" s="18" t="s">
        <v>96</v>
      </c>
      <c r="C44" s="115"/>
      <c r="D44" s="116">
        <f>+VLOOKUP($B44,'datos9-2015'!$A$2:$BE$78,13,FALSE)</f>
        <v>3447227</v>
      </c>
      <c r="E44" s="116">
        <f>+VLOOKUP($B44,'datos9-2015'!$A$2:$BE$78,14,FALSE)</f>
        <v>0</v>
      </c>
      <c r="F44" s="116">
        <f>+VLOOKUP($B44,'datos9-2015'!$A$2:$BE$78,15,FALSE)</f>
        <v>5467748</v>
      </c>
      <c r="G44" s="68">
        <f t="shared" si="11"/>
        <v>8914975</v>
      </c>
      <c r="H44" s="116">
        <f>+VLOOKUP($B44,'datos9-2015'!$A$2:$BE$78,17,FALSE)</f>
        <v>0</v>
      </c>
      <c r="I44" s="116">
        <f>+VLOOKUP($B44,'datos9-2015'!$A$2:$BE$78,18,FALSE)</f>
        <v>0</v>
      </c>
      <c r="J44" s="116">
        <f>+VLOOKUP($B44,'datos9-2015'!$A$2:$BE$78,19,FALSE)</f>
        <v>0</v>
      </c>
      <c r="K44" s="116">
        <f>+VLOOKUP($B44,'datos9-2015'!$A$2:$BE$78,20,FALSE)</f>
        <v>0</v>
      </c>
      <c r="L44" s="68">
        <f t="shared" si="12"/>
        <v>0</v>
      </c>
      <c r="M44" s="116">
        <f>+VLOOKUP($B44,'datos9-2015'!$A$2:$BE$78,22,FALSE)</f>
        <v>2088270</v>
      </c>
      <c r="N44" s="116">
        <f>+VLOOKUP($B44,'datos9-2015'!$A$2:$BE$78,23,FALSE)</f>
        <v>0</v>
      </c>
      <c r="O44" s="116">
        <f>+VLOOKUP($B44,'datos9-2015'!$A$2:$BE$78,24,FALSE)</f>
        <v>0</v>
      </c>
      <c r="P44" s="68">
        <f t="shared" si="13"/>
        <v>2088270</v>
      </c>
      <c r="Q44" s="116">
        <f>+VLOOKUP($B44,'datos9-2015'!$A$2:$BE$78,26,FALSE)</f>
        <v>0</v>
      </c>
      <c r="R44" s="116">
        <f>+VLOOKUP($B44,'datos9-2015'!$A$2:$BE$78,27,FALSE)</f>
        <v>0</v>
      </c>
      <c r="S44" s="116">
        <f>+VLOOKUP($B44,'datos9-2015'!$A$2:$BE$78,28,FALSE)</f>
        <v>0</v>
      </c>
      <c r="T44" s="116">
        <f>+VLOOKUP($B44,'datos9-2015'!$A$2:$BE$78,29,FALSE)</f>
        <v>0</v>
      </c>
      <c r="U44" s="68">
        <f t="shared" si="14"/>
        <v>0</v>
      </c>
      <c r="V44" s="116">
        <f>+VLOOKUP($B44,'datos9-2015'!$A$2:$BE$78,31,FALSE)</f>
        <v>0</v>
      </c>
      <c r="W44" s="116">
        <f>+VLOOKUP($B44,'datos9-2015'!$A$2:$BE$78,32,FALSE)</f>
        <v>105434</v>
      </c>
      <c r="X44" s="117">
        <f t="shared" si="15"/>
        <v>105434</v>
      </c>
      <c r="Y44" s="118">
        <f t="shared" si="16"/>
        <v>11108679</v>
      </c>
      <c r="Z44" s="116">
        <f>+VLOOKUP($B44,'datos9-2015'!$A$2:$BE$78,35,FALSE)</f>
        <v>0</v>
      </c>
      <c r="AA44" s="116">
        <f>+VLOOKUP($B44,'datos9-2015'!$A$2:$BE$78,36,FALSE)</f>
        <v>1682044</v>
      </c>
      <c r="AB44" s="116">
        <f>+VLOOKUP($B44,'datos9-2015'!$A$2:$BE$78,37,FALSE)</f>
        <v>0</v>
      </c>
      <c r="AC44" s="116">
        <f>+VLOOKUP($B44,'datos9-2015'!$A$2:$BE$78,38,FALSE)</f>
        <v>0</v>
      </c>
      <c r="AD44" s="116">
        <f>+VLOOKUP($B44,'datos9-2015'!$A$2:$BE$78,39,FALSE)</f>
        <v>0</v>
      </c>
      <c r="AE44" s="68">
        <f t="shared" si="17"/>
        <v>1682044</v>
      </c>
      <c r="AF44" s="116">
        <f>+VLOOKUP($B44,'datos9-2015'!$A$2:$BE$78,42,FALSE)</f>
        <v>0</v>
      </c>
      <c r="AG44" s="116">
        <f>+VLOOKUP($B44,'datos9-2015'!$A$2:$BE$78,44,FALSE)</f>
        <v>2403651</v>
      </c>
      <c r="AH44" s="116">
        <f>+VLOOKUP($B44,'datos9-2015'!$A$2:$BE$78,45,FALSE)</f>
        <v>0</v>
      </c>
      <c r="AI44" s="116">
        <f>+VLOOKUP($B44,'datos9-2015'!$A$2:$BE$78,46,FALSE)</f>
        <v>0</v>
      </c>
      <c r="AJ44" s="68">
        <f t="shared" si="18"/>
        <v>2403651</v>
      </c>
      <c r="AK44" s="116">
        <f>+VLOOKUP($B44,'datos9-2015'!$A$2:$BE$78,49,FALSE)</f>
        <v>0</v>
      </c>
      <c r="AL44" s="116">
        <f>+VLOOKUP($B44,'datos9-2015'!$A$2:$BE$78,50,FALSE)</f>
        <v>107117</v>
      </c>
      <c r="AM44" s="116">
        <f>+VLOOKUP($B44,'datos9-2015'!$A$2:$BE$78,51,FALSE)</f>
        <v>0</v>
      </c>
      <c r="AN44" s="116">
        <f>+VLOOKUP($B44,'datos9-2015'!$A$2:$BE$78,52,FALSE)</f>
        <v>0</v>
      </c>
      <c r="AO44" s="119">
        <f t="shared" si="19"/>
        <v>107117</v>
      </c>
      <c r="AP44" s="116">
        <f>+VLOOKUP($B44,'datos9-2015'!$A$2:$BE$78,55,FALSE)</f>
        <v>0</v>
      </c>
      <c r="AQ44" s="118">
        <f t="shared" si="20"/>
        <v>4192812</v>
      </c>
      <c r="AS44" s="120">
        <f t="shared" si="21"/>
        <v>15301491</v>
      </c>
    </row>
    <row r="45" spans="2:45" x14ac:dyDescent="0.2">
      <c r="B45" s="18" t="s">
        <v>97</v>
      </c>
      <c r="C45" s="115"/>
      <c r="D45" s="116">
        <f>+VLOOKUP($B45,'datos9-2015'!$A$2:$BE$78,13,FALSE)</f>
        <v>0</v>
      </c>
      <c r="E45" s="116">
        <f>+VLOOKUP($B45,'datos9-2015'!$A$2:$BE$78,14,FALSE)</f>
        <v>0</v>
      </c>
      <c r="F45" s="116">
        <f>+VLOOKUP($B45,'datos9-2015'!$A$2:$BE$78,15,FALSE)</f>
        <v>0</v>
      </c>
      <c r="G45" s="68">
        <f t="shared" si="11"/>
        <v>0</v>
      </c>
      <c r="H45" s="116">
        <f>+VLOOKUP($B45,'datos9-2015'!$A$2:$BE$78,17,FALSE)</f>
        <v>0</v>
      </c>
      <c r="I45" s="116">
        <f>+VLOOKUP($B45,'datos9-2015'!$A$2:$BE$78,18,FALSE)</f>
        <v>0</v>
      </c>
      <c r="J45" s="116">
        <f>+VLOOKUP($B45,'datos9-2015'!$A$2:$BE$78,19,FALSE)</f>
        <v>0</v>
      </c>
      <c r="K45" s="116">
        <f>+VLOOKUP($B45,'datos9-2015'!$A$2:$BE$78,20,FALSE)</f>
        <v>0</v>
      </c>
      <c r="L45" s="68">
        <f t="shared" si="12"/>
        <v>0</v>
      </c>
      <c r="M45" s="116">
        <f>+VLOOKUP($B45,'datos9-2015'!$A$2:$BE$78,22,FALSE)</f>
        <v>0</v>
      </c>
      <c r="N45" s="116">
        <f>+VLOOKUP($B45,'datos9-2015'!$A$2:$BE$78,23,FALSE)</f>
        <v>0</v>
      </c>
      <c r="O45" s="116">
        <f>+VLOOKUP($B45,'datos9-2015'!$A$2:$BE$78,24,FALSE)</f>
        <v>0</v>
      </c>
      <c r="P45" s="68">
        <f t="shared" si="13"/>
        <v>0</v>
      </c>
      <c r="Q45" s="116">
        <f>+VLOOKUP($B45,'datos9-2015'!$A$2:$BE$78,26,FALSE)</f>
        <v>0</v>
      </c>
      <c r="R45" s="116">
        <f>+VLOOKUP($B45,'datos9-2015'!$A$2:$BE$78,27,FALSE)</f>
        <v>0</v>
      </c>
      <c r="S45" s="116">
        <f>+VLOOKUP($B45,'datos9-2015'!$A$2:$BE$78,28,FALSE)</f>
        <v>0</v>
      </c>
      <c r="T45" s="116">
        <f>+VLOOKUP($B45,'datos9-2015'!$A$2:$BE$78,29,FALSE)</f>
        <v>0</v>
      </c>
      <c r="U45" s="68">
        <f t="shared" si="14"/>
        <v>0</v>
      </c>
      <c r="V45" s="116">
        <f>+VLOOKUP($B45,'datos9-2015'!$A$2:$BE$78,31,FALSE)</f>
        <v>0</v>
      </c>
      <c r="W45" s="116">
        <f>+VLOOKUP($B45,'datos9-2015'!$A$2:$BE$78,32,FALSE)</f>
        <v>0</v>
      </c>
      <c r="X45" s="117">
        <f t="shared" si="15"/>
        <v>0</v>
      </c>
      <c r="Y45" s="118">
        <f t="shared" si="16"/>
        <v>0</v>
      </c>
      <c r="Z45" s="116">
        <f>+VLOOKUP($B45,'datos9-2015'!$A$2:$BE$78,35,FALSE)</f>
        <v>0</v>
      </c>
      <c r="AA45" s="116">
        <f>+VLOOKUP($B45,'datos9-2015'!$A$2:$BE$78,36,FALSE)</f>
        <v>0</v>
      </c>
      <c r="AB45" s="116">
        <f>+VLOOKUP($B45,'datos9-2015'!$A$2:$BE$78,37,FALSE)</f>
        <v>0</v>
      </c>
      <c r="AC45" s="116">
        <f>+VLOOKUP($B45,'datos9-2015'!$A$2:$BE$78,38,FALSE)</f>
        <v>0</v>
      </c>
      <c r="AD45" s="116">
        <f>+VLOOKUP($B45,'datos9-2015'!$A$2:$BE$78,39,FALSE)</f>
        <v>0</v>
      </c>
      <c r="AE45" s="68">
        <f t="shared" si="17"/>
        <v>0</v>
      </c>
      <c r="AF45" s="116">
        <f>+VLOOKUP($B45,'datos9-2015'!$A$2:$BE$78,42,FALSE)</f>
        <v>0</v>
      </c>
      <c r="AG45" s="116">
        <f>+VLOOKUP($B45,'datos9-2015'!$A$2:$BE$78,44,FALSE)</f>
        <v>0</v>
      </c>
      <c r="AH45" s="116">
        <f>+VLOOKUP($B45,'datos9-2015'!$A$2:$BE$78,45,FALSE)</f>
        <v>0</v>
      </c>
      <c r="AI45" s="116">
        <f>+VLOOKUP($B45,'datos9-2015'!$A$2:$BE$78,46,FALSE)</f>
        <v>0</v>
      </c>
      <c r="AJ45" s="68">
        <f t="shared" si="18"/>
        <v>0</v>
      </c>
      <c r="AK45" s="116">
        <f>+VLOOKUP($B45,'datos9-2015'!$A$2:$BE$78,49,FALSE)</f>
        <v>0</v>
      </c>
      <c r="AL45" s="116">
        <f>+VLOOKUP($B45,'datos9-2015'!$A$2:$BE$78,50,FALSE)</f>
        <v>0</v>
      </c>
      <c r="AM45" s="116">
        <f>+VLOOKUP($B45,'datos9-2015'!$A$2:$BE$78,51,FALSE)</f>
        <v>0</v>
      </c>
      <c r="AN45" s="116">
        <f>+VLOOKUP($B45,'datos9-2015'!$A$2:$BE$78,52,FALSE)</f>
        <v>0</v>
      </c>
      <c r="AO45" s="119">
        <f t="shared" si="19"/>
        <v>0</v>
      </c>
      <c r="AP45" s="116">
        <f>+VLOOKUP($B45,'datos9-2015'!$A$2:$BE$78,55,FALSE)</f>
        <v>0</v>
      </c>
      <c r="AQ45" s="118">
        <f t="shared" si="20"/>
        <v>0</v>
      </c>
      <c r="AS45" s="120">
        <f t="shared" si="21"/>
        <v>0</v>
      </c>
    </row>
    <row r="46" spans="2:45" x14ac:dyDescent="0.2">
      <c r="B46" s="18" t="s">
        <v>98</v>
      </c>
      <c r="C46" s="115"/>
      <c r="D46" s="116">
        <f>+VLOOKUP($B46,'datos9-2015'!$A$2:$BE$78,13,FALSE)</f>
        <v>0</v>
      </c>
      <c r="E46" s="116">
        <f>+VLOOKUP($B46,'datos9-2015'!$A$2:$BE$78,14,FALSE)</f>
        <v>378232.01</v>
      </c>
      <c r="F46" s="116">
        <f>+VLOOKUP($B46,'datos9-2015'!$A$2:$BE$78,15,FALSE)</f>
        <v>0</v>
      </c>
      <c r="G46" s="68">
        <f t="shared" si="11"/>
        <v>378232.01</v>
      </c>
      <c r="H46" s="116">
        <f>+VLOOKUP($B46,'datos9-2015'!$A$2:$BE$78,17,FALSE)</f>
        <v>91906.27</v>
      </c>
      <c r="I46" s="116">
        <f>+VLOOKUP($B46,'datos9-2015'!$A$2:$BE$78,18,FALSE)</f>
        <v>3167.31</v>
      </c>
      <c r="J46" s="116">
        <f>+VLOOKUP($B46,'datos9-2015'!$A$2:$BE$78,19,FALSE)</f>
        <v>0</v>
      </c>
      <c r="K46" s="116">
        <f>+VLOOKUP($B46,'datos9-2015'!$A$2:$BE$78,20,FALSE)</f>
        <v>89289.77</v>
      </c>
      <c r="L46" s="68">
        <f t="shared" si="12"/>
        <v>184363.35</v>
      </c>
      <c r="M46" s="116">
        <f>+VLOOKUP($B46,'datos9-2015'!$A$2:$BE$78,22,FALSE)</f>
        <v>0</v>
      </c>
      <c r="N46" s="116">
        <f>+VLOOKUP($B46,'datos9-2015'!$A$2:$BE$78,23,FALSE)</f>
        <v>0</v>
      </c>
      <c r="O46" s="116">
        <f>+VLOOKUP($B46,'datos9-2015'!$A$2:$BE$78,24,FALSE)</f>
        <v>0</v>
      </c>
      <c r="P46" s="68">
        <f t="shared" si="13"/>
        <v>0</v>
      </c>
      <c r="Q46" s="116">
        <f>+VLOOKUP($B46,'datos9-2015'!$A$2:$BE$78,26,FALSE)</f>
        <v>0</v>
      </c>
      <c r="R46" s="116">
        <f>+VLOOKUP($B46,'datos9-2015'!$A$2:$BE$78,27,FALSE)</f>
        <v>0</v>
      </c>
      <c r="S46" s="116">
        <f>+VLOOKUP($B46,'datos9-2015'!$A$2:$BE$78,28,FALSE)</f>
        <v>0</v>
      </c>
      <c r="T46" s="116">
        <f>+VLOOKUP($B46,'datos9-2015'!$A$2:$BE$78,29,FALSE)</f>
        <v>0</v>
      </c>
      <c r="U46" s="68">
        <f t="shared" si="14"/>
        <v>0</v>
      </c>
      <c r="V46" s="116">
        <f>+VLOOKUP($B46,'datos9-2015'!$A$2:$BE$78,31,FALSE)</f>
        <v>0</v>
      </c>
      <c r="W46" s="116">
        <f>+VLOOKUP($B46,'datos9-2015'!$A$2:$BE$78,32,FALSE)</f>
        <v>0</v>
      </c>
      <c r="X46" s="117">
        <f t="shared" si="15"/>
        <v>0</v>
      </c>
      <c r="Y46" s="118">
        <f t="shared" si="16"/>
        <v>562595.36</v>
      </c>
      <c r="Z46" s="116">
        <f>+VLOOKUP($B46,'datos9-2015'!$A$2:$BE$78,35,FALSE)</f>
        <v>0</v>
      </c>
      <c r="AA46" s="116">
        <f>+VLOOKUP($B46,'datos9-2015'!$A$2:$BE$78,36,FALSE)</f>
        <v>0</v>
      </c>
      <c r="AB46" s="116">
        <f>+VLOOKUP($B46,'datos9-2015'!$A$2:$BE$78,37,FALSE)</f>
        <v>0</v>
      </c>
      <c r="AC46" s="116">
        <f>+VLOOKUP($B46,'datos9-2015'!$A$2:$BE$78,38,FALSE)</f>
        <v>57000</v>
      </c>
      <c r="AD46" s="116">
        <f>+VLOOKUP($B46,'datos9-2015'!$A$2:$BE$78,39,FALSE)</f>
        <v>0</v>
      </c>
      <c r="AE46" s="68">
        <f t="shared" si="17"/>
        <v>57000</v>
      </c>
      <c r="AF46" s="116">
        <f>+VLOOKUP($B46,'datos9-2015'!$A$2:$BE$78,42,FALSE)</f>
        <v>0</v>
      </c>
      <c r="AG46" s="116">
        <f>+VLOOKUP($B46,'datos9-2015'!$A$2:$BE$78,44,FALSE)</f>
        <v>40564.32</v>
      </c>
      <c r="AH46" s="116">
        <f>+VLOOKUP($B46,'datos9-2015'!$A$2:$BE$78,45,FALSE)</f>
        <v>0</v>
      </c>
      <c r="AI46" s="116">
        <f>+VLOOKUP($B46,'datos9-2015'!$A$2:$BE$78,46,FALSE)</f>
        <v>0</v>
      </c>
      <c r="AJ46" s="68">
        <f t="shared" si="18"/>
        <v>40564.32</v>
      </c>
      <c r="AK46" s="116">
        <f>+VLOOKUP($B46,'datos9-2015'!$A$2:$BE$78,49,FALSE)</f>
        <v>0</v>
      </c>
      <c r="AL46" s="116">
        <f>+VLOOKUP($B46,'datos9-2015'!$A$2:$BE$78,50,FALSE)</f>
        <v>0</v>
      </c>
      <c r="AM46" s="116">
        <f>+VLOOKUP($B46,'datos9-2015'!$A$2:$BE$78,51,FALSE)</f>
        <v>0</v>
      </c>
      <c r="AN46" s="116">
        <f>+VLOOKUP($B46,'datos9-2015'!$A$2:$BE$78,52,FALSE)</f>
        <v>0</v>
      </c>
      <c r="AO46" s="119">
        <f t="shared" si="19"/>
        <v>0</v>
      </c>
      <c r="AP46" s="116">
        <f>+VLOOKUP($B46,'datos9-2015'!$A$2:$BE$78,55,FALSE)</f>
        <v>0</v>
      </c>
      <c r="AQ46" s="118">
        <f t="shared" si="20"/>
        <v>97564.32</v>
      </c>
      <c r="AS46" s="120">
        <f t="shared" si="21"/>
        <v>660159.67999999993</v>
      </c>
    </row>
    <row r="47" spans="2:45" x14ac:dyDescent="0.2">
      <c r="B47" s="18" t="s">
        <v>99</v>
      </c>
      <c r="C47" s="115"/>
      <c r="D47" s="116">
        <f>+VLOOKUP($B47,'datos9-2015'!$A$2:$BE$78,13,FALSE)</f>
        <v>13000</v>
      </c>
      <c r="E47" s="116">
        <f>+VLOOKUP($B47,'datos9-2015'!$A$2:$BE$78,14,FALSE)</f>
        <v>0</v>
      </c>
      <c r="F47" s="116">
        <f>+VLOOKUP($B47,'datos9-2015'!$A$2:$BE$78,15,FALSE)</f>
        <v>0</v>
      </c>
      <c r="G47" s="68">
        <f t="shared" si="11"/>
        <v>13000</v>
      </c>
      <c r="H47" s="116">
        <f>+VLOOKUP($B47,'datos9-2015'!$A$2:$BE$78,17,FALSE)</f>
        <v>0</v>
      </c>
      <c r="I47" s="116">
        <f>+VLOOKUP($B47,'datos9-2015'!$A$2:$BE$78,18,FALSE)</f>
        <v>0</v>
      </c>
      <c r="J47" s="116">
        <f>+VLOOKUP($B47,'datos9-2015'!$A$2:$BE$78,19,FALSE)</f>
        <v>6738</v>
      </c>
      <c r="K47" s="116">
        <f>+VLOOKUP($B47,'datos9-2015'!$A$2:$BE$78,20,FALSE)</f>
        <v>0</v>
      </c>
      <c r="L47" s="68">
        <f t="shared" si="12"/>
        <v>6738</v>
      </c>
      <c r="M47" s="116">
        <f>+VLOOKUP($B47,'datos9-2015'!$A$2:$BE$78,22,FALSE)</f>
        <v>448200</v>
      </c>
      <c r="N47" s="116">
        <f>+VLOOKUP($B47,'datos9-2015'!$A$2:$BE$78,23,FALSE)</f>
        <v>0</v>
      </c>
      <c r="O47" s="116">
        <f>+VLOOKUP($B47,'datos9-2015'!$A$2:$BE$78,24,FALSE)</f>
        <v>0</v>
      </c>
      <c r="P47" s="68">
        <f t="shared" si="13"/>
        <v>448200</v>
      </c>
      <c r="Q47" s="116">
        <f>+VLOOKUP($B47,'datos9-2015'!$A$2:$BE$78,26,FALSE)</f>
        <v>0</v>
      </c>
      <c r="R47" s="116">
        <f>+VLOOKUP($B47,'datos9-2015'!$A$2:$BE$78,27,FALSE)</f>
        <v>0</v>
      </c>
      <c r="S47" s="116">
        <f>+VLOOKUP($B47,'datos9-2015'!$A$2:$BE$78,28,FALSE)</f>
        <v>0</v>
      </c>
      <c r="T47" s="116">
        <f>+VLOOKUP($B47,'datos9-2015'!$A$2:$BE$78,29,FALSE)</f>
        <v>0</v>
      </c>
      <c r="U47" s="68">
        <f t="shared" si="14"/>
        <v>0</v>
      </c>
      <c r="V47" s="116">
        <f>+VLOOKUP($B47,'datos9-2015'!$A$2:$BE$78,31,FALSE)</f>
        <v>0</v>
      </c>
      <c r="W47" s="116">
        <f>+VLOOKUP($B47,'datos9-2015'!$A$2:$BE$78,32,FALSE)</f>
        <v>0</v>
      </c>
      <c r="X47" s="117">
        <f t="shared" si="15"/>
        <v>0</v>
      </c>
      <c r="Y47" s="118">
        <f t="shared" si="16"/>
        <v>467938</v>
      </c>
      <c r="Z47" s="116">
        <f>+VLOOKUP($B47,'datos9-2015'!$A$2:$BE$78,35,FALSE)</f>
        <v>0</v>
      </c>
      <c r="AA47" s="116">
        <f>+VLOOKUP($B47,'datos9-2015'!$A$2:$BE$78,36,FALSE)</f>
        <v>0</v>
      </c>
      <c r="AB47" s="116">
        <f>+VLOOKUP($B47,'datos9-2015'!$A$2:$BE$78,37,FALSE)</f>
        <v>0</v>
      </c>
      <c r="AC47" s="116">
        <f>+VLOOKUP($B47,'datos9-2015'!$A$2:$BE$78,38,FALSE)</f>
        <v>0</v>
      </c>
      <c r="AD47" s="116">
        <f>+VLOOKUP($B47,'datos9-2015'!$A$2:$BE$78,39,FALSE)</f>
        <v>0</v>
      </c>
      <c r="AE47" s="68">
        <f t="shared" si="17"/>
        <v>0</v>
      </c>
      <c r="AF47" s="116">
        <f>+VLOOKUP($B47,'datos9-2015'!$A$2:$BE$78,42,FALSE)</f>
        <v>0</v>
      </c>
      <c r="AG47" s="116">
        <f>+VLOOKUP($B47,'datos9-2015'!$A$2:$BE$78,44,FALSE)</f>
        <v>88622</v>
      </c>
      <c r="AH47" s="116">
        <f>+VLOOKUP($B47,'datos9-2015'!$A$2:$BE$78,45,FALSE)</f>
        <v>0</v>
      </c>
      <c r="AI47" s="116">
        <f>+VLOOKUP($B47,'datos9-2015'!$A$2:$BE$78,46,FALSE)</f>
        <v>0</v>
      </c>
      <c r="AJ47" s="68">
        <f t="shared" si="18"/>
        <v>88622</v>
      </c>
      <c r="AK47" s="116">
        <f>+VLOOKUP($B47,'datos9-2015'!$A$2:$BE$78,49,FALSE)</f>
        <v>0</v>
      </c>
      <c r="AL47" s="116">
        <f>+VLOOKUP($B47,'datos9-2015'!$A$2:$BE$78,50,FALSE)</f>
        <v>0</v>
      </c>
      <c r="AM47" s="116">
        <f>+VLOOKUP($B47,'datos9-2015'!$A$2:$BE$78,51,FALSE)</f>
        <v>0</v>
      </c>
      <c r="AN47" s="116">
        <f>+VLOOKUP($B47,'datos9-2015'!$A$2:$BE$78,52,FALSE)</f>
        <v>0</v>
      </c>
      <c r="AO47" s="119">
        <f t="shared" si="19"/>
        <v>0</v>
      </c>
      <c r="AP47" s="116">
        <f>+VLOOKUP($B47,'datos9-2015'!$A$2:$BE$78,55,FALSE)</f>
        <v>0</v>
      </c>
      <c r="AQ47" s="118">
        <f t="shared" si="20"/>
        <v>88622</v>
      </c>
      <c r="AS47" s="120">
        <f t="shared" si="21"/>
        <v>556560</v>
      </c>
    </row>
    <row r="48" spans="2:45" x14ac:dyDescent="0.2">
      <c r="B48" s="18" t="s">
        <v>112</v>
      </c>
      <c r="C48" s="115"/>
      <c r="D48" s="116">
        <f>+VLOOKUP($B48,'datos9-2015'!$A$2:$BE$78,13,FALSE)</f>
        <v>110023.34</v>
      </c>
      <c r="E48" s="116">
        <f>+VLOOKUP($B48,'datos9-2015'!$A$2:$BE$78,14,FALSE)</f>
        <v>0</v>
      </c>
      <c r="F48" s="116">
        <f>+VLOOKUP($B48,'datos9-2015'!$A$2:$BE$78,15,FALSE)</f>
        <v>0</v>
      </c>
      <c r="G48" s="68">
        <f t="shared" si="11"/>
        <v>110023.34</v>
      </c>
      <c r="H48" s="116">
        <f>+VLOOKUP($B48,'datos9-2015'!$A$2:$BE$78,17,FALSE)</f>
        <v>250000</v>
      </c>
      <c r="I48" s="116">
        <f>+VLOOKUP($B48,'datos9-2015'!$A$2:$BE$78,18,FALSE)</f>
        <v>0</v>
      </c>
      <c r="J48" s="116">
        <f>+VLOOKUP($B48,'datos9-2015'!$A$2:$BE$78,19,FALSE)</f>
        <v>0</v>
      </c>
      <c r="K48" s="116">
        <f>+VLOOKUP($B48,'datos9-2015'!$A$2:$BE$78,20,FALSE)</f>
        <v>869311.85</v>
      </c>
      <c r="L48" s="68">
        <f t="shared" si="12"/>
        <v>1119311.8500000001</v>
      </c>
      <c r="M48" s="116">
        <f>+VLOOKUP($B48,'datos9-2015'!$A$2:$BE$78,22,FALSE)</f>
        <v>0</v>
      </c>
      <c r="N48" s="116">
        <f>+VLOOKUP($B48,'datos9-2015'!$A$2:$BE$78,23,FALSE)</f>
        <v>0</v>
      </c>
      <c r="O48" s="116">
        <f>+VLOOKUP($B48,'datos9-2015'!$A$2:$BE$78,24,FALSE)</f>
        <v>0</v>
      </c>
      <c r="P48" s="68">
        <f t="shared" si="13"/>
        <v>0</v>
      </c>
      <c r="Q48" s="116">
        <f>+VLOOKUP($B48,'datos9-2015'!$A$2:$BE$78,26,FALSE)</f>
        <v>0</v>
      </c>
      <c r="R48" s="116">
        <f>+VLOOKUP($B48,'datos9-2015'!$A$2:$BE$78,27,FALSE)</f>
        <v>0</v>
      </c>
      <c r="S48" s="116">
        <f>+VLOOKUP($B48,'datos9-2015'!$A$2:$BE$78,28,FALSE)</f>
        <v>0</v>
      </c>
      <c r="T48" s="116">
        <f>+VLOOKUP($B48,'datos9-2015'!$A$2:$BE$78,29,FALSE)</f>
        <v>0</v>
      </c>
      <c r="U48" s="68">
        <f t="shared" si="14"/>
        <v>0</v>
      </c>
      <c r="V48" s="116">
        <f>+VLOOKUP($B48,'datos9-2015'!$A$2:$BE$78,31,FALSE)</f>
        <v>0</v>
      </c>
      <c r="W48" s="116">
        <f>+VLOOKUP($B48,'datos9-2015'!$A$2:$BE$78,32,FALSE)</f>
        <v>0</v>
      </c>
      <c r="X48" s="117">
        <f t="shared" si="15"/>
        <v>0</v>
      </c>
      <c r="Y48" s="118">
        <f t="shared" si="16"/>
        <v>1229335.1900000002</v>
      </c>
      <c r="Z48" s="116">
        <f>+VLOOKUP($B48,'datos9-2015'!$A$2:$BE$78,35,FALSE)</f>
        <v>0</v>
      </c>
      <c r="AA48" s="116">
        <f>+VLOOKUP($B48,'datos9-2015'!$A$2:$BE$78,36,FALSE)</f>
        <v>0</v>
      </c>
      <c r="AB48" s="116">
        <f>+VLOOKUP($B48,'datos9-2015'!$A$2:$BE$78,37,FALSE)</f>
        <v>0</v>
      </c>
      <c r="AC48" s="116">
        <f>+VLOOKUP($B48,'datos9-2015'!$A$2:$BE$78,38,FALSE)</f>
        <v>0</v>
      </c>
      <c r="AD48" s="116">
        <f>+VLOOKUP($B48,'datos9-2015'!$A$2:$BE$78,39,FALSE)</f>
        <v>0</v>
      </c>
      <c r="AE48" s="68">
        <f t="shared" si="17"/>
        <v>0</v>
      </c>
      <c r="AF48" s="116">
        <f>+VLOOKUP($B48,'datos9-2015'!$A$2:$BE$78,42,FALSE)</f>
        <v>0</v>
      </c>
      <c r="AG48" s="116">
        <f>+VLOOKUP($B48,'datos9-2015'!$A$2:$BE$78,44,FALSE)</f>
        <v>0</v>
      </c>
      <c r="AH48" s="116">
        <f>+VLOOKUP($B48,'datos9-2015'!$A$2:$BE$78,45,FALSE)</f>
        <v>0</v>
      </c>
      <c r="AI48" s="116">
        <f>+VLOOKUP($B48,'datos9-2015'!$A$2:$BE$78,46,FALSE)</f>
        <v>0</v>
      </c>
      <c r="AJ48" s="68">
        <f t="shared" si="18"/>
        <v>0</v>
      </c>
      <c r="AK48" s="116">
        <f>+VLOOKUP($B48,'datos9-2015'!$A$2:$BE$78,49,FALSE)</f>
        <v>0</v>
      </c>
      <c r="AL48" s="116">
        <f>+VLOOKUP($B48,'datos9-2015'!$A$2:$BE$78,50,FALSE)</f>
        <v>0</v>
      </c>
      <c r="AM48" s="116">
        <f>+VLOOKUP($B48,'datos9-2015'!$A$2:$BE$78,51,FALSE)</f>
        <v>0</v>
      </c>
      <c r="AN48" s="116">
        <f>+VLOOKUP($B48,'datos9-2015'!$A$2:$BE$78,52,FALSE)</f>
        <v>0</v>
      </c>
      <c r="AO48" s="119">
        <f t="shared" si="19"/>
        <v>0</v>
      </c>
      <c r="AP48" s="116">
        <f>+VLOOKUP($B48,'datos9-2015'!$A$2:$BE$78,55,FALSE)</f>
        <v>0</v>
      </c>
      <c r="AQ48" s="118">
        <f t="shared" si="20"/>
        <v>0</v>
      </c>
      <c r="AS48" s="120">
        <f t="shared" si="21"/>
        <v>1229335.1900000002</v>
      </c>
    </row>
    <row r="49" spans="2:45" x14ac:dyDescent="0.2">
      <c r="B49" s="18" t="s">
        <v>100</v>
      </c>
      <c r="C49" s="115"/>
      <c r="D49" s="116">
        <f>+VLOOKUP($B49,'datos9-2015'!$A$2:$BE$78,13,FALSE)</f>
        <v>0</v>
      </c>
      <c r="E49" s="116">
        <f>+VLOOKUP($B49,'datos9-2015'!$A$2:$BE$78,14,FALSE)</f>
        <v>0</v>
      </c>
      <c r="F49" s="116">
        <f>+VLOOKUP($B49,'datos9-2015'!$A$2:$BE$78,15,FALSE)</f>
        <v>0</v>
      </c>
      <c r="G49" s="68">
        <f t="shared" si="11"/>
        <v>0</v>
      </c>
      <c r="H49" s="116">
        <f>+VLOOKUP($B49,'datos9-2015'!$A$2:$BE$78,17,FALSE)</f>
        <v>68302.98</v>
      </c>
      <c r="I49" s="116">
        <f>+VLOOKUP($B49,'datos9-2015'!$A$2:$BE$78,18,FALSE)</f>
        <v>0</v>
      </c>
      <c r="J49" s="116">
        <f>+VLOOKUP($B49,'datos9-2015'!$A$2:$BE$78,19,FALSE)</f>
        <v>0</v>
      </c>
      <c r="K49" s="116">
        <f>+VLOOKUP($B49,'datos9-2015'!$A$2:$BE$78,20,FALSE)</f>
        <v>0</v>
      </c>
      <c r="L49" s="68">
        <f t="shared" si="12"/>
        <v>68302.98</v>
      </c>
      <c r="M49" s="116">
        <f>+VLOOKUP($B49,'datos9-2015'!$A$2:$BE$78,22,FALSE)</f>
        <v>0</v>
      </c>
      <c r="N49" s="116">
        <f>+VLOOKUP($B49,'datos9-2015'!$A$2:$BE$78,23,FALSE)</f>
        <v>216394.33</v>
      </c>
      <c r="O49" s="116">
        <f>+VLOOKUP($B49,'datos9-2015'!$A$2:$BE$78,24,FALSE)</f>
        <v>0</v>
      </c>
      <c r="P49" s="68">
        <f t="shared" si="13"/>
        <v>216394.33</v>
      </c>
      <c r="Q49" s="116">
        <f>+VLOOKUP($B49,'datos9-2015'!$A$2:$BE$78,26,FALSE)</f>
        <v>0</v>
      </c>
      <c r="R49" s="116">
        <f>+VLOOKUP($B49,'datos9-2015'!$A$2:$BE$78,27,FALSE)</f>
        <v>0</v>
      </c>
      <c r="S49" s="116">
        <f>+VLOOKUP($B49,'datos9-2015'!$A$2:$BE$78,28,FALSE)</f>
        <v>0</v>
      </c>
      <c r="T49" s="116">
        <f>+VLOOKUP($B49,'datos9-2015'!$A$2:$BE$78,29,FALSE)</f>
        <v>0</v>
      </c>
      <c r="U49" s="68">
        <f t="shared" si="14"/>
        <v>0</v>
      </c>
      <c r="V49" s="116">
        <f>+VLOOKUP($B49,'datos9-2015'!$A$2:$BE$78,31,FALSE)</f>
        <v>0</v>
      </c>
      <c r="W49" s="116">
        <f>+VLOOKUP($B49,'datos9-2015'!$A$2:$BE$78,32,FALSE)</f>
        <v>0</v>
      </c>
      <c r="X49" s="117">
        <f t="shared" si="15"/>
        <v>0</v>
      </c>
      <c r="Y49" s="118">
        <f t="shared" si="16"/>
        <v>284697.31</v>
      </c>
      <c r="Z49" s="116">
        <f>+VLOOKUP($B49,'datos9-2015'!$A$2:$BE$78,35,FALSE)</f>
        <v>0</v>
      </c>
      <c r="AA49" s="116">
        <f>+VLOOKUP($B49,'datos9-2015'!$A$2:$BE$78,36,FALSE)</f>
        <v>320000</v>
      </c>
      <c r="AB49" s="116">
        <f>+VLOOKUP($B49,'datos9-2015'!$A$2:$BE$78,37,FALSE)</f>
        <v>0</v>
      </c>
      <c r="AC49" s="116">
        <f>+VLOOKUP($B49,'datos9-2015'!$A$2:$BE$78,38,FALSE)</f>
        <v>0</v>
      </c>
      <c r="AD49" s="116">
        <f>+VLOOKUP($B49,'datos9-2015'!$A$2:$BE$78,39,FALSE)</f>
        <v>0</v>
      </c>
      <c r="AE49" s="68">
        <f t="shared" si="17"/>
        <v>320000</v>
      </c>
      <c r="AF49" s="116">
        <f>+VLOOKUP($B49,'datos9-2015'!$A$2:$BE$78,42,FALSE)</f>
        <v>99947</v>
      </c>
      <c r="AG49" s="116">
        <f>+VLOOKUP($B49,'datos9-2015'!$A$2:$BE$78,44,FALSE)</f>
        <v>63327.08</v>
      </c>
      <c r="AH49" s="116">
        <f>+VLOOKUP($B49,'datos9-2015'!$A$2:$BE$78,45,FALSE)</f>
        <v>0</v>
      </c>
      <c r="AI49" s="116">
        <f>+VLOOKUP($B49,'datos9-2015'!$A$2:$BE$78,46,FALSE)</f>
        <v>0</v>
      </c>
      <c r="AJ49" s="68">
        <f t="shared" si="18"/>
        <v>163274.08000000002</v>
      </c>
      <c r="AK49" s="116">
        <f>+VLOOKUP($B49,'datos9-2015'!$A$2:$BE$78,49,FALSE)</f>
        <v>0</v>
      </c>
      <c r="AL49" s="116">
        <f>+VLOOKUP($B49,'datos9-2015'!$A$2:$BE$78,50,FALSE)</f>
        <v>0</v>
      </c>
      <c r="AM49" s="116">
        <f>+VLOOKUP($B49,'datos9-2015'!$A$2:$BE$78,51,FALSE)</f>
        <v>0</v>
      </c>
      <c r="AN49" s="116">
        <f>+VLOOKUP($B49,'datos9-2015'!$A$2:$BE$78,52,FALSE)</f>
        <v>0</v>
      </c>
      <c r="AO49" s="119">
        <f t="shared" si="19"/>
        <v>0</v>
      </c>
      <c r="AP49" s="116">
        <f>+VLOOKUP($B49,'datos9-2015'!$A$2:$BE$78,55,FALSE)</f>
        <v>0</v>
      </c>
      <c r="AQ49" s="118">
        <f t="shared" si="20"/>
        <v>483274.08</v>
      </c>
      <c r="AS49" s="120">
        <f t="shared" si="21"/>
        <v>767971.39</v>
      </c>
    </row>
    <row r="50" spans="2:45" x14ac:dyDescent="0.2">
      <c r="B50" s="18" t="s">
        <v>101</v>
      </c>
      <c r="C50" s="115"/>
      <c r="D50" s="116">
        <f>+VLOOKUP($B50,'datos9-2015'!$A$2:$BE$78,13,FALSE)</f>
        <v>39128.620000000003</v>
      </c>
      <c r="E50" s="116">
        <f>+VLOOKUP($B50,'datos9-2015'!$A$2:$BE$78,14,FALSE)</f>
        <v>221578.6</v>
      </c>
      <c r="F50" s="116">
        <f>+VLOOKUP($B50,'datos9-2015'!$A$2:$BE$78,15,FALSE)</f>
        <v>0</v>
      </c>
      <c r="G50" s="68">
        <f t="shared" si="11"/>
        <v>260707.22</v>
      </c>
      <c r="H50" s="116">
        <f>+VLOOKUP($B50,'datos9-2015'!$A$2:$BE$78,17,FALSE)</f>
        <v>0</v>
      </c>
      <c r="I50" s="116">
        <f>+VLOOKUP($B50,'datos9-2015'!$A$2:$BE$78,18,FALSE)</f>
        <v>63475.65</v>
      </c>
      <c r="J50" s="116">
        <f>+VLOOKUP($B50,'datos9-2015'!$A$2:$BE$78,19,FALSE)</f>
        <v>0</v>
      </c>
      <c r="K50" s="116">
        <f>+VLOOKUP($B50,'datos9-2015'!$A$2:$BE$78,20,FALSE)</f>
        <v>272451.78000000003</v>
      </c>
      <c r="L50" s="68">
        <f t="shared" si="12"/>
        <v>335927.43000000005</v>
      </c>
      <c r="M50" s="116">
        <f>+VLOOKUP($B50,'datos9-2015'!$A$2:$BE$78,22,FALSE)</f>
        <v>12398.1</v>
      </c>
      <c r="N50" s="116">
        <f>+VLOOKUP($B50,'datos9-2015'!$A$2:$BE$78,23,FALSE)</f>
        <v>0</v>
      </c>
      <c r="O50" s="116">
        <f>+VLOOKUP($B50,'datos9-2015'!$A$2:$BE$78,24,FALSE)</f>
        <v>0</v>
      </c>
      <c r="P50" s="68">
        <f t="shared" si="13"/>
        <v>12398.1</v>
      </c>
      <c r="Q50" s="116">
        <f>+VLOOKUP($B50,'datos9-2015'!$A$2:$BE$78,26,FALSE)</f>
        <v>33169.589999999997</v>
      </c>
      <c r="R50" s="116">
        <f>+VLOOKUP($B50,'datos9-2015'!$A$2:$BE$78,27,FALSE)</f>
        <v>0</v>
      </c>
      <c r="S50" s="116">
        <f>+VLOOKUP($B50,'datos9-2015'!$A$2:$BE$78,28,FALSE)</f>
        <v>0</v>
      </c>
      <c r="T50" s="116">
        <f>+VLOOKUP($B50,'datos9-2015'!$A$2:$BE$78,29,FALSE)</f>
        <v>0</v>
      </c>
      <c r="U50" s="68">
        <f t="shared" si="14"/>
        <v>33169.589999999997</v>
      </c>
      <c r="V50" s="116">
        <f>+VLOOKUP($B50,'datos9-2015'!$A$2:$BE$78,31,FALSE)</f>
        <v>0</v>
      </c>
      <c r="W50" s="116">
        <f>+VLOOKUP($B50,'datos9-2015'!$A$2:$BE$78,32,FALSE)</f>
        <v>0</v>
      </c>
      <c r="X50" s="117">
        <f t="shared" si="15"/>
        <v>0</v>
      </c>
      <c r="Y50" s="118">
        <f t="shared" si="16"/>
        <v>642202.34000000008</v>
      </c>
      <c r="Z50" s="116">
        <f>+VLOOKUP($B50,'datos9-2015'!$A$2:$BE$78,35,FALSE)</f>
        <v>0</v>
      </c>
      <c r="AA50" s="116">
        <f>+VLOOKUP($B50,'datos9-2015'!$A$2:$BE$78,36,FALSE)</f>
        <v>0</v>
      </c>
      <c r="AB50" s="116">
        <f>+VLOOKUP($B50,'datos9-2015'!$A$2:$BE$78,37,FALSE)</f>
        <v>0</v>
      </c>
      <c r="AC50" s="116">
        <f>+VLOOKUP($B50,'datos9-2015'!$A$2:$BE$78,38,FALSE)</f>
        <v>0</v>
      </c>
      <c r="AD50" s="116">
        <f>+VLOOKUP($B50,'datos9-2015'!$A$2:$BE$78,39,FALSE)</f>
        <v>0</v>
      </c>
      <c r="AE50" s="68">
        <f t="shared" si="17"/>
        <v>0</v>
      </c>
      <c r="AF50" s="116">
        <f>+VLOOKUP($B50,'datos9-2015'!$A$2:$BE$78,42,FALSE)</f>
        <v>574182.66</v>
      </c>
      <c r="AG50" s="116">
        <f>+VLOOKUP($B50,'datos9-2015'!$A$2:$BE$78,44,FALSE)</f>
        <v>0</v>
      </c>
      <c r="AH50" s="116">
        <f>+VLOOKUP($B50,'datos9-2015'!$A$2:$BE$78,45,FALSE)</f>
        <v>0</v>
      </c>
      <c r="AI50" s="116">
        <f>+VLOOKUP($B50,'datos9-2015'!$A$2:$BE$78,46,FALSE)</f>
        <v>0</v>
      </c>
      <c r="AJ50" s="68">
        <f t="shared" si="18"/>
        <v>574182.66</v>
      </c>
      <c r="AK50" s="116">
        <f>+VLOOKUP($B50,'datos9-2015'!$A$2:$BE$78,49,FALSE)</f>
        <v>0</v>
      </c>
      <c r="AL50" s="116">
        <f>+VLOOKUP($B50,'datos9-2015'!$A$2:$BE$78,50,FALSE)</f>
        <v>0</v>
      </c>
      <c r="AM50" s="116">
        <f>+VLOOKUP($B50,'datos9-2015'!$A$2:$BE$78,51,FALSE)</f>
        <v>0</v>
      </c>
      <c r="AN50" s="116">
        <f>+VLOOKUP($B50,'datos9-2015'!$A$2:$BE$78,52,FALSE)</f>
        <v>0</v>
      </c>
      <c r="AO50" s="119">
        <f t="shared" si="19"/>
        <v>0</v>
      </c>
      <c r="AP50" s="116">
        <f>+VLOOKUP($B50,'datos9-2015'!$A$2:$BE$78,55,FALSE)</f>
        <v>0</v>
      </c>
      <c r="AQ50" s="118">
        <f t="shared" si="20"/>
        <v>574182.66</v>
      </c>
      <c r="AS50" s="120">
        <f t="shared" si="21"/>
        <v>1216385</v>
      </c>
    </row>
    <row r="51" spans="2:45" x14ac:dyDescent="0.2">
      <c r="B51" s="18" t="s">
        <v>102</v>
      </c>
      <c r="C51" s="115"/>
      <c r="D51" s="116">
        <f>+VLOOKUP($B51,'datos9-2015'!$A$2:$BE$78,13,FALSE)</f>
        <v>0</v>
      </c>
      <c r="E51" s="116">
        <f>+VLOOKUP($B51,'datos9-2015'!$A$2:$BE$78,14,FALSE)</f>
        <v>0</v>
      </c>
      <c r="F51" s="116">
        <f>+VLOOKUP($B51,'datos9-2015'!$A$2:$BE$78,15,FALSE)</f>
        <v>0</v>
      </c>
      <c r="G51" s="68">
        <f t="shared" si="11"/>
        <v>0</v>
      </c>
      <c r="H51" s="116">
        <f>+VLOOKUP($B51,'datos9-2015'!$A$2:$BE$78,17,FALSE)</f>
        <v>0</v>
      </c>
      <c r="I51" s="116">
        <f>+VLOOKUP($B51,'datos9-2015'!$A$2:$BE$78,18,FALSE)</f>
        <v>0</v>
      </c>
      <c r="J51" s="116">
        <f>+VLOOKUP($B51,'datos9-2015'!$A$2:$BE$78,19,FALSE)</f>
        <v>0</v>
      </c>
      <c r="K51" s="116">
        <f>+VLOOKUP($B51,'datos9-2015'!$A$2:$BE$78,20,FALSE)</f>
        <v>0</v>
      </c>
      <c r="L51" s="68">
        <f t="shared" si="12"/>
        <v>0</v>
      </c>
      <c r="M51" s="116">
        <f>+VLOOKUP($B51,'datos9-2015'!$A$2:$BE$78,22,FALSE)</f>
        <v>935538</v>
      </c>
      <c r="N51" s="116">
        <f>+VLOOKUP($B51,'datos9-2015'!$A$2:$BE$78,23,FALSE)</f>
        <v>0</v>
      </c>
      <c r="O51" s="116">
        <f>+VLOOKUP($B51,'datos9-2015'!$A$2:$BE$78,24,FALSE)</f>
        <v>0</v>
      </c>
      <c r="P51" s="68">
        <f t="shared" si="13"/>
        <v>935538</v>
      </c>
      <c r="Q51" s="116">
        <f>+VLOOKUP($B51,'datos9-2015'!$A$2:$BE$78,26,FALSE)</f>
        <v>0</v>
      </c>
      <c r="R51" s="116">
        <f>+VLOOKUP($B51,'datos9-2015'!$A$2:$BE$78,27,FALSE)</f>
        <v>0</v>
      </c>
      <c r="S51" s="116">
        <f>+VLOOKUP($B51,'datos9-2015'!$A$2:$BE$78,28,FALSE)</f>
        <v>0</v>
      </c>
      <c r="T51" s="116">
        <f>+VLOOKUP($B51,'datos9-2015'!$A$2:$BE$78,29,FALSE)</f>
        <v>0</v>
      </c>
      <c r="U51" s="68">
        <f t="shared" si="14"/>
        <v>0</v>
      </c>
      <c r="V51" s="116">
        <f>+VLOOKUP($B51,'datos9-2015'!$A$2:$BE$78,31,FALSE)</f>
        <v>0</v>
      </c>
      <c r="W51" s="116">
        <f>+VLOOKUP($B51,'datos9-2015'!$A$2:$BE$78,32,FALSE)</f>
        <v>0</v>
      </c>
      <c r="X51" s="117">
        <f t="shared" si="15"/>
        <v>0</v>
      </c>
      <c r="Y51" s="118">
        <f t="shared" si="16"/>
        <v>935538</v>
      </c>
      <c r="Z51" s="116">
        <f>+VLOOKUP($B51,'datos9-2015'!$A$2:$BE$78,35,FALSE)</f>
        <v>0</v>
      </c>
      <c r="AA51" s="116">
        <f>+VLOOKUP($B51,'datos9-2015'!$A$2:$BE$78,36,FALSE)</f>
        <v>329620</v>
      </c>
      <c r="AB51" s="116">
        <f>+VLOOKUP($B51,'datos9-2015'!$A$2:$BE$78,37,FALSE)</f>
        <v>0</v>
      </c>
      <c r="AC51" s="116">
        <f>+VLOOKUP($B51,'datos9-2015'!$A$2:$BE$78,38,FALSE)</f>
        <v>0</v>
      </c>
      <c r="AD51" s="116">
        <f>+VLOOKUP($B51,'datos9-2015'!$A$2:$BE$78,39,FALSE)</f>
        <v>0</v>
      </c>
      <c r="AE51" s="68">
        <f t="shared" si="17"/>
        <v>329620</v>
      </c>
      <c r="AF51" s="116">
        <f>+VLOOKUP($B51,'datos9-2015'!$A$2:$BE$78,42,FALSE)</f>
        <v>0</v>
      </c>
      <c r="AG51" s="116">
        <f>+VLOOKUP($B51,'datos9-2015'!$A$2:$BE$78,44,FALSE)</f>
        <v>0</v>
      </c>
      <c r="AH51" s="116">
        <f>+VLOOKUP($B51,'datos9-2015'!$A$2:$BE$78,45,FALSE)</f>
        <v>0</v>
      </c>
      <c r="AI51" s="116">
        <f>+VLOOKUP($B51,'datos9-2015'!$A$2:$BE$78,46,FALSE)</f>
        <v>0</v>
      </c>
      <c r="AJ51" s="68">
        <f t="shared" si="18"/>
        <v>0</v>
      </c>
      <c r="AK51" s="116">
        <f>+VLOOKUP($B51,'datos9-2015'!$A$2:$BE$78,49,FALSE)</f>
        <v>0</v>
      </c>
      <c r="AL51" s="116">
        <f>+VLOOKUP($B51,'datos9-2015'!$A$2:$BE$78,50,FALSE)</f>
        <v>0</v>
      </c>
      <c r="AM51" s="116">
        <f>+VLOOKUP($B51,'datos9-2015'!$A$2:$BE$78,51,FALSE)</f>
        <v>0</v>
      </c>
      <c r="AN51" s="116">
        <f>+VLOOKUP($B51,'datos9-2015'!$A$2:$BE$78,52,FALSE)</f>
        <v>0</v>
      </c>
      <c r="AO51" s="119">
        <f t="shared" si="19"/>
        <v>0</v>
      </c>
      <c r="AP51" s="116">
        <f>+VLOOKUP($B51,'datos9-2015'!$A$2:$BE$78,55,FALSE)</f>
        <v>0</v>
      </c>
      <c r="AQ51" s="118">
        <f t="shared" si="20"/>
        <v>329620</v>
      </c>
      <c r="AS51" s="120">
        <f t="shared" si="21"/>
        <v>1265158</v>
      </c>
    </row>
    <row r="52" spans="2:45" x14ac:dyDescent="0.2">
      <c r="B52" s="18" t="s">
        <v>126</v>
      </c>
      <c r="C52" s="115"/>
      <c r="D52" s="116">
        <f>+VLOOKUP($B52,'datos9-2015'!$A$2:$BE$78,13,FALSE)</f>
        <v>104209.03</v>
      </c>
      <c r="E52" s="116">
        <f>+VLOOKUP($B52,'datos9-2015'!$A$2:$BE$78,14,FALSE)</f>
        <v>0</v>
      </c>
      <c r="F52" s="116">
        <f>+VLOOKUP($B52,'datos9-2015'!$A$2:$BE$78,15,FALSE)</f>
        <v>0</v>
      </c>
      <c r="G52" s="68">
        <f t="shared" si="11"/>
        <v>104209.03</v>
      </c>
      <c r="H52" s="116">
        <f>+VLOOKUP($B52,'datos9-2015'!$A$2:$BE$78,17,FALSE)</f>
        <v>38161.01</v>
      </c>
      <c r="I52" s="116">
        <f>+VLOOKUP($B52,'datos9-2015'!$A$2:$BE$78,18,FALSE)</f>
        <v>0</v>
      </c>
      <c r="J52" s="116">
        <f>+VLOOKUP($B52,'datos9-2015'!$A$2:$BE$78,19,FALSE)</f>
        <v>25543.599999999999</v>
      </c>
      <c r="K52" s="116">
        <f>+VLOOKUP($B52,'datos9-2015'!$A$2:$BE$78,20,FALSE)</f>
        <v>91105.06</v>
      </c>
      <c r="L52" s="68">
        <f t="shared" si="12"/>
        <v>154809.66999999998</v>
      </c>
      <c r="M52" s="116">
        <f>+VLOOKUP($B52,'datos9-2015'!$A$2:$BE$78,22,FALSE)</f>
        <v>0</v>
      </c>
      <c r="N52" s="116">
        <f>+VLOOKUP($B52,'datos9-2015'!$A$2:$BE$78,23,FALSE)</f>
        <v>0</v>
      </c>
      <c r="O52" s="116">
        <f>+VLOOKUP($B52,'datos9-2015'!$A$2:$BE$78,24,FALSE)</f>
        <v>0</v>
      </c>
      <c r="P52" s="68">
        <f t="shared" si="13"/>
        <v>0</v>
      </c>
      <c r="Q52" s="116">
        <f>+VLOOKUP($B52,'datos9-2015'!$A$2:$BE$78,26,FALSE)</f>
        <v>1600.61</v>
      </c>
      <c r="R52" s="116">
        <f>+VLOOKUP($B52,'datos9-2015'!$A$2:$BE$78,27,FALSE)</f>
        <v>0</v>
      </c>
      <c r="S52" s="116">
        <f>+VLOOKUP($B52,'datos9-2015'!$A$2:$BE$78,28,FALSE)</f>
        <v>0</v>
      </c>
      <c r="T52" s="116">
        <f>+VLOOKUP($B52,'datos9-2015'!$A$2:$BE$78,29,FALSE)</f>
        <v>0</v>
      </c>
      <c r="U52" s="68">
        <f t="shared" si="14"/>
        <v>1600.61</v>
      </c>
      <c r="V52" s="116">
        <f>+VLOOKUP($B52,'datos9-2015'!$A$2:$BE$78,31,FALSE)</f>
        <v>0</v>
      </c>
      <c r="W52" s="116">
        <f>+VLOOKUP($B52,'datos9-2015'!$A$2:$BE$78,32,FALSE)</f>
        <v>0</v>
      </c>
      <c r="X52" s="117">
        <f t="shared" si="15"/>
        <v>0</v>
      </c>
      <c r="Y52" s="118">
        <f t="shared" si="16"/>
        <v>260619.30999999997</v>
      </c>
      <c r="Z52" s="116">
        <f>+VLOOKUP($B52,'datos9-2015'!$A$2:$BE$78,35,FALSE)</f>
        <v>0</v>
      </c>
      <c r="AA52" s="116">
        <f>+VLOOKUP($B52,'datos9-2015'!$A$2:$BE$78,36,FALSE)</f>
        <v>0</v>
      </c>
      <c r="AB52" s="116">
        <f>+VLOOKUP($B52,'datos9-2015'!$A$2:$BE$78,37,FALSE)</f>
        <v>0</v>
      </c>
      <c r="AC52" s="116">
        <f>+VLOOKUP($B52,'datos9-2015'!$A$2:$BE$78,38,FALSE)</f>
        <v>0</v>
      </c>
      <c r="AD52" s="116">
        <f>+VLOOKUP($B52,'datos9-2015'!$A$2:$BE$78,39,FALSE)</f>
        <v>0</v>
      </c>
      <c r="AE52" s="68">
        <f t="shared" si="17"/>
        <v>0</v>
      </c>
      <c r="AF52" s="116">
        <f>+VLOOKUP($B52,'datos9-2015'!$A$2:$BE$78,42,FALSE)</f>
        <v>0</v>
      </c>
      <c r="AG52" s="116">
        <f>+VLOOKUP($B52,'datos9-2015'!$A$2:$BE$78,44,FALSE)</f>
        <v>0</v>
      </c>
      <c r="AH52" s="116">
        <f>+VLOOKUP($B52,'datos9-2015'!$A$2:$BE$78,45,FALSE)</f>
        <v>0</v>
      </c>
      <c r="AI52" s="116">
        <f>+VLOOKUP($B52,'datos9-2015'!$A$2:$BE$78,46,FALSE)</f>
        <v>0</v>
      </c>
      <c r="AJ52" s="68">
        <f t="shared" si="18"/>
        <v>0</v>
      </c>
      <c r="AK52" s="116">
        <f>+VLOOKUP($B52,'datos9-2015'!$A$2:$BE$78,49,FALSE)</f>
        <v>0</v>
      </c>
      <c r="AL52" s="116">
        <f>+VLOOKUP($B52,'datos9-2015'!$A$2:$BE$78,50,FALSE)</f>
        <v>0</v>
      </c>
      <c r="AM52" s="116">
        <f>+VLOOKUP($B52,'datos9-2015'!$A$2:$BE$78,51,FALSE)</f>
        <v>0</v>
      </c>
      <c r="AN52" s="116">
        <f>+VLOOKUP($B52,'datos9-2015'!$A$2:$BE$78,52,FALSE)</f>
        <v>0</v>
      </c>
      <c r="AO52" s="119">
        <f t="shared" si="19"/>
        <v>0</v>
      </c>
      <c r="AP52" s="116">
        <f>+VLOOKUP($B52,'datos9-2015'!$A$2:$BE$78,55,FALSE)</f>
        <v>0</v>
      </c>
      <c r="AQ52" s="118">
        <f t="shared" si="20"/>
        <v>0</v>
      </c>
      <c r="AS52" s="120">
        <f t="shared" si="21"/>
        <v>260619.30999999997</v>
      </c>
    </row>
    <row r="53" spans="2:45" x14ac:dyDescent="0.2">
      <c r="B53" s="18" t="s">
        <v>103</v>
      </c>
      <c r="C53" s="115"/>
      <c r="D53" s="116">
        <f>+VLOOKUP($B53,'datos9-2015'!$A$2:$BE$78,13,FALSE)</f>
        <v>20526</v>
      </c>
      <c r="E53" s="116">
        <f>+VLOOKUP($B53,'datos9-2015'!$A$2:$BE$78,14,FALSE)</f>
        <v>0</v>
      </c>
      <c r="F53" s="116">
        <f>+VLOOKUP($B53,'datos9-2015'!$A$2:$BE$78,15,FALSE)</f>
        <v>0</v>
      </c>
      <c r="G53" s="68">
        <f t="shared" si="11"/>
        <v>20526</v>
      </c>
      <c r="H53" s="116">
        <f>+VLOOKUP($B53,'datos9-2015'!$A$2:$BE$78,17,FALSE)</f>
        <v>9868</v>
      </c>
      <c r="I53" s="116">
        <f>+VLOOKUP($B53,'datos9-2015'!$A$2:$BE$78,18,FALSE)</f>
        <v>0</v>
      </c>
      <c r="J53" s="116">
        <f>+VLOOKUP($B53,'datos9-2015'!$A$2:$BE$78,19,FALSE)</f>
        <v>0</v>
      </c>
      <c r="K53" s="116">
        <f>+VLOOKUP($B53,'datos9-2015'!$A$2:$BE$78,20,FALSE)</f>
        <v>53257</v>
      </c>
      <c r="L53" s="68">
        <f t="shared" si="12"/>
        <v>63125</v>
      </c>
      <c r="M53" s="116">
        <f>+VLOOKUP($B53,'datos9-2015'!$A$2:$BE$78,22,FALSE)</f>
        <v>0</v>
      </c>
      <c r="N53" s="116">
        <f>+VLOOKUP($B53,'datos9-2015'!$A$2:$BE$78,23,FALSE)</f>
        <v>0</v>
      </c>
      <c r="O53" s="116">
        <f>+VLOOKUP($B53,'datos9-2015'!$A$2:$BE$78,24,FALSE)</f>
        <v>0</v>
      </c>
      <c r="P53" s="68">
        <f t="shared" si="13"/>
        <v>0</v>
      </c>
      <c r="Q53" s="116">
        <f>+VLOOKUP($B53,'datos9-2015'!$A$2:$BE$78,26,FALSE)</f>
        <v>0</v>
      </c>
      <c r="R53" s="116">
        <f>+VLOOKUP($B53,'datos9-2015'!$A$2:$BE$78,27,FALSE)</f>
        <v>0</v>
      </c>
      <c r="S53" s="116">
        <f>+VLOOKUP($B53,'datos9-2015'!$A$2:$BE$78,28,FALSE)</f>
        <v>0</v>
      </c>
      <c r="T53" s="116">
        <f>+VLOOKUP($B53,'datos9-2015'!$A$2:$BE$78,29,FALSE)</f>
        <v>2561</v>
      </c>
      <c r="U53" s="68">
        <f t="shared" si="14"/>
        <v>2561</v>
      </c>
      <c r="V53" s="116">
        <f>+VLOOKUP($B53,'datos9-2015'!$A$2:$BE$78,31,FALSE)</f>
        <v>0</v>
      </c>
      <c r="W53" s="116">
        <f>+VLOOKUP($B53,'datos9-2015'!$A$2:$BE$78,32,FALSE)</f>
        <v>0</v>
      </c>
      <c r="X53" s="117">
        <f t="shared" si="15"/>
        <v>0</v>
      </c>
      <c r="Y53" s="118">
        <f t="shared" si="16"/>
        <v>86212</v>
      </c>
      <c r="Z53" s="116">
        <f>+VLOOKUP($B53,'datos9-2015'!$A$2:$BE$78,35,FALSE)</f>
        <v>0</v>
      </c>
      <c r="AA53" s="116">
        <f>+VLOOKUP($B53,'datos9-2015'!$A$2:$BE$78,36,FALSE)</f>
        <v>0</v>
      </c>
      <c r="AB53" s="116">
        <f>+VLOOKUP($B53,'datos9-2015'!$A$2:$BE$78,37,FALSE)</f>
        <v>0</v>
      </c>
      <c r="AC53" s="116">
        <f>+VLOOKUP($B53,'datos9-2015'!$A$2:$BE$78,38,FALSE)</f>
        <v>0</v>
      </c>
      <c r="AD53" s="116">
        <f>+VLOOKUP($B53,'datos9-2015'!$A$2:$BE$78,39,FALSE)</f>
        <v>0</v>
      </c>
      <c r="AE53" s="68">
        <f t="shared" si="17"/>
        <v>0</v>
      </c>
      <c r="AF53" s="116">
        <f>+VLOOKUP($B53,'datos9-2015'!$A$2:$BE$78,42,FALSE)</f>
        <v>11703</v>
      </c>
      <c r="AG53" s="116">
        <f>+VLOOKUP($B53,'datos9-2015'!$A$2:$BE$78,44,FALSE)</f>
        <v>17750</v>
      </c>
      <c r="AH53" s="116">
        <f>+VLOOKUP($B53,'datos9-2015'!$A$2:$BE$78,45,FALSE)</f>
        <v>0</v>
      </c>
      <c r="AI53" s="116">
        <f>+VLOOKUP($B53,'datos9-2015'!$A$2:$BE$78,46,FALSE)</f>
        <v>0</v>
      </c>
      <c r="AJ53" s="68">
        <f t="shared" si="18"/>
        <v>29453</v>
      </c>
      <c r="AK53" s="116">
        <f>+VLOOKUP($B53,'datos9-2015'!$A$2:$BE$78,49,FALSE)</f>
        <v>0</v>
      </c>
      <c r="AL53" s="116">
        <f>+VLOOKUP($B53,'datos9-2015'!$A$2:$BE$78,50,FALSE)</f>
        <v>0</v>
      </c>
      <c r="AM53" s="116">
        <f>+VLOOKUP($B53,'datos9-2015'!$A$2:$BE$78,51,FALSE)</f>
        <v>0</v>
      </c>
      <c r="AN53" s="116">
        <f>+VLOOKUP($B53,'datos9-2015'!$A$2:$BE$78,52,FALSE)</f>
        <v>0</v>
      </c>
      <c r="AO53" s="119">
        <f t="shared" si="19"/>
        <v>0</v>
      </c>
      <c r="AP53" s="116">
        <f>+VLOOKUP($B53,'datos9-2015'!$A$2:$BE$78,55,FALSE)</f>
        <v>0</v>
      </c>
      <c r="AQ53" s="118">
        <f t="shared" si="20"/>
        <v>29453</v>
      </c>
      <c r="AS53" s="120">
        <f t="shared" si="21"/>
        <v>115665</v>
      </c>
    </row>
    <row r="54" spans="2:45" x14ac:dyDescent="0.2">
      <c r="B54" s="18" t="s">
        <v>104</v>
      </c>
      <c r="C54" s="115"/>
      <c r="D54" s="116">
        <f>+VLOOKUP($B54,'datos9-2015'!$A$2:$BE$78,13,FALSE)</f>
        <v>206588.7</v>
      </c>
      <c r="E54" s="116">
        <f>+VLOOKUP($B54,'datos9-2015'!$A$2:$BE$78,14,FALSE)</f>
        <v>0</v>
      </c>
      <c r="F54" s="116">
        <f>+VLOOKUP($B54,'datos9-2015'!$A$2:$BE$78,15,FALSE)</f>
        <v>129528.74</v>
      </c>
      <c r="G54" s="68">
        <f t="shared" si="11"/>
        <v>336117.44</v>
      </c>
      <c r="H54" s="116">
        <f>+VLOOKUP($B54,'datos9-2015'!$A$2:$BE$78,17,FALSE)</f>
        <v>0</v>
      </c>
      <c r="I54" s="116">
        <f>+VLOOKUP($B54,'datos9-2015'!$A$2:$BE$78,18,FALSE)</f>
        <v>876.39</v>
      </c>
      <c r="J54" s="116">
        <f>+VLOOKUP($B54,'datos9-2015'!$A$2:$BE$78,19,FALSE)</f>
        <v>0</v>
      </c>
      <c r="K54" s="116">
        <f>+VLOOKUP($B54,'datos9-2015'!$A$2:$BE$78,20,FALSE)</f>
        <v>0</v>
      </c>
      <c r="L54" s="68">
        <f t="shared" si="12"/>
        <v>876.39</v>
      </c>
      <c r="M54" s="116">
        <f>+VLOOKUP($B54,'datos9-2015'!$A$2:$BE$78,22,FALSE)</f>
        <v>0</v>
      </c>
      <c r="N54" s="116">
        <f>+VLOOKUP($B54,'datos9-2015'!$A$2:$BE$78,23,FALSE)</f>
        <v>0</v>
      </c>
      <c r="O54" s="116">
        <f>+VLOOKUP($B54,'datos9-2015'!$A$2:$BE$78,24,FALSE)</f>
        <v>0</v>
      </c>
      <c r="P54" s="68">
        <f t="shared" si="13"/>
        <v>0</v>
      </c>
      <c r="Q54" s="116">
        <f>+VLOOKUP($B54,'datos9-2015'!$A$2:$BE$78,26,FALSE)</f>
        <v>0</v>
      </c>
      <c r="R54" s="116">
        <f>+VLOOKUP($B54,'datos9-2015'!$A$2:$BE$78,27,FALSE)</f>
        <v>0</v>
      </c>
      <c r="S54" s="116">
        <f>+VLOOKUP($B54,'datos9-2015'!$A$2:$BE$78,28,FALSE)</f>
        <v>0</v>
      </c>
      <c r="T54" s="116">
        <f>+VLOOKUP($B54,'datos9-2015'!$A$2:$BE$78,29,FALSE)</f>
        <v>0</v>
      </c>
      <c r="U54" s="68">
        <f t="shared" si="14"/>
        <v>0</v>
      </c>
      <c r="V54" s="116">
        <f>+VLOOKUP($B54,'datos9-2015'!$A$2:$BE$78,31,FALSE)</f>
        <v>0</v>
      </c>
      <c r="W54" s="116">
        <f>+VLOOKUP($B54,'datos9-2015'!$A$2:$BE$78,32,FALSE)</f>
        <v>0</v>
      </c>
      <c r="X54" s="117">
        <f t="shared" si="15"/>
        <v>0</v>
      </c>
      <c r="Y54" s="118">
        <f t="shared" si="16"/>
        <v>336993.83</v>
      </c>
      <c r="Z54" s="116">
        <f>+VLOOKUP($B54,'datos9-2015'!$A$2:$BE$78,35,FALSE)</f>
        <v>0</v>
      </c>
      <c r="AA54" s="116">
        <f>+VLOOKUP($B54,'datos9-2015'!$A$2:$BE$78,36,FALSE)</f>
        <v>0</v>
      </c>
      <c r="AB54" s="116">
        <f>+VLOOKUP($B54,'datos9-2015'!$A$2:$BE$78,37,FALSE)</f>
        <v>0</v>
      </c>
      <c r="AC54" s="116">
        <f>+VLOOKUP($B54,'datos9-2015'!$A$2:$BE$78,38,FALSE)</f>
        <v>800</v>
      </c>
      <c r="AD54" s="116">
        <f>+VLOOKUP($B54,'datos9-2015'!$A$2:$BE$78,39,FALSE)</f>
        <v>0</v>
      </c>
      <c r="AE54" s="68">
        <f t="shared" si="17"/>
        <v>800</v>
      </c>
      <c r="AF54" s="116">
        <f>+VLOOKUP($B54,'datos9-2015'!$A$2:$BE$78,42,FALSE)</f>
        <v>0</v>
      </c>
      <c r="AG54" s="116">
        <f>+VLOOKUP($B54,'datos9-2015'!$A$2:$BE$78,44,FALSE)</f>
        <v>0</v>
      </c>
      <c r="AH54" s="116">
        <f>+VLOOKUP($B54,'datos9-2015'!$A$2:$BE$78,45,FALSE)</f>
        <v>0</v>
      </c>
      <c r="AI54" s="116">
        <f>+VLOOKUP($B54,'datos9-2015'!$A$2:$BE$78,46,FALSE)</f>
        <v>0</v>
      </c>
      <c r="AJ54" s="68">
        <f t="shared" si="18"/>
        <v>0</v>
      </c>
      <c r="AK54" s="116">
        <f>+VLOOKUP($B54,'datos9-2015'!$A$2:$BE$78,49,FALSE)</f>
        <v>-3869.6</v>
      </c>
      <c r="AL54" s="116">
        <f>+VLOOKUP($B54,'datos9-2015'!$A$2:$BE$78,50,FALSE)</f>
        <v>0</v>
      </c>
      <c r="AM54" s="116">
        <f>+VLOOKUP($B54,'datos9-2015'!$A$2:$BE$78,51,FALSE)</f>
        <v>0</v>
      </c>
      <c r="AN54" s="116">
        <f>+VLOOKUP($B54,'datos9-2015'!$A$2:$BE$78,52,FALSE)</f>
        <v>0</v>
      </c>
      <c r="AO54" s="119">
        <f t="shared" si="19"/>
        <v>-3869.6</v>
      </c>
      <c r="AP54" s="116">
        <f>+VLOOKUP($B54,'datos9-2015'!$A$2:$BE$78,55,FALSE)</f>
        <v>0</v>
      </c>
      <c r="AQ54" s="118">
        <f t="shared" si="20"/>
        <v>-3069.6</v>
      </c>
      <c r="AS54" s="120">
        <f t="shared" si="21"/>
        <v>333924.23000000004</v>
      </c>
    </row>
    <row r="55" spans="2:45" x14ac:dyDescent="0.2">
      <c r="B55" s="18" t="s">
        <v>91</v>
      </c>
      <c r="C55" s="115"/>
      <c r="D55" s="116">
        <f>+VLOOKUP($B55,'datos9-2015'!$A$2:$BE$78,13,FALSE)</f>
        <v>0</v>
      </c>
      <c r="E55" s="116">
        <f>+VLOOKUP($B55,'datos9-2015'!$A$2:$BE$78,14,FALSE)</f>
        <v>0</v>
      </c>
      <c r="F55" s="116">
        <f>+VLOOKUP($B55,'datos9-2015'!$A$2:$BE$78,15,FALSE)</f>
        <v>0</v>
      </c>
      <c r="G55" s="68">
        <f t="shared" si="11"/>
        <v>0</v>
      </c>
      <c r="H55" s="116">
        <f>+VLOOKUP($B55,'datos9-2015'!$A$2:$BE$78,17,FALSE)</f>
        <v>70131.789999999994</v>
      </c>
      <c r="I55" s="116">
        <f>+VLOOKUP($B55,'datos9-2015'!$A$2:$BE$78,18,FALSE)</f>
        <v>0</v>
      </c>
      <c r="J55" s="116">
        <f>+VLOOKUP($B55,'datos9-2015'!$A$2:$BE$78,19,FALSE)</f>
        <v>0</v>
      </c>
      <c r="K55" s="116">
        <f>+VLOOKUP($B55,'datos9-2015'!$A$2:$BE$78,20,FALSE)</f>
        <v>0</v>
      </c>
      <c r="L55" s="68">
        <f t="shared" si="12"/>
        <v>70131.789999999994</v>
      </c>
      <c r="M55" s="116">
        <f>+VLOOKUP($B55,'datos9-2015'!$A$2:$BE$78,22,FALSE)</f>
        <v>0</v>
      </c>
      <c r="N55" s="116">
        <f>+VLOOKUP($B55,'datos9-2015'!$A$2:$BE$78,23,FALSE)</f>
        <v>0</v>
      </c>
      <c r="O55" s="116">
        <f>+VLOOKUP($B55,'datos9-2015'!$A$2:$BE$78,24,FALSE)</f>
        <v>0</v>
      </c>
      <c r="P55" s="68">
        <f t="shared" si="13"/>
        <v>0</v>
      </c>
      <c r="Q55" s="116">
        <f>+VLOOKUP($B55,'datos9-2015'!$A$2:$BE$78,26,FALSE)</f>
        <v>0</v>
      </c>
      <c r="R55" s="116">
        <f>+VLOOKUP($B55,'datos9-2015'!$A$2:$BE$78,27,FALSE)</f>
        <v>0</v>
      </c>
      <c r="S55" s="116">
        <f>+VLOOKUP($B55,'datos9-2015'!$A$2:$BE$78,28,FALSE)</f>
        <v>0</v>
      </c>
      <c r="T55" s="116">
        <f>+VLOOKUP($B55,'datos9-2015'!$A$2:$BE$78,29,FALSE)</f>
        <v>0</v>
      </c>
      <c r="U55" s="68">
        <f t="shared" si="14"/>
        <v>0</v>
      </c>
      <c r="V55" s="116">
        <f>+VLOOKUP($B55,'datos9-2015'!$A$2:$BE$78,31,FALSE)</f>
        <v>0</v>
      </c>
      <c r="W55" s="116">
        <f>+VLOOKUP($B55,'datos9-2015'!$A$2:$BE$78,32,FALSE)</f>
        <v>0</v>
      </c>
      <c r="X55" s="117">
        <f t="shared" si="15"/>
        <v>0</v>
      </c>
      <c r="Y55" s="118">
        <f t="shared" si="16"/>
        <v>70131.789999999994</v>
      </c>
      <c r="Z55" s="116">
        <f>+VLOOKUP($B55,'datos9-2015'!$A$2:$BE$78,35,FALSE)</f>
        <v>0</v>
      </c>
      <c r="AA55" s="116">
        <f>+VLOOKUP($B55,'datos9-2015'!$A$2:$BE$78,36,FALSE)</f>
        <v>0</v>
      </c>
      <c r="AB55" s="116">
        <f>+VLOOKUP($B55,'datos9-2015'!$A$2:$BE$78,37,FALSE)</f>
        <v>0</v>
      </c>
      <c r="AC55" s="116">
        <f>+VLOOKUP($B55,'datos9-2015'!$A$2:$BE$78,38,FALSE)</f>
        <v>0</v>
      </c>
      <c r="AD55" s="116">
        <f>+VLOOKUP($B55,'datos9-2015'!$A$2:$BE$78,39,FALSE)</f>
        <v>0</v>
      </c>
      <c r="AE55" s="68">
        <f t="shared" si="17"/>
        <v>0</v>
      </c>
      <c r="AF55" s="116">
        <f>+VLOOKUP($B55,'datos9-2015'!$A$2:$BE$78,42,FALSE)</f>
        <v>0</v>
      </c>
      <c r="AG55" s="116">
        <f>+VLOOKUP($B55,'datos9-2015'!$A$2:$BE$78,44,FALSE)</f>
        <v>0</v>
      </c>
      <c r="AH55" s="116">
        <f>+VLOOKUP($B55,'datos9-2015'!$A$2:$BE$78,45,FALSE)</f>
        <v>0</v>
      </c>
      <c r="AI55" s="116">
        <f>+VLOOKUP($B55,'datos9-2015'!$A$2:$BE$78,46,FALSE)</f>
        <v>0</v>
      </c>
      <c r="AJ55" s="68">
        <f t="shared" si="18"/>
        <v>0</v>
      </c>
      <c r="AK55" s="116">
        <f>+VLOOKUP($B55,'datos9-2015'!$A$2:$BE$78,49,FALSE)</f>
        <v>2738.38</v>
      </c>
      <c r="AL55" s="116">
        <f>+VLOOKUP($B55,'datos9-2015'!$A$2:$BE$78,50,FALSE)</f>
        <v>0</v>
      </c>
      <c r="AM55" s="116">
        <f>+VLOOKUP($B55,'datos9-2015'!$A$2:$BE$78,51,FALSE)</f>
        <v>0</v>
      </c>
      <c r="AN55" s="116">
        <f>+VLOOKUP($B55,'datos9-2015'!$A$2:$BE$78,52,FALSE)</f>
        <v>0</v>
      </c>
      <c r="AO55" s="119">
        <f t="shared" si="19"/>
        <v>2738.38</v>
      </c>
      <c r="AP55" s="116">
        <f>+VLOOKUP($B55,'datos9-2015'!$A$2:$BE$78,55,FALSE)</f>
        <v>0</v>
      </c>
      <c r="AQ55" s="118">
        <f t="shared" si="20"/>
        <v>2738.38</v>
      </c>
      <c r="AS55" s="120">
        <f t="shared" si="21"/>
        <v>72870.17</v>
      </c>
    </row>
    <row r="56" spans="2:45" x14ac:dyDescent="0.2">
      <c r="B56" s="18" t="s">
        <v>105</v>
      </c>
      <c r="C56" s="115"/>
      <c r="D56" s="116">
        <f>+VLOOKUP($B56,'datos9-2015'!$A$2:$BE$78,13,FALSE)</f>
        <v>410320.88</v>
      </c>
      <c r="E56" s="116">
        <f>+VLOOKUP($B56,'datos9-2015'!$A$2:$BE$78,14,FALSE)</f>
        <v>0</v>
      </c>
      <c r="F56" s="116">
        <f>+VLOOKUP($B56,'datos9-2015'!$A$2:$BE$78,15,FALSE)</f>
        <v>54728.4</v>
      </c>
      <c r="G56" s="68">
        <f t="shared" si="11"/>
        <v>465049.28</v>
      </c>
      <c r="H56" s="116">
        <f>+VLOOKUP($B56,'datos9-2015'!$A$2:$BE$78,17,FALSE)</f>
        <v>119620.03</v>
      </c>
      <c r="I56" s="116">
        <f>+VLOOKUP($B56,'datos9-2015'!$A$2:$BE$78,18,FALSE)</f>
        <v>0</v>
      </c>
      <c r="J56" s="116">
        <f>+VLOOKUP($B56,'datos9-2015'!$A$2:$BE$78,19,FALSE)</f>
        <v>0</v>
      </c>
      <c r="K56" s="116">
        <f>+VLOOKUP($B56,'datos9-2015'!$A$2:$BE$78,20,FALSE)</f>
        <v>435270.25</v>
      </c>
      <c r="L56" s="68">
        <f t="shared" si="12"/>
        <v>554890.28</v>
      </c>
      <c r="M56" s="116">
        <f>+VLOOKUP($B56,'datos9-2015'!$A$2:$BE$78,22,FALSE)</f>
        <v>40750</v>
      </c>
      <c r="N56" s="116">
        <f>+VLOOKUP($B56,'datos9-2015'!$A$2:$BE$78,23,FALSE)</f>
        <v>0</v>
      </c>
      <c r="O56" s="116">
        <f>+VLOOKUP($B56,'datos9-2015'!$A$2:$BE$78,24,FALSE)</f>
        <v>0</v>
      </c>
      <c r="P56" s="68">
        <f t="shared" si="13"/>
        <v>40750</v>
      </c>
      <c r="Q56" s="116">
        <f>+VLOOKUP($B56,'datos9-2015'!$A$2:$BE$78,26,FALSE)</f>
        <v>0</v>
      </c>
      <c r="R56" s="116">
        <f>+VLOOKUP($B56,'datos9-2015'!$A$2:$BE$78,27,FALSE)</f>
        <v>0</v>
      </c>
      <c r="S56" s="116">
        <f>+VLOOKUP($B56,'datos9-2015'!$A$2:$BE$78,28,FALSE)</f>
        <v>0</v>
      </c>
      <c r="T56" s="116">
        <f>+VLOOKUP($B56,'datos9-2015'!$A$2:$BE$78,29,FALSE)</f>
        <v>0</v>
      </c>
      <c r="U56" s="68">
        <f t="shared" si="14"/>
        <v>0</v>
      </c>
      <c r="V56" s="116">
        <f>+VLOOKUP($B56,'datos9-2015'!$A$2:$BE$78,31,FALSE)</f>
        <v>14584.49</v>
      </c>
      <c r="W56" s="116">
        <f>+VLOOKUP($B56,'datos9-2015'!$A$2:$BE$78,32,FALSE)</f>
        <v>0</v>
      </c>
      <c r="X56" s="117">
        <f t="shared" si="15"/>
        <v>14584.49</v>
      </c>
      <c r="Y56" s="118">
        <f t="shared" si="16"/>
        <v>1075274.05</v>
      </c>
      <c r="Z56" s="116">
        <f>+VLOOKUP($B56,'datos9-2015'!$A$2:$BE$78,35,FALSE)</f>
        <v>0</v>
      </c>
      <c r="AA56" s="116">
        <f>+VLOOKUP($B56,'datos9-2015'!$A$2:$BE$78,36,FALSE)</f>
        <v>289007</v>
      </c>
      <c r="AB56" s="116">
        <f>+VLOOKUP($B56,'datos9-2015'!$A$2:$BE$78,37,FALSE)</f>
        <v>0</v>
      </c>
      <c r="AC56" s="116">
        <f>+VLOOKUP($B56,'datos9-2015'!$A$2:$BE$78,38,FALSE)</f>
        <v>0</v>
      </c>
      <c r="AD56" s="116">
        <f>+VLOOKUP($B56,'datos9-2015'!$A$2:$BE$78,39,FALSE)</f>
        <v>3152.03</v>
      </c>
      <c r="AE56" s="68">
        <f t="shared" si="17"/>
        <v>292159.03000000003</v>
      </c>
      <c r="AF56" s="116">
        <f>+VLOOKUP($B56,'datos9-2015'!$A$2:$BE$78,42,FALSE)</f>
        <v>941212.03</v>
      </c>
      <c r="AG56" s="116">
        <f>+VLOOKUP($B56,'datos9-2015'!$A$2:$BE$78,44,FALSE)</f>
        <v>360661.51</v>
      </c>
      <c r="AH56" s="116">
        <f>+VLOOKUP($B56,'datos9-2015'!$A$2:$BE$78,45,FALSE)</f>
        <v>0</v>
      </c>
      <c r="AI56" s="116">
        <f>+VLOOKUP($B56,'datos9-2015'!$A$2:$BE$78,46,FALSE)</f>
        <v>0</v>
      </c>
      <c r="AJ56" s="68">
        <f t="shared" si="18"/>
        <v>1301873.54</v>
      </c>
      <c r="AK56" s="116">
        <f>+VLOOKUP($B56,'datos9-2015'!$A$2:$BE$78,49,FALSE)</f>
        <v>400500</v>
      </c>
      <c r="AL56" s="116">
        <f>+VLOOKUP($B56,'datos9-2015'!$A$2:$BE$78,50,FALSE)</f>
        <v>0</v>
      </c>
      <c r="AM56" s="116">
        <f>+VLOOKUP($B56,'datos9-2015'!$A$2:$BE$78,51,FALSE)</f>
        <v>0</v>
      </c>
      <c r="AN56" s="116">
        <f>+VLOOKUP($B56,'datos9-2015'!$A$2:$BE$78,52,FALSE)</f>
        <v>0</v>
      </c>
      <c r="AO56" s="119">
        <f t="shared" si="19"/>
        <v>400500</v>
      </c>
      <c r="AP56" s="116">
        <f>+VLOOKUP($B56,'datos9-2015'!$A$2:$BE$78,55,FALSE)</f>
        <v>0</v>
      </c>
      <c r="AQ56" s="118">
        <f t="shared" si="20"/>
        <v>1994532.57</v>
      </c>
      <c r="AS56" s="120">
        <f t="shared" si="21"/>
        <v>3069806.62</v>
      </c>
    </row>
    <row r="57" spans="2:45" x14ac:dyDescent="0.2">
      <c r="B57" s="18" t="s">
        <v>106</v>
      </c>
      <c r="C57" s="115"/>
      <c r="D57" s="116">
        <f>+VLOOKUP($B57,'datos9-2015'!$A$2:$BE$78,13,FALSE)</f>
        <v>4750.1000000000004</v>
      </c>
      <c r="E57" s="116">
        <f>+VLOOKUP($B57,'datos9-2015'!$A$2:$BE$78,14,FALSE)</f>
        <v>0</v>
      </c>
      <c r="F57" s="116">
        <f>+VLOOKUP($B57,'datos9-2015'!$A$2:$BE$78,15,FALSE)</f>
        <v>0</v>
      </c>
      <c r="G57" s="68">
        <f t="shared" si="11"/>
        <v>4750.1000000000004</v>
      </c>
      <c r="H57" s="116">
        <f>+VLOOKUP($B57,'datos9-2015'!$A$2:$BE$78,17,FALSE)</f>
        <v>9636.8700000000008</v>
      </c>
      <c r="I57" s="116">
        <f>+VLOOKUP($B57,'datos9-2015'!$A$2:$BE$78,18,FALSE)</f>
        <v>0</v>
      </c>
      <c r="J57" s="116">
        <f>+VLOOKUP($B57,'datos9-2015'!$A$2:$BE$78,19,FALSE)</f>
        <v>0</v>
      </c>
      <c r="K57" s="116">
        <f>+VLOOKUP($B57,'datos9-2015'!$A$2:$BE$78,20,FALSE)</f>
        <v>29419.87</v>
      </c>
      <c r="L57" s="68">
        <f t="shared" si="12"/>
        <v>39056.74</v>
      </c>
      <c r="M57" s="116">
        <f>+VLOOKUP($B57,'datos9-2015'!$A$2:$BE$78,22,FALSE)</f>
        <v>547352.67000000004</v>
      </c>
      <c r="N57" s="116">
        <f>+VLOOKUP($B57,'datos9-2015'!$A$2:$BE$78,23,FALSE)</f>
        <v>0</v>
      </c>
      <c r="O57" s="116">
        <f>+VLOOKUP($B57,'datos9-2015'!$A$2:$BE$78,24,FALSE)</f>
        <v>0</v>
      </c>
      <c r="P57" s="68">
        <f t="shared" si="13"/>
        <v>547352.67000000004</v>
      </c>
      <c r="Q57" s="116">
        <f>+VLOOKUP($B57,'datos9-2015'!$A$2:$BE$78,26,FALSE)</f>
        <v>0</v>
      </c>
      <c r="R57" s="116">
        <f>+VLOOKUP($B57,'datos9-2015'!$A$2:$BE$78,27,FALSE)</f>
        <v>0</v>
      </c>
      <c r="S57" s="116">
        <f>+VLOOKUP($B57,'datos9-2015'!$A$2:$BE$78,28,FALSE)</f>
        <v>0</v>
      </c>
      <c r="T57" s="116">
        <f>+VLOOKUP($B57,'datos9-2015'!$A$2:$BE$78,29,FALSE)</f>
        <v>0</v>
      </c>
      <c r="U57" s="68">
        <f t="shared" si="14"/>
        <v>0</v>
      </c>
      <c r="V57" s="116">
        <f>+VLOOKUP($B57,'datos9-2015'!$A$2:$BE$78,31,FALSE)</f>
        <v>0</v>
      </c>
      <c r="W57" s="116">
        <f>+VLOOKUP($B57,'datos9-2015'!$A$2:$BE$78,32,FALSE)</f>
        <v>0</v>
      </c>
      <c r="X57" s="117">
        <f t="shared" si="15"/>
        <v>0</v>
      </c>
      <c r="Y57" s="118">
        <f t="shared" si="16"/>
        <v>591159.51</v>
      </c>
      <c r="Z57" s="116">
        <f>+VLOOKUP($B57,'datos9-2015'!$A$2:$BE$78,35,FALSE)</f>
        <v>0</v>
      </c>
      <c r="AA57" s="116">
        <f>+VLOOKUP($B57,'datos9-2015'!$A$2:$BE$78,36,FALSE)</f>
        <v>187461.82</v>
      </c>
      <c r="AB57" s="116">
        <f>+VLOOKUP($B57,'datos9-2015'!$A$2:$BE$78,37,FALSE)</f>
        <v>0</v>
      </c>
      <c r="AC57" s="116">
        <f>+VLOOKUP($B57,'datos9-2015'!$A$2:$BE$78,38,FALSE)</f>
        <v>0</v>
      </c>
      <c r="AD57" s="116">
        <f>+VLOOKUP($B57,'datos9-2015'!$A$2:$BE$78,39,FALSE)</f>
        <v>0</v>
      </c>
      <c r="AE57" s="68">
        <f t="shared" si="17"/>
        <v>187461.82</v>
      </c>
      <c r="AF57" s="116">
        <f>+VLOOKUP($B57,'datos9-2015'!$A$2:$BE$78,42,FALSE)</f>
        <v>0</v>
      </c>
      <c r="AG57" s="116">
        <f>+VLOOKUP($B57,'datos9-2015'!$A$2:$BE$78,44,FALSE)</f>
        <v>248031.73</v>
      </c>
      <c r="AH57" s="116">
        <f>+VLOOKUP($B57,'datos9-2015'!$A$2:$BE$78,45,FALSE)</f>
        <v>0</v>
      </c>
      <c r="AI57" s="116">
        <f>+VLOOKUP($B57,'datos9-2015'!$A$2:$BE$78,46,FALSE)</f>
        <v>0</v>
      </c>
      <c r="AJ57" s="68">
        <f t="shared" si="18"/>
        <v>248031.73</v>
      </c>
      <c r="AK57" s="116">
        <f>+VLOOKUP($B57,'datos9-2015'!$A$2:$BE$78,49,FALSE)</f>
        <v>0</v>
      </c>
      <c r="AL57" s="116">
        <f>+VLOOKUP($B57,'datos9-2015'!$A$2:$BE$78,50,FALSE)</f>
        <v>0</v>
      </c>
      <c r="AM57" s="116">
        <f>+VLOOKUP($B57,'datos9-2015'!$A$2:$BE$78,51,FALSE)</f>
        <v>0</v>
      </c>
      <c r="AN57" s="116">
        <f>+VLOOKUP($B57,'datos9-2015'!$A$2:$BE$78,52,FALSE)</f>
        <v>0</v>
      </c>
      <c r="AO57" s="119">
        <f t="shared" si="19"/>
        <v>0</v>
      </c>
      <c r="AP57" s="116">
        <f>+VLOOKUP($B57,'datos9-2015'!$A$2:$BE$78,55,FALSE)</f>
        <v>0</v>
      </c>
      <c r="AQ57" s="118">
        <f t="shared" si="20"/>
        <v>435493.55000000005</v>
      </c>
      <c r="AS57" s="120">
        <f t="shared" si="21"/>
        <v>1026653.06</v>
      </c>
    </row>
    <row r="58" spans="2:45" x14ac:dyDescent="0.2">
      <c r="B58" s="18" t="s">
        <v>107</v>
      </c>
      <c r="C58" s="115"/>
      <c r="D58" s="116">
        <f>+VLOOKUP($B58,'datos9-2015'!$A$2:$BE$78,13,FALSE)</f>
        <v>109366.7</v>
      </c>
      <c r="E58" s="116">
        <f>+VLOOKUP($B58,'datos9-2015'!$A$2:$BE$78,14,FALSE)</f>
        <v>0</v>
      </c>
      <c r="F58" s="116">
        <f>+VLOOKUP($B58,'datos9-2015'!$A$2:$BE$78,15,FALSE)</f>
        <v>0</v>
      </c>
      <c r="G58" s="68">
        <f t="shared" si="11"/>
        <v>109366.7</v>
      </c>
      <c r="H58" s="116">
        <f>+VLOOKUP($B58,'datos9-2015'!$A$2:$BE$78,17,FALSE)</f>
        <v>237759.27</v>
      </c>
      <c r="I58" s="116">
        <f>+VLOOKUP($B58,'datos9-2015'!$A$2:$BE$78,18,FALSE)</f>
        <v>0</v>
      </c>
      <c r="J58" s="116">
        <f>+VLOOKUP($B58,'datos9-2015'!$A$2:$BE$78,19,FALSE)</f>
        <v>0</v>
      </c>
      <c r="K58" s="116">
        <f>+VLOOKUP($B58,'datos9-2015'!$A$2:$BE$78,20,FALSE)</f>
        <v>381498.17</v>
      </c>
      <c r="L58" s="68">
        <f t="shared" si="12"/>
        <v>619257.43999999994</v>
      </c>
      <c r="M58" s="116">
        <f>+VLOOKUP($B58,'datos9-2015'!$A$2:$BE$78,22,FALSE)</f>
        <v>0</v>
      </c>
      <c r="N58" s="116">
        <f>+VLOOKUP($B58,'datos9-2015'!$A$2:$BE$78,23,FALSE)</f>
        <v>0</v>
      </c>
      <c r="O58" s="116">
        <f>+VLOOKUP($B58,'datos9-2015'!$A$2:$BE$78,24,FALSE)</f>
        <v>56819.47</v>
      </c>
      <c r="P58" s="68">
        <f t="shared" si="13"/>
        <v>56819.47</v>
      </c>
      <c r="Q58" s="116">
        <f>+VLOOKUP($B58,'datos9-2015'!$A$2:$BE$78,26,FALSE)</f>
        <v>0</v>
      </c>
      <c r="R58" s="116">
        <f>+VLOOKUP($B58,'datos9-2015'!$A$2:$BE$78,27,FALSE)</f>
        <v>0</v>
      </c>
      <c r="S58" s="116">
        <f>+VLOOKUP($B58,'datos9-2015'!$A$2:$BE$78,28,FALSE)</f>
        <v>0</v>
      </c>
      <c r="T58" s="116">
        <f>+VLOOKUP($B58,'datos9-2015'!$A$2:$BE$78,29,FALSE)</f>
        <v>0</v>
      </c>
      <c r="U58" s="68">
        <f t="shared" si="14"/>
        <v>0</v>
      </c>
      <c r="V58" s="116">
        <f>+VLOOKUP($B58,'datos9-2015'!$A$2:$BE$78,31,FALSE)</f>
        <v>0</v>
      </c>
      <c r="W58" s="116">
        <f>+VLOOKUP($B58,'datos9-2015'!$A$2:$BE$78,32,FALSE)</f>
        <v>0</v>
      </c>
      <c r="X58" s="117">
        <f t="shared" si="15"/>
        <v>0</v>
      </c>
      <c r="Y58" s="118">
        <f t="shared" si="16"/>
        <v>785443.60999999987</v>
      </c>
      <c r="Z58" s="116">
        <f>+VLOOKUP($B58,'datos9-2015'!$A$2:$BE$78,35,FALSE)</f>
        <v>0</v>
      </c>
      <c r="AA58" s="116">
        <f>+VLOOKUP($B58,'datos9-2015'!$A$2:$BE$78,36,FALSE)</f>
        <v>55680</v>
      </c>
      <c r="AB58" s="116">
        <f>+VLOOKUP($B58,'datos9-2015'!$A$2:$BE$78,37,FALSE)</f>
        <v>0</v>
      </c>
      <c r="AC58" s="116">
        <f>+VLOOKUP($B58,'datos9-2015'!$A$2:$BE$78,38,FALSE)</f>
        <v>0</v>
      </c>
      <c r="AD58" s="116">
        <f>+VLOOKUP($B58,'datos9-2015'!$A$2:$BE$78,39,FALSE)</f>
        <v>0</v>
      </c>
      <c r="AE58" s="68">
        <f t="shared" si="17"/>
        <v>55680</v>
      </c>
      <c r="AF58" s="116">
        <f>+VLOOKUP($B58,'datos9-2015'!$A$2:$BE$78,42,FALSE)</f>
        <v>241423.98</v>
      </c>
      <c r="AG58" s="116">
        <f>+VLOOKUP($B58,'datos9-2015'!$A$2:$BE$78,44,FALSE)</f>
        <v>128346.71</v>
      </c>
      <c r="AH58" s="116">
        <f>+VLOOKUP($B58,'datos9-2015'!$A$2:$BE$78,45,FALSE)</f>
        <v>0</v>
      </c>
      <c r="AI58" s="116">
        <f>+VLOOKUP($B58,'datos9-2015'!$A$2:$BE$78,46,FALSE)</f>
        <v>0</v>
      </c>
      <c r="AJ58" s="68">
        <f t="shared" si="18"/>
        <v>369770.69</v>
      </c>
      <c r="AK58" s="116">
        <f>+VLOOKUP($B58,'datos9-2015'!$A$2:$BE$78,49,FALSE)</f>
        <v>40141.78</v>
      </c>
      <c r="AL58" s="116">
        <f>+VLOOKUP($B58,'datos9-2015'!$A$2:$BE$78,50,FALSE)</f>
        <v>0</v>
      </c>
      <c r="AM58" s="116">
        <f>+VLOOKUP($B58,'datos9-2015'!$A$2:$BE$78,51,FALSE)</f>
        <v>0</v>
      </c>
      <c r="AN58" s="116">
        <f>+VLOOKUP($B58,'datos9-2015'!$A$2:$BE$78,52,FALSE)</f>
        <v>0</v>
      </c>
      <c r="AO58" s="119">
        <f t="shared" si="19"/>
        <v>40141.78</v>
      </c>
      <c r="AP58" s="116">
        <f>+VLOOKUP($B58,'datos9-2015'!$A$2:$BE$78,55,FALSE)</f>
        <v>0</v>
      </c>
      <c r="AQ58" s="118">
        <f t="shared" si="20"/>
        <v>465592.47</v>
      </c>
      <c r="AS58" s="120">
        <f t="shared" si="21"/>
        <v>1251036.0799999998</v>
      </c>
    </row>
    <row r="59" spans="2:45" x14ac:dyDescent="0.2">
      <c r="B59" s="18" t="s">
        <v>108</v>
      </c>
      <c r="C59" s="115"/>
      <c r="D59" s="116">
        <f>+VLOOKUP($B59,'datos9-2015'!$A$2:$BE$78,13,FALSE)</f>
        <v>38616.129999999997</v>
      </c>
      <c r="E59" s="116">
        <f>+VLOOKUP($B59,'datos9-2015'!$A$2:$BE$78,14,FALSE)</f>
        <v>0</v>
      </c>
      <c r="F59" s="116">
        <f>+VLOOKUP($B59,'datos9-2015'!$A$2:$BE$78,15,FALSE)</f>
        <v>601.01</v>
      </c>
      <c r="G59" s="68">
        <f t="shared" si="11"/>
        <v>39217.14</v>
      </c>
      <c r="H59" s="116">
        <f>+VLOOKUP($B59,'datos9-2015'!$A$2:$BE$78,17,FALSE)</f>
        <v>382791.86</v>
      </c>
      <c r="I59" s="116">
        <f>+VLOOKUP($B59,'datos9-2015'!$A$2:$BE$78,18,FALSE)</f>
        <v>0</v>
      </c>
      <c r="J59" s="116">
        <f>+VLOOKUP($B59,'datos9-2015'!$A$2:$BE$78,19,FALSE)</f>
        <v>0</v>
      </c>
      <c r="K59" s="116">
        <f>+VLOOKUP($B59,'datos9-2015'!$A$2:$BE$78,20,FALSE)</f>
        <v>101560.32000000001</v>
      </c>
      <c r="L59" s="68">
        <f t="shared" si="12"/>
        <v>484352.18</v>
      </c>
      <c r="M59" s="116">
        <f>+VLOOKUP($B59,'datos9-2015'!$A$2:$BE$78,22,FALSE)</f>
        <v>920406.01</v>
      </c>
      <c r="N59" s="116">
        <f>+VLOOKUP($B59,'datos9-2015'!$A$2:$BE$78,23,FALSE)</f>
        <v>0</v>
      </c>
      <c r="O59" s="116">
        <f>+VLOOKUP($B59,'datos9-2015'!$A$2:$BE$78,24,FALSE)</f>
        <v>0</v>
      </c>
      <c r="P59" s="68">
        <f t="shared" si="13"/>
        <v>920406.01</v>
      </c>
      <c r="Q59" s="116">
        <f>+VLOOKUP($B59,'datos9-2015'!$A$2:$BE$78,26,FALSE)</f>
        <v>0</v>
      </c>
      <c r="R59" s="116">
        <f>+VLOOKUP($B59,'datos9-2015'!$A$2:$BE$78,27,FALSE)</f>
        <v>0</v>
      </c>
      <c r="S59" s="116">
        <f>+VLOOKUP($B59,'datos9-2015'!$A$2:$BE$78,28,FALSE)</f>
        <v>0</v>
      </c>
      <c r="T59" s="116">
        <f>+VLOOKUP($B59,'datos9-2015'!$A$2:$BE$78,29,FALSE)</f>
        <v>0</v>
      </c>
      <c r="U59" s="68">
        <f t="shared" si="14"/>
        <v>0</v>
      </c>
      <c r="V59" s="116">
        <f>+VLOOKUP($B59,'datos9-2015'!$A$2:$BE$78,31,FALSE)</f>
        <v>0</v>
      </c>
      <c r="W59" s="116">
        <f>+VLOOKUP($B59,'datos9-2015'!$A$2:$BE$78,32,FALSE)</f>
        <v>0</v>
      </c>
      <c r="X59" s="117">
        <f t="shared" si="15"/>
        <v>0</v>
      </c>
      <c r="Y59" s="118">
        <f t="shared" si="16"/>
        <v>1443975.3299999998</v>
      </c>
      <c r="Z59" s="116">
        <f>+VLOOKUP($B59,'datos9-2015'!$A$2:$BE$78,35,FALSE)</f>
        <v>0</v>
      </c>
      <c r="AA59" s="116">
        <f>+VLOOKUP($B59,'datos9-2015'!$A$2:$BE$78,36,FALSE)</f>
        <v>0</v>
      </c>
      <c r="AB59" s="116">
        <f>+VLOOKUP($B59,'datos9-2015'!$A$2:$BE$78,37,FALSE)</f>
        <v>0</v>
      </c>
      <c r="AC59" s="116">
        <f>+VLOOKUP($B59,'datos9-2015'!$A$2:$BE$78,38,FALSE)</f>
        <v>0</v>
      </c>
      <c r="AD59" s="116">
        <f>+VLOOKUP($B59,'datos9-2015'!$A$2:$BE$78,39,FALSE)</f>
        <v>0</v>
      </c>
      <c r="AE59" s="68">
        <f t="shared" si="17"/>
        <v>0</v>
      </c>
      <c r="AF59" s="116">
        <f>+VLOOKUP($B59,'datos9-2015'!$A$2:$BE$78,42,FALSE)</f>
        <v>0</v>
      </c>
      <c r="AG59" s="116">
        <f>+VLOOKUP($B59,'datos9-2015'!$A$2:$BE$78,44,FALSE)</f>
        <v>79142.7</v>
      </c>
      <c r="AH59" s="116">
        <f>+VLOOKUP($B59,'datos9-2015'!$A$2:$BE$78,45,FALSE)</f>
        <v>0</v>
      </c>
      <c r="AI59" s="116">
        <f>+VLOOKUP($B59,'datos9-2015'!$A$2:$BE$78,46,FALSE)</f>
        <v>0</v>
      </c>
      <c r="AJ59" s="68">
        <f t="shared" si="18"/>
        <v>79142.7</v>
      </c>
      <c r="AK59" s="116">
        <f>+VLOOKUP($B59,'datos9-2015'!$A$2:$BE$78,49,FALSE)</f>
        <v>0</v>
      </c>
      <c r="AL59" s="116">
        <f>+VLOOKUP($B59,'datos9-2015'!$A$2:$BE$78,50,FALSE)</f>
        <v>0</v>
      </c>
      <c r="AM59" s="116">
        <f>+VLOOKUP($B59,'datos9-2015'!$A$2:$BE$78,51,FALSE)</f>
        <v>0</v>
      </c>
      <c r="AN59" s="116">
        <f>+VLOOKUP($B59,'datos9-2015'!$A$2:$BE$78,52,FALSE)</f>
        <v>0</v>
      </c>
      <c r="AO59" s="119">
        <f t="shared" si="19"/>
        <v>0</v>
      </c>
      <c r="AP59" s="116">
        <f>+VLOOKUP($B59,'datos9-2015'!$A$2:$BE$78,55,FALSE)</f>
        <v>0</v>
      </c>
      <c r="AQ59" s="118">
        <f t="shared" si="20"/>
        <v>79142.7</v>
      </c>
      <c r="AS59" s="120">
        <f t="shared" si="21"/>
        <v>1523118.0299999998</v>
      </c>
    </row>
    <row r="60" spans="2:45" x14ac:dyDescent="0.2">
      <c r="B60" s="18" t="s">
        <v>109</v>
      </c>
      <c r="C60" s="115"/>
      <c r="D60" s="116">
        <f>+VLOOKUP($B60,'datos9-2015'!$A$2:$BE$78,13,FALSE)</f>
        <v>9018717</v>
      </c>
      <c r="E60" s="116">
        <f>+VLOOKUP($B60,'datos9-2015'!$A$2:$BE$78,14,FALSE)</f>
        <v>0</v>
      </c>
      <c r="F60" s="116">
        <f>+VLOOKUP($B60,'datos9-2015'!$A$2:$BE$78,15,FALSE)</f>
        <v>102152</v>
      </c>
      <c r="G60" s="68">
        <f t="shared" si="11"/>
        <v>9120869</v>
      </c>
      <c r="H60" s="116">
        <f>+VLOOKUP($B60,'datos9-2015'!$A$2:$BE$78,17,FALSE)</f>
        <v>12765221</v>
      </c>
      <c r="I60" s="116">
        <f>+VLOOKUP($B60,'datos9-2015'!$A$2:$BE$78,18,FALSE)</f>
        <v>328080</v>
      </c>
      <c r="J60" s="116">
        <f>+VLOOKUP($B60,'datos9-2015'!$A$2:$BE$78,19,FALSE)</f>
        <v>0</v>
      </c>
      <c r="K60" s="116">
        <f>+VLOOKUP($B60,'datos9-2015'!$A$2:$BE$78,20,FALSE)</f>
        <v>10009709</v>
      </c>
      <c r="L60" s="68">
        <f t="shared" si="12"/>
        <v>23103010</v>
      </c>
      <c r="M60" s="116">
        <f>+VLOOKUP($B60,'datos9-2015'!$A$2:$BE$78,22,FALSE)</f>
        <v>151730</v>
      </c>
      <c r="N60" s="116">
        <f>+VLOOKUP($B60,'datos9-2015'!$A$2:$BE$78,23,FALSE)</f>
        <v>268989</v>
      </c>
      <c r="O60" s="116">
        <f>+VLOOKUP($B60,'datos9-2015'!$A$2:$BE$78,24,FALSE)</f>
        <v>0</v>
      </c>
      <c r="P60" s="68">
        <f t="shared" si="13"/>
        <v>420719</v>
      </c>
      <c r="Q60" s="116">
        <f>+VLOOKUP($B60,'datos9-2015'!$A$2:$BE$78,26,FALSE)</f>
        <v>0</v>
      </c>
      <c r="R60" s="116">
        <f>+VLOOKUP($B60,'datos9-2015'!$A$2:$BE$78,27,FALSE)</f>
        <v>0</v>
      </c>
      <c r="S60" s="116">
        <f>+VLOOKUP($B60,'datos9-2015'!$A$2:$BE$78,28,FALSE)</f>
        <v>0</v>
      </c>
      <c r="T60" s="116">
        <f>+VLOOKUP($B60,'datos9-2015'!$A$2:$BE$78,29,FALSE)</f>
        <v>14160</v>
      </c>
      <c r="U60" s="68">
        <f t="shared" si="14"/>
        <v>14160</v>
      </c>
      <c r="V60" s="116">
        <f>+VLOOKUP($B60,'datos9-2015'!$A$2:$BE$78,31,FALSE)</f>
        <v>0</v>
      </c>
      <c r="W60" s="116">
        <f>+VLOOKUP($B60,'datos9-2015'!$A$2:$BE$78,32,FALSE)</f>
        <v>5365129</v>
      </c>
      <c r="X60" s="117">
        <f t="shared" si="15"/>
        <v>5365129</v>
      </c>
      <c r="Y60" s="118">
        <f t="shared" si="16"/>
        <v>38023887</v>
      </c>
      <c r="Z60" s="116">
        <f>+VLOOKUP($B60,'datos9-2015'!$A$2:$BE$78,35,FALSE)</f>
        <v>1875000</v>
      </c>
      <c r="AA60" s="116">
        <f>+VLOOKUP($B60,'datos9-2015'!$A$2:$BE$78,36,FALSE)</f>
        <v>518950</v>
      </c>
      <c r="AB60" s="116">
        <f>+VLOOKUP($B60,'datos9-2015'!$A$2:$BE$78,37,FALSE)</f>
        <v>0</v>
      </c>
      <c r="AC60" s="116">
        <f>+VLOOKUP($B60,'datos9-2015'!$A$2:$BE$78,38,FALSE)</f>
        <v>0</v>
      </c>
      <c r="AD60" s="116">
        <f>+VLOOKUP($B60,'datos9-2015'!$A$2:$BE$78,39,FALSE)</f>
        <v>0</v>
      </c>
      <c r="AE60" s="68">
        <f t="shared" si="17"/>
        <v>2393950</v>
      </c>
      <c r="AF60" s="116">
        <f>+VLOOKUP($B60,'datos9-2015'!$A$2:$BE$78,42,FALSE)</f>
        <v>1492139</v>
      </c>
      <c r="AG60" s="116">
        <f>+VLOOKUP($B60,'datos9-2015'!$A$2:$BE$78,44,FALSE)</f>
        <v>1574597</v>
      </c>
      <c r="AH60" s="116">
        <f>+VLOOKUP($B60,'datos9-2015'!$A$2:$BE$78,45,FALSE)</f>
        <v>0</v>
      </c>
      <c r="AI60" s="116">
        <f>+VLOOKUP($B60,'datos9-2015'!$A$2:$BE$78,46,FALSE)</f>
        <v>0</v>
      </c>
      <c r="AJ60" s="68">
        <f t="shared" si="18"/>
        <v>3066736</v>
      </c>
      <c r="AK60" s="116">
        <f>+VLOOKUP($B60,'datos9-2015'!$A$2:$BE$78,49,FALSE)</f>
        <v>0</v>
      </c>
      <c r="AL60" s="116">
        <f>+VLOOKUP($B60,'datos9-2015'!$A$2:$BE$78,50,FALSE)</f>
        <v>0</v>
      </c>
      <c r="AM60" s="116">
        <f>+VLOOKUP($B60,'datos9-2015'!$A$2:$BE$78,51,FALSE)</f>
        <v>0</v>
      </c>
      <c r="AN60" s="116">
        <f>+VLOOKUP($B60,'datos9-2015'!$A$2:$BE$78,52,FALSE)</f>
        <v>0</v>
      </c>
      <c r="AO60" s="119">
        <f t="shared" si="19"/>
        <v>0</v>
      </c>
      <c r="AP60" s="116">
        <f>+VLOOKUP($B60,'datos9-2015'!$A$2:$BE$78,55,FALSE)</f>
        <v>0</v>
      </c>
      <c r="AQ60" s="118">
        <f t="shared" si="20"/>
        <v>5460686</v>
      </c>
      <c r="AS60" s="120">
        <f t="shared" si="21"/>
        <v>43484573</v>
      </c>
    </row>
    <row r="61" spans="2:45" x14ac:dyDescent="0.2">
      <c r="B61" s="18" t="s">
        <v>110</v>
      </c>
      <c r="C61" s="115"/>
      <c r="D61" s="116">
        <f>+VLOOKUP($B61,'datos9-2015'!$A$2:$BE$78,13,FALSE)</f>
        <v>7000000</v>
      </c>
      <c r="E61" s="116">
        <f>+VLOOKUP($B61,'datos9-2015'!$A$2:$BE$78,14,FALSE)</f>
        <v>0</v>
      </c>
      <c r="F61" s="116">
        <f>+VLOOKUP($B61,'datos9-2015'!$A$2:$BE$78,15,FALSE)</f>
        <v>228000</v>
      </c>
      <c r="G61" s="68">
        <f t="shared" si="11"/>
        <v>7228000</v>
      </c>
      <c r="H61" s="116">
        <f>+VLOOKUP($B61,'datos9-2015'!$A$2:$BE$78,17,FALSE)</f>
        <v>660000</v>
      </c>
      <c r="I61" s="116">
        <f>+VLOOKUP($B61,'datos9-2015'!$A$2:$BE$78,18,FALSE)</f>
        <v>1900000</v>
      </c>
      <c r="J61" s="116">
        <f>+VLOOKUP($B61,'datos9-2015'!$A$2:$BE$78,19,FALSE)</f>
        <v>0</v>
      </c>
      <c r="K61" s="116">
        <f>+VLOOKUP($B61,'datos9-2015'!$A$2:$BE$78,20,FALSE)</f>
        <v>0</v>
      </c>
      <c r="L61" s="68">
        <f t="shared" si="12"/>
        <v>2560000</v>
      </c>
      <c r="M61" s="116">
        <f>+VLOOKUP($B61,'datos9-2015'!$A$2:$BE$78,22,FALSE)</f>
        <v>327000</v>
      </c>
      <c r="N61" s="116">
        <f>+VLOOKUP($B61,'datos9-2015'!$A$2:$BE$78,23,FALSE)</f>
        <v>333000</v>
      </c>
      <c r="O61" s="116">
        <f>+VLOOKUP($B61,'datos9-2015'!$A$2:$BE$78,24,FALSE)</f>
        <v>0</v>
      </c>
      <c r="P61" s="68">
        <f t="shared" si="13"/>
        <v>660000</v>
      </c>
      <c r="Q61" s="116">
        <f>+VLOOKUP($B61,'datos9-2015'!$A$2:$BE$78,26,FALSE)</f>
        <v>0</v>
      </c>
      <c r="R61" s="116">
        <f>+VLOOKUP($B61,'datos9-2015'!$A$2:$BE$78,27,FALSE)</f>
        <v>0</v>
      </c>
      <c r="S61" s="116">
        <f>+VLOOKUP($B61,'datos9-2015'!$A$2:$BE$78,28,FALSE)</f>
        <v>0</v>
      </c>
      <c r="T61" s="116">
        <f>+VLOOKUP($B61,'datos9-2015'!$A$2:$BE$78,29,FALSE)</f>
        <v>0</v>
      </c>
      <c r="U61" s="68">
        <f t="shared" si="14"/>
        <v>0</v>
      </c>
      <c r="V61" s="116">
        <f>+VLOOKUP($B61,'datos9-2015'!$A$2:$BE$78,31,FALSE)</f>
        <v>0</v>
      </c>
      <c r="W61" s="116">
        <f>+VLOOKUP($B61,'datos9-2015'!$A$2:$BE$78,32,FALSE)</f>
        <v>0</v>
      </c>
      <c r="X61" s="117">
        <f t="shared" si="15"/>
        <v>0</v>
      </c>
      <c r="Y61" s="118">
        <f t="shared" si="16"/>
        <v>10448000</v>
      </c>
      <c r="Z61" s="116">
        <f>+VLOOKUP($B61,'datos9-2015'!$A$2:$BE$78,35,FALSE)</f>
        <v>0</v>
      </c>
      <c r="AA61" s="116">
        <f>+VLOOKUP($B61,'datos9-2015'!$A$2:$BE$78,36,FALSE)</f>
        <v>674345</v>
      </c>
      <c r="AB61" s="116">
        <f>+VLOOKUP($B61,'datos9-2015'!$A$2:$BE$78,37,FALSE)</f>
        <v>0</v>
      </c>
      <c r="AC61" s="116">
        <f>+VLOOKUP($B61,'datos9-2015'!$A$2:$BE$78,38,FALSE)</f>
        <v>0</v>
      </c>
      <c r="AD61" s="116">
        <f>+VLOOKUP($B61,'datos9-2015'!$A$2:$BE$78,39,FALSE)</f>
        <v>0</v>
      </c>
      <c r="AE61" s="68">
        <f t="shared" si="17"/>
        <v>674345</v>
      </c>
      <c r="AF61" s="116">
        <f>+VLOOKUP($B61,'datos9-2015'!$A$2:$BE$78,42,FALSE)</f>
        <v>1231151</v>
      </c>
      <c r="AG61" s="116">
        <f>+VLOOKUP($B61,'datos9-2015'!$A$2:$BE$78,44,FALSE)</f>
        <v>599455</v>
      </c>
      <c r="AH61" s="116">
        <f>+VLOOKUP($B61,'datos9-2015'!$A$2:$BE$78,45,FALSE)</f>
        <v>0</v>
      </c>
      <c r="AI61" s="116">
        <f>+VLOOKUP($B61,'datos9-2015'!$A$2:$BE$78,46,FALSE)</f>
        <v>0</v>
      </c>
      <c r="AJ61" s="68">
        <f t="shared" si="18"/>
        <v>1830606</v>
      </c>
      <c r="AK61" s="116">
        <f>+VLOOKUP($B61,'datos9-2015'!$A$2:$BE$78,49,FALSE)</f>
        <v>0</v>
      </c>
      <c r="AL61" s="116">
        <f>+VLOOKUP($B61,'datos9-2015'!$A$2:$BE$78,50,FALSE)</f>
        <v>11506626</v>
      </c>
      <c r="AM61" s="116">
        <f>+VLOOKUP($B61,'datos9-2015'!$A$2:$BE$78,51,FALSE)</f>
        <v>561444</v>
      </c>
      <c r="AN61" s="116">
        <f>+VLOOKUP($B61,'datos9-2015'!$A$2:$BE$78,52,FALSE)</f>
        <v>1911670</v>
      </c>
      <c r="AO61" s="119">
        <f t="shared" si="19"/>
        <v>13979740</v>
      </c>
      <c r="AP61" s="116">
        <f>+VLOOKUP($B61,'datos9-2015'!$A$2:$BE$78,55,FALSE)</f>
        <v>0</v>
      </c>
      <c r="AQ61" s="118">
        <f t="shared" si="20"/>
        <v>16484691</v>
      </c>
      <c r="AS61" s="120">
        <f t="shared" si="21"/>
        <v>26932691</v>
      </c>
    </row>
    <row r="62" spans="2:45" x14ac:dyDescent="0.2">
      <c r="B62" s="18" t="s">
        <v>111</v>
      </c>
      <c r="C62" s="115"/>
      <c r="D62" s="116">
        <f>+VLOOKUP($B62,'datos9-2015'!$A$2:$BE$78,13,FALSE)</f>
        <v>581012.97</v>
      </c>
      <c r="E62" s="116">
        <f>+VLOOKUP($B62,'datos9-2015'!$A$2:$BE$78,14,FALSE)</f>
        <v>0</v>
      </c>
      <c r="F62" s="116">
        <f>+VLOOKUP($B62,'datos9-2015'!$A$2:$BE$78,15,FALSE)</f>
        <v>0</v>
      </c>
      <c r="G62" s="68">
        <f t="shared" si="11"/>
        <v>581012.97</v>
      </c>
      <c r="H62" s="116">
        <f>+VLOOKUP($B62,'datos9-2015'!$A$2:$BE$78,17,FALSE)</f>
        <v>74145.98</v>
      </c>
      <c r="I62" s="116">
        <f>+VLOOKUP($B62,'datos9-2015'!$A$2:$BE$78,18,FALSE)</f>
        <v>371216.05</v>
      </c>
      <c r="J62" s="116">
        <f>+VLOOKUP($B62,'datos9-2015'!$A$2:$BE$78,19,FALSE)</f>
        <v>0</v>
      </c>
      <c r="K62" s="116">
        <f>+VLOOKUP($B62,'datos9-2015'!$A$2:$BE$78,20,FALSE)</f>
        <v>251184.88</v>
      </c>
      <c r="L62" s="68">
        <f t="shared" si="12"/>
        <v>696546.90999999992</v>
      </c>
      <c r="M62" s="116">
        <f>+VLOOKUP($B62,'datos9-2015'!$A$2:$BE$78,22,FALSE)</f>
        <v>658977.76</v>
      </c>
      <c r="N62" s="116">
        <f>+VLOOKUP($B62,'datos9-2015'!$A$2:$BE$78,23,FALSE)</f>
        <v>0</v>
      </c>
      <c r="O62" s="116">
        <f>+VLOOKUP($B62,'datos9-2015'!$A$2:$BE$78,24,FALSE)</f>
        <v>0</v>
      </c>
      <c r="P62" s="68">
        <f t="shared" si="13"/>
        <v>658977.76</v>
      </c>
      <c r="Q62" s="116">
        <f>+VLOOKUP($B62,'datos9-2015'!$A$2:$BE$78,26,FALSE)</f>
        <v>0</v>
      </c>
      <c r="R62" s="116">
        <f>+VLOOKUP($B62,'datos9-2015'!$A$2:$BE$78,27,FALSE)</f>
        <v>0</v>
      </c>
      <c r="S62" s="116">
        <f>+VLOOKUP($B62,'datos9-2015'!$A$2:$BE$78,28,FALSE)</f>
        <v>0</v>
      </c>
      <c r="T62" s="116">
        <f>+VLOOKUP($B62,'datos9-2015'!$A$2:$BE$78,29,FALSE)</f>
        <v>0</v>
      </c>
      <c r="U62" s="68">
        <f t="shared" si="14"/>
        <v>0</v>
      </c>
      <c r="V62" s="116">
        <f>+VLOOKUP($B62,'datos9-2015'!$A$2:$BE$78,31,FALSE)</f>
        <v>24526.86</v>
      </c>
      <c r="W62" s="116">
        <f>+VLOOKUP($B62,'datos9-2015'!$A$2:$BE$78,32,FALSE)</f>
        <v>295520.90999999997</v>
      </c>
      <c r="X62" s="117">
        <f t="shared" si="15"/>
        <v>320047.76999999996</v>
      </c>
      <c r="Y62" s="118">
        <f t="shared" si="16"/>
        <v>2256585.4099999997</v>
      </c>
      <c r="Z62" s="116">
        <f>+VLOOKUP($B62,'datos9-2015'!$A$2:$BE$78,35,FALSE)</f>
        <v>0</v>
      </c>
      <c r="AA62" s="116">
        <f>+VLOOKUP($B62,'datos9-2015'!$A$2:$BE$78,36,FALSE)</f>
        <v>566613</v>
      </c>
      <c r="AB62" s="116">
        <f>+VLOOKUP($B62,'datos9-2015'!$A$2:$BE$78,37,FALSE)</f>
        <v>0</v>
      </c>
      <c r="AC62" s="116">
        <f>+VLOOKUP($B62,'datos9-2015'!$A$2:$BE$78,38,FALSE)</f>
        <v>0</v>
      </c>
      <c r="AD62" s="116">
        <f>+VLOOKUP($B62,'datos9-2015'!$A$2:$BE$78,39,FALSE)</f>
        <v>0</v>
      </c>
      <c r="AE62" s="68">
        <f t="shared" si="17"/>
        <v>566613</v>
      </c>
      <c r="AF62" s="116">
        <f>+VLOOKUP($B62,'datos9-2015'!$A$2:$BE$78,42,FALSE)</f>
        <v>3206075.51</v>
      </c>
      <c r="AG62" s="116">
        <f>+VLOOKUP($B62,'datos9-2015'!$A$2:$BE$78,44,FALSE)</f>
        <v>1736839.26</v>
      </c>
      <c r="AH62" s="116">
        <f>+VLOOKUP($B62,'datos9-2015'!$A$2:$BE$78,45,FALSE)</f>
        <v>0</v>
      </c>
      <c r="AI62" s="116">
        <f>+VLOOKUP($B62,'datos9-2015'!$A$2:$BE$78,46,FALSE)</f>
        <v>0</v>
      </c>
      <c r="AJ62" s="68">
        <f t="shared" si="18"/>
        <v>4942914.7699999996</v>
      </c>
      <c r="AK62" s="116">
        <f>+VLOOKUP($B62,'datos9-2015'!$A$2:$BE$78,49,FALSE)</f>
        <v>699313.75</v>
      </c>
      <c r="AL62" s="116">
        <f>+VLOOKUP($B62,'datos9-2015'!$A$2:$BE$78,50,FALSE)</f>
        <v>2115000</v>
      </c>
      <c r="AM62" s="116">
        <f>+VLOOKUP($B62,'datos9-2015'!$A$2:$BE$78,51,FALSE)</f>
        <v>33457.300000000003</v>
      </c>
      <c r="AN62" s="116">
        <f>+VLOOKUP($B62,'datos9-2015'!$A$2:$BE$78,52,FALSE)</f>
        <v>0</v>
      </c>
      <c r="AO62" s="119">
        <f t="shared" si="19"/>
        <v>2847771.05</v>
      </c>
      <c r="AP62" s="116">
        <f>+VLOOKUP($B62,'datos9-2015'!$A$2:$BE$78,55,FALSE)</f>
        <v>0</v>
      </c>
      <c r="AQ62" s="118">
        <f t="shared" si="20"/>
        <v>8357298.8199999994</v>
      </c>
      <c r="AS62" s="120">
        <f t="shared" si="21"/>
        <v>10613884.229999999</v>
      </c>
    </row>
    <row r="63" spans="2:45" x14ac:dyDescent="0.2">
      <c r="B63" s="18" t="s">
        <v>113</v>
      </c>
      <c r="C63" s="115"/>
      <c r="D63" s="116">
        <f>+VLOOKUP($B63,'datos9-2015'!$A$2:$BE$78,13,FALSE)</f>
        <v>12985.47</v>
      </c>
      <c r="E63" s="116">
        <f>+VLOOKUP($B63,'datos9-2015'!$A$2:$BE$78,14,FALSE)</f>
        <v>6669.99</v>
      </c>
      <c r="F63" s="116">
        <f>+VLOOKUP($B63,'datos9-2015'!$A$2:$BE$78,15,FALSE)</f>
        <v>25000</v>
      </c>
      <c r="G63" s="68">
        <f t="shared" si="11"/>
        <v>44655.46</v>
      </c>
      <c r="H63" s="116">
        <f>+VLOOKUP($B63,'datos9-2015'!$A$2:$BE$78,17,FALSE)</f>
        <v>25500</v>
      </c>
      <c r="I63" s="116">
        <f>+VLOOKUP($B63,'datos9-2015'!$A$2:$BE$78,18,FALSE)</f>
        <v>0</v>
      </c>
      <c r="J63" s="116">
        <f>+VLOOKUP($B63,'datos9-2015'!$A$2:$BE$78,19,FALSE)</f>
        <v>0</v>
      </c>
      <c r="K63" s="116">
        <f>+VLOOKUP($B63,'datos9-2015'!$A$2:$BE$78,20,FALSE)</f>
        <v>1210.5</v>
      </c>
      <c r="L63" s="68">
        <f t="shared" si="12"/>
        <v>26710.5</v>
      </c>
      <c r="M63" s="116">
        <f>+VLOOKUP($B63,'datos9-2015'!$A$2:$BE$78,22,FALSE)</f>
        <v>52349.8</v>
      </c>
      <c r="N63" s="116">
        <f>+VLOOKUP($B63,'datos9-2015'!$A$2:$BE$78,23,FALSE)</f>
        <v>0</v>
      </c>
      <c r="O63" s="116">
        <f>+VLOOKUP($B63,'datos9-2015'!$A$2:$BE$78,24,FALSE)</f>
        <v>0</v>
      </c>
      <c r="P63" s="68">
        <f t="shared" si="13"/>
        <v>52349.8</v>
      </c>
      <c r="Q63" s="116">
        <f>+VLOOKUP($B63,'datos9-2015'!$A$2:$BE$78,26,FALSE)</f>
        <v>0</v>
      </c>
      <c r="R63" s="116">
        <f>+VLOOKUP($B63,'datos9-2015'!$A$2:$BE$78,27,FALSE)</f>
        <v>0</v>
      </c>
      <c r="S63" s="116">
        <f>+VLOOKUP($B63,'datos9-2015'!$A$2:$BE$78,28,FALSE)</f>
        <v>0</v>
      </c>
      <c r="T63" s="116">
        <f>+VLOOKUP($B63,'datos9-2015'!$A$2:$BE$78,29,FALSE)</f>
        <v>0</v>
      </c>
      <c r="U63" s="68">
        <f t="shared" si="14"/>
        <v>0</v>
      </c>
      <c r="V63" s="116">
        <f>+VLOOKUP($B63,'datos9-2015'!$A$2:$BE$78,31,FALSE)</f>
        <v>0</v>
      </c>
      <c r="W63" s="116">
        <f>+VLOOKUP($B63,'datos9-2015'!$A$2:$BE$78,32,FALSE)</f>
        <v>34.1</v>
      </c>
      <c r="X63" s="117">
        <f t="shared" si="15"/>
        <v>34.1</v>
      </c>
      <c r="Y63" s="118">
        <f t="shared" si="16"/>
        <v>123749.86000000002</v>
      </c>
      <c r="Z63" s="116">
        <f>+VLOOKUP($B63,'datos9-2015'!$A$2:$BE$78,35,FALSE)</f>
        <v>0</v>
      </c>
      <c r="AA63" s="116">
        <f>+VLOOKUP($B63,'datos9-2015'!$A$2:$BE$78,36,FALSE)</f>
        <v>0</v>
      </c>
      <c r="AB63" s="116">
        <f>+VLOOKUP($B63,'datos9-2015'!$A$2:$BE$78,37,FALSE)</f>
        <v>0</v>
      </c>
      <c r="AC63" s="116">
        <f>+VLOOKUP($B63,'datos9-2015'!$A$2:$BE$78,38,FALSE)</f>
        <v>0</v>
      </c>
      <c r="AD63" s="116">
        <f>+VLOOKUP($B63,'datos9-2015'!$A$2:$BE$78,39,FALSE)</f>
        <v>0</v>
      </c>
      <c r="AE63" s="68">
        <f t="shared" si="17"/>
        <v>0</v>
      </c>
      <c r="AF63" s="116">
        <f>+VLOOKUP($B63,'datos9-2015'!$A$2:$BE$78,42,FALSE)</f>
        <v>0</v>
      </c>
      <c r="AG63" s="116">
        <f>+VLOOKUP($B63,'datos9-2015'!$A$2:$BE$78,44,FALSE)</f>
        <v>58963.15</v>
      </c>
      <c r="AH63" s="116">
        <f>+VLOOKUP($B63,'datos9-2015'!$A$2:$BE$78,45,FALSE)</f>
        <v>0</v>
      </c>
      <c r="AI63" s="116">
        <f>+VLOOKUP($B63,'datos9-2015'!$A$2:$BE$78,46,FALSE)</f>
        <v>0</v>
      </c>
      <c r="AJ63" s="68">
        <f t="shared" si="18"/>
        <v>58963.15</v>
      </c>
      <c r="AK63" s="116">
        <f>+VLOOKUP($B63,'datos9-2015'!$A$2:$BE$78,49,FALSE)</f>
        <v>0</v>
      </c>
      <c r="AL63" s="116">
        <f>+VLOOKUP($B63,'datos9-2015'!$A$2:$BE$78,50,FALSE)</f>
        <v>0</v>
      </c>
      <c r="AM63" s="116">
        <f>+VLOOKUP($B63,'datos9-2015'!$A$2:$BE$78,51,FALSE)</f>
        <v>0</v>
      </c>
      <c r="AN63" s="116">
        <f>+VLOOKUP($B63,'datos9-2015'!$A$2:$BE$78,52,FALSE)</f>
        <v>0</v>
      </c>
      <c r="AO63" s="119">
        <f t="shared" si="19"/>
        <v>0</v>
      </c>
      <c r="AP63" s="116">
        <f>+VLOOKUP($B63,'datos9-2015'!$A$2:$BE$78,55,FALSE)</f>
        <v>0</v>
      </c>
      <c r="AQ63" s="118">
        <f t="shared" si="20"/>
        <v>58963.15</v>
      </c>
      <c r="AS63" s="120">
        <f t="shared" si="21"/>
        <v>182713.01</v>
      </c>
    </row>
    <row r="64" spans="2:45" x14ac:dyDescent="0.2">
      <c r="B64" s="18" t="s">
        <v>114</v>
      </c>
      <c r="C64" s="115"/>
      <c r="D64" s="116">
        <f>+VLOOKUP($B64,'datos9-2015'!$A$2:$BE$78,13,FALSE)</f>
        <v>30</v>
      </c>
      <c r="E64" s="116">
        <f>+VLOOKUP($B64,'datos9-2015'!$A$2:$BE$78,14,FALSE)</f>
        <v>0</v>
      </c>
      <c r="F64" s="116">
        <f>+VLOOKUP($B64,'datos9-2015'!$A$2:$BE$78,15,FALSE)</f>
        <v>0</v>
      </c>
      <c r="G64" s="68">
        <f t="shared" si="11"/>
        <v>30</v>
      </c>
      <c r="H64" s="116">
        <f>+VLOOKUP($B64,'datos9-2015'!$A$2:$BE$78,17,FALSE)</f>
        <v>15920</v>
      </c>
      <c r="I64" s="116">
        <f>+VLOOKUP($B64,'datos9-2015'!$A$2:$BE$78,18,FALSE)</f>
        <v>0</v>
      </c>
      <c r="J64" s="116">
        <f>+VLOOKUP($B64,'datos9-2015'!$A$2:$BE$78,19,FALSE)</f>
        <v>0</v>
      </c>
      <c r="K64" s="116">
        <f>+VLOOKUP($B64,'datos9-2015'!$A$2:$BE$78,20,FALSE)</f>
        <v>0</v>
      </c>
      <c r="L64" s="68">
        <f t="shared" si="12"/>
        <v>15920</v>
      </c>
      <c r="M64" s="116">
        <f>+VLOOKUP($B64,'datos9-2015'!$A$2:$BE$78,22,FALSE)</f>
        <v>0</v>
      </c>
      <c r="N64" s="116">
        <f>+VLOOKUP($B64,'datos9-2015'!$A$2:$BE$78,23,FALSE)</f>
        <v>86502.68</v>
      </c>
      <c r="O64" s="116">
        <f>+VLOOKUP($B64,'datos9-2015'!$A$2:$BE$78,24,FALSE)</f>
        <v>0</v>
      </c>
      <c r="P64" s="68">
        <f t="shared" si="13"/>
        <v>86502.68</v>
      </c>
      <c r="Q64" s="116">
        <f>+VLOOKUP($B64,'datos9-2015'!$A$2:$BE$78,26,FALSE)</f>
        <v>0</v>
      </c>
      <c r="R64" s="116">
        <f>+VLOOKUP($B64,'datos9-2015'!$A$2:$BE$78,27,FALSE)</f>
        <v>0</v>
      </c>
      <c r="S64" s="116">
        <f>+VLOOKUP($B64,'datos9-2015'!$A$2:$BE$78,28,FALSE)</f>
        <v>0</v>
      </c>
      <c r="T64" s="116">
        <f>+VLOOKUP($B64,'datos9-2015'!$A$2:$BE$78,29,FALSE)</f>
        <v>0</v>
      </c>
      <c r="U64" s="68">
        <f t="shared" si="14"/>
        <v>0</v>
      </c>
      <c r="V64" s="116">
        <f>+VLOOKUP($B64,'datos9-2015'!$A$2:$BE$78,31,FALSE)</f>
        <v>0</v>
      </c>
      <c r="W64" s="116">
        <f>+VLOOKUP($B64,'datos9-2015'!$A$2:$BE$78,32,FALSE)</f>
        <v>28500</v>
      </c>
      <c r="X64" s="117">
        <f t="shared" si="15"/>
        <v>28500</v>
      </c>
      <c r="Y64" s="118">
        <f t="shared" si="16"/>
        <v>130952.68</v>
      </c>
      <c r="Z64" s="116">
        <f>+VLOOKUP($B64,'datos9-2015'!$A$2:$BE$78,35,FALSE)</f>
        <v>0</v>
      </c>
      <c r="AA64" s="116">
        <f>+VLOOKUP($B64,'datos9-2015'!$A$2:$BE$78,36,FALSE)</f>
        <v>300705</v>
      </c>
      <c r="AB64" s="116">
        <f>+VLOOKUP($B64,'datos9-2015'!$A$2:$BE$78,37,FALSE)</f>
        <v>0</v>
      </c>
      <c r="AC64" s="116">
        <f>+VLOOKUP($B64,'datos9-2015'!$A$2:$BE$78,38,FALSE)</f>
        <v>0</v>
      </c>
      <c r="AD64" s="116">
        <f>+VLOOKUP($B64,'datos9-2015'!$A$2:$BE$78,39,FALSE)</f>
        <v>0</v>
      </c>
      <c r="AE64" s="68">
        <f t="shared" si="17"/>
        <v>300705</v>
      </c>
      <c r="AF64" s="116">
        <f>+VLOOKUP($B64,'datos9-2015'!$A$2:$BE$78,42,FALSE)</f>
        <v>777761.2</v>
      </c>
      <c r="AG64" s="116">
        <f>+VLOOKUP($B64,'datos9-2015'!$A$2:$BE$78,44,FALSE)</f>
        <v>186431.06</v>
      </c>
      <c r="AH64" s="116">
        <f>+VLOOKUP($B64,'datos9-2015'!$A$2:$BE$78,45,FALSE)</f>
        <v>0</v>
      </c>
      <c r="AI64" s="116">
        <f>+VLOOKUP($B64,'datos9-2015'!$A$2:$BE$78,46,FALSE)</f>
        <v>0</v>
      </c>
      <c r="AJ64" s="68">
        <f t="shared" si="18"/>
        <v>964192.26</v>
      </c>
      <c r="AK64" s="116">
        <f>+VLOOKUP($B64,'datos9-2015'!$A$2:$BE$78,49,FALSE)</f>
        <v>0</v>
      </c>
      <c r="AL64" s="116">
        <f>+VLOOKUP($B64,'datos9-2015'!$A$2:$BE$78,50,FALSE)</f>
        <v>0</v>
      </c>
      <c r="AM64" s="116">
        <f>+VLOOKUP($B64,'datos9-2015'!$A$2:$BE$78,51,FALSE)</f>
        <v>0</v>
      </c>
      <c r="AN64" s="116">
        <f>+VLOOKUP($B64,'datos9-2015'!$A$2:$BE$78,52,FALSE)</f>
        <v>1336377.6100000001</v>
      </c>
      <c r="AO64" s="119">
        <f t="shared" si="19"/>
        <v>1336377.6100000001</v>
      </c>
      <c r="AP64" s="116">
        <f>+VLOOKUP($B64,'datos9-2015'!$A$2:$BE$78,55,FALSE)</f>
        <v>0</v>
      </c>
      <c r="AQ64" s="118">
        <f t="shared" si="20"/>
        <v>2601274.87</v>
      </c>
      <c r="AS64" s="120">
        <f t="shared" si="21"/>
        <v>2732227.5500000003</v>
      </c>
    </row>
    <row r="65" spans="2:45" x14ac:dyDescent="0.2">
      <c r="B65" s="18" t="s">
        <v>115</v>
      </c>
      <c r="C65" s="115"/>
      <c r="D65" s="116">
        <f>+VLOOKUP($B65,'datos9-2015'!$A$2:$BE$78,13,FALSE)</f>
        <v>9608.58</v>
      </c>
      <c r="E65" s="116">
        <f>+VLOOKUP($B65,'datos9-2015'!$A$2:$BE$78,14,FALSE)</f>
        <v>0</v>
      </c>
      <c r="F65" s="116">
        <f>+VLOOKUP($B65,'datos9-2015'!$A$2:$BE$78,15,FALSE)</f>
        <v>0</v>
      </c>
      <c r="G65" s="68">
        <f t="shared" si="11"/>
        <v>9608.58</v>
      </c>
      <c r="H65" s="116">
        <f>+VLOOKUP($B65,'datos9-2015'!$A$2:$BE$78,17,FALSE)</f>
        <v>0</v>
      </c>
      <c r="I65" s="116">
        <f>+VLOOKUP($B65,'datos9-2015'!$A$2:$BE$78,18,FALSE)</f>
        <v>0</v>
      </c>
      <c r="J65" s="116">
        <f>+VLOOKUP($B65,'datos9-2015'!$A$2:$BE$78,19,FALSE)</f>
        <v>0</v>
      </c>
      <c r="K65" s="116">
        <f>+VLOOKUP($B65,'datos9-2015'!$A$2:$BE$78,20,FALSE)</f>
        <v>66219.460000000006</v>
      </c>
      <c r="L65" s="68">
        <f t="shared" si="12"/>
        <v>66219.460000000006</v>
      </c>
      <c r="M65" s="116">
        <f>+VLOOKUP($B65,'datos9-2015'!$A$2:$BE$78,22,FALSE)</f>
        <v>9994.48</v>
      </c>
      <c r="N65" s="116">
        <f>+VLOOKUP($B65,'datos9-2015'!$A$2:$BE$78,23,FALSE)</f>
        <v>0</v>
      </c>
      <c r="O65" s="116">
        <f>+VLOOKUP($B65,'datos9-2015'!$A$2:$BE$78,24,FALSE)</f>
        <v>0</v>
      </c>
      <c r="P65" s="68">
        <f t="shared" si="13"/>
        <v>9994.48</v>
      </c>
      <c r="Q65" s="116">
        <f>+VLOOKUP($B65,'datos9-2015'!$A$2:$BE$78,26,FALSE)</f>
        <v>0</v>
      </c>
      <c r="R65" s="116">
        <f>+VLOOKUP($B65,'datos9-2015'!$A$2:$BE$78,27,FALSE)</f>
        <v>0</v>
      </c>
      <c r="S65" s="116">
        <f>+VLOOKUP($B65,'datos9-2015'!$A$2:$BE$78,28,FALSE)</f>
        <v>0</v>
      </c>
      <c r="T65" s="116">
        <f>+VLOOKUP($B65,'datos9-2015'!$A$2:$BE$78,29,FALSE)</f>
        <v>0</v>
      </c>
      <c r="U65" s="68">
        <f t="shared" si="14"/>
        <v>0</v>
      </c>
      <c r="V65" s="116">
        <f>+VLOOKUP($B65,'datos9-2015'!$A$2:$BE$78,31,FALSE)</f>
        <v>18170.43</v>
      </c>
      <c r="W65" s="116">
        <f>+VLOOKUP($B65,'datos9-2015'!$A$2:$BE$78,32,FALSE)</f>
        <v>0</v>
      </c>
      <c r="X65" s="117">
        <f t="shared" si="15"/>
        <v>18170.43</v>
      </c>
      <c r="Y65" s="118">
        <f t="shared" si="16"/>
        <v>103992.95000000001</v>
      </c>
      <c r="Z65" s="116">
        <f>+VLOOKUP($B65,'datos9-2015'!$A$2:$BE$78,35,FALSE)</f>
        <v>0</v>
      </c>
      <c r="AA65" s="116">
        <f>+VLOOKUP($B65,'datos9-2015'!$A$2:$BE$78,36,FALSE)</f>
        <v>38695.550000000003</v>
      </c>
      <c r="AB65" s="116">
        <f>+VLOOKUP($B65,'datos9-2015'!$A$2:$BE$78,37,FALSE)</f>
        <v>0</v>
      </c>
      <c r="AC65" s="116">
        <f>+VLOOKUP($B65,'datos9-2015'!$A$2:$BE$78,38,FALSE)</f>
        <v>93372</v>
      </c>
      <c r="AD65" s="116">
        <f>+VLOOKUP($B65,'datos9-2015'!$A$2:$BE$78,39,FALSE)</f>
        <v>0</v>
      </c>
      <c r="AE65" s="68">
        <f t="shared" si="17"/>
        <v>132067.54999999999</v>
      </c>
      <c r="AF65" s="116">
        <f>+VLOOKUP($B65,'datos9-2015'!$A$2:$BE$78,42,FALSE)</f>
        <v>1254998.3700000001</v>
      </c>
      <c r="AG65" s="116">
        <f>+VLOOKUP($B65,'datos9-2015'!$A$2:$BE$78,44,FALSE)</f>
        <v>152012.22</v>
      </c>
      <c r="AH65" s="116">
        <f>+VLOOKUP($B65,'datos9-2015'!$A$2:$BE$78,45,FALSE)</f>
        <v>0</v>
      </c>
      <c r="AI65" s="116">
        <f>+VLOOKUP($B65,'datos9-2015'!$A$2:$BE$78,46,FALSE)</f>
        <v>0</v>
      </c>
      <c r="AJ65" s="68">
        <f t="shared" si="18"/>
        <v>1407010.59</v>
      </c>
      <c r="AK65" s="116">
        <f>+VLOOKUP($B65,'datos9-2015'!$A$2:$BE$78,49,FALSE)</f>
        <v>0</v>
      </c>
      <c r="AL65" s="116">
        <f>+VLOOKUP($B65,'datos9-2015'!$A$2:$BE$78,50,FALSE)</f>
        <v>0</v>
      </c>
      <c r="AM65" s="116">
        <f>+VLOOKUP($B65,'datos9-2015'!$A$2:$BE$78,51,FALSE)</f>
        <v>0</v>
      </c>
      <c r="AN65" s="116">
        <f>+VLOOKUP($B65,'datos9-2015'!$A$2:$BE$78,52,FALSE)</f>
        <v>0</v>
      </c>
      <c r="AO65" s="119">
        <f t="shared" si="19"/>
        <v>0</v>
      </c>
      <c r="AP65" s="116">
        <f>+VLOOKUP($B65,'datos9-2015'!$A$2:$BE$78,55,FALSE)</f>
        <v>0</v>
      </c>
      <c r="AQ65" s="118">
        <f t="shared" si="20"/>
        <v>1539078.1400000001</v>
      </c>
      <c r="AS65" s="120">
        <f t="shared" si="21"/>
        <v>1643071.09</v>
      </c>
    </row>
    <row r="66" spans="2:45" x14ac:dyDescent="0.2">
      <c r="B66" s="18" t="s">
        <v>116</v>
      </c>
      <c r="C66" s="115"/>
      <c r="D66" s="116">
        <f>+VLOOKUP($B66,'datos9-2015'!$A$2:$BE$78,13,FALSE)</f>
        <v>105563</v>
      </c>
      <c r="E66" s="116">
        <f>+VLOOKUP($B66,'datos9-2015'!$A$2:$BE$78,14,FALSE)</f>
        <v>0</v>
      </c>
      <c r="F66" s="116">
        <f>+VLOOKUP($B66,'datos9-2015'!$A$2:$BE$78,15,FALSE)</f>
        <v>0</v>
      </c>
      <c r="G66" s="68">
        <f t="shared" si="11"/>
        <v>105563</v>
      </c>
      <c r="H66" s="116">
        <f>+VLOOKUP($B66,'datos9-2015'!$A$2:$BE$78,17,FALSE)</f>
        <v>0</v>
      </c>
      <c r="I66" s="116">
        <f>+VLOOKUP($B66,'datos9-2015'!$A$2:$BE$78,18,FALSE)</f>
        <v>0</v>
      </c>
      <c r="J66" s="116">
        <f>+VLOOKUP($B66,'datos9-2015'!$A$2:$BE$78,19,FALSE)</f>
        <v>0</v>
      </c>
      <c r="K66" s="116">
        <f>+VLOOKUP($B66,'datos9-2015'!$A$2:$BE$78,20,FALSE)</f>
        <v>0</v>
      </c>
      <c r="L66" s="68">
        <f t="shared" si="12"/>
        <v>0</v>
      </c>
      <c r="M66" s="116">
        <f>+VLOOKUP($B66,'datos9-2015'!$A$2:$BE$78,22,FALSE)</f>
        <v>518755</v>
      </c>
      <c r="N66" s="116">
        <f>+VLOOKUP($B66,'datos9-2015'!$A$2:$BE$78,23,FALSE)</f>
        <v>0</v>
      </c>
      <c r="O66" s="116">
        <f>+VLOOKUP($B66,'datos9-2015'!$A$2:$BE$78,24,FALSE)</f>
        <v>0</v>
      </c>
      <c r="P66" s="68">
        <f t="shared" si="13"/>
        <v>518755</v>
      </c>
      <c r="Q66" s="116">
        <f>+VLOOKUP($B66,'datos9-2015'!$A$2:$BE$78,26,FALSE)</f>
        <v>0</v>
      </c>
      <c r="R66" s="116">
        <f>+VLOOKUP($B66,'datos9-2015'!$A$2:$BE$78,27,FALSE)</f>
        <v>0</v>
      </c>
      <c r="S66" s="116">
        <f>+VLOOKUP($B66,'datos9-2015'!$A$2:$BE$78,28,FALSE)</f>
        <v>0</v>
      </c>
      <c r="T66" s="116">
        <f>+VLOOKUP($B66,'datos9-2015'!$A$2:$BE$78,29,FALSE)</f>
        <v>0</v>
      </c>
      <c r="U66" s="68">
        <f t="shared" si="14"/>
        <v>0</v>
      </c>
      <c r="V66" s="116">
        <f>+VLOOKUP($B66,'datos9-2015'!$A$2:$BE$78,31,FALSE)</f>
        <v>0</v>
      </c>
      <c r="W66" s="116">
        <f>+VLOOKUP($B66,'datos9-2015'!$A$2:$BE$78,32,FALSE)</f>
        <v>0</v>
      </c>
      <c r="X66" s="117">
        <f t="shared" si="15"/>
        <v>0</v>
      </c>
      <c r="Y66" s="118">
        <f t="shared" si="16"/>
        <v>624318</v>
      </c>
      <c r="Z66" s="116">
        <f>+VLOOKUP($B66,'datos9-2015'!$A$2:$BE$78,35,FALSE)</f>
        <v>0</v>
      </c>
      <c r="AA66" s="116">
        <f>+VLOOKUP($B66,'datos9-2015'!$A$2:$BE$78,36,FALSE)</f>
        <v>0</v>
      </c>
      <c r="AB66" s="116">
        <f>+VLOOKUP($B66,'datos9-2015'!$A$2:$BE$78,37,FALSE)</f>
        <v>0</v>
      </c>
      <c r="AC66" s="116">
        <f>+VLOOKUP($B66,'datos9-2015'!$A$2:$BE$78,38,FALSE)</f>
        <v>0</v>
      </c>
      <c r="AD66" s="116">
        <f>+VLOOKUP($B66,'datos9-2015'!$A$2:$BE$78,39,FALSE)</f>
        <v>0</v>
      </c>
      <c r="AE66" s="68">
        <f t="shared" si="17"/>
        <v>0</v>
      </c>
      <c r="AF66" s="116">
        <f>+VLOOKUP($B66,'datos9-2015'!$A$2:$BE$78,42,FALSE)</f>
        <v>2391394</v>
      </c>
      <c r="AG66" s="116">
        <f>+VLOOKUP($B66,'datos9-2015'!$A$2:$BE$78,44,FALSE)</f>
        <v>309413</v>
      </c>
      <c r="AH66" s="116">
        <f>+VLOOKUP($B66,'datos9-2015'!$A$2:$BE$78,45,FALSE)</f>
        <v>0</v>
      </c>
      <c r="AI66" s="116">
        <f>+VLOOKUP($B66,'datos9-2015'!$A$2:$BE$78,46,FALSE)</f>
        <v>0</v>
      </c>
      <c r="AJ66" s="68">
        <f t="shared" si="18"/>
        <v>2700807</v>
      </c>
      <c r="AK66" s="116">
        <f>+VLOOKUP($B66,'datos9-2015'!$A$2:$BE$78,49,FALSE)</f>
        <v>0</v>
      </c>
      <c r="AL66" s="116">
        <f>+VLOOKUP($B66,'datos9-2015'!$A$2:$BE$78,50,FALSE)</f>
        <v>0</v>
      </c>
      <c r="AM66" s="116">
        <f>+VLOOKUP($B66,'datos9-2015'!$A$2:$BE$78,51,FALSE)</f>
        <v>0</v>
      </c>
      <c r="AN66" s="116">
        <f>+VLOOKUP($B66,'datos9-2015'!$A$2:$BE$78,52,FALSE)</f>
        <v>0</v>
      </c>
      <c r="AO66" s="119">
        <f t="shared" si="19"/>
        <v>0</v>
      </c>
      <c r="AP66" s="116">
        <f>+VLOOKUP($B66,'datos9-2015'!$A$2:$BE$78,55,FALSE)</f>
        <v>0</v>
      </c>
      <c r="AQ66" s="118">
        <f t="shared" si="20"/>
        <v>2700807</v>
      </c>
      <c r="AS66" s="120">
        <f t="shared" si="21"/>
        <v>3325125</v>
      </c>
    </row>
    <row r="67" spans="2:45" x14ac:dyDescent="0.2">
      <c r="B67" s="18" t="s">
        <v>117</v>
      </c>
      <c r="C67" s="115"/>
      <c r="D67" s="116">
        <f>+VLOOKUP($B67,'datos9-2015'!$A$2:$BE$78,13,FALSE)</f>
        <v>66402</v>
      </c>
      <c r="E67" s="116">
        <f>+VLOOKUP($B67,'datos9-2015'!$A$2:$BE$78,14,FALSE)</f>
        <v>0</v>
      </c>
      <c r="F67" s="116">
        <f>+VLOOKUP($B67,'datos9-2015'!$A$2:$BE$78,15,FALSE)</f>
        <v>0</v>
      </c>
      <c r="G67" s="68">
        <f t="shared" si="11"/>
        <v>66402</v>
      </c>
      <c r="H67" s="116">
        <f>+VLOOKUP($B67,'datos9-2015'!$A$2:$BE$78,17,FALSE)</f>
        <v>28997</v>
      </c>
      <c r="I67" s="116">
        <f>+VLOOKUP($B67,'datos9-2015'!$A$2:$BE$78,18,FALSE)</f>
        <v>0</v>
      </c>
      <c r="J67" s="116">
        <f>+VLOOKUP($B67,'datos9-2015'!$A$2:$BE$78,19,FALSE)</f>
        <v>0</v>
      </c>
      <c r="K67" s="116">
        <f>+VLOOKUP($B67,'datos9-2015'!$A$2:$BE$78,20,FALSE)</f>
        <v>49975</v>
      </c>
      <c r="L67" s="68">
        <f t="shared" si="12"/>
        <v>78972</v>
      </c>
      <c r="M67" s="116">
        <f>+VLOOKUP($B67,'datos9-2015'!$A$2:$BE$78,22,FALSE)</f>
        <v>0</v>
      </c>
      <c r="N67" s="116">
        <f>+VLOOKUP($B67,'datos9-2015'!$A$2:$BE$78,23,FALSE)</f>
        <v>0</v>
      </c>
      <c r="O67" s="116">
        <f>+VLOOKUP($B67,'datos9-2015'!$A$2:$BE$78,24,FALSE)</f>
        <v>0</v>
      </c>
      <c r="P67" s="68">
        <f t="shared" si="13"/>
        <v>0</v>
      </c>
      <c r="Q67" s="116">
        <f>+VLOOKUP($B67,'datos9-2015'!$A$2:$BE$78,26,FALSE)</f>
        <v>0</v>
      </c>
      <c r="R67" s="116">
        <f>+VLOOKUP($B67,'datos9-2015'!$A$2:$BE$78,27,FALSE)</f>
        <v>0</v>
      </c>
      <c r="S67" s="116">
        <f>+VLOOKUP($B67,'datos9-2015'!$A$2:$BE$78,28,FALSE)</f>
        <v>0</v>
      </c>
      <c r="T67" s="116">
        <f>+VLOOKUP($B67,'datos9-2015'!$A$2:$BE$78,29,FALSE)</f>
        <v>0</v>
      </c>
      <c r="U67" s="68">
        <f t="shared" si="14"/>
        <v>0</v>
      </c>
      <c r="V67" s="116">
        <f>+VLOOKUP($B67,'datos9-2015'!$A$2:$BE$78,31,FALSE)</f>
        <v>2884</v>
      </c>
      <c r="W67" s="116">
        <f>+VLOOKUP($B67,'datos9-2015'!$A$2:$BE$78,32,FALSE)</f>
        <v>0</v>
      </c>
      <c r="X67" s="117">
        <f t="shared" si="15"/>
        <v>2884</v>
      </c>
      <c r="Y67" s="118">
        <f t="shared" si="16"/>
        <v>148258</v>
      </c>
      <c r="Z67" s="116">
        <f>+VLOOKUP($B67,'datos9-2015'!$A$2:$BE$78,35,FALSE)</f>
        <v>0</v>
      </c>
      <c r="AA67" s="116">
        <f>+VLOOKUP($B67,'datos9-2015'!$A$2:$BE$78,36,FALSE)</f>
        <v>0</v>
      </c>
      <c r="AB67" s="116">
        <f>+VLOOKUP($B67,'datos9-2015'!$A$2:$BE$78,37,FALSE)</f>
        <v>0</v>
      </c>
      <c r="AC67" s="116">
        <f>+VLOOKUP($B67,'datos9-2015'!$A$2:$BE$78,38,FALSE)</f>
        <v>0</v>
      </c>
      <c r="AD67" s="116">
        <f>+VLOOKUP($B67,'datos9-2015'!$A$2:$BE$78,39,FALSE)</f>
        <v>0</v>
      </c>
      <c r="AE67" s="68">
        <f t="shared" si="17"/>
        <v>0</v>
      </c>
      <c r="AF67" s="116">
        <f>+VLOOKUP($B67,'datos9-2015'!$A$2:$BE$78,42,FALSE)</f>
        <v>0</v>
      </c>
      <c r="AG67" s="116">
        <f>+VLOOKUP($B67,'datos9-2015'!$A$2:$BE$78,44,FALSE)</f>
        <v>0</v>
      </c>
      <c r="AH67" s="116">
        <f>+VLOOKUP($B67,'datos9-2015'!$A$2:$BE$78,45,FALSE)</f>
        <v>0</v>
      </c>
      <c r="AI67" s="116">
        <f>+VLOOKUP($B67,'datos9-2015'!$A$2:$BE$78,46,FALSE)</f>
        <v>0</v>
      </c>
      <c r="AJ67" s="68">
        <f t="shared" si="18"/>
        <v>0</v>
      </c>
      <c r="AK67" s="116">
        <f>+VLOOKUP($B67,'datos9-2015'!$A$2:$BE$78,49,FALSE)</f>
        <v>0</v>
      </c>
      <c r="AL67" s="116">
        <f>+VLOOKUP($B67,'datos9-2015'!$A$2:$BE$78,50,FALSE)</f>
        <v>0</v>
      </c>
      <c r="AM67" s="116">
        <f>+VLOOKUP($B67,'datos9-2015'!$A$2:$BE$78,51,FALSE)</f>
        <v>0</v>
      </c>
      <c r="AN67" s="116">
        <f>+VLOOKUP($B67,'datos9-2015'!$A$2:$BE$78,52,FALSE)</f>
        <v>0</v>
      </c>
      <c r="AO67" s="119">
        <f t="shared" si="19"/>
        <v>0</v>
      </c>
      <c r="AP67" s="116">
        <f>+VLOOKUP($B67,'datos9-2015'!$A$2:$BE$78,55,FALSE)</f>
        <v>0</v>
      </c>
      <c r="AQ67" s="118">
        <f t="shared" si="20"/>
        <v>0</v>
      </c>
      <c r="AS67" s="120">
        <f t="shared" si="21"/>
        <v>148258</v>
      </c>
    </row>
    <row r="68" spans="2:45" x14ac:dyDescent="0.2">
      <c r="B68" s="18" t="s">
        <v>118</v>
      </c>
      <c r="C68" s="115"/>
      <c r="D68" s="116">
        <f>+VLOOKUP($B68,'datos9-2015'!$A$2:$BE$78,13,FALSE)</f>
        <v>170162.99</v>
      </c>
      <c r="E68" s="116">
        <f>+VLOOKUP($B68,'datos9-2015'!$A$2:$BE$78,14,FALSE)</f>
        <v>0</v>
      </c>
      <c r="F68" s="116">
        <f>+VLOOKUP($B68,'datos9-2015'!$A$2:$BE$78,15,FALSE)</f>
        <v>0</v>
      </c>
      <c r="G68" s="68">
        <f t="shared" si="11"/>
        <v>170162.99</v>
      </c>
      <c r="H68" s="116">
        <f>+VLOOKUP($B68,'datos9-2015'!$A$2:$BE$78,17,FALSE)</f>
        <v>2648.33</v>
      </c>
      <c r="I68" s="116">
        <f>+VLOOKUP($B68,'datos9-2015'!$A$2:$BE$78,18,FALSE)</f>
        <v>0</v>
      </c>
      <c r="J68" s="116">
        <f>+VLOOKUP($B68,'datos9-2015'!$A$2:$BE$78,19,FALSE)</f>
        <v>1010</v>
      </c>
      <c r="K68" s="116">
        <f>+VLOOKUP($B68,'datos9-2015'!$A$2:$BE$78,20,FALSE)</f>
        <v>5548.24</v>
      </c>
      <c r="L68" s="68">
        <f t="shared" si="12"/>
        <v>9206.57</v>
      </c>
      <c r="M68" s="116">
        <f>+VLOOKUP($B68,'datos9-2015'!$A$2:$BE$78,22,FALSE)</f>
        <v>405728.7</v>
      </c>
      <c r="N68" s="116">
        <f>+VLOOKUP($B68,'datos9-2015'!$A$2:$BE$78,23,FALSE)</f>
        <v>75115.34</v>
      </c>
      <c r="O68" s="116">
        <f>+VLOOKUP($B68,'datos9-2015'!$A$2:$BE$78,24,FALSE)</f>
        <v>0</v>
      </c>
      <c r="P68" s="68">
        <f t="shared" si="13"/>
        <v>480844.04000000004</v>
      </c>
      <c r="Q68" s="116">
        <f>+VLOOKUP($B68,'datos9-2015'!$A$2:$BE$78,26,FALSE)</f>
        <v>0</v>
      </c>
      <c r="R68" s="116">
        <f>+VLOOKUP($B68,'datos9-2015'!$A$2:$BE$78,27,FALSE)</f>
        <v>1667.29</v>
      </c>
      <c r="S68" s="116">
        <f>+VLOOKUP($B68,'datos9-2015'!$A$2:$BE$78,28,FALSE)</f>
        <v>0</v>
      </c>
      <c r="T68" s="116">
        <f>+VLOOKUP($B68,'datos9-2015'!$A$2:$BE$78,29,FALSE)</f>
        <v>0</v>
      </c>
      <c r="U68" s="68">
        <f t="shared" si="14"/>
        <v>1667.29</v>
      </c>
      <c r="V68" s="116">
        <f>+VLOOKUP($B68,'datos9-2015'!$A$2:$BE$78,31,FALSE)</f>
        <v>102611.41</v>
      </c>
      <c r="W68" s="116">
        <f>+VLOOKUP($B68,'datos9-2015'!$A$2:$BE$78,32,FALSE)</f>
        <v>631.57000000000005</v>
      </c>
      <c r="X68" s="117">
        <f t="shared" si="15"/>
        <v>103242.98000000001</v>
      </c>
      <c r="Y68" s="118">
        <f t="shared" si="16"/>
        <v>765123.87</v>
      </c>
      <c r="Z68" s="116">
        <f>+VLOOKUP($B68,'datos9-2015'!$A$2:$BE$78,35,FALSE)</f>
        <v>0</v>
      </c>
      <c r="AA68" s="116">
        <f>+VLOOKUP($B68,'datos9-2015'!$A$2:$BE$78,36,FALSE)</f>
        <v>197450</v>
      </c>
      <c r="AB68" s="116">
        <f>+VLOOKUP($B68,'datos9-2015'!$A$2:$BE$78,37,FALSE)</f>
        <v>0</v>
      </c>
      <c r="AC68" s="116">
        <f>+VLOOKUP($B68,'datos9-2015'!$A$2:$BE$78,38,FALSE)</f>
        <v>0</v>
      </c>
      <c r="AD68" s="116">
        <f>+VLOOKUP($B68,'datos9-2015'!$A$2:$BE$78,39,FALSE)</f>
        <v>0</v>
      </c>
      <c r="AE68" s="68">
        <f t="shared" si="17"/>
        <v>197450</v>
      </c>
      <c r="AF68" s="116">
        <f>+VLOOKUP($B68,'datos9-2015'!$A$2:$BE$78,42,FALSE)</f>
        <v>544403.11</v>
      </c>
      <c r="AG68" s="116">
        <f>+VLOOKUP($B68,'datos9-2015'!$A$2:$BE$78,44,FALSE)</f>
        <v>151886.96</v>
      </c>
      <c r="AH68" s="116">
        <f>+VLOOKUP($B68,'datos9-2015'!$A$2:$BE$78,45,FALSE)</f>
        <v>0</v>
      </c>
      <c r="AI68" s="116">
        <f>+VLOOKUP($B68,'datos9-2015'!$A$2:$BE$78,46,FALSE)</f>
        <v>0</v>
      </c>
      <c r="AJ68" s="68">
        <f t="shared" si="18"/>
        <v>696290.07</v>
      </c>
      <c r="AK68" s="116">
        <f>+VLOOKUP($B68,'datos9-2015'!$A$2:$BE$78,49,FALSE)</f>
        <v>240000</v>
      </c>
      <c r="AL68" s="116">
        <f>+VLOOKUP($B68,'datos9-2015'!$A$2:$BE$78,50,FALSE)</f>
        <v>0</v>
      </c>
      <c r="AM68" s="116">
        <f>+VLOOKUP($B68,'datos9-2015'!$A$2:$BE$78,51,FALSE)</f>
        <v>0</v>
      </c>
      <c r="AN68" s="116">
        <f>+VLOOKUP($B68,'datos9-2015'!$A$2:$BE$78,52,FALSE)</f>
        <v>506504.13</v>
      </c>
      <c r="AO68" s="119">
        <f t="shared" si="19"/>
        <v>746504.13</v>
      </c>
      <c r="AP68" s="116">
        <f>+VLOOKUP($B68,'datos9-2015'!$A$2:$BE$78,55,FALSE)</f>
        <v>21500</v>
      </c>
      <c r="AQ68" s="118">
        <f t="shared" si="20"/>
        <v>1661744.2</v>
      </c>
      <c r="AS68" s="120">
        <f t="shared" si="21"/>
        <v>2426868.0699999998</v>
      </c>
    </row>
    <row r="69" spans="2:45" x14ac:dyDescent="0.2">
      <c r="B69" s="18" t="s">
        <v>119</v>
      </c>
      <c r="C69" s="115"/>
      <c r="D69" s="116">
        <f>+VLOOKUP($B69,'datos9-2015'!$A$2:$BE$78,13,FALSE)</f>
        <v>28950494</v>
      </c>
      <c r="E69" s="116">
        <f>+VLOOKUP($B69,'datos9-2015'!$A$2:$BE$78,14,FALSE)</f>
        <v>0</v>
      </c>
      <c r="F69" s="116">
        <f>+VLOOKUP($B69,'datos9-2015'!$A$2:$BE$78,15,FALSE)</f>
        <v>409678</v>
      </c>
      <c r="G69" s="68">
        <f t="shared" si="11"/>
        <v>29360172</v>
      </c>
      <c r="H69" s="116">
        <f>+VLOOKUP($B69,'datos9-2015'!$A$2:$BE$78,17,FALSE)</f>
        <v>922871</v>
      </c>
      <c r="I69" s="116">
        <f>+VLOOKUP($B69,'datos9-2015'!$A$2:$BE$78,18,FALSE)</f>
        <v>3697685</v>
      </c>
      <c r="J69" s="116">
        <f>+VLOOKUP($B69,'datos9-2015'!$A$2:$BE$78,19,FALSE)</f>
        <v>0</v>
      </c>
      <c r="K69" s="116">
        <f>+VLOOKUP($B69,'datos9-2015'!$A$2:$BE$78,20,FALSE)</f>
        <v>5668073</v>
      </c>
      <c r="L69" s="68">
        <f t="shared" si="12"/>
        <v>10288629</v>
      </c>
      <c r="M69" s="116">
        <f>+VLOOKUP($B69,'datos9-2015'!$A$2:$BE$78,22,FALSE)</f>
        <v>5125021</v>
      </c>
      <c r="N69" s="116">
        <f>+VLOOKUP($B69,'datos9-2015'!$A$2:$BE$78,23,FALSE)</f>
        <v>1506477</v>
      </c>
      <c r="O69" s="116">
        <f>+VLOOKUP($B69,'datos9-2015'!$A$2:$BE$78,24,FALSE)</f>
        <v>198425</v>
      </c>
      <c r="P69" s="68">
        <f t="shared" si="13"/>
        <v>6829923</v>
      </c>
      <c r="Q69" s="116">
        <f>+VLOOKUP($B69,'datos9-2015'!$A$2:$BE$78,26,FALSE)</f>
        <v>5448737</v>
      </c>
      <c r="R69" s="116">
        <f>+VLOOKUP($B69,'datos9-2015'!$A$2:$BE$78,27,FALSE)</f>
        <v>44896</v>
      </c>
      <c r="S69" s="116">
        <f>+VLOOKUP($B69,'datos9-2015'!$A$2:$BE$78,28,FALSE)</f>
        <v>60635</v>
      </c>
      <c r="T69" s="116">
        <f>+VLOOKUP($B69,'datos9-2015'!$A$2:$BE$78,29,FALSE)</f>
        <v>392655</v>
      </c>
      <c r="U69" s="68">
        <f t="shared" si="14"/>
        <v>5946923</v>
      </c>
      <c r="V69" s="116">
        <f>+VLOOKUP($B69,'datos9-2015'!$A$2:$BE$78,31,FALSE)</f>
        <v>241543</v>
      </c>
      <c r="W69" s="116">
        <f>+VLOOKUP($B69,'datos9-2015'!$A$2:$BE$78,32,FALSE)</f>
        <v>7891544</v>
      </c>
      <c r="X69" s="117">
        <f t="shared" si="15"/>
        <v>8133087</v>
      </c>
      <c r="Y69" s="118">
        <f t="shared" si="16"/>
        <v>60558734</v>
      </c>
      <c r="Z69" s="116">
        <f>+VLOOKUP($B69,'datos9-2015'!$A$2:$BE$78,35,FALSE)</f>
        <v>0</v>
      </c>
      <c r="AA69" s="116">
        <f>+VLOOKUP($B69,'datos9-2015'!$A$2:$BE$78,36,FALSE)</f>
        <v>0</v>
      </c>
      <c r="AB69" s="116">
        <f>+VLOOKUP($B69,'datos9-2015'!$A$2:$BE$78,37,FALSE)</f>
        <v>0</v>
      </c>
      <c r="AC69" s="116">
        <f>+VLOOKUP($B69,'datos9-2015'!$A$2:$BE$78,38,FALSE)</f>
        <v>0</v>
      </c>
      <c r="AD69" s="116">
        <f>+VLOOKUP($B69,'datos9-2015'!$A$2:$BE$78,39,FALSE)</f>
        <v>0</v>
      </c>
      <c r="AE69" s="68">
        <f t="shared" si="17"/>
        <v>0</v>
      </c>
      <c r="AF69" s="116">
        <f>+VLOOKUP($B69,'datos9-2015'!$A$2:$BE$78,42,FALSE)</f>
        <v>1953129.68</v>
      </c>
      <c r="AG69" s="116">
        <f>+VLOOKUP($B69,'datos9-2015'!$A$2:$BE$78,44,FALSE)</f>
        <v>471517.16</v>
      </c>
      <c r="AH69" s="116">
        <f>+VLOOKUP($B69,'datos9-2015'!$A$2:$BE$78,45,FALSE)</f>
        <v>0</v>
      </c>
      <c r="AI69" s="116">
        <f>+VLOOKUP($B69,'datos9-2015'!$A$2:$BE$78,46,FALSE)</f>
        <v>8058.95</v>
      </c>
      <c r="AJ69" s="68">
        <f t="shared" si="18"/>
        <v>2432705.79</v>
      </c>
      <c r="AK69" s="116">
        <f>+VLOOKUP($B69,'datos9-2015'!$A$2:$BE$78,49,FALSE)</f>
        <v>0</v>
      </c>
      <c r="AL69" s="116">
        <f>+VLOOKUP($B69,'datos9-2015'!$A$2:$BE$78,50,FALSE)</f>
        <v>10133319.970000001</v>
      </c>
      <c r="AM69" s="116">
        <f>+VLOOKUP($B69,'datos9-2015'!$A$2:$BE$78,51,FALSE)</f>
        <v>5691959.2599999998</v>
      </c>
      <c r="AN69" s="116">
        <f>+VLOOKUP($B69,'datos9-2015'!$A$2:$BE$78,52,FALSE)</f>
        <v>125387.48</v>
      </c>
      <c r="AO69" s="119">
        <f t="shared" si="19"/>
        <v>15950666.710000001</v>
      </c>
      <c r="AP69" s="116">
        <f>+VLOOKUP($B69,'datos9-2015'!$A$2:$BE$78,55,FALSE)</f>
        <v>0</v>
      </c>
      <c r="AQ69" s="118">
        <f t="shared" si="20"/>
        <v>18383372.5</v>
      </c>
      <c r="AS69" s="120">
        <f t="shared" si="21"/>
        <v>78942106.5</v>
      </c>
    </row>
    <row r="70" spans="2:45" x14ac:dyDescent="0.2">
      <c r="B70" s="18" t="s">
        <v>120</v>
      </c>
      <c r="C70" s="115"/>
      <c r="D70" s="116">
        <f>+VLOOKUP($B70,'datos9-2015'!$A$2:$BE$78,13,FALSE)</f>
        <v>6112.5</v>
      </c>
      <c r="E70" s="116">
        <f>+VLOOKUP($B70,'datos9-2015'!$A$2:$BE$78,14,FALSE)</f>
        <v>0</v>
      </c>
      <c r="F70" s="116">
        <f>+VLOOKUP($B70,'datos9-2015'!$A$2:$BE$78,15,FALSE)</f>
        <v>0</v>
      </c>
      <c r="G70" s="68">
        <f t="shared" si="11"/>
        <v>6112.5</v>
      </c>
      <c r="H70" s="116">
        <f>+VLOOKUP($B70,'datos9-2015'!$A$2:$BE$78,17,FALSE)</f>
        <v>0</v>
      </c>
      <c r="I70" s="116">
        <f>+VLOOKUP($B70,'datos9-2015'!$A$2:$BE$78,18,FALSE)</f>
        <v>0</v>
      </c>
      <c r="J70" s="116">
        <f>+VLOOKUP($B70,'datos9-2015'!$A$2:$BE$78,19,FALSE)</f>
        <v>0</v>
      </c>
      <c r="K70" s="116">
        <f>+VLOOKUP($B70,'datos9-2015'!$A$2:$BE$78,20,FALSE)</f>
        <v>25306.57</v>
      </c>
      <c r="L70" s="68">
        <f t="shared" si="12"/>
        <v>25306.57</v>
      </c>
      <c r="M70" s="116">
        <f>+VLOOKUP($B70,'datos9-2015'!$A$2:$BE$78,22,FALSE)</f>
        <v>0</v>
      </c>
      <c r="N70" s="116">
        <f>+VLOOKUP($B70,'datos9-2015'!$A$2:$BE$78,23,FALSE)</f>
        <v>0</v>
      </c>
      <c r="O70" s="116">
        <f>+VLOOKUP($B70,'datos9-2015'!$A$2:$BE$78,24,FALSE)</f>
        <v>0</v>
      </c>
      <c r="P70" s="68">
        <f t="shared" si="13"/>
        <v>0</v>
      </c>
      <c r="Q70" s="116">
        <f>+VLOOKUP($B70,'datos9-2015'!$A$2:$BE$78,26,FALSE)</f>
        <v>0</v>
      </c>
      <c r="R70" s="116">
        <f>+VLOOKUP($B70,'datos9-2015'!$A$2:$BE$78,27,FALSE)</f>
        <v>0</v>
      </c>
      <c r="S70" s="116">
        <f>+VLOOKUP($B70,'datos9-2015'!$A$2:$BE$78,28,FALSE)</f>
        <v>5108.6499999999996</v>
      </c>
      <c r="T70" s="116">
        <f>+VLOOKUP($B70,'datos9-2015'!$A$2:$BE$78,29,FALSE)</f>
        <v>231.71</v>
      </c>
      <c r="U70" s="68">
        <f t="shared" si="14"/>
        <v>5340.36</v>
      </c>
      <c r="V70" s="116">
        <f>+VLOOKUP($B70,'datos9-2015'!$A$2:$BE$78,31,FALSE)</f>
        <v>9389.5</v>
      </c>
      <c r="W70" s="116">
        <f>+VLOOKUP($B70,'datos9-2015'!$A$2:$BE$78,32,FALSE)</f>
        <v>0</v>
      </c>
      <c r="X70" s="117">
        <f t="shared" si="15"/>
        <v>9389.5</v>
      </c>
      <c r="Y70" s="118">
        <f t="shared" si="16"/>
        <v>46148.93</v>
      </c>
      <c r="Z70" s="116">
        <f>+VLOOKUP($B70,'datos9-2015'!$A$2:$BE$78,35,FALSE)</f>
        <v>0</v>
      </c>
      <c r="AA70" s="116">
        <f>+VLOOKUP($B70,'datos9-2015'!$A$2:$BE$78,36,FALSE)</f>
        <v>30570.65</v>
      </c>
      <c r="AB70" s="116">
        <f>+VLOOKUP($B70,'datos9-2015'!$A$2:$BE$78,37,FALSE)</f>
        <v>0</v>
      </c>
      <c r="AC70" s="116">
        <f>+VLOOKUP($B70,'datos9-2015'!$A$2:$BE$78,38,FALSE)</f>
        <v>0</v>
      </c>
      <c r="AD70" s="116">
        <f>+VLOOKUP($B70,'datos9-2015'!$A$2:$BE$78,39,FALSE)</f>
        <v>0</v>
      </c>
      <c r="AE70" s="68">
        <f t="shared" si="17"/>
        <v>30570.65</v>
      </c>
      <c r="AF70" s="116">
        <f>+VLOOKUP($B70,'datos9-2015'!$A$2:$BE$78,42,FALSE)</f>
        <v>672597.57</v>
      </c>
      <c r="AG70" s="116">
        <f>+VLOOKUP($B70,'datos9-2015'!$A$2:$BE$78,44,FALSE)</f>
        <v>146006.9</v>
      </c>
      <c r="AH70" s="116">
        <f>+VLOOKUP($B70,'datos9-2015'!$A$2:$BE$78,45,FALSE)</f>
        <v>0</v>
      </c>
      <c r="AI70" s="116">
        <f>+VLOOKUP($B70,'datos9-2015'!$A$2:$BE$78,46,FALSE)</f>
        <v>0</v>
      </c>
      <c r="AJ70" s="68">
        <f t="shared" si="18"/>
        <v>818604.47</v>
      </c>
      <c r="AK70" s="116">
        <f>+VLOOKUP($B70,'datos9-2015'!$A$2:$BE$78,49,FALSE)</f>
        <v>0</v>
      </c>
      <c r="AL70" s="116">
        <f>+VLOOKUP($B70,'datos9-2015'!$A$2:$BE$78,50,FALSE)</f>
        <v>0</v>
      </c>
      <c r="AM70" s="116">
        <f>+VLOOKUP($B70,'datos9-2015'!$A$2:$BE$78,51,FALSE)</f>
        <v>0</v>
      </c>
      <c r="AN70" s="116">
        <f>+VLOOKUP($B70,'datos9-2015'!$A$2:$BE$78,52,FALSE)</f>
        <v>0</v>
      </c>
      <c r="AO70" s="119">
        <f t="shared" si="19"/>
        <v>0</v>
      </c>
      <c r="AP70" s="116">
        <f>+VLOOKUP($B70,'datos9-2015'!$A$2:$BE$78,55,FALSE)</f>
        <v>0</v>
      </c>
      <c r="AQ70" s="118">
        <f t="shared" si="20"/>
        <v>849175.12</v>
      </c>
      <c r="AS70" s="120">
        <f t="shared" si="21"/>
        <v>895324.05</v>
      </c>
    </row>
    <row r="71" spans="2:45" x14ac:dyDescent="0.2">
      <c r="B71" s="18" t="s">
        <v>121</v>
      </c>
      <c r="C71" s="115"/>
      <c r="D71" s="116">
        <f>+VLOOKUP($B71,'datos9-2015'!$A$2:$BE$78,13,FALSE)</f>
        <v>3119712.57</v>
      </c>
      <c r="E71" s="116">
        <f>+VLOOKUP($B71,'datos9-2015'!$A$2:$BE$78,14,FALSE)</f>
        <v>8526925.9199999999</v>
      </c>
      <c r="F71" s="116">
        <f>+VLOOKUP($B71,'datos9-2015'!$A$2:$BE$78,15,FALSE)</f>
        <v>0</v>
      </c>
      <c r="G71" s="68">
        <f t="shared" si="11"/>
        <v>11646638.49</v>
      </c>
      <c r="H71" s="116">
        <f>+VLOOKUP($B71,'datos9-2015'!$A$2:$BE$78,17,FALSE)</f>
        <v>45166.6</v>
      </c>
      <c r="I71" s="116">
        <f>+VLOOKUP($B71,'datos9-2015'!$A$2:$BE$78,18,FALSE)</f>
        <v>614065.94999999995</v>
      </c>
      <c r="J71" s="116">
        <f>+VLOOKUP($B71,'datos9-2015'!$A$2:$BE$78,19,FALSE)</f>
        <v>345496.36</v>
      </c>
      <c r="K71" s="116">
        <f>+VLOOKUP($B71,'datos9-2015'!$A$2:$BE$78,20,FALSE)</f>
        <v>0</v>
      </c>
      <c r="L71" s="68">
        <f t="shared" si="12"/>
        <v>1004728.9099999999</v>
      </c>
      <c r="M71" s="116">
        <f>+VLOOKUP($B71,'datos9-2015'!$A$2:$BE$78,22,FALSE)</f>
        <v>19200</v>
      </c>
      <c r="N71" s="116">
        <f>+VLOOKUP($B71,'datos9-2015'!$A$2:$BE$78,23,FALSE)</f>
        <v>112798.11</v>
      </c>
      <c r="O71" s="116">
        <f>+VLOOKUP($B71,'datos9-2015'!$A$2:$BE$78,24,FALSE)</f>
        <v>0</v>
      </c>
      <c r="P71" s="68">
        <f t="shared" si="13"/>
        <v>131998.10999999999</v>
      </c>
      <c r="Q71" s="116">
        <f>+VLOOKUP($B71,'datos9-2015'!$A$2:$BE$78,26,FALSE)</f>
        <v>0</v>
      </c>
      <c r="R71" s="116">
        <f>+VLOOKUP($B71,'datos9-2015'!$A$2:$BE$78,27,FALSE)</f>
        <v>0</v>
      </c>
      <c r="S71" s="116">
        <f>+VLOOKUP($B71,'datos9-2015'!$A$2:$BE$78,28,FALSE)</f>
        <v>0</v>
      </c>
      <c r="T71" s="116">
        <f>+VLOOKUP($B71,'datos9-2015'!$A$2:$BE$78,29,FALSE)</f>
        <v>0</v>
      </c>
      <c r="U71" s="68">
        <f t="shared" si="14"/>
        <v>0</v>
      </c>
      <c r="V71" s="116">
        <f>+VLOOKUP($B71,'datos9-2015'!$A$2:$BE$78,31,FALSE)</f>
        <v>0</v>
      </c>
      <c r="W71" s="116">
        <f>+VLOOKUP($B71,'datos9-2015'!$A$2:$BE$78,32,FALSE)</f>
        <v>0</v>
      </c>
      <c r="X71" s="117">
        <f t="shared" si="15"/>
        <v>0</v>
      </c>
      <c r="Y71" s="118">
        <f t="shared" si="16"/>
        <v>12783365.51</v>
      </c>
      <c r="Z71" s="116">
        <f>+VLOOKUP($B71,'datos9-2015'!$A$2:$BE$78,35,FALSE)</f>
        <v>0</v>
      </c>
      <c r="AA71" s="116">
        <f>+VLOOKUP($B71,'datos9-2015'!$A$2:$BE$78,36,FALSE)</f>
        <v>0</v>
      </c>
      <c r="AB71" s="116">
        <f>+VLOOKUP($B71,'datos9-2015'!$A$2:$BE$78,37,FALSE)</f>
        <v>0</v>
      </c>
      <c r="AC71" s="116">
        <f>+VLOOKUP($B71,'datos9-2015'!$A$2:$BE$78,38,FALSE)</f>
        <v>0</v>
      </c>
      <c r="AD71" s="116">
        <f>+VLOOKUP($B71,'datos9-2015'!$A$2:$BE$78,39,FALSE)</f>
        <v>4000</v>
      </c>
      <c r="AE71" s="68">
        <f t="shared" si="17"/>
        <v>4000</v>
      </c>
      <c r="AF71" s="116">
        <f>+VLOOKUP($B71,'datos9-2015'!$A$2:$BE$78,42,FALSE)</f>
        <v>262889</v>
      </c>
      <c r="AG71" s="116">
        <f>+VLOOKUP($B71,'datos9-2015'!$A$2:$BE$78,44,FALSE)</f>
        <v>0</v>
      </c>
      <c r="AH71" s="116">
        <f>+VLOOKUP($B71,'datos9-2015'!$A$2:$BE$78,45,FALSE)</f>
        <v>0</v>
      </c>
      <c r="AI71" s="116">
        <f>+VLOOKUP($B71,'datos9-2015'!$A$2:$BE$78,46,FALSE)</f>
        <v>0</v>
      </c>
      <c r="AJ71" s="68">
        <f t="shared" si="18"/>
        <v>262889</v>
      </c>
      <c r="AK71" s="116">
        <f>+VLOOKUP($B71,'datos9-2015'!$A$2:$BE$78,49,FALSE)</f>
        <v>0</v>
      </c>
      <c r="AL71" s="116">
        <f>+VLOOKUP($B71,'datos9-2015'!$A$2:$BE$78,50,FALSE)</f>
        <v>0</v>
      </c>
      <c r="AM71" s="116">
        <f>+VLOOKUP($B71,'datos9-2015'!$A$2:$BE$78,51,FALSE)</f>
        <v>0</v>
      </c>
      <c r="AN71" s="116">
        <f>+VLOOKUP($B71,'datos9-2015'!$A$2:$BE$78,52,FALSE)</f>
        <v>0</v>
      </c>
      <c r="AO71" s="119">
        <f t="shared" si="19"/>
        <v>0</v>
      </c>
      <c r="AP71" s="116">
        <f>+VLOOKUP($B71,'datos9-2015'!$A$2:$BE$78,55,FALSE)</f>
        <v>0</v>
      </c>
      <c r="AQ71" s="118">
        <f t="shared" si="20"/>
        <v>266889</v>
      </c>
      <c r="AS71" s="120">
        <f t="shared" si="21"/>
        <v>13050254.51</v>
      </c>
    </row>
    <row r="72" spans="2:45" x14ac:dyDescent="0.2">
      <c r="B72" s="18" t="s">
        <v>122</v>
      </c>
      <c r="C72" s="115"/>
      <c r="D72" s="116">
        <f>+VLOOKUP($B72,'datos9-2015'!$A$2:$BE$78,13,FALSE)</f>
        <v>67895.59</v>
      </c>
      <c r="E72" s="116">
        <f>+VLOOKUP($B72,'datos9-2015'!$A$2:$BE$78,14,FALSE)</f>
        <v>0</v>
      </c>
      <c r="F72" s="116">
        <f>+VLOOKUP($B72,'datos9-2015'!$A$2:$BE$78,15,FALSE)</f>
        <v>2974.54</v>
      </c>
      <c r="G72" s="68">
        <f t="shared" ref="G72:G83" si="22">SUM(D72:F72)</f>
        <v>70870.12999999999</v>
      </c>
      <c r="H72" s="116">
        <f>+VLOOKUP($B72,'datos9-2015'!$A$2:$BE$78,17,FALSE)</f>
        <v>12262.8</v>
      </c>
      <c r="I72" s="116">
        <f>+VLOOKUP($B72,'datos9-2015'!$A$2:$BE$78,18,FALSE)</f>
        <v>0</v>
      </c>
      <c r="J72" s="116">
        <f>+VLOOKUP($B72,'datos9-2015'!$A$2:$BE$78,19,FALSE)</f>
        <v>0</v>
      </c>
      <c r="K72" s="116">
        <f>+VLOOKUP($B72,'datos9-2015'!$A$2:$BE$78,20,FALSE)</f>
        <v>22871.5</v>
      </c>
      <c r="L72" s="68">
        <f t="shared" ref="L72:L83" si="23">SUM(H72:K72)</f>
        <v>35134.300000000003</v>
      </c>
      <c r="M72" s="116">
        <f>+VLOOKUP($B72,'datos9-2015'!$A$2:$BE$78,22,FALSE)</f>
        <v>10000</v>
      </c>
      <c r="N72" s="116">
        <f>+VLOOKUP($B72,'datos9-2015'!$A$2:$BE$78,23,FALSE)</f>
        <v>0</v>
      </c>
      <c r="O72" s="116">
        <f>+VLOOKUP($B72,'datos9-2015'!$A$2:$BE$78,24,FALSE)</f>
        <v>0</v>
      </c>
      <c r="P72" s="68">
        <f t="shared" ref="P72:P83" si="24">SUM(M72:O72)</f>
        <v>10000</v>
      </c>
      <c r="Q72" s="116">
        <f>+VLOOKUP($B72,'datos9-2015'!$A$2:$BE$78,26,FALSE)</f>
        <v>0</v>
      </c>
      <c r="R72" s="116">
        <f>+VLOOKUP($B72,'datos9-2015'!$A$2:$BE$78,27,FALSE)</f>
        <v>0</v>
      </c>
      <c r="S72" s="116">
        <f>+VLOOKUP($B72,'datos9-2015'!$A$2:$BE$78,28,FALSE)</f>
        <v>0</v>
      </c>
      <c r="T72" s="116">
        <f>+VLOOKUP($B72,'datos9-2015'!$A$2:$BE$78,29,FALSE)</f>
        <v>0</v>
      </c>
      <c r="U72" s="68">
        <f t="shared" ref="U72:U83" si="25">SUM(Q72:T72)</f>
        <v>0</v>
      </c>
      <c r="V72" s="116">
        <f>+VLOOKUP($B72,'datos9-2015'!$A$2:$BE$78,31,FALSE)</f>
        <v>0</v>
      </c>
      <c r="W72" s="116">
        <f>+VLOOKUP($B72,'datos9-2015'!$A$2:$BE$78,32,FALSE)</f>
        <v>0</v>
      </c>
      <c r="X72" s="117">
        <f t="shared" ref="X72:X83" si="26">SUM(V72:W72)</f>
        <v>0</v>
      </c>
      <c r="Y72" s="118">
        <f t="shared" ref="Y72:Y83" si="27">+U72+P72+L72+G72+X72</f>
        <v>116004.43</v>
      </c>
      <c r="Z72" s="116">
        <f>+VLOOKUP($B72,'datos9-2015'!$A$2:$BE$78,35,FALSE)</f>
        <v>0</v>
      </c>
      <c r="AA72" s="116">
        <f>+VLOOKUP($B72,'datos9-2015'!$A$2:$BE$78,36,FALSE)</f>
        <v>228431</v>
      </c>
      <c r="AB72" s="116">
        <f>+VLOOKUP($B72,'datos9-2015'!$A$2:$BE$78,37,FALSE)</f>
        <v>0</v>
      </c>
      <c r="AC72" s="116">
        <f>+VLOOKUP($B72,'datos9-2015'!$A$2:$BE$78,38,FALSE)</f>
        <v>0</v>
      </c>
      <c r="AD72" s="116">
        <f>+VLOOKUP($B72,'datos9-2015'!$A$2:$BE$78,39,FALSE)</f>
        <v>0</v>
      </c>
      <c r="AE72" s="68">
        <f t="shared" ref="AE72:AE83" si="28">SUM(Z72:AD72)</f>
        <v>228431</v>
      </c>
      <c r="AF72" s="116">
        <f>+VLOOKUP($B72,'datos9-2015'!$A$2:$BE$78,42,FALSE)</f>
        <v>24080</v>
      </c>
      <c r="AG72" s="116">
        <f>+VLOOKUP($B72,'datos9-2015'!$A$2:$BE$78,44,FALSE)</f>
        <v>172120.14</v>
      </c>
      <c r="AH72" s="116">
        <f>+VLOOKUP($B72,'datos9-2015'!$A$2:$BE$78,45,FALSE)</f>
        <v>0</v>
      </c>
      <c r="AI72" s="116">
        <f>+VLOOKUP($B72,'datos9-2015'!$A$2:$BE$78,46,FALSE)</f>
        <v>0</v>
      </c>
      <c r="AJ72" s="68">
        <f t="shared" ref="AJ72:AJ83" si="29">SUM(AF72:AI72)</f>
        <v>196200.14</v>
      </c>
      <c r="AK72" s="116">
        <f>+VLOOKUP($B72,'datos9-2015'!$A$2:$BE$78,49,FALSE)</f>
        <v>0</v>
      </c>
      <c r="AL72" s="116">
        <f>+VLOOKUP($B72,'datos9-2015'!$A$2:$BE$78,50,FALSE)</f>
        <v>0</v>
      </c>
      <c r="AM72" s="116">
        <f>+VLOOKUP($B72,'datos9-2015'!$A$2:$BE$78,51,FALSE)</f>
        <v>0</v>
      </c>
      <c r="AN72" s="116">
        <f>+VLOOKUP($B72,'datos9-2015'!$A$2:$BE$78,52,FALSE)</f>
        <v>0</v>
      </c>
      <c r="AO72" s="119">
        <f t="shared" ref="AO72:AO83" si="30">SUM(AK72:AN72)</f>
        <v>0</v>
      </c>
      <c r="AP72" s="116">
        <f>+VLOOKUP($B72,'datos9-2015'!$A$2:$BE$78,55,FALSE)</f>
        <v>0</v>
      </c>
      <c r="AQ72" s="118">
        <f t="shared" ref="AQ72:AQ83" si="31">AO72+AJ72+AE72+AP72</f>
        <v>424631.14</v>
      </c>
      <c r="AS72" s="120">
        <f t="shared" ref="AS72:AS83" si="32">+AQ72+Y72</f>
        <v>540635.57000000007</v>
      </c>
    </row>
    <row r="73" spans="2:45" x14ac:dyDescent="0.2">
      <c r="B73" s="18" t="s">
        <v>123</v>
      </c>
      <c r="C73" s="115"/>
      <c r="D73" s="116">
        <f>+VLOOKUP($B73,'datos9-2015'!$A$2:$BE$78,13,FALSE)</f>
        <v>176601</v>
      </c>
      <c r="E73" s="116">
        <f>+VLOOKUP($B73,'datos9-2015'!$A$2:$BE$78,14,FALSE)</f>
        <v>0</v>
      </c>
      <c r="F73" s="116">
        <f>+VLOOKUP($B73,'datos9-2015'!$A$2:$BE$78,15,FALSE)</f>
        <v>0</v>
      </c>
      <c r="G73" s="68">
        <f t="shared" si="22"/>
        <v>176601</v>
      </c>
      <c r="H73" s="116">
        <f>+VLOOKUP($B73,'datos9-2015'!$A$2:$BE$78,17,FALSE)</f>
        <v>1380343</v>
      </c>
      <c r="I73" s="116">
        <f>+VLOOKUP($B73,'datos9-2015'!$A$2:$BE$78,18,FALSE)</f>
        <v>67107</v>
      </c>
      <c r="J73" s="116">
        <f>+VLOOKUP($B73,'datos9-2015'!$A$2:$BE$78,19,FALSE)</f>
        <v>369301</v>
      </c>
      <c r="K73" s="116">
        <f>+VLOOKUP($B73,'datos9-2015'!$A$2:$BE$78,20,FALSE)</f>
        <v>358228</v>
      </c>
      <c r="L73" s="68">
        <f t="shared" si="23"/>
        <v>2174979</v>
      </c>
      <c r="M73" s="116">
        <f>+VLOOKUP($B73,'datos9-2015'!$A$2:$BE$78,22,FALSE)</f>
        <v>0</v>
      </c>
      <c r="N73" s="116">
        <f>+VLOOKUP($B73,'datos9-2015'!$A$2:$BE$78,23,FALSE)</f>
        <v>0</v>
      </c>
      <c r="O73" s="116">
        <f>+VLOOKUP($B73,'datos9-2015'!$A$2:$BE$78,24,FALSE)</f>
        <v>0</v>
      </c>
      <c r="P73" s="68">
        <f t="shared" si="24"/>
        <v>0</v>
      </c>
      <c r="Q73" s="116">
        <f>+VLOOKUP($B73,'datos9-2015'!$A$2:$BE$78,26,FALSE)</f>
        <v>90022</v>
      </c>
      <c r="R73" s="116">
        <f>+VLOOKUP($B73,'datos9-2015'!$A$2:$BE$78,27,FALSE)</f>
        <v>0</v>
      </c>
      <c r="S73" s="116">
        <f>+VLOOKUP($B73,'datos9-2015'!$A$2:$BE$78,28,FALSE)</f>
        <v>0</v>
      </c>
      <c r="T73" s="116">
        <f>+VLOOKUP($B73,'datos9-2015'!$A$2:$BE$78,29,FALSE)</f>
        <v>0</v>
      </c>
      <c r="U73" s="68">
        <f t="shared" si="25"/>
        <v>90022</v>
      </c>
      <c r="V73" s="116">
        <f>+VLOOKUP($B73,'datos9-2015'!$A$2:$BE$78,31,FALSE)</f>
        <v>0</v>
      </c>
      <c r="W73" s="116">
        <f>+VLOOKUP($B73,'datos9-2015'!$A$2:$BE$78,32,FALSE)</f>
        <v>65713</v>
      </c>
      <c r="X73" s="117">
        <f t="shared" si="26"/>
        <v>65713</v>
      </c>
      <c r="Y73" s="118">
        <f t="shared" si="27"/>
        <v>2507315</v>
      </c>
      <c r="Z73" s="116">
        <f>+VLOOKUP($B73,'datos9-2015'!$A$2:$BE$78,35,FALSE)</f>
        <v>0</v>
      </c>
      <c r="AA73" s="116">
        <f>+VLOOKUP($B73,'datos9-2015'!$A$2:$BE$78,36,FALSE)</f>
        <v>0</v>
      </c>
      <c r="AB73" s="116">
        <f>+VLOOKUP($B73,'datos9-2015'!$A$2:$BE$78,37,FALSE)</f>
        <v>0</v>
      </c>
      <c r="AC73" s="116">
        <f>+VLOOKUP($B73,'datos9-2015'!$A$2:$BE$78,38,FALSE)</f>
        <v>11650</v>
      </c>
      <c r="AD73" s="116">
        <f>+VLOOKUP($B73,'datos9-2015'!$A$2:$BE$78,39,FALSE)</f>
        <v>0</v>
      </c>
      <c r="AE73" s="68">
        <f t="shared" si="28"/>
        <v>11650</v>
      </c>
      <c r="AF73" s="116">
        <f>+VLOOKUP($B73,'datos9-2015'!$A$2:$BE$78,42,FALSE)</f>
        <v>140510</v>
      </c>
      <c r="AG73" s="116">
        <f>+VLOOKUP($B73,'datos9-2015'!$A$2:$BE$78,44,FALSE)</f>
        <v>220976</v>
      </c>
      <c r="AH73" s="116">
        <f>+VLOOKUP($B73,'datos9-2015'!$A$2:$BE$78,45,FALSE)</f>
        <v>0</v>
      </c>
      <c r="AI73" s="116">
        <f>+VLOOKUP($B73,'datos9-2015'!$A$2:$BE$78,46,FALSE)</f>
        <v>0</v>
      </c>
      <c r="AJ73" s="68">
        <f t="shared" si="29"/>
        <v>361486</v>
      </c>
      <c r="AK73" s="116">
        <f>+VLOOKUP($B73,'datos9-2015'!$A$2:$BE$78,49,FALSE)</f>
        <v>0</v>
      </c>
      <c r="AL73" s="116">
        <f>+VLOOKUP($B73,'datos9-2015'!$A$2:$BE$78,50,FALSE)</f>
        <v>0</v>
      </c>
      <c r="AM73" s="116">
        <f>+VLOOKUP($B73,'datos9-2015'!$A$2:$BE$78,51,FALSE)</f>
        <v>0</v>
      </c>
      <c r="AN73" s="116">
        <f>+VLOOKUP($B73,'datos9-2015'!$A$2:$BE$78,52,FALSE)</f>
        <v>0</v>
      </c>
      <c r="AO73" s="119">
        <f t="shared" si="30"/>
        <v>0</v>
      </c>
      <c r="AP73" s="116">
        <f>+VLOOKUP($B73,'datos9-2015'!$A$2:$BE$78,55,FALSE)</f>
        <v>0</v>
      </c>
      <c r="AQ73" s="118">
        <f t="shared" si="31"/>
        <v>373136</v>
      </c>
      <c r="AS73" s="120">
        <f t="shared" si="32"/>
        <v>2880451</v>
      </c>
    </row>
    <row r="74" spans="2:45" x14ac:dyDescent="0.2">
      <c r="B74" s="18" t="s">
        <v>124</v>
      </c>
      <c r="C74" s="115"/>
      <c r="D74" s="116">
        <f>+VLOOKUP($B74,'datos9-2015'!$A$2:$BE$78,13,FALSE)</f>
        <v>0</v>
      </c>
      <c r="E74" s="116">
        <f>+VLOOKUP($B74,'datos9-2015'!$A$2:$BE$78,14,FALSE)</f>
        <v>0</v>
      </c>
      <c r="F74" s="116">
        <f>+VLOOKUP($B74,'datos9-2015'!$A$2:$BE$78,15,FALSE)</f>
        <v>0</v>
      </c>
      <c r="G74" s="68">
        <f t="shared" si="22"/>
        <v>0</v>
      </c>
      <c r="H74" s="116">
        <f>+VLOOKUP($B74,'datos9-2015'!$A$2:$BE$78,17,FALSE)</f>
        <v>0</v>
      </c>
      <c r="I74" s="116">
        <f>+VLOOKUP($B74,'datos9-2015'!$A$2:$BE$78,18,FALSE)</f>
        <v>0</v>
      </c>
      <c r="J74" s="116">
        <f>+VLOOKUP($B74,'datos9-2015'!$A$2:$BE$78,19,FALSE)</f>
        <v>0</v>
      </c>
      <c r="K74" s="116">
        <f>+VLOOKUP($B74,'datos9-2015'!$A$2:$BE$78,20,FALSE)</f>
        <v>0</v>
      </c>
      <c r="L74" s="68">
        <f t="shared" si="23"/>
        <v>0</v>
      </c>
      <c r="M74" s="116">
        <f>+VLOOKUP($B74,'datos9-2015'!$A$2:$BE$78,22,FALSE)</f>
        <v>0</v>
      </c>
      <c r="N74" s="116">
        <f>+VLOOKUP($B74,'datos9-2015'!$A$2:$BE$78,23,FALSE)</f>
        <v>0</v>
      </c>
      <c r="O74" s="116">
        <f>+VLOOKUP($B74,'datos9-2015'!$A$2:$BE$78,24,FALSE)</f>
        <v>0</v>
      </c>
      <c r="P74" s="68">
        <f t="shared" si="24"/>
        <v>0</v>
      </c>
      <c r="Q74" s="116">
        <f>+VLOOKUP($B74,'datos9-2015'!$A$2:$BE$78,26,FALSE)</f>
        <v>0</v>
      </c>
      <c r="R74" s="116">
        <f>+VLOOKUP($B74,'datos9-2015'!$A$2:$BE$78,27,FALSE)</f>
        <v>0</v>
      </c>
      <c r="S74" s="116">
        <f>+VLOOKUP($B74,'datos9-2015'!$A$2:$BE$78,28,FALSE)</f>
        <v>0</v>
      </c>
      <c r="T74" s="116">
        <f>+VLOOKUP($B74,'datos9-2015'!$A$2:$BE$78,29,FALSE)</f>
        <v>0</v>
      </c>
      <c r="U74" s="68">
        <f t="shared" si="25"/>
        <v>0</v>
      </c>
      <c r="V74" s="116">
        <f>+VLOOKUP($B74,'datos9-2015'!$A$2:$BE$78,31,FALSE)</f>
        <v>0</v>
      </c>
      <c r="W74" s="116">
        <f>+VLOOKUP($B74,'datos9-2015'!$A$2:$BE$78,32,FALSE)</f>
        <v>0</v>
      </c>
      <c r="X74" s="117">
        <f t="shared" si="26"/>
        <v>0</v>
      </c>
      <c r="Y74" s="118">
        <f t="shared" si="27"/>
        <v>0</v>
      </c>
      <c r="Z74" s="116">
        <f>+VLOOKUP($B74,'datos9-2015'!$A$2:$BE$78,35,FALSE)</f>
        <v>0</v>
      </c>
      <c r="AA74" s="116">
        <f>+VLOOKUP($B74,'datos9-2015'!$A$2:$BE$78,36,FALSE)</f>
        <v>0</v>
      </c>
      <c r="AB74" s="116">
        <f>+VLOOKUP($B74,'datos9-2015'!$A$2:$BE$78,37,FALSE)</f>
        <v>0</v>
      </c>
      <c r="AC74" s="116">
        <f>+VLOOKUP($B74,'datos9-2015'!$A$2:$BE$78,38,FALSE)</f>
        <v>0</v>
      </c>
      <c r="AD74" s="116">
        <f>+VLOOKUP($B74,'datos9-2015'!$A$2:$BE$78,39,FALSE)</f>
        <v>0</v>
      </c>
      <c r="AE74" s="68">
        <f t="shared" si="28"/>
        <v>0</v>
      </c>
      <c r="AF74" s="116">
        <f>+VLOOKUP($B74,'datos9-2015'!$A$2:$BE$78,42,FALSE)</f>
        <v>0</v>
      </c>
      <c r="AG74" s="116">
        <f>+VLOOKUP($B74,'datos9-2015'!$A$2:$BE$78,44,FALSE)</f>
        <v>0</v>
      </c>
      <c r="AH74" s="116">
        <f>+VLOOKUP($B74,'datos9-2015'!$A$2:$BE$78,45,FALSE)</f>
        <v>0</v>
      </c>
      <c r="AI74" s="116">
        <f>+VLOOKUP($B74,'datos9-2015'!$A$2:$BE$78,46,FALSE)</f>
        <v>0</v>
      </c>
      <c r="AJ74" s="68">
        <f t="shared" si="29"/>
        <v>0</v>
      </c>
      <c r="AK74" s="116">
        <f>+VLOOKUP($B74,'datos9-2015'!$A$2:$BE$78,49,FALSE)</f>
        <v>0</v>
      </c>
      <c r="AL74" s="116">
        <f>+VLOOKUP($B74,'datos9-2015'!$A$2:$BE$78,50,FALSE)</f>
        <v>0</v>
      </c>
      <c r="AM74" s="116">
        <f>+VLOOKUP($B74,'datos9-2015'!$A$2:$BE$78,51,FALSE)</f>
        <v>0</v>
      </c>
      <c r="AN74" s="116">
        <f>+VLOOKUP($B74,'datos9-2015'!$A$2:$BE$78,52,FALSE)</f>
        <v>0</v>
      </c>
      <c r="AO74" s="119">
        <f t="shared" si="30"/>
        <v>0</v>
      </c>
      <c r="AP74" s="116">
        <f>+VLOOKUP($B74,'datos9-2015'!$A$2:$BE$78,55,FALSE)</f>
        <v>0</v>
      </c>
      <c r="AQ74" s="118">
        <f t="shared" si="31"/>
        <v>0</v>
      </c>
      <c r="AS74" s="120">
        <f t="shared" si="32"/>
        <v>0</v>
      </c>
    </row>
    <row r="75" spans="2:45" x14ac:dyDescent="0.2">
      <c r="B75" s="18" t="s">
        <v>125</v>
      </c>
      <c r="C75" s="115"/>
      <c r="D75" s="116">
        <f>+VLOOKUP($B75,'datos9-2015'!$A$2:$BE$78,13,FALSE)</f>
        <v>0</v>
      </c>
      <c r="E75" s="116">
        <f>+VLOOKUP($B75,'datos9-2015'!$A$2:$BE$78,14,FALSE)</f>
        <v>0</v>
      </c>
      <c r="F75" s="116">
        <f>+VLOOKUP($B75,'datos9-2015'!$A$2:$BE$78,15,FALSE)</f>
        <v>0</v>
      </c>
      <c r="G75" s="68">
        <f t="shared" si="22"/>
        <v>0</v>
      </c>
      <c r="H75" s="116">
        <f>+VLOOKUP($B75,'datos9-2015'!$A$2:$BE$78,17,FALSE)</f>
        <v>0</v>
      </c>
      <c r="I75" s="116">
        <f>+VLOOKUP($B75,'datos9-2015'!$A$2:$BE$78,18,FALSE)</f>
        <v>0</v>
      </c>
      <c r="J75" s="116">
        <f>+VLOOKUP($B75,'datos9-2015'!$A$2:$BE$78,19,FALSE)</f>
        <v>0</v>
      </c>
      <c r="K75" s="116">
        <f>+VLOOKUP($B75,'datos9-2015'!$A$2:$BE$78,20,FALSE)</f>
        <v>0</v>
      </c>
      <c r="L75" s="68">
        <f t="shared" si="23"/>
        <v>0</v>
      </c>
      <c r="M75" s="116">
        <f>+VLOOKUP($B75,'datos9-2015'!$A$2:$BE$78,22,FALSE)</f>
        <v>0</v>
      </c>
      <c r="N75" s="116">
        <f>+VLOOKUP($B75,'datos9-2015'!$A$2:$BE$78,23,FALSE)</f>
        <v>0</v>
      </c>
      <c r="O75" s="116">
        <f>+VLOOKUP($B75,'datos9-2015'!$A$2:$BE$78,24,FALSE)</f>
        <v>0</v>
      </c>
      <c r="P75" s="68">
        <f t="shared" si="24"/>
        <v>0</v>
      </c>
      <c r="Q75" s="116">
        <f>+VLOOKUP($B75,'datos9-2015'!$A$2:$BE$78,26,FALSE)</f>
        <v>0</v>
      </c>
      <c r="R75" s="116">
        <f>+VLOOKUP($B75,'datos9-2015'!$A$2:$BE$78,27,FALSE)</f>
        <v>0</v>
      </c>
      <c r="S75" s="116">
        <f>+VLOOKUP($B75,'datos9-2015'!$A$2:$BE$78,28,FALSE)</f>
        <v>0</v>
      </c>
      <c r="T75" s="116">
        <f>+VLOOKUP($B75,'datos9-2015'!$A$2:$BE$78,29,FALSE)</f>
        <v>0</v>
      </c>
      <c r="U75" s="68">
        <f t="shared" si="25"/>
        <v>0</v>
      </c>
      <c r="V75" s="116">
        <f>+VLOOKUP($B75,'datos9-2015'!$A$2:$BE$78,31,FALSE)</f>
        <v>0</v>
      </c>
      <c r="W75" s="116">
        <f>+VLOOKUP($B75,'datos9-2015'!$A$2:$BE$78,32,FALSE)</f>
        <v>0</v>
      </c>
      <c r="X75" s="117">
        <f t="shared" si="26"/>
        <v>0</v>
      </c>
      <c r="Y75" s="118">
        <f t="shared" si="27"/>
        <v>0</v>
      </c>
      <c r="Z75" s="116">
        <f>+VLOOKUP($B75,'datos9-2015'!$A$2:$BE$78,35,FALSE)</f>
        <v>0</v>
      </c>
      <c r="AA75" s="116">
        <f>+VLOOKUP($B75,'datos9-2015'!$A$2:$BE$78,36,FALSE)</f>
        <v>0</v>
      </c>
      <c r="AB75" s="116">
        <f>+VLOOKUP($B75,'datos9-2015'!$A$2:$BE$78,37,FALSE)</f>
        <v>0</v>
      </c>
      <c r="AC75" s="116">
        <f>+VLOOKUP($B75,'datos9-2015'!$A$2:$BE$78,38,FALSE)</f>
        <v>0</v>
      </c>
      <c r="AD75" s="116">
        <f>+VLOOKUP($B75,'datos9-2015'!$A$2:$BE$78,39,FALSE)</f>
        <v>0</v>
      </c>
      <c r="AE75" s="68">
        <f t="shared" si="28"/>
        <v>0</v>
      </c>
      <c r="AF75" s="116">
        <f>+VLOOKUP($B75,'datos9-2015'!$A$2:$BE$78,42,FALSE)</f>
        <v>116640</v>
      </c>
      <c r="AG75" s="116">
        <f>+VLOOKUP($B75,'datos9-2015'!$A$2:$BE$78,44,FALSE)</f>
        <v>0</v>
      </c>
      <c r="AH75" s="116">
        <f>+VLOOKUP($B75,'datos9-2015'!$A$2:$BE$78,45,FALSE)</f>
        <v>0</v>
      </c>
      <c r="AI75" s="116">
        <f>+VLOOKUP($B75,'datos9-2015'!$A$2:$BE$78,46,FALSE)</f>
        <v>0</v>
      </c>
      <c r="AJ75" s="68">
        <f t="shared" si="29"/>
        <v>116640</v>
      </c>
      <c r="AK75" s="116">
        <f>+VLOOKUP($B75,'datos9-2015'!$A$2:$BE$78,49,FALSE)</f>
        <v>0</v>
      </c>
      <c r="AL75" s="116">
        <f>+VLOOKUP($B75,'datos9-2015'!$A$2:$BE$78,50,FALSE)</f>
        <v>0</v>
      </c>
      <c r="AM75" s="116">
        <f>+VLOOKUP($B75,'datos9-2015'!$A$2:$BE$78,51,FALSE)</f>
        <v>0</v>
      </c>
      <c r="AN75" s="116">
        <f>+VLOOKUP($B75,'datos9-2015'!$A$2:$BE$78,52,FALSE)</f>
        <v>0</v>
      </c>
      <c r="AO75" s="119">
        <f t="shared" si="30"/>
        <v>0</v>
      </c>
      <c r="AP75" s="116">
        <f>+VLOOKUP($B75,'datos9-2015'!$A$2:$BE$78,55,FALSE)</f>
        <v>0</v>
      </c>
      <c r="AQ75" s="118">
        <f t="shared" si="31"/>
        <v>116640</v>
      </c>
      <c r="AS75" s="120">
        <f t="shared" si="32"/>
        <v>116640</v>
      </c>
    </row>
    <row r="76" spans="2:45" x14ac:dyDescent="0.2">
      <c r="B76" s="18" t="s">
        <v>127</v>
      </c>
      <c r="C76" s="115"/>
      <c r="D76" s="116">
        <f>+VLOOKUP($B76,'datos9-2015'!$A$2:$BE$78,13,FALSE)</f>
        <v>15261</v>
      </c>
      <c r="E76" s="116">
        <f>+VLOOKUP($B76,'datos9-2015'!$A$2:$BE$78,14,FALSE)</f>
        <v>0</v>
      </c>
      <c r="F76" s="116">
        <f>+VLOOKUP($B76,'datos9-2015'!$A$2:$BE$78,15,FALSE)</f>
        <v>0</v>
      </c>
      <c r="G76" s="68">
        <f t="shared" si="22"/>
        <v>15261</v>
      </c>
      <c r="H76" s="116">
        <f>+VLOOKUP($B76,'datos9-2015'!$A$2:$BE$78,17,FALSE)</f>
        <v>0</v>
      </c>
      <c r="I76" s="116">
        <f>+VLOOKUP($B76,'datos9-2015'!$A$2:$BE$78,18,FALSE)</f>
        <v>0</v>
      </c>
      <c r="J76" s="116">
        <f>+VLOOKUP($B76,'datos9-2015'!$A$2:$BE$78,19,FALSE)</f>
        <v>0</v>
      </c>
      <c r="K76" s="116">
        <f>+VLOOKUP($B76,'datos9-2015'!$A$2:$BE$78,20,FALSE)</f>
        <v>0</v>
      </c>
      <c r="L76" s="68">
        <f t="shared" si="23"/>
        <v>0</v>
      </c>
      <c r="M76" s="116">
        <f>+VLOOKUP($B76,'datos9-2015'!$A$2:$BE$78,22,FALSE)</f>
        <v>95857</v>
      </c>
      <c r="N76" s="116">
        <f>+VLOOKUP($B76,'datos9-2015'!$A$2:$BE$78,23,FALSE)</f>
        <v>0</v>
      </c>
      <c r="O76" s="116">
        <f>+VLOOKUP($B76,'datos9-2015'!$A$2:$BE$78,24,FALSE)</f>
        <v>0</v>
      </c>
      <c r="P76" s="68">
        <f t="shared" si="24"/>
        <v>95857</v>
      </c>
      <c r="Q76" s="116">
        <f>+VLOOKUP($B76,'datos9-2015'!$A$2:$BE$78,26,FALSE)</f>
        <v>0</v>
      </c>
      <c r="R76" s="116">
        <f>+VLOOKUP($B76,'datos9-2015'!$A$2:$BE$78,27,FALSE)</f>
        <v>0</v>
      </c>
      <c r="S76" s="116">
        <f>+VLOOKUP($B76,'datos9-2015'!$A$2:$BE$78,28,FALSE)</f>
        <v>0</v>
      </c>
      <c r="T76" s="116">
        <f>+VLOOKUP($B76,'datos9-2015'!$A$2:$BE$78,29,FALSE)</f>
        <v>0</v>
      </c>
      <c r="U76" s="68">
        <f t="shared" si="25"/>
        <v>0</v>
      </c>
      <c r="V76" s="116">
        <f>+VLOOKUP($B76,'datos9-2015'!$A$2:$BE$78,31,FALSE)</f>
        <v>0</v>
      </c>
      <c r="W76" s="116">
        <f>+VLOOKUP($B76,'datos9-2015'!$A$2:$BE$78,32,FALSE)</f>
        <v>0</v>
      </c>
      <c r="X76" s="117">
        <f t="shared" si="26"/>
        <v>0</v>
      </c>
      <c r="Y76" s="118">
        <f t="shared" si="27"/>
        <v>111118</v>
      </c>
      <c r="Z76" s="116">
        <f>+VLOOKUP($B76,'datos9-2015'!$A$2:$BE$78,35,FALSE)</f>
        <v>0</v>
      </c>
      <c r="AA76" s="116">
        <f>+VLOOKUP($B76,'datos9-2015'!$A$2:$BE$78,36,FALSE)</f>
        <v>221700</v>
      </c>
      <c r="AB76" s="116">
        <f>+VLOOKUP($B76,'datos9-2015'!$A$2:$BE$78,37,FALSE)</f>
        <v>0</v>
      </c>
      <c r="AC76" s="116">
        <f>+VLOOKUP($B76,'datos9-2015'!$A$2:$BE$78,38,FALSE)</f>
        <v>0</v>
      </c>
      <c r="AD76" s="116">
        <f>+VLOOKUP($B76,'datos9-2015'!$A$2:$BE$78,39,FALSE)</f>
        <v>0</v>
      </c>
      <c r="AE76" s="68">
        <f t="shared" si="28"/>
        <v>221700</v>
      </c>
      <c r="AF76" s="116">
        <f>+VLOOKUP($B76,'datos9-2015'!$A$2:$BE$78,42,FALSE)</f>
        <v>66528</v>
      </c>
      <c r="AG76" s="116">
        <f>+VLOOKUP($B76,'datos9-2015'!$A$2:$BE$78,44,FALSE)</f>
        <v>0</v>
      </c>
      <c r="AH76" s="116">
        <f>+VLOOKUP($B76,'datos9-2015'!$A$2:$BE$78,45,FALSE)</f>
        <v>0</v>
      </c>
      <c r="AI76" s="116">
        <f>+VLOOKUP($B76,'datos9-2015'!$A$2:$BE$78,46,FALSE)</f>
        <v>0</v>
      </c>
      <c r="AJ76" s="68">
        <f t="shared" si="29"/>
        <v>66528</v>
      </c>
      <c r="AK76" s="116">
        <f>+VLOOKUP($B76,'datos9-2015'!$A$2:$BE$78,49,FALSE)</f>
        <v>72546</v>
      </c>
      <c r="AL76" s="116">
        <f>+VLOOKUP($B76,'datos9-2015'!$A$2:$BE$78,50,FALSE)</f>
        <v>0</v>
      </c>
      <c r="AM76" s="116">
        <f>+VLOOKUP($B76,'datos9-2015'!$A$2:$BE$78,51,FALSE)</f>
        <v>0</v>
      </c>
      <c r="AN76" s="116">
        <f>+VLOOKUP($B76,'datos9-2015'!$A$2:$BE$78,52,FALSE)</f>
        <v>0</v>
      </c>
      <c r="AO76" s="119">
        <f t="shared" si="30"/>
        <v>72546</v>
      </c>
      <c r="AP76" s="116">
        <f>+VLOOKUP($B76,'datos9-2015'!$A$2:$BE$78,55,FALSE)</f>
        <v>0</v>
      </c>
      <c r="AQ76" s="118">
        <f t="shared" si="31"/>
        <v>360774</v>
      </c>
      <c r="AS76" s="120">
        <f t="shared" si="32"/>
        <v>471892</v>
      </c>
    </row>
    <row r="77" spans="2:45" x14ac:dyDescent="0.2">
      <c r="B77" s="18" t="s">
        <v>128</v>
      </c>
      <c r="C77" s="115"/>
      <c r="D77" s="116">
        <f>+VLOOKUP($B77,'datos9-2015'!$A$2:$BE$78,13,FALSE)</f>
        <v>9152000</v>
      </c>
      <c r="E77" s="116">
        <f>+VLOOKUP($B77,'datos9-2015'!$A$2:$BE$78,14,FALSE)</f>
        <v>0</v>
      </c>
      <c r="F77" s="116">
        <f>+VLOOKUP($B77,'datos9-2015'!$A$2:$BE$78,15,FALSE)</f>
        <v>0</v>
      </c>
      <c r="G77" s="68">
        <f t="shared" si="22"/>
        <v>9152000</v>
      </c>
      <c r="H77" s="116">
        <f>+VLOOKUP($B77,'datos9-2015'!$A$2:$BE$78,17,FALSE)</f>
        <v>1091000</v>
      </c>
      <c r="I77" s="116">
        <f>+VLOOKUP($B77,'datos9-2015'!$A$2:$BE$78,18,FALSE)</f>
        <v>0</v>
      </c>
      <c r="J77" s="116">
        <f>+VLOOKUP($B77,'datos9-2015'!$A$2:$BE$78,19,FALSE)</f>
        <v>0</v>
      </c>
      <c r="K77" s="116">
        <f>+VLOOKUP($B77,'datos9-2015'!$A$2:$BE$78,20,FALSE)</f>
        <v>2557000</v>
      </c>
      <c r="L77" s="68">
        <f t="shared" si="23"/>
        <v>3648000</v>
      </c>
      <c r="M77" s="116">
        <f>+VLOOKUP($B77,'datos9-2015'!$A$2:$BE$78,22,FALSE)</f>
        <v>0</v>
      </c>
      <c r="N77" s="116">
        <f>+VLOOKUP($B77,'datos9-2015'!$A$2:$BE$78,23,FALSE)</f>
        <v>2412000</v>
      </c>
      <c r="O77" s="116">
        <f>+VLOOKUP($B77,'datos9-2015'!$A$2:$BE$78,24,FALSE)</f>
        <v>0</v>
      </c>
      <c r="P77" s="68">
        <f t="shared" si="24"/>
        <v>2412000</v>
      </c>
      <c r="Q77" s="116">
        <f>+VLOOKUP($B77,'datos9-2015'!$A$2:$BE$78,26,FALSE)</f>
        <v>0</v>
      </c>
      <c r="R77" s="116">
        <f>+VLOOKUP($B77,'datos9-2015'!$A$2:$BE$78,27,FALSE)</f>
        <v>0</v>
      </c>
      <c r="S77" s="116">
        <f>+VLOOKUP($B77,'datos9-2015'!$A$2:$BE$78,28,FALSE)</f>
        <v>0</v>
      </c>
      <c r="T77" s="116">
        <f>+VLOOKUP($B77,'datos9-2015'!$A$2:$BE$78,29,FALSE)</f>
        <v>100000</v>
      </c>
      <c r="U77" s="68">
        <f t="shared" si="25"/>
        <v>100000</v>
      </c>
      <c r="V77" s="116">
        <f>+VLOOKUP($B77,'datos9-2015'!$A$2:$BE$78,31,FALSE)</f>
        <v>0</v>
      </c>
      <c r="W77" s="116">
        <f>+VLOOKUP($B77,'datos9-2015'!$A$2:$BE$78,32,FALSE)</f>
        <v>0</v>
      </c>
      <c r="X77" s="117">
        <f t="shared" si="26"/>
        <v>0</v>
      </c>
      <c r="Y77" s="118">
        <f t="shared" si="27"/>
        <v>15312000</v>
      </c>
      <c r="Z77" s="116">
        <f>+VLOOKUP($B77,'datos9-2015'!$A$2:$BE$78,35,FALSE)</f>
        <v>0</v>
      </c>
      <c r="AA77" s="116">
        <f>+VLOOKUP($B77,'datos9-2015'!$A$2:$BE$78,36,FALSE)</f>
        <v>1281350</v>
      </c>
      <c r="AB77" s="116">
        <f>+VLOOKUP($B77,'datos9-2015'!$A$2:$BE$78,37,FALSE)</f>
        <v>0</v>
      </c>
      <c r="AC77" s="116">
        <f>+VLOOKUP($B77,'datos9-2015'!$A$2:$BE$78,38,FALSE)</f>
        <v>0</v>
      </c>
      <c r="AD77" s="116">
        <f>+VLOOKUP($B77,'datos9-2015'!$A$2:$BE$78,39,FALSE)</f>
        <v>0</v>
      </c>
      <c r="AE77" s="68">
        <f t="shared" si="28"/>
        <v>1281350</v>
      </c>
      <c r="AF77" s="116">
        <f>+VLOOKUP($B77,'datos9-2015'!$A$2:$BE$78,42,FALSE)</f>
        <v>529333.82999999996</v>
      </c>
      <c r="AG77" s="116">
        <f>+VLOOKUP($B77,'datos9-2015'!$A$2:$BE$78,44,FALSE)</f>
        <v>364232</v>
      </c>
      <c r="AH77" s="116">
        <f>+VLOOKUP($B77,'datos9-2015'!$A$2:$BE$78,45,FALSE)</f>
        <v>30000</v>
      </c>
      <c r="AI77" s="116">
        <f>+VLOOKUP($B77,'datos9-2015'!$A$2:$BE$78,46,FALSE)</f>
        <v>0</v>
      </c>
      <c r="AJ77" s="68">
        <f t="shared" si="29"/>
        <v>923565.83</v>
      </c>
      <c r="AK77" s="116">
        <f>+VLOOKUP($B77,'datos9-2015'!$A$2:$BE$78,49,FALSE)</f>
        <v>0</v>
      </c>
      <c r="AL77" s="116">
        <f>+VLOOKUP($B77,'datos9-2015'!$A$2:$BE$78,50,FALSE)</f>
        <v>2458674</v>
      </c>
      <c r="AM77" s="116">
        <f>+VLOOKUP($B77,'datos9-2015'!$A$2:$BE$78,51,FALSE)</f>
        <v>0</v>
      </c>
      <c r="AN77" s="116">
        <f>+VLOOKUP($B77,'datos9-2015'!$A$2:$BE$78,52,FALSE)</f>
        <v>0</v>
      </c>
      <c r="AO77" s="119">
        <f t="shared" si="30"/>
        <v>2458674</v>
      </c>
      <c r="AP77" s="116">
        <f>+VLOOKUP($B77,'datos9-2015'!$A$2:$BE$78,55,FALSE)</f>
        <v>1045437</v>
      </c>
      <c r="AQ77" s="118">
        <f t="shared" si="31"/>
        <v>5709026.8300000001</v>
      </c>
      <c r="AS77" s="120">
        <f t="shared" si="32"/>
        <v>21021026.829999998</v>
      </c>
    </row>
    <row r="78" spans="2:45" x14ac:dyDescent="0.2">
      <c r="B78" s="18" t="s">
        <v>129</v>
      </c>
      <c r="C78" s="115"/>
      <c r="D78" s="116">
        <f>+VLOOKUP($B78,'datos9-2015'!$A$2:$BE$78,13,FALSE)</f>
        <v>158065.56</v>
      </c>
      <c r="E78" s="116">
        <f>+VLOOKUP($B78,'datos9-2015'!$A$2:$BE$78,14,FALSE)</f>
        <v>0</v>
      </c>
      <c r="F78" s="116">
        <f>+VLOOKUP($B78,'datos9-2015'!$A$2:$BE$78,15,FALSE)</f>
        <v>0</v>
      </c>
      <c r="G78" s="68">
        <f t="shared" si="22"/>
        <v>158065.56</v>
      </c>
      <c r="H78" s="116">
        <f>+VLOOKUP($B78,'datos9-2015'!$A$2:$BE$78,17,FALSE)</f>
        <v>65448.81</v>
      </c>
      <c r="I78" s="116">
        <f>+VLOOKUP($B78,'datos9-2015'!$A$2:$BE$78,18,FALSE)</f>
        <v>52575.519999999997</v>
      </c>
      <c r="J78" s="116">
        <f>+VLOOKUP($B78,'datos9-2015'!$A$2:$BE$78,19,FALSE)</f>
        <v>437327.08</v>
      </c>
      <c r="K78" s="116">
        <f>+VLOOKUP($B78,'datos9-2015'!$A$2:$BE$78,20,FALSE)</f>
        <v>374032.72</v>
      </c>
      <c r="L78" s="68">
        <f t="shared" si="23"/>
        <v>929384.13</v>
      </c>
      <c r="M78" s="116">
        <f>+VLOOKUP($B78,'datos9-2015'!$A$2:$BE$78,22,FALSE)</f>
        <v>147281.87</v>
      </c>
      <c r="N78" s="116">
        <f>+VLOOKUP($B78,'datos9-2015'!$A$2:$BE$78,23,FALSE)</f>
        <v>0</v>
      </c>
      <c r="O78" s="116">
        <f>+VLOOKUP($B78,'datos9-2015'!$A$2:$BE$78,24,FALSE)</f>
        <v>0</v>
      </c>
      <c r="P78" s="68">
        <f t="shared" si="24"/>
        <v>147281.87</v>
      </c>
      <c r="Q78" s="116">
        <f>+VLOOKUP($B78,'datos9-2015'!$A$2:$BE$78,26,FALSE)</f>
        <v>0</v>
      </c>
      <c r="R78" s="116">
        <f>+VLOOKUP($B78,'datos9-2015'!$A$2:$BE$78,27,FALSE)</f>
        <v>0</v>
      </c>
      <c r="S78" s="116">
        <f>+VLOOKUP($B78,'datos9-2015'!$A$2:$BE$78,28,FALSE)</f>
        <v>0</v>
      </c>
      <c r="T78" s="116">
        <f>+VLOOKUP($B78,'datos9-2015'!$A$2:$BE$78,29,FALSE)</f>
        <v>0</v>
      </c>
      <c r="U78" s="68">
        <f t="shared" si="25"/>
        <v>0</v>
      </c>
      <c r="V78" s="116">
        <f>+VLOOKUP($B78,'datos9-2015'!$A$2:$BE$78,31,FALSE)</f>
        <v>484</v>
      </c>
      <c r="W78" s="116">
        <f>+VLOOKUP($B78,'datos9-2015'!$A$2:$BE$78,32,FALSE)</f>
        <v>3236.57</v>
      </c>
      <c r="X78" s="117">
        <f t="shared" si="26"/>
        <v>3720.57</v>
      </c>
      <c r="Y78" s="118">
        <f t="shared" si="27"/>
        <v>1238452.1300000001</v>
      </c>
      <c r="Z78" s="116">
        <f>+VLOOKUP($B78,'datos9-2015'!$A$2:$BE$78,35,FALSE)</f>
        <v>0</v>
      </c>
      <c r="AA78" s="116">
        <f>+VLOOKUP($B78,'datos9-2015'!$A$2:$BE$78,36,FALSE)</f>
        <v>0</v>
      </c>
      <c r="AB78" s="116">
        <f>+VLOOKUP($B78,'datos9-2015'!$A$2:$BE$78,37,FALSE)</f>
        <v>0</v>
      </c>
      <c r="AC78" s="116">
        <f>+VLOOKUP($B78,'datos9-2015'!$A$2:$BE$78,38,FALSE)</f>
        <v>0</v>
      </c>
      <c r="AD78" s="116">
        <f>+VLOOKUP($B78,'datos9-2015'!$A$2:$BE$78,39,FALSE)</f>
        <v>0</v>
      </c>
      <c r="AE78" s="68">
        <f t="shared" si="28"/>
        <v>0</v>
      </c>
      <c r="AF78" s="116">
        <f>+VLOOKUP($B78,'datos9-2015'!$A$2:$BE$78,42,FALSE)</f>
        <v>0</v>
      </c>
      <c r="AG78" s="116">
        <f>+VLOOKUP($B78,'datos9-2015'!$A$2:$BE$78,44,FALSE)</f>
        <v>355688.94</v>
      </c>
      <c r="AH78" s="116">
        <f>+VLOOKUP($B78,'datos9-2015'!$A$2:$BE$78,45,FALSE)</f>
        <v>0</v>
      </c>
      <c r="AI78" s="116">
        <f>+VLOOKUP($B78,'datos9-2015'!$A$2:$BE$78,46,FALSE)</f>
        <v>0</v>
      </c>
      <c r="AJ78" s="68">
        <f t="shared" si="29"/>
        <v>355688.94</v>
      </c>
      <c r="AK78" s="116">
        <f>+VLOOKUP($B78,'datos9-2015'!$A$2:$BE$78,49,FALSE)</f>
        <v>0</v>
      </c>
      <c r="AL78" s="116">
        <f>+VLOOKUP($B78,'datos9-2015'!$A$2:$BE$78,50,FALSE)</f>
        <v>0</v>
      </c>
      <c r="AM78" s="116">
        <f>+VLOOKUP($B78,'datos9-2015'!$A$2:$BE$78,51,FALSE)</f>
        <v>0</v>
      </c>
      <c r="AN78" s="116">
        <f>+VLOOKUP($B78,'datos9-2015'!$A$2:$BE$78,52,FALSE)</f>
        <v>0</v>
      </c>
      <c r="AO78" s="119">
        <f t="shared" si="30"/>
        <v>0</v>
      </c>
      <c r="AP78" s="116">
        <f>+VLOOKUP($B78,'datos9-2015'!$A$2:$BE$78,55,FALSE)</f>
        <v>0</v>
      </c>
      <c r="AQ78" s="118">
        <f t="shared" si="31"/>
        <v>355688.94</v>
      </c>
      <c r="AS78" s="120">
        <f t="shared" si="32"/>
        <v>1594141.07</v>
      </c>
    </row>
    <row r="79" spans="2:45" x14ac:dyDescent="0.2">
      <c r="B79" s="18" t="s">
        <v>130</v>
      </c>
      <c r="C79" s="115"/>
      <c r="D79" s="116">
        <f>+VLOOKUP($B79,'datos9-2015'!$A$2:$BE$78,13,FALSE)</f>
        <v>109977.37</v>
      </c>
      <c r="E79" s="116">
        <f>+VLOOKUP($B79,'datos9-2015'!$A$2:$BE$78,14,FALSE)</f>
        <v>0</v>
      </c>
      <c r="F79" s="116">
        <f>+VLOOKUP($B79,'datos9-2015'!$A$2:$BE$78,15,FALSE)</f>
        <v>4000</v>
      </c>
      <c r="G79" s="68">
        <f t="shared" si="22"/>
        <v>113977.37</v>
      </c>
      <c r="H79" s="116">
        <f>+VLOOKUP($B79,'datos9-2015'!$A$2:$BE$78,17,FALSE)</f>
        <v>10174.370000000001</v>
      </c>
      <c r="I79" s="116">
        <f>+VLOOKUP($B79,'datos9-2015'!$A$2:$BE$78,18,FALSE)</f>
        <v>10140</v>
      </c>
      <c r="J79" s="116">
        <f>+VLOOKUP($B79,'datos9-2015'!$A$2:$BE$78,19,FALSE)</f>
        <v>4374.7299999999996</v>
      </c>
      <c r="K79" s="116">
        <f>+VLOOKUP($B79,'datos9-2015'!$A$2:$BE$78,20,FALSE)</f>
        <v>18554.580000000002</v>
      </c>
      <c r="L79" s="68">
        <f t="shared" si="23"/>
        <v>43243.680000000008</v>
      </c>
      <c r="M79" s="116">
        <f>+VLOOKUP($B79,'datos9-2015'!$A$2:$BE$78,22,FALSE)</f>
        <v>0</v>
      </c>
      <c r="N79" s="116">
        <f>+VLOOKUP($B79,'datos9-2015'!$A$2:$BE$78,23,FALSE)</f>
        <v>1000</v>
      </c>
      <c r="O79" s="116">
        <f>+VLOOKUP($B79,'datos9-2015'!$A$2:$BE$78,24,FALSE)</f>
        <v>0</v>
      </c>
      <c r="P79" s="68">
        <f t="shared" si="24"/>
        <v>1000</v>
      </c>
      <c r="Q79" s="116">
        <f>+VLOOKUP($B79,'datos9-2015'!$A$2:$BE$78,26,FALSE)</f>
        <v>230149.35</v>
      </c>
      <c r="R79" s="116">
        <f>+VLOOKUP($B79,'datos9-2015'!$A$2:$BE$78,27,FALSE)</f>
        <v>0</v>
      </c>
      <c r="S79" s="116">
        <f>+VLOOKUP($B79,'datos9-2015'!$A$2:$BE$78,28,FALSE)</f>
        <v>0</v>
      </c>
      <c r="T79" s="116">
        <f>+VLOOKUP($B79,'datos9-2015'!$A$2:$BE$78,29,FALSE)</f>
        <v>5714.47</v>
      </c>
      <c r="U79" s="68">
        <f t="shared" si="25"/>
        <v>235863.82</v>
      </c>
      <c r="V79" s="116">
        <f>+VLOOKUP($B79,'datos9-2015'!$A$2:$BE$78,31,FALSE)</f>
        <v>36578.92</v>
      </c>
      <c r="W79" s="116">
        <f>+VLOOKUP($B79,'datos9-2015'!$A$2:$BE$78,32,FALSE)</f>
        <v>0</v>
      </c>
      <c r="X79" s="117">
        <f t="shared" si="26"/>
        <v>36578.92</v>
      </c>
      <c r="Y79" s="118">
        <f t="shared" si="27"/>
        <v>430663.79</v>
      </c>
      <c r="Z79" s="116">
        <f>+VLOOKUP($B79,'datos9-2015'!$A$2:$BE$78,35,FALSE)</f>
        <v>0</v>
      </c>
      <c r="AA79" s="116">
        <f>+VLOOKUP($B79,'datos9-2015'!$A$2:$BE$78,36,FALSE)</f>
        <v>0</v>
      </c>
      <c r="AB79" s="116">
        <f>+VLOOKUP($B79,'datos9-2015'!$A$2:$BE$78,37,FALSE)</f>
        <v>0</v>
      </c>
      <c r="AC79" s="116">
        <f>+VLOOKUP($B79,'datos9-2015'!$A$2:$BE$78,38,FALSE)</f>
        <v>0</v>
      </c>
      <c r="AD79" s="116">
        <f>+VLOOKUP($B79,'datos9-2015'!$A$2:$BE$78,39,FALSE)</f>
        <v>0</v>
      </c>
      <c r="AE79" s="68">
        <f t="shared" si="28"/>
        <v>0</v>
      </c>
      <c r="AF79" s="116">
        <f>+VLOOKUP($B79,'datos9-2015'!$A$2:$BE$78,42,FALSE)</f>
        <v>1022314.03</v>
      </c>
      <c r="AG79" s="116">
        <f>+VLOOKUP($B79,'datos9-2015'!$A$2:$BE$78,44,FALSE)</f>
        <v>405639.37</v>
      </c>
      <c r="AH79" s="116">
        <f>+VLOOKUP($B79,'datos9-2015'!$A$2:$BE$78,45,FALSE)</f>
        <v>0</v>
      </c>
      <c r="AI79" s="116">
        <f>+VLOOKUP($B79,'datos9-2015'!$A$2:$BE$78,46,FALSE)</f>
        <v>0</v>
      </c>
      <c r="AJ79" s="68">
        <f t="shared" si="29"/>
        <v>1427953.4</v>
      </c>
      <c r="AK79" s="116">
        <f>+VLOOKUP($B79,'datos9-2015'!$A$2:$BE$78,49,FALSE)</f>
        <v>68187.03</v>
      </c>
      <c r="AL79" s="116">
        <f>+VLOOKUP($B79,'datos9-2015'!$A$2:$BE$78,50,FALSE)</f>
        <v>0</v>
      </c>
      <c r="AM79" s="116">
        <f>+VLOOKUP($B79,'datos9-2015'!$A$2:$BE$78,51,FALSE)</f>
        <v>0</v>
      </c>
      <c r="AN79" s="116">
        <f>+VLOOKUP($B79,'datos9-2015'!$A$2:$BE$78,52,FALSE)</f>
        <v>0</v>
      </c>
      <c r="AO79" s="119">
        <f t="shared" si="30"/>
        <v>68187.03</v>
      </c>
      <c r="AP79" s="116">
        <f>+VLOOKUP($B79,'datos9-2015'!$A$2:$BE$78,55,FALSE)</f>
        <v>0</v>
      </c>
      <c r="AQ79" s="118">
        <f t="shared" si="31"/>
        <v>1496140.43</v>
      </c>
      <c r="AS79" s="120">
        <f t="shared" si="32"/>
        <v>1926804.22</v>
      </c>
    </row>
    <row r="80" spans="2:45" x14ac:dyDescent="0.2">
      <c r="B80" s="18" t="s">
        <v>131</v>
      </c>
      <c r="D80" s="116">
        <f>+VLOOKUP($B80,'datos9-2015'!$A$2:$BE$78,13,FALSE)</f>
        <v>3284.28</v>
      </c>
      <c r="E80" s="116">
        <f>+VLOOKUP($B80,'datos9-2015'!$A$2:$BE$78,14,FALSE)</f>
        <v>0</v>
      </c>
      <c r="F80" s="116">
        <f>+VLOOKUP($B80,'datos9-2015'!$A$2:$BE$78,15,FALSE)</f>
        <v>0</v>
      </c>
      <c r="G80" s="68">
        <f t="shared" si="22"/>
        <v>3284.28</v>
      </c>
      <c r="H80" s="116">
        <f>+VLOOKUP($B80,'datos9-2015'!$A$2:$BE$78,17,FALSE)</f>
        <v>0</v>
      </c>
      <c r="I80" s="116">
        <f>+VLOOKUP($B80,'datos9-2015'!$A$2:$BE$78,18,FALSE)</f>
        <v>0</v>
      </c>
      <c r="J80" s="116">
        <f>+VLOOKUP($B80,'datos9-2015'!$A$2:$BE$78,19,FALSE)</f>
        <v>0</v>
      </c>
      <c r="K80" s="116">
        <f>+VLOOKUP($B80,'datos9-2015'!$A$2:$BE$78,20,FALSE)</f>
        <v>0</v>
      </c>
      <c r="L80" s="68">
        <f t="shared" si="23"/>
        <v>0</v>
      </c>
      <c r="M80" s="116">
        <f>+VLOOKUP($B80,'datos9-2015'!$A$2:$BE$78,22,FALSE)</f>
        <v>0</v>
      </c>
      <c r="N80" s="116">
        <f>+VLOOKUP($B80,'datos9-2015'!$A$2:$BE$78,23,FALSE)</f>
        <v>0</v>
      </c>
      <c r="O80" s="116">
        <f>+VLOOKUP($B80,'datos9-2015'!$A$2:$BE$78,24,FALSE)</f>
        <v>0</v>
      </c>
      <c r="P80" s="68">
        <f t="shared" si="24"/>
        <v>0</v>
      </c>
      <c r="Q80" s="116">
        <f>+VLOOKUP($B80,'datos9-2015'!$A$2:$BE$78,26,FALSE)</f>
        <v>0</v>
      </c>
      <c r="R80" s="116">
        <f>+VLOOKUP($B80,'datos9-2015'!$A$2:$BE$78,27,FALSE)</f>
        <v>0</v>
      </c>
      <c r="S80" s="116">
        <f>+VLOOKUP($B80,'datos9-2015'!$A$2:$BE$78,28,FALSE)</f>
        <v>0</v>
      </c>
      <c r="T80" s="116">
        <f>+VLOOKUP($B80,'datos9-2015'!$A$2:$BE$78,29,FALSE)</f>
        <v>0</v>
      </c>
      <c r="U80" s="68">
        <f t="shared" si="25"/>
        <v>0</v>
      </c>
      <c r="V80" s="116">
        <f>+VLOOKUP($B80,'datos9-2015'!$A$2:$BE$78,31,FALSE)</f>
        <v>3105.02</v>
      </c>
      <c r="W80" s="116">
        <f>+VLOOKUP($B80,'datos9-2015'!$A$2:$BE$78,32,FALSE)</f>
        <v>0</v>
      </c>
      <c r="X80" s="117">
        <f t="shared" si="26"/>
        <v>3105.02</v>
      </c>
      <c r="Y80" s="118">
        <f t="shared" si="27"/>
        <v>6389.3</v>
      </c>
      <c r="Z80" s="116">
        <f>+VLOOKUP($B80,'datos9-2015'!$A$2:$BE$78,35,FALSE)</f>
        <v>0</v>
      </c>
      <c r="AA80" s="116">
        <f>+VLOOKUP($B80,'datos9-2015'!$A$2:$BE$78,36,FALSE)</f>
        <v>0</v>
      </c>
      <c r="AB80" s="116">
        <f>+VLOOKUP($B80,'datos9-2015'!$A$2:$BE$78,37,FALSE)</f>
        <v>0</v>
      </c>
      <c r="AC80" s="116">
        <f>+VLOOKUP($B80,'datos9-2015'!$A$2:$BE$78,38,FALSE)</f>
        <v>0</v>
      </c>
      <c r="AD80" s="116">
        <f>+VLOOKUP($B80,'datos9-2015'!$A$2:$BE$78,39,FALSE)</f>
        <v>0</v>
      </c>
      <c r="AE80" s="68">
        <f t="shared" si="28"/>
        <v>0</v>
      </c>
      <c r="AF80" s="116">
        <f>+VLOOKUP($B80,'datos9-2015'!$A$2:$BE$78,42,FALSE)</f>
        <v>0</v>
      </c>
      <c r="AG80" s="116">
        <f>+VLOOKUP($B80,'datos9-2015'!$A$2:$BE$78,44,FALSE)</f>
        <v>0</v>
      </c>
      <c r="AH80" s="116">
        <f>+VLOOKUP($B80,'datos9-2015'!$A$2:$BE$78,45,FALSE)</f>
        <v>0</v>
      </c>
      <c r="AI80" s="116">
        <f>+VLOOKUP($B80,'datos9-2015'!$A$2:$BE$78,46,FALSE)</f>
        <v>0</v>
      </c>
      <c r="AJ80" s="68">
        <f t="shared" si="29"/>
        <v>0</v>
      </c>
      <c r="AK80" s="116">
        <f>+VLOOKUP($B80,'datos9-2015'!$A$2:$BE$78,49,FALSE)</f>
        <v>0</v>
      </c>
      <c r="AL80" s="116">
        <f>+VLOOKUP($B80,'datos9-2015'!$A$2:$BE$78,50,FALSE)</f>
        <v>0</v>
      </c>
      <c r="AM80" s="116">
        <f>+VLOOKUP($B80,'datos9-2015'!$A$2:$BE$78,51,FALSE)</f>
        <v>0</v>
      </c>
      <c r="AN80" s="116">
        <f>+VLOOKUP($B80,'datos9-2015'!$A$2:$BE$78,52,FALSE)</f>
        <v>0</v>
      </c>
      <c r="AO80" s="119">
        <f t="shared" si="30"/>
        <v>0</v>
      </c>
      <c r="AP80" s="116">
        <f>+VLOOKUP($B80,'datos9-2015'!$A$2:$BE$78,55,FALSE)</f>
        <v>0</v>
      </c>
      <c r="AQ80" s="118">
        <f t="shared" si="31"/>
        <v>0</v>
      </c>
      <c r="AS80" s="120">
        <f t="shared" si="32"/>
        <v>6389.3</v>
      </c>
    </row>
    <row r="81" spans="2:60" x14ac:dyDescent="0.2">
      <c r="B81" s="18" t="s">
        <v>132</v>
      </c>
      <c r="C81" s="115"/>
      <c r="D81" s="116">
        <f>+VLOOKUP($B81,'datos9-2015'!$A$2:$BE$78,13,FALSE)</f>
        <v>14192.77</v>
      </c>
      <c r="E81" s="116">
        <f>+VLOOKUP($B81,'datos9-2015'!$A$2:$BE$78,14,FALSE)</f>
        <v>0</v>
      </c>
      <c r="F81" s="116">
        <f>+VLOOKUP($B81,'datos9-2015'!$A$2:$BE$78,15,FALSE)</f>
        <v>40700</v>
      </c>
      <c r="G81" s="68">
        <f t="shared" si="22"/>
        <v>54892.770000000004</v>
      </c>
      <c r="H81" s="116">
        <f>+VLOOKUP($B81,'datos9-2015'!$A$2:$BE$78,17,FALSE)</f>
        <v>4784.26</v>
      </c>
      <c r="I81" s="116">
        <f>+VLOOKUP($B81,'datos9-2015'!$A$2:$BE$78,18,FALSE)</f>
        <v>0</v>
      </c>
      <c r="J81" s="116">
        <f>+VLOOKUP($B81,'datos9-2015'!$A$2:$BE$78,19,FALSE)</f>
        <v>0</v>
      </c>
      <c r="K81" s="116">
        <f>+VLOOKUP($B81,'datos9-2015'!$A$2:$BE$78,20,FALSE)</f>
        <v>0</v>
      </c>
      <c r="L81" s="68">
        <f t="shared" si="23"/>
        <v>4784.26</v>
      </c>
      <c r="M81" s="116">
        <f>+VLOOKUP($B81,'datos9-2015'!$A$2:$BE$78,22,FALSE)</f>
        <v>0</v>
      </c>
      <c r="N81" s="116">
        <f>+VLOOKUP($B81,'datos9-2015'!$A$2:$BE$78,23,FALSE)</f>
        <v>0</v>
      </c>
      <c r="O81" s="116">
        <f>+VLOOKUP($B81,'datos9-2015'!$A$2:$BE$78,24,FALSE)</f>
        <v>0</v>
      </c>
      <c r="P81" s="68">
        <f t="shared" si="24"/>
        <v>0</v>
      </c>
      <c r="Q81" s="116">
        <f>+VLOOKUP($B81,'datos9-2015'!$A$2:$BE$78,26,FALSE)</f>
        <v>0</v>
      </c>
      <c r="R81" s="116">
        <f>+VLOOKUP($B81,'datos9-2015'!$A$2:$BE$78,27,FALSE)</f>
        <v>0</v>
      </c>
      <c r="S81" s="116">
        <f>+VLOOKUP($B81,'datos9-2015'!$A$2:$BE$78,28,FALSE)</f>
        <v>0</v>
      </c>
      <c r="T81" s="116">
        <f>+VLOOKUP($B81,'datos9-2015'!$A$2:$BE$78,29,FALSE)</f>
        <v>0</v>
      </c>
      <c r="U81" s="68">
        <f t="shared" si="25"/>
        <v>0</v>
      </c>
      <c r="V81" s="116">
        <f>+VLOOKUP($B81,'datos9-2015'!$A$2:$BE$78,31,FALSE)</f>
        <v>0</v>
      </c>
      <c r="W81" s="116">
        <f>+VLOOKUP($B81,'datos9-2015'!$A$2:$BE$78,32,FALSE)</f>
        <v>0</v>
      </c>
      <c r="X81" s="117">
        <f t="shared" si="26"/>
        <v>0</v>
      </c>
      <c r="Y81" s="118">
        <f t="shared" si="27"/>
        <v>59677.030000000006</v>
      </c>
      <c r="Z81" s="116">
        <f>+VLOOKUP($B81,'datos9-2015'!$A$2:$BE$78,35,FALSE)</f>
        <v>0</v>
      </c>
      <c r="AA81" s="116">
        <f>+VLOOKUP($B81,'datos9-2015'!$A$2:$BE$78,36,FALSE)</f>
        <v>0</v>
      </c>
      <c r="AB81" s="116">
        <f>+VLOOKUP($B81,'datos9-2015'!$A$2:$BE$78,37,FALSE)</f>
        <v>0</v>
      </c>
      <c r="AC81" s="116">
        <f>+VLOOKUP($B81,'datos9-2015'!$A$2:$BE$78,38,FALSE)</f>
        <v>0</v>
      </c>
      <c r="AD81" s="116">
        <f>+VLOOKUP($B81,'datos9-2015'!$A$2:$BE$78,39,FALSE)</f>
        <v>0</v>
      </c>
      <c r="AE81" s="68">
        <f t="shared" si="28"/>
        <v>0</v>
      </c>
      <c r="AF81" s="116">
        <f>+VLOOKUP($B81,'datos9-2015'!$A$2:$BE$78,42,FALSE)</f>
        <v>0</v>
      </c>
      <c r="AG81" s="116">
        <f>+VLOOKUP($B81,'datos9-2015'!$A$2:$BE$78,44,FALSE)</f>
        <v>39676.49</v>
      </c>
      <c r="AH81" s="116">
        <f>+VLOOKUP($B81,'datos9-2015'!$A$2:$BE$78,45,FALSE)</f>
        <v>0</v>
      </c>
      <c r="AI81" s="116">
        <f>+VLOOKUP($B81,'datos9-2015'!$A$2:$BE$78,46,FALSE)</f>
        <v>0</v>
      </c>
      <c r="AJ81" s="68">
        <f t="shared" si="29"/>
        <v>39676.49</v>
      </c>
      <c r="AK81" s="116">
        <f>+VLOOKUP($B81,'datos9-2015'!$A$2:$BE$78,49,FALSE)</f>
        <v>0</v>
      </c>
      <c r="AL81" s="116">
        <f>+VLOOKUP($B81,'datos9-2015'!$A$2:$BE$78,50,FALSE)</f>
        <v>0</v>
      </c>
      <c r="AM81" s="116">
        <f>+VLOOKUP($B81,'datos9-2015'!$A$2:$BE$78,51,FALSE)</f>
        <v>0</v>
      </c>
      <c r="AN81" s="116">
        <f>+VLOOKUP($B81,'datos9-2015'!$A$2:$BE$78,52,FALSE)</f>
        <v>0</v>
      </c>
      <c r="AO81" s="119">
        <f t="shared" si="30"/>
        <v>0</v>
      </c>
      <c r="AP81" s="116">
        <f>+VLOOKUP($B81,'datos9-2015'!$A$2:$BE$78,55,FALSE)</f>
        <v>0</v>
      </c>
      <c r="AQ81" s="118">
        <f t="shared" si="31"/>
        <v>39676.49</v>
      </c>
      <c r="AS81" s="120">
        <f t="shared" si="32"/>
        <v>99353.52</v>
      </c>
    </row>
    <row r="82" spans="2:60" x14ac:dyDescent="0.2">
      <c r="B82" s="18" t="s">
        <v>133</v>
      </c>
      <c r="C82" s="115"/>
      <c r="D82" s="116">
        <f>+VLOOKUP($B82,'datos9-2015'!$A$2:$BE$78,13,FALSE)</f>
        <v>52770.38</v>
      </c>
      <c r="E82" s="116">
        <f>+VLOOKUP($B82,'datos9-2015'!$A$2:$BE$78,14,FALSE)</f>
        <v>0</v>
      </c>
      <c r="F82" s="116">
        <f>+VLOOKUP($B82,'datos9-2015'!$A$2:$BE$78,15,FALSE)</f>
        <v>0</v>
      </c>
      <c r="G82" s="68">
        <f t="shared" si="22"/>
        <v>52770.38</v>
      </c>
      <c r="H82" s="116">
        <f>+VLOOKUP($B82,'datos9-2015'!$A$2:$BE$78,17,FALSE)</f>
        <v>352693.19</v>
      </c>
      <c r="I82" s="116">
        <f>+VLOOKUP($B82,'datos9-2015'!$A$2:$BE$78,18,FALSE)</f>
        <v>0</v>
      </c>
      <c r="J82" s="116">
        <f>+VLOOKUP($B82,'datos9-2015'!$A$2:$BE$78,19,FALSE)</f>
        <v>110040.57</v>
      </c>
      <c r="K82" s="116">
        <f>+VLOOKUP($B82,'datos9-2015'!$A$2:$BE$78,20,FALSE)</f>
        <v>0</v>
      </c>
      <c r="L82" s="68">
        <f t="shared" si="23"/>
        <v>462733.76</v>
      </c>
      <c r="M82" s="116">
        <f>+VLOOKUP($B82,'datos9-2015'!$A$2:$BE$78,22,FALSE)</f>
        <v>48123</v>
      </c>
      <c r="N82" s="116">
        <f>+VLOOKUP($B82,'datos9-2015'!$A$2:$BE$78,23,FALSE)</f>
        <v>0</v>
      </c>
      <c r="O82" s="116">
        <f>+VLOOKUP($B82,'datos9-2015'!$A$2:$BE$78,24,FALSE)</f>
        <v>0</v>
      </c>
      <c r="P82" s="68">
        <f t="shared" si="24"/>
        <v>48123</v>
      </c>
      <c r="Q82" s="116">
        <f>+VLOOKUP($B82,'datos9-2015'!$A$2:$BE$78,26,FALSE)</f>
        <v>0</v>
      </c>
      <c r="R82" s="116">
        <f>+VLOOKUP($B82,'datos9-2015'!$A$2:$BE$78,27,FALSE)</f>
        <v>0</v>
      </c>
      <c r="S82" s="116">
        <f>+VLOOKUP($B82,'datos9-2015'!$A$2:$BE$78,28,FALSE)</f>
        <v>0</v>
      </c>
      <c r="T82" s="116">
        <f>+VLOOKUP($B82,'datos9-2015'!$A$2:$BE$78,29,FALSE)</f>
        <v>0</v>
      </c>
      <c r="U82" s="68">
        <f t="shared" si="25"/>
        <v>0</v>
      </c>
      <c r="V82" s="116">
        <f>+VLOOKUP($B82,'datos9-2015'!$A$2:$BE$78,31,FALSE)</f>
        <v>0</v>
      </c>
      <c r="W82" s="116">
        <f>+VLOOKUP($B82,'datos9-2015'!$A$2:$BE$78,32,FALSE)</f>
        <v>0</v>
      </c>
      <c r="X82" s="117">
        <f t="shared" si="26"/>
        <v>0</v>
      </c>
      <c r="Y82" s="118">
        <f t="shared" si="27"/>
        <v>563627.14</v>
      </c>
      <c r="Z82" s="116">
        <f>+VLOOKUP($B82,'datos9-2015'!$A$2:$BE$78,35,FALSE)</f>
        <v>0</v>
      </c>
      <c r="AA82" s="116">
        <f>+VLOOKUP($B82,'datos9-2015'!$A$2:$BE$78,36,FALSE)</f>
        <v>200000</v>
      </c>
      <c r="AB82" s="116">
        <f>+VLOOKUP($B82,'datos9-2015'!$A$2:$BE$78,37,FALSE)</f>
        <v>0</v>
      </c>
      <c r="AC82" s="116">
        <f>+VLOOKUP($B82,'datos9-2015'!$A$2:$BE$78,38,FALSE)</f>
        <v>0</v>
      </c>
      <c r="AD82" s="116">
        <f>+VLOOKUP($B82,'datos9-2015'!$A$2:$BE$78,39,FALSE)</f>
        <v>0</v>
      </c>
      <c r="AE82" s="68">
        <f t="shared" si="28"/>
        <v>200000</v>
      </c>
      <c r="AF82" s="116">
        <f>+VLOOKUP($B82,'datos9-2015'!$A$2:$BE$78,42,FALSE)</f>
        <v>298810</v>
      </c>
      <c r="AG82" s="116">
        <f>+VLOOKUP($B82,'datos9-2015'!$A$2:$BE$78,44,FALSE)</f>
        <v>128181</v>
      </c>
      <c r="AH82" s="116">
        <f>+VLOOKUP($B82,'datos9-2015'!$A$2:$BE$78,45,FALSE)</f>
        <v>0</v>
      </c>
      <c r="AI82" s="116">
        <f>+VLOOKUP($B82,'datos9-2015'!$A$2:$BE$78,46,FALSE)</f>
        <v>0</v>
      </c>
      <c r="AJ82" s="68">
        <f t="shared" si="29"/>
        <v>426991</v>
      </c>
      <c r="AK82" s="116">
        <f>+VLOOKUP($B82,'datos9-2015'!$A$2:$BE$78,49,FALSE)</f>
        <v>0</v>
      </c>
      <c r="AL82" s="116">
        <f>+VLOOKUP($B82,'datos9-2015'!$A$2:$BE$78,50,FALSE)</f>
        <v>0</v>
      </c>
      <c r="AM82" s="116">
        <f>+VLOOKUP($B82,'datos9-2015'!$A$2:$BE$78,51,FALSE)</f>
        <v>0</v>
      </c>
      <c r="AN82" s="116">
        <f>+VLOOKUP($B82,'datos9-2015'!$A$2:$BE$78,52,FALSE)</f>
        <v>0</v>
      </c>
      <c r="AO82" s="119">
        <f t="shared" si="30"/>
        <v>0</v>
      </c>
      <c r="AP82" s="116">
        <f>+VLOOKUP($B82,'datos9-2015'!$A$2:$BE$78,55,FALSE)</f>
        <v>0</v>
      </c>
      <c r="AQ82" s="118">
        <f t="shared" si="31"/>
        <v>626991</v>
      </c>
      <c r="AS82" s="120">
        <f t="shared" si="32"/>
        <v>1190618.1400000001</v>
      </c>
    </row>
    <row r="83" spans="2:60" x14ac:dyDescent="0.2">
      <c r="B83" s="18" t="s">
        <v>134</v>
      </c>
      <c r="C83" s="115"/>
      <c r="D83" s="116">
        <f>+VLOOKUP($B83,'datos9-2015'!$A$2:$BE$78,13,FALSE)</f>
        <v>0</v>
      </c>
      <c r="E83" s="116">
        <f>+VLOOKUP($B83,'datos9-2015'!$A$2:$BE$78,14,FALSE)</f>
        <v>0</v>
      </c>
      <c r="F83" s="116">
        <f>+VLOOKUP($B83,'datos9-2015'!$A$2:$BE$78,15,FALSE)</f>
        <v>0</v>
      </c>
      <c r="G83" s="68">
        <f t="shared" si="22"/>
        <v>0</v>
      </c>
      <c r="H83" s="116">
        <f>+VLOOKUP($B83,'datos9-2015'!$A$2:$BE$78,17,FALSE)</f>
        <v>1900</v>
      </c>
      <c r="I83" s="116">
        <f>+VLOOKUP($B83,'datos9-2015'!$A$2:$BE$78,18,FALSE)</f>
        <v>0</v>
      </c>
      <c r="J83" s="116">
        <f>+VLOOKUP($B83,'datos9-2015'!$A$2:$BE$78,19,FALSE)</f>
        <v>27845.14</v>
      </c>
      <c r="K83" s="116">
        <f>+VLOOKUP($B83,'datos9-2015'!$A$2:$BE$78,20,FALSE)</f>
        <v>10000</v>
      </c>
      <c r="L83" s="68">
        <f t="shared" si="23"/>
        <v>39745.14</v>
      </c>
      <c r="M83" s="116">
        <f>+VLOOKUP($B83,'datos9-2015'!$A$2:$BE$78,22,FALSE)</f>
        <v>0</v>
      </c>
      <c r="N83" s="116">
        <f>+VLOOKUP($B83,'datos9-2015'!$A$2:$BE$78,23,FALSE)</f>
        <v>0</v>
      </c>
      <c r="O83" s="116">
        <f>+VLOOKUP($B83,'datos9-2015'!$A$2:$BE$78,24,FALSE)</f>
        <v>0</v>
      </c>
      <c r="P83" s="68">
        <f t="shared" si="24"/>
        <v>0</v>
      </c>
      <c r="Q83" s="116">
        <f>+VLOOKUP($B83,'datos9-2015'!$A$2:$BE$78,26,FALSE)</f>
        <v>0</v>
      </c>
      <c r="R83" s="116">
        <f>+VLOOKUP($B83,'datos9-2015'!$A$2:$BE$78,27,FALSE)</f>
        <v>0</v>
      </c>
      <c r="S83" s="116">
        <f>+VLOOKUP($B83,'datos9-2015'!$A$2:$BE$78,28,FALSE)</f>
        <v>0</v>
      </c>
      <c r="T83" s="116">
        <f>+VLOOKUP($B83,'datos9-2015'!$A$2:$BE$78,29,FALSE)</f>
        <v>0</v>
      </c>
      <c r="U83" s="68">
        <f t="shared" si="25"/>
        <v>0</v>
      </c>
      <c r="V83" s="116">
        <f>+VLOOKUP($B83,'datos9-2015'!$A$2:$BE$78,31,FALSE)</f>
        <v>0</v>
      </c>
      <c r="W83" s="116">
        <f>+VLOOKUP($B83,'datos9-2015'!$A$2:$BE$78,32,FALSE)</f>
        <v>0</v>
      </c>
      <c r="X83" s="117">
        <f t="shared" si="26"/>
        <v>0</v>
      </c>
      <c r="Y83" s="118">
        <f t="shared" si="27"/>
        <v>39745.14</v>
      </c>
      <c r="Z83" s="116">
        <f>+VLOOKUP($B83,'datos9-2015'!$A$2:$BE$78,35,FALSE)</f>
        <v>0</v>
      </c>
      <c r="AA83" s="116">
        <f>+VLOOKUP($B83,'datos9-2015'!$A$2:$BE$78,36,FALSE)</f>
        <v>0</v>
      </c>
      <c r="AB83" s="116">
        <f>+VLOOKUP($B83,'datos9-2015'!$A$2:$BE$78,37,FALSE)</f>
        <v>0</v>
      </c>
      <c r="AC83" s="116">
        <f>+VLOOKUP($B83,'datos9-2015'!$A$2:$BE$78,38,FALSE)</f>
        <v>0</v>
      </c>
      <c r="AD83" s="116">
        <f>+VLOOKUP($B83,'datos9-2015'!$A$2:$BE$78,39,FALSE)</f>
        <v>0</v>
      </c>
      <c r="AE83" s="68">
        <f t="shared" si="28"/>
        <v>0</v>
      </c>
      <c r="AF83" s="116">
        <f>+VLOOKUP($B83,'datos9-2015'!$A$2:$BE$78,42,FALSE)</f>
        <v>1320429.08</v>
      </c>
      <c r="AG83" s="116">
        <f>+VLOOKUP($B83,'datos9-2015'!$A$2:$BE$78,44,FALSE)</f>
        <v>704619.38</v>
      </c>
      <c r="AH83" s="116">
        <f>+VLOOKUP($B83,'datos9-2015'!$A$2:$BE$78,45,FALSE)</f>
        <v>0</v>
      </c>
      <c r="AI83" s="116">
        <f>+VLOOKUP($B83,'datos9-2015'!$A$2:$BE$78,46,FALSE)</f>
        <v>0</v>
      </c>
      <c r="AJ83" s="68">
        <f t="shared" si="29"/>
        <v>2025048.46</v>
      </c>
      <c r="AK83" s="116">
        <f>+VLOOKUP($B83,'datos9-2015'!$A$2:$BE$78,49,FALSE)</f>
        <v>0</v>
      </c>
      <c r="AL83" s="116">
        <f>+VLOOKUP($B83,'datos9-2015'!$A$2:$BE$78,50,FALSE)</f>
        <v>0</v>
      </c>
      <c r="AM83" s="116">
        <f>+VLOOKUP($B83,'datos9-2015'!$A$2:$BE$78,51,FALSE)</f>
        <v>0</v>
      </c>
      <c r="AN83" s="116">
        <f>+VLOOKUP($B83,'datos9-2015'!$A$2:$BE$78,52,FALSE)</f>
        <v>155921.48000000001</v>
      </c>
      <c r="AO83" s="119">
        <f t="shared" si="30"/>
        <v>155921.48000000001</v>
      </c>
      <c r="AP83" s="116">
        <f>+VLOOKUP($B83,'datos9-2015'!$A$2:$BE$78,55,FALSE)</f>
        <v>0</v>
      </c>
      <c r="AQ83" s="118">
        <f t="shared" si="31"/>
        <v>2180969.94</v>
      </c>
      <c r="AS83" s="120">
        <f t="shared" si="32"/>
        <v>2220715.08</v>
      </c>
    </row>
    <row r="84" spans="2:60" s="12" customFormat="1" x14ac:dyDescent="0.2"/>
    <row r="85" spans="2:60" s="123" customFormat="1" hidden="1" x14ac:dyDescent="0.2">
      <c r="B85" s="122">
        <v>1</v>
      </c>
      <c r="C85" s="122">
        <v>2</v>
      </c>
    </row>
    <row r="86" spans="2:60" x14ac:dyDescent="0.2">
      <c r="D86" s="140">
        <f t="shared" ref="D86:AQ86" si="33">SUM(D8:D83)</f>
        <v>91950120.510000005</v>
      </c>
      <c r="E86" s="140">
        <f t="shared" si="33"/>
        <v>55912554.240000002</v>
      </c>
      <c r="F86" s="140">
        <f t="shared" si="33"/>
        <v>6947283.9300000006</v>
      </c>
      <c r="G86" s="140">
        <f t="shared" si="33"/>
        <v>154809958.68000001</v>
      </c>
      <c r="H86" s="140">
        <f t="shared" si="33"/>
        <v>20880984.880000003</v>
      </c>
      <c r="I86" s="140">
        <f t="shared" si="33"/>
        <v>14032930.91</v>
      </c>
      <c r="J86" s="140">
        <f t="shared" si="33"/>
        <v>3797873.0700000003</v>
      </c>
      <c r="K86" s="140">
        <f t="shared" si="33"/>
        <v>52213512.020000011</v>
      </c>
      <c r="L86" s="140">
        <f t="shared" si="33"/>
        <v>90925300.87999998</v>
      </c>
      <c r="M86" s="140">
        <f t="shared" si="33"/>
        <v>20179361.080000002</v>
      </c>
      <c r="N86" s="140">
        <f t="shared" si="33"/>
        <v>6046593.2599999998</v>
      </c>
      <c r="O86" s="140">
        <f t="shared" si="33"/>
        <v>296433.98</v>
      </c>
      <c r="P86" s="140">
        <f t="shared" si="33"/>
        <v>26522388.320000004</v>
      </c>
      <c r="Q86" s="140">
        <f t="shared" si="33"/>
        <v>8690749.5299999993</v>
      </c>
      <c r="R86" s="140">
        <f t="shared" si="33"/>
        <v>74680.3</v>
      </c>
      <c r="S86" s="140">
        <f t="shared" si="33"/>
        <v>73305.649999999994</v>
      </c>
      <c r="T86" s="140">
        <f t="shared" si="33"/>
        <v>676271.80999999994</v>
      </c>
      <c r="U86" s="140">
        <f t="shared" si="33"/>
        <v>9515007.2899999991</v>
      </c>
      <c r="V86" s="140">
        <f t="shared" si="33"/>
        <v>1217589.92</v>
      </c>
      <c r="W86" s="140">
        <f t="shared" si="33"/>
        <v>16742976.050000001</v>
      </c>
      <c r="X86" s="140">
        <f t="shared" si="33"/>
        <v>17960565.970000003</v>
      </c>
      <c r="Y86" s="140">
        <f t="shared" si="33"/>
        <v>299733221.1400001</v>
      </c>
      <c r="Z86" s="140">
        <f t="shared" si="33"/>
        <v>7266607.6799999997</v>
      </c>
      <c r="AA86" s="140">
        <f t="shared" si="33"/>
        <v>13998477.540000001</v>
      </c>
      <c r="AB86" s="140">
        <f t="shared" si="33"/>
        <v>11500</v>
      </c>
      <c r="AC86" s="140">
        <f t="shared" si="33"/>
        <v>8806441.9600000009</v>
      </c>
      <c r="AD86" s="140">
        <f t="shared" si="33"/>
        <v>1432441.03</v>
      </c>
      <c r="AE86" s="140">
        <f t="shared" si="33"/>
        <v>31515468.209999997</v>
      </c>
      <c r="AF86" s="140">
        <f t="shared" si="33"/>
        <v>36606961.089999996</v>
      </c>
      <c r="AG86" s="140">
        <f t="shared" si="33"/>
        <v>15964335.900000004</v>
      </c>
      <c r="AH86" s="140">
        <f t="shared" si="33"/>
        <v>646190.78</v>
      </c>
      <c r="AI86" s="140">
        <f t="shared" si="33"/>
        <v>587939.61</v>
      </c>
      <c r="AJ86" s="140">
        <f t="shared" si="33"/>
        <v>53805427.379999988</v>
      </c>
      <c r="AK86" s="140">
        <f t="shared" si="33"/>
        <v>6760271.1900000013</v>
      </c>
      <c r="AL86" s="140">
        <f t="shared" si="33"/>
        <v>51779121</v>
      </c>
      <c r="AM86" s="140">
        <f t="shared" si="33"/>
        <v>23697146.539999999</v>
      </c>
      <c r="AN86" s="140">
        <f t="shared" si="33"/>
        <v>30117699.879999999</v>
      </c>
      <c r="AO86" s="140">
        <f t="shared" si="33"/>
        <v>112354238.60999997</v>
      </c>
      <c r="AP86" s="140">
        <f t="shared" si="33"/>
        <v>1163431.6499999999</v>
      </c>
      <c r="AQ86" s="140">
        <f t="shared" si="33"/>
        <v>198838565.84999996</v>
      </c>
      <c r="AR86" s="140" t="s">
        <v>65</v>
      </c>
      <c r="AS86" s="140">
        <f>SUM(AS8:AS83)</f>
        <v>498571786.98999995</v>
      </c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2:60" x14ac:dyDescent="0.2">
      <c r="D87" s="124"/>
      <c r="E87" s="124"/>
      <c r="F87" s="29"/>
      <c r="G87" s="29" t="s">
        <v>65</v>
      </c>
      <c r="H87" s="29"/>
      <c r="I87" s="124"/>
      <c r="J87" s="124"/>
      <c r="K87" s="29"/>
      <c r="L87" s="29"/>
      <c r="M87" s="124"/>
      <c r="N87" s="124"/>
      <c r="O87" s="124"/>
      <c r="P87" s="124" t="s">
        <v>65</v>
      </c>
      <c r="Q87" s="29"/>
      <c r="R87" s="124"/>
      <c r="S87" s="124"/>
      <c r="T87" s="29"/>
      <c r="U87" s="29"/>
      <c r="V87" s="29"/>
      <c r="W87" s="125"/>
      <c r="X87" s="126"/>
      <c r="Y87" s="29"/>
      <c r="Z87" s="124"/>
      <c r="AA87" s="124"/>
      <c r="AB87" s="124"/>
      <c r="AC87" s="124"/>
      <c r="AD87" s="29"/>
      <c r="AE87" s="29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29"/>
      <c r="AR87" s="124"/>
      <c r="AS87" s="29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2:60" x14ac:dyDescent="0.2"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7"/>
      <c r="Y88" s="122"/>
      <c r="Z88" s="128"/>
      <c r="AA88" s="128"/>
      <c r="AB88" s="128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</row>
    <row r="89" spans="2:60" x14ac:dyDescent="0.2">
      <c r="D89" s="129">
        <f>D86/G86</f>
        <v>0.59395481591766031</v>
      </c>
      <c r="E89" s="129">
        <f>E86/G86</f>
        <v>0.36116897592857106</v>
      </c>
      <c r="F89" s="129">
        <f>F86/G86</f>
        <v>4.4876208153768631E-2</v>
      </c>
      <c r="G89" s="129">
        <f>SUM(D89:F89)</f>
        <v>1</v>
      </c>
      <c r="H89" s="129">
        <f>H86/L86</f>
        <v>0.22964988488251464</v>
      </c>
      <c r="I89" s="129">
        <f>I86/L86</f>
        <v>0.15433472063535067</v>
      </c>
      <c r="J89" s="129">
        <f>J86/L86</f>
        <v>4.1769155925173128E-2</v>
      </c>
      <c r="K89" s="129">
        <f>K86/L86</f>
        <v>0.574246238556962</v>
      </c>
      <c r="L89" s="129">
        <f>SUM(H89:K89)</f>
        <v>1.0000000000000004</v>
      </c>
      <c r="M89" s="130">
        <f>M86/P86</f>
        <v>0.76084253184631745</v>
      </c>
      <c r="N89" s="130">
        <f>N86/P86</f>
        <v>0.22798072281599105</v>
      </c>
      <c r="O89" s="130">
        <f>O86/P86</f>
        <v>1.1176745337691366E-2</v>
      </c>
      <c r="P89" s="129">
        <f>SUM(M89:O89)</f>
        <v>0.99999999999999989</v>
      </c>
      <c r="Z89" s="13" t="s">
        <v>65</v>
      </c>
      <c r="AS89" s="11" t="s">
        <v>65</v>
      </c>
    </row>
    <row r="90" spans="2:60" x14ac:dyDescent="0.2">
      <c r="D90" s="133">
        <f>D86+F86</f>
        <v>98897404.440000013</v>
      </c>
      <c r="J90" s="13" t="s">
        <v>65</v>
      </c>
      <c r="L90" s="133">
        <f>L86+P86</f>
        <v>117447689.19999999</v>
      </c>
      <c r="N90" s="129">
        <f>N86/P90</f>
        <v>0.95326616632975381</v>
      </c>
      <c r="O90" s="129">
        <f>O86/P90</f>
        <v>4.6733833670246062E-2</v>
      </c>
      <c r="P90" s="133">
        <f>SUM(N86:O86)</f>
        <v>6343027.2400000002</v>
      </c>
    </row>
    <row r="91" spans="2:60" x14ac:dyDescent="0.2">
      <c r="F91" s="11" t="s">
        <v>65</v>
      </c>
      <c r="L91" s="129">
        <f>L86/L90</f>
        <v>0.7741770102020874</v>
      </c>
    </row>
    <row r="92" spans="2:60" x14ac:dyDescent="0.2">
      <c r="L92" s="129">
        <f>P86/L90</f>
        <v>0.22582298979791257</v>
      </c>
    </row>
  </sheetData>
  <mergeCells count="12">
    <mergeCell ref="AQ4:AQ6"/>
    <mergeCell ref="D5:G5"/>
    <mergeCell ref="H5:L5"/>
    <mergeCell ref="M5:P5"/>
    <mergeCell ref="Q5:U5"/>
    <mergeCell ref="V5:X5"/>
    <mergeCell ref="Z5:AE5"/>
    <mergeCell ref="AF5:AJ5"/>
    <mergeCell ref="AK5:AO5"/>
    <mergeCell ref="D4:W4"/>
    <mergeCell ref="Y4:Y6"/>
    <mergeCell ref="Z4:AO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16" workbookViewId="0">
      <selection activeCell="M28" sqref="M28"/>
    </sheetView>
  </sheetViews>
  <sheetFormatPr baseColWidth="10" defaultColWidth="9.140625" defaultRowHeight="12.75" x14ac:dyDescent="0.2"/>
  <cols>
    <col min="1" max="1" width="33.42578125" customWidth="1"/>
    <col min="2" max="2" width="11.42578125" customWidth="1"/>
    <col min="3" max="3" width="6.42578125" hidden="1" customWidth="1"/>
    <col min="4" max="4" width="11.42578125" customWidth="1"/>
    <col min="5" max="5" width="8.140625" style="259" hidden="1" customWidth="1"/>
    <col min="6" max="6" width="11.42578125" style="259" customWidth="1"/>
    <col min="7" max="7" width="8.140625" style="259" hidden="1" customWidth="1"/>
    <col min="8" max="8" width="3" style="259" customWidth="1"/>
    <col min="9" max="10" width="10.28515625" customWidth="1"/>
    <col min="11" max="256" width="11.42578125" customWidth="1"/>
  </cols>
  <sheetData>
    <row r="1" spans="1:16" x14ac:dyDescent="0.2">
      <c r="A1" s="342"/>
      <c r="B1" s="342"/>
      <c r="C1" s="34"/>
      <c r="D1" s="34"/>
      <c r="E1" s="34"/>
      <c r="F1" s="34"/>
      <c r="G1" s="34"/>
      <c r="H1" s="34"/>
      <c r="I1" s="144"/>
      <c r="J1" s="144"/>
      <c r="K1" s="34"/>
      <c r="L1" s="34"/>
      <c r="M1" s="34"/>
      <c r="N1" s="34"/>
      <c r="O1" s="34"/>
      <c r="P1" s="296"/>
    </row>
    <row r="2" spans="1:16" ht="15" customHeight="1" x14ac:dyDescent="0.2">
      <c r="A2" s="341" t="s">
        <v>206</v>
      </c>
      <c r="B2" s="341"/>
      <c r="C2" s="341"/>
      <c r="D2" s="300"/>
      <c r="E2" s="300"/>
      <c r="F2" s="300"/>
      <c r="G2" s="300"/>
      <c r="H2" s="300"/>
      <c r="I2" s="263"/>
      <c r="J2" s="263"/>
      <c r="K2" s="296"/>
      <c r="L2" s="296"/>
      <c r="M2" s="296"/>
      <c r="N2" s="296"/>
      <c r="O2" s="296"/>
      <c r="P2" s="35"/>
    </row>
    <row r="3" spans="1:16" ht="21" x14ac:dyDescent="0.2">
      <c r="A3" s="300"/>
      <c r="B3" s="341">
        <v>2015</v>
      </c>
      <c r="C3" s="341"/>
      <c r="D3" s="341">
        <v>2014</v>
      </c>
      <c r="E3" s="341"/>
      <c r="F3" s="341">
        <v>2013</v>
      </c>
      <c r="G3" s="341"/>
      <c r="H3" s="300"/>
      <c r="I3" s="300" t="s">
        <v>207</v>
      </c>
      <c r="J3" s="300" t="s">
        <v>208</v>
      </c>
      <c r="K3" s="296"/>
      <c r="L3" s="296"/>
      <c r="M3" s="296"/>
      <c r="N3" s="296"/>
      <c r="O3" s="296"/>
      <c r="P3" s="35"/>
    </row>
    <row r="4" spans="1:16" x14ac:dyDescent="0.2">
      <c r="A4" s="264"/>
      <c r="B4" s="265" t="s">
        <v>151</v>
      </c>
      <c r="C4" s="266" t="s">
        <v>152</v>
      </c>
      <c r="D4" s="265" t="s">
        <v>151</v>
      </c>
      <c r="E4" s="266" t="s">
        <v>152</v>
      </c>
      <c r="F4" s="265" t="s">
        <v>151</v>
      </c>
      <c r="G4" s="266" t="s">
        <v>152</v>
      </c>
      <c r="H4" s="266"/>
      <c r="I4" s="268"/>
      <c r="J4" s="268"/>
      <c r="K4" s="38"/>
      <c r="L4" s="38"/>
      <c r="M4" s="38"/>
      <c r="N4" s="38"/>
      <c r="O4" s="38"/>
      <c r="P4" s="35"/>
    </row>
    <row r="5" spans="1:16" x14ac:dyDescent="0.2">
      <c r="A5" s="264" t="s">
        <v>209</v>
      </c>
      <c r="B5" s="269">
        <f>SUM(B6:B8)</f>
        <v>154.80995867999999</v>
      </c>
      <c r="C5" s="270">
        <f>B5/B50</f>
        <v>0.31050685722636984</v>
      </c>
      <c r="D5" s="269">
        <f>SUM(D6:D8)</f>
        <v>147.32748608</v>
      </c>
      <c r="E5" s="270">
        <f>D5/D50</f>
        <v>0.23728330764569872</v>
      </c>
      <c r="F5" s="269">
        <f>SUM(F6:F8)</f>
        <v>112.56353006999998</v>
      </c>
      <c r="G5" s="270">
        <f>F5/F50</f>
        <v>0.23639013029074729</v>
      </c>
      <c r="H5" s="270"/>
      <c r="I5" s="267">
        <f>(D5-F5)/F5</f>
        <v>0.30883853756524271</v>
      </c>
      <c r="J5" s="267">
        <f>(B5-F5)/F5</f>
        <v>0.37531186685179635</v>
      </c>
      <c r="K5" s="38"/>
      <c r="L5" s="38"/>
      <c r="M5" s="38"/>
      <c r="N5" s="38"/>
      <c r="O5" s="38"/>
      <c r="P5" s="35"/>
    </row>
    <row r="6" spans="1:16" ht="21" x14ac:dyDescent="0.2">
      <c r="A6" s="272" t="s">
        <v>210</v>
      </c>
      <c r="B6" s="273">
        <v>91.950120510000005</v>
      </c>
      <c r="C6" s="270" t="s">
        <v>65</v>
      </c>
      <c r="D6" s="273">
        <v>89.30231947</v>
      </c>
      <c r="E6" s="270" t="s">
        <v>65</v>
      </c>
      <c r="F6" s="273">
        <v>71.682838359999991</v>
      </c>
      <c r="G6" s="270" t="s">
        <v>65</v>
      </c>
      <c r="H6" s="270"/>
      <c r="I6" s="270">
        <f t="shared" ref="I6:I50" si="0">(D6-F6)/F6</f>
        <v>0.24579776014884927</v>
      </c>
      <c r="J6" s="270">
        <f t="shared" ref="J6:J50" si="1">(B6-F6)/F6</f>
        <v>0.28273548611754518</v>
      </c>
      <c r="K6" s="38"/>
      <c r="L6" s="38"/>
      <c r="M6" s="38"/>
      <c r="N6" s="38"/>
      <c r="O6" s="38"/>
      <c r="P6" s="35"/>
    </row>
    <row r="7" spans="1:16" x14ac:dyDescent="0.2">
      <c r="A7" s="274" t="s">
        <v>175</v>
      </c>
      <c r="B7" s="273">
        <v>55.912554239999999</v>
      </c>
      <c r="C7" s="270" t="s">
        <v>65</v>
      </c>
      <c r="D7" s="273">
        <v>56.795790519999997</v>
      </c>
      <c r="E7" s="270" t="s">
        <v>65</v>
      </c>
      <c r="F7" s="273">
        <v>37.077631340000003</v>
      </c>
      <c r="G7" s="270" t="s">
        <v>65</v>
      </c>
      <c r="H7" s="270"/>
      <c r="I7" s="270">
        <f t="shared" si="0"/>
        <v>0.53180741237716811</v>
      </c>
      <c r="J7" s="270">
        <f t="shared" si="1"/>
        <v>0.5079861420295354</v>
      </c>
      <c r="K7" s="38"/>
      <c r="L7" s="38"/>
      <c r="M7" s="38"/>
      <c r="N7" s="38"/>
      <c r="O7" s="38"/>
      <c r="P7" s="35"/>
    </row>
    <row r="8" spans="1:16" x14ac:dyDescent="0.2">
      <c r="A8" s="275" t="s">
        <v>176</v>
      </c>
      <c r="B8" s="273">
        <v>6.9472839300000002</v>
      </c>
      <c r="C8" s="270" t="s">
        <v>65</v>
      </c>
      <c r="D8" s="273">
        <v>1.2293760899999999</v>
      </c>
      <c r="E8" s="270" t="s">
        <v>65</v>
      </c>
      <c r="F8" s="273">
        <v>3.8030603699999999</v>
      </c>
      <c r="G8" s="270" t="s">
        <v>65</v>
      </c>
      <c r="H8" s="270"/>
      <c r="I8" s="270">
        <f t="shared" si="0"/>
        <v>-0.67674031690430414</v>
      </c>
      <c r="J8" s="270">
        <f t="shared" si="1"/>
        <v>0.82676141162597439</v>
      </c>
      <c r="K8" s="38"/>
      <c r="L8" s="38"/>
      <c r="M8" s="38"/>
      <c r="N8" s="38"/>
      <c r="O8" s="38"/>
      <c r="P8" s="35"/>
    </row>
    <row r="9" spans="1:16" x14ac:dyDescent="0.2">
      <c r="A9" s="264" t="s">
        <v>211</v>
      </c>
      <c r="B9" s="269">
        <f>SUM(B10:B13)</f>
        <v>90.925300880000009</v>
      </c>
      <c r="C9" s="270">
        <f>B9/B50</f>
        <v>0.18237153255088565</v>
      </c>
      <c r="D9" s="269">
        <f>SUM(D10:D13)</f>
        <v>79.008233850000011</v>
      </c>
      <c r="E9" s="270">
        <f>D9/D50</f>
        <v>0.12724940578292979</v>
      </c>
      <c r="F9" s="269">
        <f>SUM(F10:F13)</f>
        <v>75.570691929999995</v>
      </c>
      <c r="G9" s="270">
        <f>F9/F50</f>
        <v>0.15870296267703596</v>
      </c>
      <c r="H9" s="270"/>
      <c r="I9" s="267">
        <f t="shared" si="0"/>
        <v>4.5487765590186191E-2</v>
      </c>
      <c r="J9" s="267">
        <f t="shared" si="1"/>
        <v>0.20318206116496537</v>
      </c>
      <c r="K9" s="38"/>
      <c r="L9" s="38"/>
      <c r="M9" s="38"/>
      <c r="N9" s="38"/>
      <c r="O9" s="38"/>
      <c r="P9" s="35"/>
    </row>
    <row r="10" spans="1:16" x14ac:dyDescent="0.2">
      <c r="A10" s="276" t="s">
        <v>179</v>
      </c>
      <c r="B10" s="273">
        <v>20.880984880000003</v>
      </c>
      <c r="C10" s="270" t="s">
        <v>65</v>
      </c>
      <c r="D10" s="273">
        <v>10.421425189999999</v>
      </c>
      <c r="E10" s="270" t="s">
        <v>65</v>
      </c>
      <c r="F10" s="273">
        <v>7.5872099200000003</v>
      </c>
      <c r="G10" s="270" t="s">
        <v>65</v>
      </c>
      <c r="H10" s="270"/>
      <c r="I10" s="270">
        <f t="shared" si="0"/>
        <v>0.37355171398763654</v>
      </c>
      <c r="J10" s="270">
        <f t="shared" si="1"/>
        <v>1.7521295838879338</v>
      </c>
      <c r="K10" s="38"/>
      <c r="L10" s="38"/>
      <c r="M10" s="38"/>
      <c r="N10" s="38"/>
      <c r="O10" s="38"/>
      <c r="P10" s="35"/>
    </row>
    <row r="11" spans="1:16" x14ac:dyDescent="0.2">
      <c r="A11" s="274" t="s">
        <v>212</v>
      </c>
      <c r="B11" s="273">
        <v>14.032930910000001</v>
      </c>
      <c r="C11" s="270" t="s">
        <v>65</v>
      </c>
      <c r="D11" s="273">
        <v>6.29273974</v>
      </c>
      <c r="E11" s="270" t="s">
        <v>65</v>
      </c>
      <c r="F11" s="273">
        <v>9.4685271499999981</v>
      </c>
      <c r="G11" s="270" t="s">
        <v>65</v>
      </c>
      <c r="H11" s="270"/>
      <c r="I11" s="270">
        <f t="shared" si="0"/>
        <v>-0.33540458401706108</v>
      </c>
      <c r="J11" s="270">
        <f t="shared" si="1"/>
        <v>0.48206058742726465</v>
      </c>
      <c r="K11" s="38"/>
      <c r="L11" s="38"/>
      <c r="M11" s="38"/>
      <c r="N11" s="38"/>
      <c r="O11" s="38"/>
      <c r="P11" s="35"/>
    </row>
    <row r="12" spans="1:16" x14ac:dyDescent="0.2">
      <c r="A12" s="274" t="s">
        <v>213</v>
      </c>
      <c r="B12" s="273">
        <v>3.7978730700000005</v>
      </c>
      <c r="C12" s="270" t="s">
        <v>65</v>
      </c>
      <c r="D12" s="273">
        <v>15.56131669</v>
      </c>
      <c r="E12" s="270" t="s">
        <v>65</v>
      </c>
      <c r="F12" s="273">
        <v>15.46641149</v>
      </c>
      <c r="G12" s="270" t="s">
        <v>65</v>
      </c>
      <c r="H12" s="270"/>
      <c r="I12" s="270">
        <f t="shared" si="0"/>
        <v>6.1362133072278332E-3</v>
      </c>
      <c r="J12" s="270">
        <f t="shared" si="1"/>
        <v>-0.75444381054677345</v>
      </c>
      <c r="K12" s="38"/>
      <c r="L12" s="38"/>
      <c r="M12" s="38"/>
      <c r="N12" s="38"/>
      <c r="O12" s="38"/>
      <c r="P12" s="35"/>
    </row>
    <row r="13" spans="1:16" x14ac:dyDescent="0.2">
      <c r="A13" s="275" t="s">
        <v>181</v>
      </c>
      <c r="B13" s="273">
        <v>52.21351202000001</v>
      </c>
      <c r="C13" s="270" t="s">
        <v>65</v>
      </c>
      <c r="D13" s="273">
        <v>46.732752230000003</v>
      </c>
      <c r="E13" s="270" t="s">
        <v>65</v>
      </c>
      <c r="F13" s="273">
        <v>43.048543369999997</v>
      </c>
      <c r="G13" s="270" t="s">
        <v>65</v>
      </c>
      <c r="H13" s="270"/>
      <c r="I13" s="270">
        <f t="shared" si="0"/>
        <v>8.5582660215339251E-2</v>
      </c>
      <c r="J13" s="270">
        <f t="shared" si="1"/>
        <v>0.21289846142359761</v>
      </c>
      <c r="K13" s="38"/>
      <c r="L13" s="38"/>
      <c r="M13" s="38"/>
      <c r="N13" s="38"/>
      <c r="O13" s="38"/>
      <c r="P13" s="59"/>
    </row>
    <row r="14" spans="1:16" x14ac:dyDescent="0.2">
      <c r="A14" s="264" t="s">
        <v>214</v>
      </c>
      <c r="B14" s="268">
        <f>SUM(B15:B17)</f>
        <v>26.522388320000001</v>
      </c>
      <c r="C14" s="270">
        <f>B14/B50</f>
        <v>5.3196729161355392E-2</v>
      </c>
      <c r="D14" s="268">
        <f>SUM(D15:D17)</f>
        <v>25.51059618</v>
      </c>
      <c r="E14" s="270">
        <f>D14/D50</f>
        <v>4.1086960774700039E-2</v>
      </c>
      <c r="F14" s="268">
        <f>SUM(F15:F17)</f>
        <v>18.273326389999998</v>
      </c>
      <c r="G14" s="270">
        <f>F14/F50</f>
        <v>3.8375075865968271E-2</v>
      </c>
      <c r="H14" s="270"/>
      <c r="I14" s="267">
        <f t="shared" si="0"/>
        <v>0.39605650528743191</v>
      </c>
      <c r="J14" s="267">
        <f t="shared" si="1"/>
        <v>0.45142639900058201</v>
      </c>
      <c r="K14" s="38"/>
      <c r="L14" s="38"/>
      <c r="M14" s="38"/>
      <c r="N14" s="38"/>
      <c r="O14" s="38"/>
      <c r="P14" s="35"/>
    </row>
    <row r="15" spans="1:16" x14ac:dyDescent="0.2">
      <c r="A15" s="272" t="s">
        <v>215</v>
      </c>
      <c r="B15" s="273">
        <v>20.179361080000003</v>
      </c>
      <c r="C15" s="270" t="s">
        <v>65</v>
      </c>
      <c r="D15" s="273">
        <v>21.87409328</v>
      </c>
      <c r="E15" s="270" t="s">
        <v>65</v>
      </c>
      <c r="F15" s="273">
        <v>15.715955409999999</v>
      </c>
      <c r="G15" s="270" t="s">
        <v>65</v>
      </c>
      <c r="H15" s="270"/>
      <c r="I15" s="270">
        <f t="shared" si="0"/>
        <v>0.39183986651435793</v>
      </c>
      <c r="J15" s="270">
        <f t="shared" si="1"/>
        <v>0.28400472981489605</v>
      </c>
      <c r="K15" s="38"/>
      <c r="L15" s="38"/>
      <c r="M15" s="38"/>
      <c r="N15" s="38"/>
      <c r="O15" s="38"/>
      <c r="P15" s="35"/>
    </row>
    <row r="16" spans="1:16" x14ac:dyDescent="0.2">
      <c r="A16" s="276" t="s">
        <v>183</v>
      </c>
      <c r="B16" s="273">
        <v>6.0465932599999999</v>
      </c>
      <c r="C16" s="270" t="s">
        <v>65</v>
      </c>
      <c r="D16" s="273">
        <v>3.3651010800000001</v>
      </c>
      <c r="E16" s="270" t="s">
        <v>65</v>
      </c>
      <c r="F16" s="273">
        <v>1.9091946299999998</v>
      </c>
      <c r="G16" s="270" t="s">
        <v>65</v>
      </c>
      <c r="H16" s="270"/>
      <c r="I16" s="270">
        <f t="shared" si="0"/>
        <v>0.76257623351894743</v>
      </c>
      <c r="J16" s="270">
        <f t="shared" si="1"/>
        <v>2.1670910681327449</v>
      </c>
      <c r="K16" s="38"/>
      <c r="L16" s="38"/>
      <c r="M16" s="38"/>
      <c r="N16" s="38"/>
      <c r="O16" s="38"/>
      <c r="P16" s="35"/>
    </row>
    <row r="17" spans="1:16" x14ac:dyDescent="0.2">
      <c r="A17" s="274" t="s">
        <v>184</v>
      </c>
      <c r="B17" s="273">
        <v>0.29643397999999999</v>
      </c>
      <c r="C17" s="270" t="s">
        <v>65</v>
      </c>
      <c r="D17" s="273">
        <v>0.27140182000000002</v>
      </c>
      <c r="E17" s="270" t="s">
        <v>65</v>
      </c>
      <c r="F17" s="273">
        <v>0.64817635000000007</v>
      </c>
      <c r="G17" s="270" t="s">
        <v>65</v>
      </c>
      <c r="H17" s="270"/>
      <c r="I17" s="270">
        <f t="shared" si="0"/>
        <v>-0.5812839823606647</v>
      </c>
      <c r="J17" s="270">
        <f t="shared" si="1"/>
        <v>-0.54266461588732762</v>
      </c>
      <c r="K17" s="38"/>
      <c r="L17" s="38"/>
      <c r="M17" s="38"/>
      <c r="N17" s="38"/>
      <c r="O17" s="38"/>
      <c r="P17" s="35"/>
    </row>
    <row r="18" spans="1:16" x14ac:dyDescent="0.2">
      <c r="A18" s="264" t="s">
        <v>216</v>
      </c>
      <c r="B18" s="268">
        <f>SUM(B19:B22)</f>
        <v>9.5150072899999998</v>
      </c>
      <c r="C18" s="270">
        <f>B18/B50</f>
        <v>1.9084528122709127E-2</v>
      </c>
      <c r="D18" s="268">
        <f>SUM(D19:D22)</f>
        <v>9.009119870000001</v>
      </c>
      <c r="E18" s="270">
        <f>D18/D50</f>
        <v>1.4509945283186273E-2</v>
      </c>
      <c r="F18" s="268">
        <f>SUM(F19:F22)</f>
        <v>8.385659930000001</v>
      </c>
      <c r="G18" s="270">
        <f>F18/F50</f>
        <v>1.7610386260930803E-2</v>
      </c>
      <c r="H18" s="270"/>
      <c r="I18" s="267">
        <f t="shared" si="0"/>
        <v>7.4348345294751289E-2</v>
      </c>
      <c r="J18" s="267">
        <f t="shared" si="1"/>
        <v>0.13467602662489542</v>
      </c>
      <c r="K18" s="38"/>
      <c r="L18" s="38"/>
      <c r="M18" s="38"/>
      <c r="N18" s="38"/>
      <c r="O18" s="38"/>
      <c r="P18" s="35"/>
    </row>
    <row r="19" spans="1:16" x14ac:dyDescent="0.2">
      <c r="A19" s="276" t="s">
        <v>217</v>
      </c>
      <c r="B19" s="273">
        <v>8.6907495299999997</v>
      </c>
      <c r="C19" s="270" t="s">
        <v>65</v>
      </c>
      <c r="D19" s="273">
        <v>8.2859736900000005</v>
      </c>
      <c r="E19" s="270" t="s">
        <v>65</v>
      </c>
      <c r="F19" s="273">
        <v>7.7050642600000003</v>
      </c>
      <c r="G19" s="270" t="s">
        <v>65</v>
      </c>
      <c r="H19" s="270"/>
      <c r="I19" s="270">
        <f t="shared" si="0"/>
        <v>7.5393197304755522E-2</v>
      </c>
      <c r="J19" s="270">
        <f t="shared" si="1"/>
        <v>0.12792693697794019</v>
      </c>
      <c r="K19" s="38"/>
      <c r="L19" s="38"/>
      <c r="M19" s="38"/>
      <c r="N19" s="38"/>
      <c r="O19" s="38"/>
      <c r="P19" s="35"/>
    </row>
    <row r="20" spans="1:16" x14ac:dyDescent="0.2">
      <c r="A20" s="274" t="s">
        <v>186</v>
      </c>
      <c r="B20" s="273">
        <v>7.4680300000000005E-2</v>
      </c>
      <c r="C20" s="270" t="s">
        <v>65</v>
      </c>
      <c r="D20" s="273">
        <v>7.6356190000000004E-2</v>
      </c>
      <c r="E20" s="270" t="s">
        <v>65</v>
      </c>
      <c r="F20" s="273">
        <v>9.0694429999999993E-2</v>
      </c>
      <c r="G20" s="270" t="s">
        <v>65</v>
      </c>
      <c r="H20" s="270"/>
      <c r="I20" s="270">
        <f t="shared" si="0"/>
        <v>-0.15809394248356806</v>
      </c>
      <c r="J20" s="270">
        <f t="shared" si="1"/>
        <v>-0.17657236502837043</v>
      </c>
      <c r="K20" s="38"/>
      <c r="L20" s="38"/>
      <c r="M20" s="38"/>
      <c r="N20" s="38"/>
      <c r="O20" s="38"/>
      <c r="P20" s="35"/>
    </row>
    <row r="21" spans="1:16" x14ac:dyDescent="0.2">
      <c r="A21" s="274" t="s">
        <v>187</v>
      </c>
      <c r="B21" s="273">
        <v>7.330565E-2</v>
      </c>
      <c r="C21" s="270" t="s">
        <v>65</v>
      </c>
      <c r="D21" s="273">
        <v>9.2774919999999997E-2</v>
      </c>
      <c r="E21" s="270" t="s">
        <v>65</v>
      </c>
      <c r="F21" s="273">
        <v>0.2028741</v>
      </c>
      <c r="G21" s="270" t="s">
        <v>65</v>
      </c>
      <c r="H21" s="270"/>
      <c r="I21" s="270">
        <f t="shared" si="0"/>
        <v>-0.54269707173069404</v>
      </c>
      <c r="J21" s="270">
        <f t="shared" si="1"/>
        <v>-0.63866432432725517</v>
      </c>
      <c r="K21" s="38"/>
      <c r="L21" s="38"/>
      <c r="M21" s="38"/>
      <c r="N21" s="38"/>
      <c r="O21" s="38"/>
      <c r="P21" s="35"/>
    </row>
    <row r="22" spans="1:16" x14ac:dyDescent="0.2">
      <c r="A22" s="274" t="s">
        <v>188</v>
      </c>
      <c r="B22" s="273">
        <v>0.67627180999999992</v>
      </c>
      <c r="C22" s="270" t="s">
        <v>65</v>
      </c>
      <c r="D22" s="273">
        <v>0.55401507000000005</v>
      </c>
      <c r="E22" s="270" t="s">
        <v>65</v>
      </c>
      <c r="F22" s="273">
        <v>0.38702713999999999</v>
      </c>
      <c r="G22" s="270" t="s">
        <v>65</v>
      </c>
      <c r="H22" s="270"/>
      <c r="I22" s="270">
        <f t="shared" si="0"/>
        <v>0.43146310101146929</v>
      </c>
      <c r="J22" s="270">
        <f t="shared" si="1"/>
        <v>0.74734983701659763</v>
      </c>
      <c r="K22" s="38"/>
      <c r="L22" s="38"/>
      <c r="M22" s="38"/>
      <c r="N22" s="38"/>
      <c r="O22" s="38"/>
      <c r="P22" s="35"/>
    </row>
    <row r="23" spans="1:16" x14ac:dyDescent="0.2">
      <c r="A23" s="277" t="s">
        <v>168</v>
      </c>
      <c r="B23" s="268">
        <v>1.21758992</v>
      </c>
      <c r="C23" s="270">
        <f>B23/B50</f>
        <v>2.442155677020733E-3</v>
      </c>
      <c r="D23" s="268">
        <v>1.0883638999999998</v>
      </c>
      <c r="E23" s="270">
        <f>D23/D50</f>
        <v>1.7529016002753232E-3</v>
      </c>
      <c r="F23" s="268">
        <v>1.1183156500000002</v>
      </c>
      <c r="G23" s="270">
        <f>F23/F50</f>
        <v>2.3485295996428395E-3</v>
      </c>
      <c r="H23" s="270"/>
      <c r="I23" s="267">
        <f t="shared" si="0"/>
        <v>-2.6782912319970112E-2</v>
      </c>
      <c r="J23" s="267">
        <f t="shared" si="1"/>
        <v>8.8771242716669266E-2</v>
      </c>
      <c r="K23" s="38"/>
      <c r="L23" s="38"/>
      <c r="M23" s="38"/>
      <c r="N23" s="38"/>
      <c r="O23" s="38"/>
      <c r="P23" s="35"/>
    </row>
    <row r="24" spans="1:16" x14ac:dyDescent="0.2">
      <c r="A24" s="264" t="s">
        <v>218</v>
      </c>
      <c r="B24" s="268">
        <v>16.742976049999999</v>
      </c>
      <c r="C24" s="270">
        <f>B24/B50</f>
        <v>3.3581876245106945E-2</v>
      </c>
      <c r="D24" s="268">
        <v>14.315052549999999</v>
      </c>
      <c r="E24" s="270">
        <f>D24/D50</f>
        <v>2.3055596131882315E-2</v>
      </c>
      <c r="F24" s="268">
        <v>13.654313</v>
      </c>
      <c r="G24" s="270">
        <f>F24/F50</f>
        <v>2.8674872110828468E-2</v>
      </c>
      <c r="H24" s="270"/>
      <c r="I24" s="267">
        <f t="shared" si="0"/>
        <v>4.8390537846905869E-2</v>
      </c>
      <c r="J24" s="267">
        <f t="shared" si="1"/>
        <v>0.22620420741783195</v>
      </c>
      <c r="K24" s="38"/>
      <c r="L24" s="38"/>
      <c r="M24" s="38"/>
      <c r="N24" s="38"/>
      <c r="O24" s="38"/>
      <c r="P24" s="33"/>
    </row>
    <row r="25" spans="1:16" x14ac:dyDescent="0.2">
      <c r="A25" s="278" t="s">
        <v>146</v>
      </c>
      <c r="B25" s="268">
        <f>B24+B23+B18+B14+B9+B5</f>
        <v>299.73322113999996</v>
      </c>
      <c r="C25" s="270">
        <f>B25/B50</f>
        <v>0.6011836789834476</v>
      </c>
      <c r="D25" s="268">
        <f>D24+D23+D18+D14+D9+D5</f>
        <v>276.25885243000005</v>
      </c>
      <c r="E25" s="270">
        <f>E24+E23+E18+E14+E9+E5</f>
        <v>0.44493811721867249</v>
      </c>
      <c r="F25" s="268">
        <f>F24+F23+F18+F14+F9+F5</f>
        <v>229.56583696999996</v>
      </c>
      <c r="G25" s="270">
        <f>F25/F50</f>
        <v>0.48210195680515361</v>
      </c>
      <c r="H25" s="270"/>
      <c r="I25" s="267">
        <f t="shared" si="0"/>
        <v>0.20339705627062446</v>
      </c>
      <c r="J25" s="267">
        <f t="shared" si="1"/>
        <v>0.30565255308075118</v>
      </c>
      <c r="K25" s="38"/>
      <c r="L25" s="38"/>
      <c r="M25" s="38"/>
      <c r="N25" s="38"/>
      <c r="O25" s="38"/>
      <c r="P25" s="33"/>
    </row>
    <row r="26" spans="1:16" x14ac:dyDescent="0.2">
      <c r="A26" s="343"/>
      <c r="B26" s="344"/>
      <c r="C26" s="344"/>
      <c r="D26" s="301"/>
      <c r="E26" s="301"/>
      <c r="F26" s="301"/>
      <c r="G26" s="301"/>
      <c r="H26" s="301"/>
      <c r="I26" s="267"/>
      <c r="J26" s="260" t="s">
        <v>65</v>
      </c>
      <c r="K26" s="301"/>
      <c r="L26" s="301"/>
      <c r="M26" s="301"/>
      <c r="N26" s="301"/>
      <c r="O26" s="301"/>
      <c r="P26" s="33"/>
    </row>
    <row r="27" spans="1:16" x14ac:dyDescent="0.2">
      <c r="A27" s="46"/>
      <c r="B27" s="47"/>
      <c r="C27" s="35"/>
      <c r="D27" s="35"/>
      <c r="E27" s="35"/>
      <c r="F27" s="35"/>
      <c r="G27" s="35"/>
      <c r="H27" s="35"/>
      <c r="I27" s="267"/>
      <c r="J27" s="260" t="s">
        <v>65</v>
      </c>
      <c r="K27" s="35"/>
      <c r="L27" s="35"/>
      <c r="M27" s="35"/>
      <c r="N27" s="35"/>
      <c r="O27" s="35"/>
      <c r="P27" s="35"/>
    </row>
    <row r="28" spans="1:16" ht="15" customHeight="1" x14ac:dyDescent="0.2">
      <c r="A28" s="341" t="s">
        <v>219</v>
      </c>
      <c r="B28" s="341"/>
      <c r="C28" s="341"/>
      <c r="D28" s="300"/>
      <c r="E28" s="300"/>
      <c r="F28" s="300"/>
      <c r="G28" s="300"/>
      <c r="H28" s="300"/>
      <c r="I28" s="267" t="s">
        <v>65</v>
      </c>
      <c r="J28" s="270" t="s">
        <v>65</v>
      </c>
      <c r="K28" s="296"/>
      <c r="L28" s="296"/>
      <c r="M28" s="296"/>
      <c r="N28" s="296"/>
      <c r="O28" s="296"/>
      <c r="P28" s="35"/>
    </row>
    <row r="29" spans="1:16" x14ac:dyDescent="0.2">
      <c r="A29" s="279"/>
      <c r="B29" s="280" t="s">
        <v>151</v>
      </c>
      <c r="C29" s="281" t="s">
        <v>152</v>
      </c>
      <c r="D29" s="280" t="s">
        <v>151</v>
      </c>
      <c r="E29" s="281" t="s">
        <v>152</v>
      </c>
      <c r="F29" s="280" t="s">
        <v>151</v>
      </c>
      <c r="G29" s="281" t="s">
        <v>152</v>
      </c>
      <c r="H29" s="281"/>
      <c r="I29" s="267" t="s">
        <v>65</v>
      </c>
      <c r="J29" s="270" t="s">
        <v>65</v>
      </c>
      <c r="K29" s="49"/>
      <c r="L29" s="49"/>
      <c r="M29" s="49"/>
      <c r="N29" s="49"/>
      <c r="O29" s="49"/>
      <c r="P29" s="35"/>
    </row>
    <row r="30" spans="1:16" x14ac:dyDescent="0.2">
      <c r="A30" s="264" t="s">
        <v>220</v>
      </c>
      <c r="B30" s="282">
        <f>SUM(B31:B35)</f>
        <v>31.515468210000005</v>
      </c>
      <c r="C30" s="270">
        <f>B30/B50</f>
        <v>6.3211495380167029E-2</v>
      </c>
      <c r="D30" s="282">
        <f>SUM(D31:D35)</f>
        <v>154.32868246999999</v>
      </c>
      <c r="E30" s="270">
        <f>D30/D50</f>
        <v>0.24855932328336622</v>
      </c>
      <c r="F30" s="282">
        <f>SUM(F31:F35)</f>
        <v>70.309389280000005</v>
      </c>
      <c r="G30" s="283">
        <f>F30/F50</f>
        <v>0.14765391314776907</v>
      </c>
      <c r="H30" s="283"/>
      <c r="I30" s="267">
        <f t="shared" si="0"/>
        <v>1.1949939268481153</v>
      </c>
      <c r="J30" s="267">
        <f t="shared" si="1"/>
        <v>-0.55176017694460611</v>
      </c>
      <c r="K30" s="50"/>
      <c r="L30" s="50"/>
      <c r="M30" s="50"/>
      <c r="N30" s="50"/>
      <c r="O30" s="50"/>
      <c r="P30" s="35"/>
    </row>
    <row r="31" spans="1:16" x14ac:dyDescent="0.2">
      <c r="A31" s="276" t="s">
        <v>221</v>
      </c>
      <c r="B31" s="284">
        <v>7.2666076799999999</v>
      </c>
      <c r="C31" s="285"/>
      <c r="D31" s="284">
        <v>137.95422431</v>
      </c>
      <c r="E31" s="285"/>
      <c r="F31" s="284">
        <v>55.626654660000007</v>
      </c>
      <c r="G31" s="283" t="s">
        <v>65</v>
      </c>
      <c r="H31" s="283"/>
      <c r="I31" s="270">
        <f t="shared" si="0"/>
        <v>1.480002170779471</v>
      </c>
      <c r="J31" s="270">
        <f t="shared" si="1"/>
        <v>-0.86936824217787678</v>
      </c>
      <c r="K31" s="50"/>
      <c r="L31" s="50"/>
      <c r="M31" s="50"/>
      <c r="N31" s="50"/>
      <c r="O31" s="50"/>
      <c r="P31" s="35"/>
    </row>
    <row r="32" spans="1:16" x14ac:dyDescent="0.2">
      <c r="A32" s="276" t="s">
        <v>222</v>
      </c>
      <c r="B32" s="284">
        <v>13.998477540000001</v>
      </c>
      <c r="C32" s="285"/>
      <c r="D32" s="284">
        <v>14.836251989999999</v>
      </c>
      <c r="E32" s="285"/>
      <c r="F32" s="284">
        <v>9.200121799999998</v>
      </c>
      <c r="G32" s="283" t="s">
        <v>65</v>
      </c>
      <c r="H32" s="283"/>
      <c r="I32" s="270">
        <f t="shared" si="0"/>
        <v>0.61261473625273122</v>
      </c>
      <c r="J32" s="270">
        <f t="shared" si="1"/>
        <v>0.52155350160690317</v>
      </c>
      <c r="K32" s="50"/>
      <c r="L32" s="50"/>
      <c r="M32" s="50"/>
      <c r="N32" s="50"/>
      <c r="O32" s="50"/>
      <c r="P32" s="35"/>
    </row>
    <row r="33" spans="1:16" x14ac:dyDescent="0.2">
      <c r="A33" s="276" t="s">
        <v>223</v>
      </c>
      <c r="B33" s="284">
        <v>1.15E-2</v>
      </c>
      <c r="C33" s="285"/>
      <c r="D33" s="284">
        <v>2.64E-2</v>
      </c>
      <c r="E33" s="285"/>
      <c r="F33" s="284">
        <v>1.7182850000000001</v>
      </c>
      <c r="G33" s="283" t="s">
        <v>65</v>
      </c>
      <c r="H33" s="283"/>
      <c r="I33" s="270">
        <f t="shared" si="0"/>
        <v>-0.98463584329724119</v>
      </c>
      <c r="J33" s="270">
        <f t="shared" si="1"/>
        <v>-0.99330728022417702</v>
      </c>
      <c r="K33" s="50"/>
      <c r="L33" s="50"/>
      <c r="M33" s="50"/>
      <c r="N33" s="50"/>
      <c r="O33" s="50"/>
      <c r="P33" s="35"/>
    </row>
    <row r="34" spans="1:16" x14ac:dyDescent="0.2">
      <c r="A34" s="274" t="s">
        <v>193</v>
      </c>
      <c r="B34" s="284">
        <v>8.8064419600000008</v>
      </c>
      <c r="C34" s="286"/>
      <c r="D34" s="284">
        <v>8.9666059999999992E-2</v>
      </c>
      <c r="E34" s="286"/>
      <c r="F34" s="284">
        <v>0.87686412999999996</v>
      </c>
      <c r="G34" s="283" t="s">
        <v>65</v>
      </c>
      <c r="H34" s="283"/>
      <c r="I34" s="270">
        <f t="shared" si="0"/>
        <v>-0.89774235604779495</v>
      </c>
      <c r="J34" s="270">
        <f t="shared" si="1"/>
        <v>9.0431089135782088</v>
      </c>
      <c r="K34" s="50"/>
      <c r="L34" s="50"/>
      <c r="M34" s="50"/>
      <c r="N34" s="50"/>
      <c r="O34" s="50"/>
      <c r="P34" s="35"/>
    </row>
    <row r="35" spans="1:16" x14ac:dyDescent="0.2">
      <c r="A35" s="274" t="s">
        <v>224</v>
      </c>
      <c r="B35" s="284">
        <v>1.4324410300000001</v>
      </c>
      <c r="C35" s="286"/>
      <c r="D35" s="284">
        <v>1.4221401100000002</v>
      </c>
      <c r="E35" s="286"/>
      <c r="F35" s="284">
        <v>2.8874636900000001</v>
      </c>
      <c r="G35" s="283" t="s">
        <v>65</v>
      </c>
      <c r="H35" s="283"/>
      <c r="I35" s="270">
        <f t="shared" si="0"/>
        <v>-0.5074777511747689</v>
      </c>
      <c r="J35" s="270">
        <f t="shared" si="1"/>
        <v>-0.50391028813248906</v>
      </c>
      <c r="K35" s="50"/>
      <c r="L35" s="50"/>
      <c r="M35" s="50"/>
      <c r="N35" s="50"/>
      <c r="O35" s="50"/>
      <c r="P35" s="35"/>
    </row>
    <row r="36" spans="1:16" x14ac:dyDescent="0.2">
      <c r="A36" s="264" t="s">
        <v>170</v>
      </c>
      <c r="B36" s="282">
        <f>SUM(B37:B40)</f>
        <v>53.805427379999998</v>
      </c>
      <c r="C36" s="270">
        <f>B36/B50</f>
        <v>0.10791911773595643</v>
      </c>
      <c r="D36" s="282">
        <f>SUM(D37:D40)</f>
        <v>60.162101099999994</v>
      </c>
      <c r="E36" s="270">
        <f>D36/D50</f>
        <v>9.68961238921245E-2</v>
      </c>
      <c r="F36" s="282">
        <f>SUM(F37:F40)</f>
        <v>56.330950460000011</v>
      </c>
      <c r="G36" s="283">
        <f>F36/F50</f>
        <v>0.11829835747297682</v>
      </c>
      <c r="H36" s="283"/>
      <c r="I36" s="267">
        <f t="shared" si="0"/>
        <v>6.8011468095508898E-2</v>
      </c>
      <c r="J36" s="270">
        <f t="shared" si="1"/>
        <v>-4.4833667093782836E-2</v>
      </c>
      <c r="K36" s="50"/>
      <c r="L36" s="50"/>
      <c r="M36" s="50"/>
      <c r="N36" s="50"/>
      <c r="O36" s="50"/>
      <c r="P36" s="35"/>
    </row>
    <row r="37" spans="1:16" x14ac:dyDescent="0.2">
      <c r="A37" s="276" t="s">
        <v>225</v>
      </c>
      <c r="B37" s="287">
        <v>36.606961089999999</v>
      </c>
      <c r="C37" s="285"/>
      <c r="D37" s="287">
        <v>44.158893699999993</v>
      </c>
      <c r="E37" s="285"/>
      <c r="F37" s="287">
        <v>24.928301770000004</v>
      </c>
      <c r="G37" s="283" t="s">
        <v>65</v>
      </c>
      <c r="H37" s="283"/>
      <c r="I37" s="270">
        <f t="shared" si="0"/>
        <v>0.77143610132091178</v>
      </c>
      <c r="J37" s="270">
        <f t="shared" si="1"/>
        <v>0.46848996886160499</v>
      </c>
      <c r="K37" s="50"/>
      <c r="L37" s="50"/>
      <c r="M37" s="50"/>
      <c r="N37" s="50"/>
      <c r="O37" s="50"/>
      <c r="P37" s="35"/>
    </row>
    <row r="38" spans="1:16" x14ac:dyDescent="0.2">
      <c r="A38" s="274" t="s">
        <v>226</v>
      </c>
      <c r="B38" s="284">
        <v>15.964335900000004</v>
      </c>
      <c r="C38" s="286"/>
      <c r="D38" s="284">
        <v>14.83118011</v>
      </c>
      <c r="E38" s="286"/>
      <c r="F38" s="284">
        <v>18.384364619999999</v>
      </c>
      <c r="G38" s="283" t="s">
        <v>65</v>
      </c>
      <c r="H38" s="283"/>
      <c r="I38" s="270">
        <f t="shared" si="0"/>
        <v>-0.19327208654981515</v>
      </c>
      <c r="J38" s="270">
        <f t="shared" si="1"/>
        <v>-0.13163515683143559</v>
      </c>
      <c r="K38" s="50"/>
      <c r="L38" s="50"/>
      <c r="M38" s="50"/>
      <c r="N38" s="50"/>
      <c r="O38" s="50"/>
      <c r="P38" s="35"/>
    </row>
    <row r="39" spans="1:16" x14ac:dyDescent="0.2">
      <c r="A39" s="274" t="s">
        <v>197</v>
      </c>
      <c r="B39" s="284">
        <v>0.64619078000000008</v>
      </c>
      <c r="C39" s="286"/>
      <c r="D39" s="284">
        <v>0.67802030999999996</v>
      </c>
      <c r="E39" s="286"/>
      <c r="F39" s="284">
        <v>12.487748520000002</v>
      </c>
      <c r="G39" s="283" t="s">
        <v>65</v>
      </c>
      <c r="H39" s="283"/>
      <c r="I39" s="270">
        <f t="shared" si="0"/>
        <v>-0.94570515982812253</v>
      </c>
      <c r="J39" s="270">
        <f t="shared" si="1"/>
        <v>-0.94825402041328111</v>
      </c>
      <c r="K39" s="50"/>
      <c r="L39" s="50"/>
      <c r="M39" s="50"/>
      <c r="N39" s="50"/>
      <c r="O39" s="50"/>
      <c r="P39" s="35"/>
    </row>
    <row r="40" spans="1:16" x14ac:dyDescent="0.2">
      <c r="A40" s="274" t="s">
        <v>227</v>
      </c>
      <c r="B40" s="284">
        <v>0.58793960999999995</v>
      </c>
      <c r="C40" s="286"/>
      <c r="D40" s="284">
        <v>0.49400697999999998</v>
      </c>
      <c r="E40" s="286"/>
      <c r="F40" s="284">
        <v>0.53053554999999997</v>
      </c>
      <c r="G40" s="283" t="s">
        <v>65</v>
      </c>
      <c r="H40" s="283"/>
      <c r="I40" s="270">
        <f t="shared" si="0"/>
        <v>-6.8852256931698511E-2</v>
      </c>
      <c r="J40" s="270">
        <f t="shared" si="1"/>
        <v>0.10820021391591945</v>
      </c>
      <c r="K40" s="50"/>
      <c r="L40" s="50"/>
      <c r="M40" s="50"/>
      <c r="N40" s="50"/>
      <c r="O40" s="50"/>
      <c r="P40" s="35"/>
    </row>
    <row r="41" spans="1:16" x14ac:dyDescent="0.2">
      <c r="A41" s="264" t="s">
        <v>171</v>
      </c>
      <c r="B41" s="282">
        <f>SUM(B42:B45)</f>
        <v>112.35423861000001</v>
      </c>
      <c r="C41" s="270">
        <f>B41/B50</f>
        <v>0.22535217904789615</v>
      </c>
      <c r="D41" s="282">
        <f>SUM(D42:D45)</f>
        <v>128.97968516</v>
      </c>
      <c r="E41" s="270">
        <f>D41/D50</f>
        <v>0.20773263108044232</v>
      </c>
      <c r="F41" s="282">
        <f>SUM(F42:F45)</f>
        <v>106.72611822999998</v>
      </c>
      <c r="G41" s="283">
        <f>F41/F50</f>
        <v>0.22413121708359904</v>
      </c>
      <c r="H41" s="283"/>
      <c r="I41" s="267">
        <f t="shared" si="0"/>
        <v>0.208510974624248</v>
      </c>
      <c r="J41" s="270">
        <f t="shared" si="1"/>
        <v>5.2734236692382586E-2</v>
      </c>
      <c r="K41" s="50"/>
      <c r="L41" s="50"/>
      <c r="M41" s="50"/>
      <c r="N41" s="50"/>
      <c r="O41" s="50"/>
      <c r="P41" s="35"/>
    </row>
    <row r="42" spans="1:16" x14ac:dyDescent="0.2">
      <c r="A42" s="276" t="s">
        <v>199</v>
      </c>
      <c r="B42" s="287">
        <v>6.760271190000001</v>
      </c>
      <c r="C42" s="270"/>
      <c r="D42" s="287">
        <v>15.048314909999998</v>
      </c>
      <c r="E42" s="270"/>
      <c r="F42" s="287">
        <v>22.641699249999999</v>
      </c>
      <c r="G42" s="283" t="s">
        <v>65</v>
      </c>
      <c r="H42" s="283"/>
      <c r="I42" s="270">
        <f t="shared" si="0"/>
        <v>-0.33537166341435265</v>
      </c>
      <c r="J42" s="270">
        <f t="shared" si="1"/>
        <v>-0.7014238589005195</v>
      </c>
      <c r="K42" s="50"/>
      <c r="L42" s="50"/>
      <c r="M42" s="50"/>
      <c r="N42" s="50"/>
      <c r="O42" s="50"/>
      <c r="P42" s="35"/>
    </row>
    <row r="43" spans="1:16" x14ac:dyDescent="0.2">
      <c r="A43" s="274" t="s">
        <v>200</v>
      </c>
      <c r="B43" s="284">
        <v>51.779121000000004</v>
      </c>
      <c r="C43" s="270"/>
      <c r="D43" s="284">
        <v>53.347754420000001</v>
      </c>
      <c r="E43" s="270"/>
      <c r="F43" s="284">
        <v>55.693215009999989</v>
      </c>
      <c r="G43" s="283" t="s">
        <v>65</v>
      </c>
      <c r="H43" s="283"/>
      <c r="I43" s="270">
        <f t="shared" si="0"/>
        <v>-4.2113937749487955E-2</v>
      </c>
      <c r="J43" s="270">
        <f t="shared" si="1"/>
        <v>-7.02795485823038E-2</v>
      </c>
      <c r="K43" s="50"/>
      <c r="L43" s="50"/>
      <c r="M43" s="50"/>
      <c r="N43" s="50"/>
      <c r="O43" s="50"/>
      <c r="P43" s="35"/>
    </row>
    <row r="44" spans="1:16" ht="21" x14ac:dyDescent="0.2">
      <c r="A44" s="274" t="s">
        <v>228</v>
      </c>
      <c r="B44" s="284">
        <v>23.697146539999999</v>
      </c>
      <c r="C44" s="270"/>
      <c r="D44" s="284">
        <v>25.646214459999996</v>
      </c>
      <c r="E44" s="270"/>
      <c r="F44" s="284">
        <v>18.894608350000002</v>
      </c>
      <c r="G44" s="283"/>
      <c r="H44" s="283"/>
      <c r="I44" s="270">
        <f t="shared" si="0"/>
        <v>0.357329772860838</v>
      </c>
      <c r="J44" s="270">
        <f t="shared" si="1"/>
        <v>0.25417505888657366</v>
      </c>
      <c r="K44" s="50"/>
      <c r="L44" s="50"/>
      <c r="M44" s="50"/>
      <c r="N44" s="50"/>
      <c r="O44" s="50"/>
      <c r="P44" s="35"/>
    </row>
    <row r="45" spans="1:16" x14ac:dyDescent="0.2">
      <c r="A45" s="276" t="s">
        <v>229</v>
      </c>
      <c r="B45" s="287">
        <v>30.11769988</v>
      </c>
      <c r="C45" s="270"/>
      <c r="D45" s="287">
        <v>34.937401370000003</v>
      </c>
      <c r="E45" s="270"/>
      <c r="F45" s="287">
        <v>9.496595619999999</v>
      </c>
      <c r="G45" s="283"/>
      <c r="H45" s="283"/>
      <c r="I45" s="270">
        <f t="shared" si="0"/>
        <v>2.6789395661347539</v>
      </c>
      <c r="J45" s="270">
        <f t="shared" si="1"/>
        <v>2.1714206948615975</v>
      </c>
      <c r="K45" s="50"/>
      <c r="L45" s="50"/>
      <c r="M45" s="50"/>
      <c r="N45" s="50"/>
      <c r="O45" s="50"/>
      <c r="P45" s="35"/>
    </row>
    <row r="46" spans="1:16" x14ac:dyDescent="0.2">
      <c r="A46" s="264" t="s">
        <v>230</v>
      </c>
      <c r="B46" s="282">
        <v>1.1634316499999999</v>
      </c>
      <c r="C46" s="270">
        <f>B46/B50</f>
        <v>2.3335288525327953E-3</v>
      </c>
      <c r="D46" s="282">
        <v>1.1634316499999999</v>
      </c>
      <c r="E46" s="270">
        <f>D46/D50</f>
        <v>1.8738045253944569E-3</v>
      </c>
      <c r="F46" s="282">
        <v>13.24465006</v>
      </c>
      <c r="G46" s="283">
        <f>F46/F50</f>
        <v>2.7814555490501543E-2</v>
      </c>
      <c r="H46" s="283"/>
      <c r="I46" s="267">
        <f t="shared" si="0"/>
        <v>-0.91215837000377498</v>
      </c>
      <c r="J46" s="270">
        <f t="shared" si="1"/>
        <v>-0.91215837000377498</v>
      </c>
      <c r="K46" s="50"/>
      <c r="L46" s="50"/>
      <c r="M46" s="50"/>
      <c r="N46" s="50"/>
      <c r="O46" s="50"/>
      <c r="P46" s="35"/>
    </row>
    <row r="47" spans="1:16" x14ac:dyDescent="0.2">
      <c r="A47" s="288" t="s">
        <v>231</v>
      </c>
      <c r="B47" s="282">
        <f>B46+B41+B36+B30</f>
        <v>198.83856585000001</v>
      </c>
      <c r="C47" s="270">
        <f>B47/B50</f>
        <v>0.3988163210165524</v>
      </c>
      <c r="D47" s="282">
        <f>D46+D41+D36+D30</f>
        <v>344.63390038</v>
      </c>
      <c r="E47" s="270">
        <f>D47/D50</f>
        <v>0.55506188278132751</v>
      </c>
      <c r="F47" s="282">
        <f>F46+F41+F36+F30</f>
        <v>246.61110803</v>
      </c>
      <c r="G47" s="283">
        <f>F47/F50</f>
        <v>0.51789804319484645</v>
      </c>
      <c r="H47" s="283"/>
      <c r="I47" s="267">
        <f t="shared" si="0"/>
        <v>0.39747922602933045</v>
      </c>
      <c r="J47" s="270">
        <f t="shared" si="1"/>
        <v>-0.19371610046936127</v>
      </c>
      <c r="K47" s="50"/>
      <c r="L47" s="50"/>
      <c r="M47" s="50"/>
      <c r="N47" s="50"/>
      <c r="O47" s="50"/>
      <c r="P47" s="35"/>
    </row>
    <row r="48" spans="1:16" x14ac:dyDescent="0.2">
      <c r="A48" s="36"/>
      <c r="B48" s="32"/>
      <c r="C48" s="54"/>
      <c r="D48" s="54"/>
      <c r="E48" s="54"/>
      <c r="F48" s="54"/>
      <c r="G48" s="54"/>
      <c r="H48" s="54"/>
      <c r="I48" s="267" t="s">
        <v>65</v>
      </c>
      <c r="J48" s="260" t="s">
        <v>65</v>
      </c>
      <c r="K48" s="54"/>
      <c r="L48" s="54"/>
      <c r="M48" s="54"/>
      <c r="N48" s="54"/>
      <c r="O48" s="54"/>
      <c r="P48" s="35"/>
    </row>
    <row r="49" spans="1:16" x14ac:dyDescent="0.2">
      <c r="A49" s="301"/>
      <c r="B49" s="55"/>
      <c r="C49" s="56"/>
      <c r="D49" s="56"/>
      <c r="E49" s="56"/>
      <c r="F49" s="56"/>
      <c r="G49" s="56"/>
      <c r="H49" s="56"/>
      <c r="I49" s="267" t="s">
        <v>65</v>
      </c>
      <c r="J49" s="260" t="s">
        <v>65</v>
      </c>
      <c r="K49" s="56"/>
      <c r="L49" s="56"/>
      <c r="M49" s="56"/>
      <c r="N49" s="56"/>
      <c r="O49" s="56"/>
      <c r="P49" s="35"/>
    </row>
    <row r="50" spans="1:16" x14ac:dyDescent="0.2">
      <c r="A50" s="291" t="s">
        <v>232</v>
      </c>
      <c r="B50" s="292">
        <f>B47+B25</f>
        <v>498.57178698999996</v>
      </c>
      <c r="C50" s="290" t="s">
        <v>65</v>
      </c>
      <c r="D50" s="292">
        <f>D47+D25</f>
        <v>620.89275281000005</v>
      </c>
      <c r="E50" s="290" t="s">
        <v>65</v>
      </c>
      <c r="F50" s="292">
        <f>F47+F25</f>
        <v>476.17694499999993</v>
      </c>
      <c r="G50" s="290" t="s">
        <v>65</v>
      </c>
      <c r="H50" s="289"/>
      <c r="I50" s="271">
        <f t="shared" si="0"/>
        <v>0.30391183220766838</v>
      </c>
      <c r="J50" s="271">
        <f t="shared" si="1"/>
        <v>4.7030504574302807E-2</v>
      </c>
      <c r="K50" s="50"/>
      <c r="L50" s="50"/>
      <c r="M50" s="50"/>
      <c r="N50" s="50"/>
      <c r="O50" s="50"/>
      <c r="P50" s="35"/>
    </row>
  </sheetData>
  <mergeCells count="7">
    <mergeCell ref="A28:C28"/>
    <mergeCell ref="F3:G3"/>
    <mergeCell ref="A1:B1"/>
    <mergeCell ref="A2:C2"/>
    <mergeCell ref="B3:C3"/>
    <mergeCell ref="D3:E3"/>
    <mergeCell ref="A26:C26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0"/>
  <sheetViews>
    <sheetView showGridLines="0" topLeftCell="A39" workbookViewId="0">
      <selection activeCell="D50" sqref="D50"/>
    </sheetView>
  </sheetViews>
  <sheetFormatPr baseColWidth="10" defaultColWidth="11.42578125" defaultRowHeight="12.75" x14ac:dyDescent="0.2"/>
  <cols>
    <col min="1" max="1" width="1.42578125" style="35" customWidth="1"/>
    <col min="2" max="2" width="19" style="46" customWidth="1"/>
    <col min="3" max="3" width="15.7109375" style="47" customWidth="1"/>
    <col min="4" max="4" width="9" style="35" customWidth="1"/>
    <col min="5" max="5" width="10.85546875" style="35" customWidth="1"/>
    <col min="6" max="6" width="10" style="35" customWidth="1"/>
    <col min="7" max="7" width="8.85546875" style="35" customWidth="1"/>
    <col min="8" max="8" width="16.42578125" style="35" customWidth="1"/>
    <col min="9" max="9" width="10" style="35" customWidth="1"/>
    <col min="10" max="10" width="9.42578125" style="35" customWidth="1"/>
    <col min="11" max="16384" width="11.42578125" style="35"/>
  </cols>
  <sheetData>
    <row r="1" spans="2:14" s="33" customFormat="1" ht="14.25" customHeight="1" x14ac:dyDescent="0.2">
      <c r="B1" s="342"/>
      <c r="C1" s="342"/>
      <c r="D1" s="34"/>
      <c r="E1" s="34"/>
      <c r="F1" s="34"/>
      <c r="G1" s="296"/>
      <c r="H1" s="144"/>
      <c r="I1" s="296"/>
      <c r="J1" s="296"/>
    </row>
    <row r="2" spans="2:14" ht="15.75" customHeight="1" x14ac:dyDescent="0.2">
      <c r="B2" s="320" t="s">
        <v>206</v>
      </c>
      <c r="C2" s="320"/>
      <c r="D2" s="320"/>
      <c r="E2" s="296"/>
      <c r="F2" s="296"/>
    </row>
    <row r="3" spans="2:14" ht="15.75" customHeight="1" x14ac:dyDescent="0.2">
      <c r="B3" s="296"/>
      <c r="C3" s="320">
        <v>2015</v>
      </c>
      <c r="D3" s="320"/>
      <c r="E3" s="320">
        <v>2014</v>
      </c>
      <c r="F3" s="320"/>
      <c r="H3" s="296" t="s">
        <v>233</v>
      </c>
    </row>
    <row r="4" spans="2:14" ht="16.5" customHeight="1" x14ac:dyDescent="0.2">
      <c r="B4" s="36"/>
      <c r="C4" s="37" t="s">
        <v>151</v>
      </c>
      <c r="D4" s="38" t="s">
        <v>152</v>
      </c>
      <c r="E4" s="37" t="s">
        <v>151</v>
      </c>
      <c r="F4" s="38" t="s">
        <v>152</v>
      </c>
      <c r="H4" s="37"/>
    </row>
    <row r="5" spans="2:14" ht="25.5" customHeight="1" x14ac:dyDescent="0.2">
      <c r="B5" s="36" t="s">
        <v>209</v>
      </c>
      <c r="C5" s="37">
        <f>SUM(C6:C8)</f>
        <v>154.80995867999999</v>
      </c>
      <c r="D5" s="38">
        <f>C5/$C$50</f>
        <v>0.31050685722636978</v>
      </c>
      <c r="E5" s="37">
        <f>SUM(E6:E8)</f>
        <v>147.32748608</v>
      </c>
      <c r="F5" s="38">
        <f>E5/$E$50</f>
        <v>0.23728330764569872</v>
      </c>
      <c r="H5" s="37">
        <f>C5-E5</f>
        <v>7.4824725999999941</v>
      </c>
    </row>
    <row r="6" spans="2:14" ht="51" x14ac:dyDescent="0.2">
      <c r="B6" s="39" t="s">
        <v>210</v>
      </c>
      <c r="C6" s="40">
        <f>Fondos2015!$D$86/1000000</f>
        <v>91.950120510000005</v>
      </c>
      <c r="D6" s="38"/>
      <c r="E6" s="40">
        <f>Fondos2014!$D$85/1000000</f>
        <v>89.30231947</v>
      </c>
      <c r="F6" s="38" t="s">
        <v>65</v>
      </c>
      <c r="H6" s="40">
        <f t="shared" ref="H6:H50" si="0">C6-E6</f>
        <v>2.6478010400000045</v>
      </c>
      <c r="N6" s="145" t="s">
        <v>65</v>
      </c>
    </row>
    <row r="7" spans="2:14" ht="25.5" x14ac:dyDescent="0.2">
      <c r="B7" s="294" t="s">
        <v>175</v>
      </c>
      <c r="C7" s="40">
        <f>Fondos2015!$E$86/1000000</f>
        <v>55.912554239999999</v>
      </c>
      <c r="D7" s="38"/>
      <c r="E7" s="40">
        <f>Fondos2014!$E$85/1000000</f>
        <v>56.795790519999997</v>
      </c>
      <c r="F7" s="38" t="s">
        <v>65</v>
      </c>
      <c r="H7" s="40">
        <f t="shared" si="0"/>
        <v>-0.88323627999999843</v>
      </c>
      <c r="N7" s="145" t="s">
        <v>65</v>
      </c>
    </row>
    <row r="8" spans="2:14" ht="25.5" x14ac:dyDescent="0.2">
      <c r="B8" s="41" t="s">
        <v>176</v>
      </c>
      <c r="C8" s="40">
        <f>Fondos2015!$F$86/1000000</f>
        <v>6.9472839300000002</v>
      </c>
      <c r="D8" s="38"/>
      <c r="E8" s="40">
        <f>Fondos2014!$F$85/1000000</f>
        <v>1.2293760899999999</v>
      </c>
      <c r="F8" s="38" t="s">
        <v>65</v>
      </c>
      <c r="H8" s="40">
        <f t="shared" si="0"/>
        <v>5.7179078400000005</v>
      </c>
    </row>
    <row r="9" spans="2:14" ht="25.5" x14ac:dyDescent="0.2">
      <c r="B9" s="36" t="s">
        <v>211</v>
      </c>
      <c r="C9" s="42">
        <f>SUM(C10:C13)</f>
        <v>90.925300880000009</v>
      </c>
      <c r="D9" s="38">
        <f>C9/$C$50</f>
        <v>0.18237153255088565</v>
      </c>
      <c r="E9" s="42">
        <f>SUM(E10:E13)</f>
        <v>79.008233850000011</v>
      </c>
      <c r="F9" s="38">
        <f>E9/$E$50</f>
        <v>0.12724940578292979</v>
      </c>
      <c r="H9" s="37">
        <f t="shared" si="0"/>
        <v>11.917067029999998</v>
      </c>
      <c r="L9" s="59"/>
    </row>
    <row r="10" spans="2:14" ht="24.75" customHeight="1" x14ac:dyDescent="0.2">
      <c r="B10" s="43" t="s">
        <v>179</v>
      </c>
      <c r="C10" s="40">
        <f>Fondos2015!$H$86/1000000</f>
        <v>20.880984880000003</v>
      </c>
      <c r="D10" s="38"/>
      <c r="E10" s="40">
        <f>Fondos2014!$H$85/1000000</f>
        <v>10.421425189999999</v>
      </c>
      <c r="F10" s="38" t="s">
        <v>65</v>
      </c>
      <c r="H10" s="40">
        <f t="shared" si="0"/>
        <v>10.459559690000004</v>
      </c>
    </row>
    <row r="11" spans="2:14" ht="25.5" x14ac:dyDescent="0.2">
      <c r="B11" s="294" t="s">
        <v>212</v>
      </c>
      <c r="C11" s="40">
        <f>Fondos2015!$I$86/1000000</f>
        <v>14.032930910000001</v>
      </c>
      <c r="D11" s="38"/>
      <c r="E11" s="40">
        <f>Fondos2014!$I$85/1000000</f>
        <v>6.29273974</v>
      </c>
      <c r="F11" s="38" t="s">
        <v>65</v>
      </c>
      <c r="H11" s="40">
        <f t="shared" si="0"/>
        <v>7.740191170000001</v>
      </c>
    </row>
    <row r="12" spans="2:14" ht="25.5" customHeight="1" x14ac:dyDescent="0.2">
      <c r="B12" s="294" t="s">
        <v>213</v>
      </c>
      <c r="C12" s="40">
        <f>Fondos2015!$J$86/1000000</f>
        <v>3.7978730700000005</v>
      </c>
      <c r="D12" s="38"/>
      <c r="E12" s="40">
        <f>Fondos2014!$J$85/1000000</f>
        <v>15.56131669</v>
      </c>
      <c r="F12" s="38" t="s">
        <v>65</v>
      </c>
      <c r="H12" s="40">
        <f t="shared" si="0"/>
        <v>-11.76344362</v>
      </c>
      <c r="L12" s="35" t="s">
        <v>65</v>
      </c>
      <c r="M12" s="35" t="s">
        <v>65</v>
      </c>
    </row>
    <row r="13" spans="2:14" ht="22.5" customHeight="1" x14ac:dyDescent="0.2">
      <c r="B13" s="41" t="s">
        <v>181</v>
      </c>
      <c r="C13" s="40">
        <f>Fondos2015!$K$86/1000000</f>
        <v>52.21351202000001</v>
      </c>
      <c r="D13" s="38"/>
      <c r="E13" s="40">
        <f>Fondos2014!$K$85/1000000</f>
        <v>46.732752230000003</v>
      </c>
      <c r="F13" s="38" t="s">
        <v>65</v>
      </c>
      <c r="G13" s="59"/>
      <c r="H13" s="40">
        <f t="shared" si="0"/>
        <v>5.4807597900000076</v>
      </c>
      <c r="L13" s="35" t="s">
        <v>65</v>
      </c>
      <c r="M13" s="35" t="s">
        <v>65</v>
      </c>
    </row>
    <row r="14" spans="2:14" ht="34.5" customHeight="1" x14ac:dyDescent="0.2">
      <c r="B14" s="36" t="s">
        <v>214</v>
      </c>
      <c r="C14" s="37">
        <f>SUM(C15:C17)</f>
        <v>26.522388320000001</v>
      </c>
      <c r="D14" s="38">
        <f>C14/$C$50</f>
        <v>5.3196729161355386E-2</v>
      </c>
      <c r="E14" s="37">
        <f>SUM(E15:E17)</f>
        <v>25.51059618</v>
      </c>
      <c r="F14" s="38">
        <f>E14/$E$50</f>
        <v>4.1086960774700039E-2</v>
      </c>
      <c r="H14" s="37">
        <f t="shared" si="0"/>
        <v>1.0117921400000007</v>
      </c>
    </row>
    <row r="15" spans="2:14" ht="27" customHeight="1" x14ac:dyDescent="0.2">
      <c r="B15" s="39" t="s">
        <v>215</v>
      </c>
      <c r="C15" s="40">
        <f>Fondos2015!$M$86/1000000</f>
        <v>20.179361080000003</v>
      </c>
      <c r="D15" s="38"/>
      <c r="E15" s="40">
        <f>Fondos2014!$M$85/1000000</f>
        <v>21.87409328</v>
      </c>
      <c r="F15" s="38" t="s">
        <v>65</v>
      </c>
      <c r="H15" s="40">
        <f t="shared" si="0"/>
        <v>-1.6947321999999971</v>
      </c>
    </row>
    <row r="16" spans="2:14" ht="14.25" customHeight="1" x14ac:dyDescent="0.2">
      <c r="B16" s="43" t="s">
        <v>183</v>
      </c>
      <c r="C16" s="40">
        <f>Fondos2015!$N$86/1000000</f>
        <v>6.0465932599999999</v>
      </c>
      <c r="D16" s="38"/>
      <c r="E16" s="40">
        <f>Fondos2014!$N$85/1000000</f>
        <v>3.3651010800000001</v>
      </c>
      <c r="F16" s="38" t="s">
        <v>65</v>
      </c>
      <c r="H16" s="40">
        <f t="shared" si="0"/>
        <v>2.6814921799999998</v>
      </c>
    </row>
    <row r="17" spans="2:8" ht="14.25" customHeight="1" x14ac:dyDescent="0.2">
      <c r="B17" s="294" t="s">
        <v>184</v>
      </c>
      <c r="C17" s="40">
        <f>Fondos2015!$O$86/1000000</f>
        <v>0.29643397999999999</v>
      </c>
      <c r="D17" s="38"/>
      <c r="E17" s="40">
        <f>Fondos2014!$O$85/1000000</f>
        <v>0.27140182000000002</v>
      </c>
      <c r="F17" s="38" t="s">
        <v>65</v>
      </c>
      <c r="H17" s="40">
        <f t="shared" si="0"/>
        <v>2.503215999999997E-2</v>
      </c>
    </row>
    <row r="18" spans="2:8" ht="32.25" customHeight="1" x14ac:dyDescent="0.2">
      <c r="B18" s="36" t="s">
        <v>216</v>
      </c>
      <c r="C18" s="37">
        <f>SUM(C19:C22)</f>
        <v>9.5150072899999998</v>
      </c>
      <c r="D18" s="38">
        <f>C18/$C$50</f>
        <v>1.9084528122709127E-2</v>
      </c>
      <c r="E18" s="37">
        <f>SUM(E19:E22)</f>
        <v>9.009119870000001</v>
      </c>
      <c r="F18" s="38">
        <f>E18/$E$50</f>
        <v>1.4509945283186273E-2</v>
      </c>
      <c r="H18" s="37">
        <f t="shared" si="0"/>
        <v>0.50588741999999876</v>
      </c>
    </row>
    <row r="19" spans="2:8" ht="14.25" customHeight="1" x14ac:dyDescent="0.2">
      <c r="B19" s="43" t="s">
        <v>217</v>
      </c>
      <c r="C19" s="40">
        <f>Fondos2015!$Q$86/1000000</f>
        <v>8.6907495299999997</v>
      </c>
      <c r="D19" s="38"/>
      <c r="E19" s="40">
        <f>Fondos2014!$Q$85/1000000</f>
        <v>8.2859736900000005</v>
      </c>
      <c r="F19" s="38" t="s">
        <v>65</v>
      </c>
      <c r="H19" s="40">
        <f t="shared" si="0"/>
        <v>0.40477583999999922</v>
      </c>
    </row>
    <row r="20" spans="2:8" ht="14.25" customHeight="1" x14ac:dyDescent="0.2">
      <c r="B20" s="294" t="s">
        <v>186</v>
      </c>
      <c r="C20" s="40">
        <f>Fondos2015!$R$86/1000000</f>
        <v>7.4680300000000005E-2</v>
      </c>
      <c r="D20" s="38"/>
      <c r="E20" s="40">
        <f>Fondos2014!$R$85/1000000</f>
        <v>7.6356190000000004E-2</v>
      </c>
      <c r="F20" s="38" t="s">
        <v>65</v>
      </c>
      <c r="H20" s="40">
        <f t="shared" si="0"/>
        <v>-1.6758899999999993E-3</v>
      </c>
    </row>
    <row r="21" spans="2:8" ht="14.25" customHeight="1" x14ac:dyDescent="0.2">
      <c r="B21" s="294" t="s">
        <v>187</v>
      </c>
      <c r="C21" s="40">
        <f>Fondos2015!$S$86/1000000</f>
        <v>7.330565E-2</v>
      </c>
      <c r="D21" s="38"/>
      <c r="E21" s="40">
        <f>Fondos2014!$S$85/1000000</f>
        <v>9.2774919999999997E-2</v>
      </c>
      <c r="F21" s="38" t="s">
        <v>65</v>
      </c>
      <c r="H21" s="40">
        <f t="shared" si="0"/>
        <v>-1.9469269999999997E-2</v>
      </c>
    </row>
    <row r="22" spans="2:8" ht="14.25" customHeight="1" x14ac:dyDescent="0.2">
      <c r="B22" s="294" t="s">
        <v>188</v>
      </c>
      <c r="C22" s="40">
        <f>Fondos2015!$T$86/1000000</f>
        <v>0.67627180999999992</v>
      </c>
      <c r="D22" s="38"/>
      <c r="E22" s="40">
        <f>Fondos2014!$T$85/1000000</f>
        <v>0.55401507000000005</v>
      </c>
      <c r="F22" s="38" t="s">
        <v>65</v>
      </c>
      <c r="H22" s="40">
        <f t="shared" si="0"/>
        <v>0.12225673999999986</v>
      </c>
    </row>
    <row r="23" spans="2:8" ht="19.5" customHeight="1" x14ac:dyDescent="0.2">
      <c r="B23" s="44" t="s">
        <v>168</v>
      </c>
      <c r="C23" s="37">
        <f>Fondos2015!$V$86/1000000</f>
        <v>1.21758992</v>
      </c>
      <c r="D23" s="38">
        <f>C23/$C$50</f>
        <v>2.4421556770207326E-3</v>
      </c>
      <c r="E23" s="37">
        <f>Fondos2014!$V$85/1000000</f>
        <v>1.0883638999999998</v>
      </c>
      <c r="F23" s="38">
        <f>E23/$E$50</f>
        <v>1.7529016002753232E-3</v>
      </c>
      <c r="H23" s="37">
        <f t="shared" si="0"/>
        <v>0.12922602000000016</v>
      </c>
    </row>
    <row r="24" spans="2:8" s="33" customFormat="1" ht="36.75" customHeight="1" x14ac:dyDescent="0.2">
      <c r="B24" s="36" t="s">
        <v>218</v>
      </c>
      <c r="C24" s="37">
        <f>Fondos2015!$W$86/1000000</f>
        <v>16.742976049999999</v>
      </c>
      <c r="D24" s="38">
        <f>C24/$C$50</f>
        <v>3.3581876245106938E-2</v>
      </c>
      <c r="E24" s="37">
        <f>Fondos2014!$W$85/1000000</f>
        <v>14.315052549999999</v>
      </c>
      <c r="F24" s="38">
        <f>E24/$E$50</f>
        <v>2.3055596131882315E-2</v>
      </c>
      <c r="H24" s="37">
        <f t="shared" si="0"/>
        <v>2.4279235000000003</v>
      </c>
    </row>
    <row r="25" spans="2:8" s="33" customFormat="1" ht="27.75" customHeight="1" x14ac:dyDescent="0.2">
      <c r="B25" s="45" t="s">
        <v>146</v>
      </c>
      <c r="C25" s="37">
        <f>C5+C9+C14+C18+C23+C24</f>
        <v>299.73322114000001</v>
      </c>
      <c r="D25" s="38">
        <f>C25/$C$50</f>
        <v>0.6011836789834476</v>
      </c>
      <c r="E25" s="37">
        <f>E5+E9+E14+E18+E23+E24</f>
        <v>276.25885242999999</v>
      </c>
      <c r="F25" s="38">
        <f>E25/$E$50</f>
        <v>0.44493811721867238</v>
      </c>
      <c r="H25" s="37">
        <f t="shared" si="0"/>
        <v>23.474368710000022</v>
      </c>
    </row>
    <row r="26" spans="2:8" s="33" customFormat="1" ht="23.25" customHeight="1" x14ac:dyDescent="0.2">
      <c r="B26" s="343"/>
      <c r="C26" s="344"/>
      <c r="D26" s="344"/>
      <c r="E26" s="301"/>
      <c r="F26" s="301"/>
      <c r="H26" s="37" t="s">
        <v>65</v>
      </c>
    </row>
    <row r="27" spans="2:8" ht="16.5" customHeight="1" x14ac:dyDescent="0.2">
      <c r="H27" s="37" t="s">
        <v>65</v>
      </c>
    </row>
    <row r="28" spans="2:8" ht="16.5" customHeight="1" x14ac:dyDescent="0.2">
      <c r="B28" s="320" t="s">
        <v>219</v>
      </c>
      <c r="C28" s="320"/>
      <c r="D28" s="320"/>
      <c r="E28" s="296"/>
      <c r="F28" s="296"/>
      <c r="H28" s="37" t="s">
        <v>65</v>
      </c>
    </row>
    <row r="29" spans="2:8" ht="24.75" customHeight="1" x14ac:dyDescent="0.2">
      <c r="B29" s="60"/>
      <c r="C29" s="48" t="s">
        <v>151</v>
      </c>
      <c r="D29" s="49" t="s">
        <v>152</v>
      </c>
      <c r="E29" s="48" t="s">
        <v>151</v>
      </c>
      <c r="F29" s="49" t="s">
        <v>152</v>
      </c>
      <c r="H29" s="37" t="s">
        <v>65</v>
      </c>
    </row>
    <row r="30" spans="2:8" x14ac:dyDescent="0.2">
      <c r="B30" s="36" t="s">
        <v>220</v>
      </c>
      <c r="C30" s="32">
        <f>SUM(C31:C35)</f>
        <v>31.515468210000005</v>
      </c>
      <c r="D30" s="50">
        <f>+C30/$C$50</f>
        <v>6.3211495380167029E-2</v>
      </c>
      <c r="E30" s="32">
        <f>SUM(E31:E35)</f>
        <v>154.32868246999999</v>
      </c>
      <c r="F30" s="50">
        <f>+E30/$E$50</f>
        <v>0.24855932328336622</v>
      </c>
      <c r="H30" s="37">
        <f t="shared" si="0"/>
        <v>-122.81321425999998</v>
      </c>
    </row>
    <row r="31" spans="2:8" x14ac:dyDescent="0.2">
      <c r="B31" s="43" t="s">
        <v>221</v>
      </c>
      <c r="C31" s="51">
        <f>Fondos2015!$Z$86/1000000</f>
        <v>7.2666076799999999</v>
      </c>
      <c r="D31" s="52"/>
      <c r="E31" s="51">
        <f>Fondos2014!$Z$85/1000000</f>
        <v>137.95422431</v>
      </c>
      <c r="F31" s="50" t="s">
        <v>65</v>
      </c>
      <c r="H31" s="40">
        <f t="shared" si="0"/>
        <v>-130.68761663000001</v>
      </c>
    </row>
    <row r="32" spans="2:8" ht="25.5" x14ac:dyDescent="0.2">
      <c r="B32" s="43" t="s">
        <v>222</v>
      </c>
      <c r="C32" s="51">
        <f>Fondos2015!$AA$86/1000000</f>
        <v>13.998477540000001</v>
      </c>
      <c r="D32" s="52"/>
      <c r="E32" s="51">
        <f>Fondos2014!$AA$85/1000000</f>
        <v>14.836251989999999</v>
      </c>
      <c r="F32" s="50" t="s">
        <v>65</v>
      </c>
      <c r="H32" s="40">
        <f t="shared" si="0"/>
        <v>-0.83777444999999773</v>
      </c>
    </row>
    <row r="33" spans="2:8" x14ac:dyDescent="0.2">
      <c r="B33" s="43" t="s">
        <v>223</v>
      </c>
      <c r="C33" s="51">
        <f>Fondos2015!$AB$86/1000000</f>
        <v>1.15E-2</v>
      </c>
      <c r="D33" s="52"/>
      <c r="E33" s="51">
        <f>Fondos2014!$AB$85/1000000</f>
        <v>2.64E-2</v>
      </c>
      <c r="F33" s="50" t="s">
        <v>65</v>
      </c>
      <c r="H33" s="40">
        <f t="shared" si="0"/>
        <v>-1.49E-2</v>
      </c>
    </row>
    <row r="34" spans="2:8" x14ac:dyDescent="0.2">
      <c r="B34" s="294" t="s">
        <v>193</v>
      </c>
      <c r="C34" s="51">
        <f>Fondos2015!$AC$86/1000000</f>
        <v>8.8064419600000008</v>
      </c>
      <c r="D34" s="53"/>
      <c r="E34" s="51">
        <f>Fondos2014!$AC$85/1000000</f>
        <v>8.9666059999999992E-2</v>
      </c>
      <c r="F34" s="50" t="s">
        <v>65</v>
      </c>
      <c r="H34" s="40">
        <f t="shared" si="0"/>
        <v>8.7167759</v>
      </c>
    </row>
    <row r="35" spans="2:8" ht="38.25" x14ac:dyDescent="0.2">
      <c r="B35" s="294" t="s">
        <v>224</v>
      </c>
      <c r="C35" s="51">
        <f>Fondos2015!$AD$86/1000000</f>
        <v>1.4324410300000001</v>
      </c>
      <c r="D35" s="53"/>
      <c r="E35" s="51">
        <f>Fondos2014!$AD$85/1000000</f>
        <v>1.4221401100000002</v>
      </c>
      <c r="F35" s="50" t="s">
        <v>65</v>
      </c>
      <c r="H35" s="40">
        <f t="shared" si="0"/>
        <v>1.0300919999999936E-2</v>
      </c>
    </row>
    <row r="36" spans="2:8" ht="25.5" x14ac:dyDescent="0.2">
      <c r="B36" s="36" t="s">
        <v>170</v>
      </c>
      <c r="C36" s="32">
        <f>SUM(C37:C40)</f>
        <v>53.805427379999998</v>
      </c>
      <c r="D36" s="50">
        <f>+C36/$C$50</f>
        <v>0.10791911773595642</v>
      </c>
      <c r="E36" s="32">
        <f>SUM(E37:E40)</f>
        <v>60.162101099999994</v>
      </c>
      <c r="F36" s="50">
        <f>+E36/$E$50</f>
        <v>9.68961238921245E-2</v>
      </c>
      <c r="H36" s="37">
        <f t="shared" si="0"/>
        <v>-6.3566737199999963</v>
      </c>
    </row>
    <row r="37" spans="2:8" ht="25.5" x14ac:dyDescent="0.2">
      <c r="B37" s="43" t="s">
        <v>225</v>
      </c>
      <c r="C37" s="31">
        <f>Fondos2015!$AF$86/1000000</f>
        <v>36.606961089999999</v>
      </c>
      <c r="D37" s="52"/>
      <c r="E37" s="31">
        <f>Fondos2014!$AF$85/1000000</f>
        <v>44.158893699999993</v>
      </c>
      <c r="F37" s="50" t="s">
        <v>65</v>
      </c>
      <c r="H37" s="40">
        <f t="shared" si="0"/>
        <v>-7.5519326099999944</v>
      </c>
    </row>
    <row r="38" spans="2:8" ht="25.5" x14ac:dyDescent="0.2">
      <c r="B38" s="294" t="s">
        <v>226</v>
      </c>
      <c r="C38" s="51">
        <f>Fondos2015!$AG$86/1000000</f>
        <v>15.964335900000004</v>
      </c>
      <c r="D38" s="53"/>
      <c r="E38" s="51">
        <f>Fondos2014!$AG$85/1000000</f>
        <v>14.83118011</v>
      </c>
      <c r="F38" s="50" t="s">
        <v>65</v>
      </c>
      <c r="H38" s="40">
        <f t="shared" si="0"/>
        <v>1.1331557900000035</v>
      </c>
    </row>
    <row r="39" spans="2:8" ht="25.5" x14ac:dyDescent="0.2">
      <c r="B39" s="294" t="s">
        <v>197</v>
      </c>
      <c r="C39" s="51">
        <f>Fondos2015!$AH$86/1000000</f>
        <v>0.64619078000000008</v>
      </c>
      <c r="D39" s="53"/>
      <c r="E39" s="51">
        <f>Fondos2014!$AH$85/1000000</f>
        <v>0.67802030999999996</v>
      </c>
      <c r="F39" s="50" t="s">
        <v>65</v>
      </c>
      <c r="H39" s="40">
        <f t="shared" si="0"/>
        <v>-3.1829529999999884E-2</v>
      </c>
    </row>
    <row r="40" spans="2:8" ht="25.5" x14ac:dyDescent="0.2">
      <c r="B40" s="294" t="s">
        <v>227</v>
      </c>
      <c r="C40" s="51">
        <f>Fondos2015!$AI$86/1000000</f>
        <v>0.58793960999999995</v>
      </c>
      <c r="D40" s="53"/>
      <c r="E40" s="51">
        <f>Fondos2014!$AI$85/1000000</f>
        <v>0.49400697999999998</v>
      </c>
      <c r="F40" s="50" t="s">
        <v>65</v>
      </c>
      <c r="H40" s="40">
        <f t="shared" si="0"/>
        <v>9.3932629999999961E-2</v>
      </c>
    </row>
    <row r="41" spans="2:8" ht="25.5" x14ac:dyDescent="0.2">
      <c r="B41" s="36" t="s">
        <v>171</v>
      </c>
      <c r="C41" s="32">
        <f>SUM(C42:C45)</f>
        <v>112.35423861000001</v>
      </c>
      <c r="D41" s="50">
        <f>+C41/$C$50</f>
        <v>0.22535217904789612</v>
      </c>
      <c r="E41" s="32">
        <f>SUM(E42:E45)</f>
        <v>128.97968516</v>
      </c>
      <c r="F41" s="50">
        <f>+E41/$E$50</f>
        <v>0.20773263108044232</v>
      </c>
      <c r="H41" s="37">
        <f t="shared" si="0"/>
        <v>-16.625446549999992</v>
      </c>
    </row>
    <row r="42" spans="2:8" x14ac:dyDescent="0.2">
      <c r="B42" s="43" t="s">
        <v>199</v>
      </c>
      <c r="C42" s="31">
        <f>Fondos2015!$AK$86/1000000</f>
        <v>6.760271190000001</v>
      </c>
      <c r="D42" s="52"/>
      <c r="E42" s="31">
        <f>Fondos2014!$AK$85/1000000</f>
        <v>15.048314909999998</v>
      </c>
      <c r="F42" s="50" t="s">
        <v>65</v>
      </c>
      <c r="H42" s="40">
        <f t="shared" si="0"/>
        <v>-8.2880437199999974</v>
      </c>
    </row>
    <row r="43" spans="2:8" x14ac:dyDescent="0.2">
      <c r="B43" s="294" t="s">
        <v>200</v>
      </c>
      <c r="C43" s="51">
        <f>Fondos2015!$AL$86/1000000</f>
        <v>51.779121000000004</v>
      </c>
      <c r="D43" s="53"/>
      <c r="E43" s="51">
        <f>Fondos2014!$AL$85/1000000</f>
        <v>53.347754420000001</v>
      </c>
      <c r="F43" s="50" t="s">
        <v>65</v>
      </c>
      <c r="H43" s="40">
        <f t="shared" si="0"/>
        <v>-1.5686334199999976</v>
      </c>
    </row>
    <row r="44" spans="2:8" ht="38.25" x14ac:dyDescent="0.2">
      <c r="B44" s="294" t="s">
        <v>228</v>
      </c>
      <c r="C44" s="51">
        <f>Fondos2015!$AM$86/1000000</f>
        <v>23.697146539999999</v>
      </c>
      <c r="D44" s="53"/>
      <c r="E44" s="51">
        <f>Fondos2014!$AM$85/1000000</f>
        <v>25.646214459999996</v>
      </c>
      <c r="F44" s="50"/>
      <c r="H44" s="40">
        <f t="shared" si="0"/>
        <v>-1.9490679199999974</v>
      </c>
    </row>
    <row r="45" spans="2:8" ht="25.5" x14ac:dyDescent="0.2">
      <c r="B45" s="43" t="s">
        <v>229</v>
      </c>
      <c r="C45" s="31">
        <f>Fondos2015!$AN$86/1000000</f>
        <v>30.11769988</v>
      </c>
      <c r="D45" s="52"/>
      <c r="E45" s="31">
        <f>Fondos2014!$AN$85/1000000</f>
        <v>34.937401370000003</v>
      </c>
      <c r="F45" s="50"/>
      <c r="H45" s="40">
        <f t="shared" si="0"/>
        <v>-4.8197014900000035</v>
      </c>
    </row>
    <row r="46" spans="2:8" x14ac:dyDescent="0.2">
      <c r="B46" s="36" t="s">
        <v>230</v>
      </c>
      <c r="C46" s="32">
        <f>Fondos2015!$AP$86/1000000</f>
        <v>1.1634316499999999</v>
      </c>
      <c r="D46" s="50">
        <f>+C46/$C$50</f>
        <v>2.3335288525327953E-3</v>
      </c>
      <c r="E46" s="32">
        <f>Fondos2015!$AP$86/1000000</f>
        <v>1.1634316499999999</v>
      </c>
      <c r="F46" s="50">
        <f>+E46/$E$50</f>
        <v>1.8738045253944569E-3</v>
      </c>
      <c r="H46" s="37">
        <f t="shared" si="0"/>
        <v>0</v>
      </c>
    </row>
    <row r="47" spans="2:8" ht="18.75" customHeight="1" x14ac:dyDescent="0.2">
      <c r="B47" s="61" t="s">
        <v>231</v>
      </c>
      <c r="C47" s="32">
        <f>+C30+C36+C41+C46</f>
        <v>198.83856585000001</v>
      </c>
      <c r="D47" s="50">
        <f>+C47/$C$50</f>
        <v>0.39881632101655234</v>
      </c>
      <c r="E47" s="32">
        <f>+E30+E36+E41+E46</f>
        <v>344.63390038</v>
      </c>
      <c r="F47" s="50">
        <f>+E47/$E$50</f>
        <v>0.55506188278132751</v>
      </c>
      <c r="H47" s="37">
        <f t="shared" si="0"/>
        <v>-145.79533452999999</v>
      </c>
    </row>
    <row r="48" spans="2:8" x14ac:dyDescent="0.2">
      <c r="B48" s="36"/>
      <c r="C48" s="32"/>
      <c r="D48" s="54"/>
      <c r="E48" s="54"/>
      <c r="F48" s="54"/>
      <c r="H48" s="37" t="s">
        <v>65</v>
      </c>
    </row>
    <row r="49" spans="2:9" ht="32.25" customHeight="1" x14ac:dyDescent="0.2">
      <c r="B49" s="301"/>
      <c r="C49" s="55"/>
      <c r="D49" s="56"/>
      <c r="E49" s="56"/>
      <c r="F49" s="56"/>
      <c r="H49" s="37" t="s">
        <v>65</v>
      </c>
    </row>
    <row r="50" spans="2:9" ht="38.25" x14ac:dyDescent="0.2">
      <c r="B50" s="147" t="s">
        <v>232</v>
      </c>
      <c r="C50" s="57">
        <f>C25+C47</f>
        <v>498.57178699000002</v>
      </c>
      <c r="D50" s="58">
        <f>+C50/$C$50</f>
        <v>1</v>
      </c>
      <c r="E50" s="57">
        <f>E25+E47</f>
        <v>620.89275281000005</v>
      </c>
      <c r="F50" s="58">
        <f>+E50/$E$50</f>
        <v>1</v>
      </c>
      <c r="H50" s="37">
        <f t="shared" si="0"/>
        <v>-122.32096582000003</v>
      </c>
    </row>
    <row r="51" spans="2:9" x14ac:dyDescent="0.2">
      <c r="D51" s="59"/>
      <c r="E51" s="59"/>
      <c r="F51" s="59"/>
    </row>
    <row r="55" spans="2:9" x14ac:dyDescent="0.2">
      <c r="C55" s="47" t="s">
        <v>65</v>
      </c>
    </row>
    <row r="57" spans="2:9" x14ac:dyDescent="0.2">
      <c r="B57" s="150"/>
      <c r="C57" s="153">
        <v>2009</v>
      </c>
      <c r="D57" s="153">
        <v>2010</v>
      </c>
      <c r="E57" s="153">
        <v>2011</v>
      </c>
      <c r="F57" s="153">
        <v>2012</v>
      </c>
      <c r="G57" s="153">
        <v>2013</v>
      </c>
      <c r="H57" s="153">
        <v>2014</v>
      </c>
      <c r="I57" s="154">
        <v>2015</v>
      </c>
    </row>
    <row r="58" spans="2:9" x14ac:dyDescent="0.2">
      <c r="B58" s="46" t="s">
        <v>234</v>
      </c>
      <c r="C58" s="51">
        <v>404.21496599999995</v>
      </c>
      <c r="D58" s="51">
        <v>411.8</v>
      </c>
      <c r="E58" s="51">
        <v>373.59837199999998</v>
      </c>
      <c r="F58" s="51">
        <v>312.52822587000003</v>
      </c>
      <c r="G58" s="51">
        <v>278.23514241999993</v>
      </c>
      <c r="H58" s="51">
        <v>296.84194337638002</v>
      </c>
      <c r="I58" s="51">
        <v>257.57064429000002</v>
      </c>
    </row>
    <row r="59" spans="2:9" x14ac:dyDescent="0.2">
      <c r="B59" s="35" t="s">
        <v>235</v>
      </c>
      <c r="C59" s="51">
        <v>270.25202899999999</v>
      </c>
      <c r="D59" s="51">
        <v>311.562029</v>
      </c>
      <c r="E59" s="51">
        <v>344.48292099999998</v>
      </c>
      <c r="F59" s="51">
        <v>233.22353991999998</v>
      </c>
      <c r="G59" s="51">
        <v>225.71225575999995</v>
      </c>
      <c r="H59" s="51">
        <v>277.95557624361999</v>
      </c>
      <c r="I59" s="51">
        <v>296.18382015000003</v>
      </c>
    </row>
    <row r="60" spans="2:9" x14ac:dyDescent="0.2">
      <c r="B60" s="255" t="s">
        <v>236</v>
      </c>
      <c r="C60" s="258">
        <v>688.36316299999999</v>
      </c>
      <c r="D60" s="258">
        <v>723.36202900000001</v>
      </c>
      <c r="E60" s="258">
        <v>732.10098799999992</v>
      </c>
      <c r="F60" s="258">
        <v>545.75176579000004</v>
      </c>
      <c r="G60" s="258">
        <v>503.94739817999988</v>
      </c>
      <c r="H60" s="258">
        <v>574.79751962</v>
      </c>
      <c r="I60" s="258">
        <v>553.75446443999999</v>
      </c>
    </row>
    <row r="61" spans="2:9" x14ac:dyDescent="0.2">
      <c r="B61" s="35"/>
      <c r="C61" s="35"/>
    </row>
    <row r="62" spans="2:9" x14ac:dyDescent="0.2">
      <c r="B62" s="35"/>
      <c r="C62" s="35"/>
    </row>
    <row r="63" spans="2:9" x14ac:dyDescent="0.2">
      <c r="B63" s="35"/>
      <c r="C63" s="35"/>
    </row>
    <row r="64" spans="2:9" x14ac:dyDescent="0.2">
      <c r="B64" s="35"/>
      <c r="C64" s="35"/>
    </row>
    <row r="65" spans="2:3" x14ac:dyDescent="0.2">
      <c r="B65" s="35"/>
      <c r="C65" s="35"/>
    </row>
    <row r="66" spans="2:3" x14ac:dyDescent="0.2">
      <c r="B66" s="35"/>
      <c r="C66" s="35"/>
    </row>
    <row r="67" spans="2:3" x14ac:dyDescent="0.2">
      <c r="B67" s="35"/>
      <c r="C67" s="35"/>
    </row>
    <row r="68" spans="2:3" x14ac:dyDescent="0.2">
      <c r="B68" s="35"/>
      <c r="C68" s="35"/>
    </row>
    <row r="69" spans="2:3" x14ac:dyDescent="0.2">
      <c r="B69" s="35"/>
      <c r="C69" s="35"/>
    </row>
    <row r="70" spans="2:3" x14ac:dyDescent="0.2">
      <c r="B70" s="35"/>
      <c r="C70" s="35"/>
    </row>
    <row r="71" spans="2:3" x14ac:dyDescent="0.2">
      <c r="B71" s="35"/>
      <c r="C71" s="35"/>
    </row>
    <row r="72" spans="2:3" x14ac:dyDescent="0.2">
      <c r="B72" s="35"/>
      <c r="C72" s="35"/>
    </row>
    <row r="73" spans="2:3" x14ac:dyDescent="0.2">
      <c r="B73" s="35"/>
      <c r="C73" s="35"/>
    </row>
    <row r="74" spans="2:3" x14ac:dyDescent="0.2">
      <c r="B74" s="35"/>
      <c r="C74" s="35"/>
    </row>
    <row r="75" spans="2:3" x14ac:dyDescent="0.2">
      <c r="B75" s="35"/>
      <c r="C75" s="35"/>
    </row>
    <row r="76" spans="2:3" x14ac:dyDescent="0.2">
      <c r="B76" s="35"/>
      <c r="C76" s="35"/>
    </row>
    <row r="77" spans="2:3" x14ac:dyDescent="0.2">
      <c r="B77" s="35"/>
      <c r="C77" s="35"/>
    </row>
    <row r="78" spans="2:3" x14ac:dyDescent="0.2">
      <c r="B78" s="35"/>
      <c r="C78" s="35"/>
    </row>
    <row r="79" spans="2:3" x14ac:dyDescent="0.2">
      <c r="B79" s="35"/>
      <c r="C79" s="35"/>
    </row>
    <row r="80" spans="2:3" x14ac:dyDescent="0.2">
      <c r="B80" s="35"/>
      <c r="C80" s="35"/>
    </row>
  </sheetData>
  <mergeCells count="6">
    <mergeCell ref="E3:F3"/>
    <mergeCell ref="B1:C1"/>
    <mergeCell ref="B28:D28"/>
    <mergeCell ref="B2:D2"/>
    <mergeCell ref="B26:D26"/>
    <mergeCell ref="C3:D3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</vt:i4>
      </vt:variant>
    </vt:vector>
  </HeadingPairs>
  <TitlesOfParts>
    <vt:vector size="16" baseType="lpstr">
      <vt:lpstr>datos9-2014</vt:lpstr>
      <vt:lpstr>datos9-2015</vt:lpstr>
      <vt:lpstr>Ingresos2014</vt:lpstr>
      <vt:lpstr>Ingresos2015</vt:lpstr>
      <vt:lpstr>Totales ingresos</vt:lpstr>
      <vt:lpstr>Fondos2014</vt:lpstr>
      <vt:lpstr>Fondos2015</vt:lpstr>
      <vt:lpstr>comparativa2013</vt:lpstr>
      <vt:lpstr>Totales fondos</vt:lpstr>
      <vt:lpstr>Comparación</vt:lpstr>
      <vt:lpstr>Concentración 2014</vt:lpstr>
      <vt:lpstr>Concentracion 2015</vt:lpstr>
      <vt:lpstr>totales concent 2015</vt:lpstr>
      <vt:lpstr>Internacional</vt:lpstr>
      <vt:lpstr>Comparación!Área_de_impresión</vt:lpstr>
      <vt:lpstr>Ingresos2015!Área_de_impresión</vt:lpstr>
    </vt:vector>
  </TitlesOfParts>
  <Company>prueba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Sanchez Gago</dc:creator>
  <cp:lastModifiedBy>Orue Guerrero, Carmen Noemi</cp:lastModifiedBy>
  <cp:revision/>
  <dcterms:created xsi:type="dcterms:W3CDTF">2005-01-05T10:56:45Z</dcterms:created>
  <dcterms:modified xsi:type="dcterms:W3CDTF">2019-07-15T09:18:14Z</dcterms:modified>
</cp:coreProperties>
</file>