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BBDD_Bernat\"/>
    </mc:Choice>
  </mc:AlternateContent>
  <bookViews>
    <workbookView xWindow="-15" yWindow="8475" windowWidth="28860" windowHeight="4305" tabRatio="844" activeTab="3"/>
  </bookViews>
  <sheets>
    <sheet name="datos9" sheetId="28" r:id="rId1"/>
    <sheet name="Ingresos" sheetId="1" r:id="rId2"/>
    <sheet name="Totales ingresos" sheetId="18" r:id="rId3"/>
    <sheet name="Fondos" sheetId="30" r:id="rId4"/>
    <sheet name="comparativa" sheetId="32" r:id="rId5"/>
    <sheet name="Totales fondos" sheetId="17" r:id="rId6"/>
    <sheet name="Comparación" sheetId="3" r:id="rId7"/>
    <sheet name="Concentracion" sheetId="31" r:id="rId8"/>
    <sheet name="totales concent" sheetId="5" r:id="rId9"/>
    <sheet name="Internacional" sheetId="22" r:id="rId10"/>
  </sheets>
  <externalReferences>
    <externalReference r:id="rId11"/>
  </externalReferences>
  <definedNames>
    <definedName name="_xlnm._FilterDatabase" localSheetId="1" hidden="1">Ingresos!$D$4:$D$85</definedName>
    <definedName name="_xlnm.Print_Area" localSheetId="6">Comparación!$B$2:$I$22</definedName>
    <definedName name="_xlnm.Print_Area" localSheetId="1">Ingresos!$A$2:$O$83</definedName>
  </definedNames>
  <calcPr calcId="152511" concurrentCalc="0"/>
</workbook>
</file>

<file path=xl/calcChain.xml><?xml version="1.0" encoding="utf-8"?>
<calcChain xmlns="http://schemas.openxmlformats.org/spreadsheetml/2006/main">
  <c r="Z8" i="30" l="1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55" i="30"/>
  <c r="Z56" i="30"/>
  <c r="Z57" i="30"/>
  <c r="Z58" i="30"/>
  <c r="Z59" i="30"/>
  <c r="Z60" i="30"/>
  <c r="Z61" i="30"/>
  <c r="Z62" i="30"/>
  <c r="Z63" i="30"/>
  <c r="Z64" i="30"/>
  <c r="Z65" i="30"/>
  <c r="Z66" i="30"/>
  <c r="Z67" i="30"/>
  <c r="Z68" i="30"/>
  <c r="Z69" i="30"/>
  <c r="Z70" i="30"/>
  <c r="Z71" i="30"/>
  <c r="Z72" i="30"/>
  <c r="Z73" i="30"/>
  <c r="Z74" i="30"/>
  <c r="Z75" i="30"/>
  <c r="Z76" i="30"/>
  <c r="Z77" i="30"/>
  <c r="Z78" i="30"/>
  <c r="Z79" i="30"/>
  <c r="Z80" i="30"/>
  <c r="Z81" i="30"/>
  <c r="Z84" i="30"/>
  <c r="C31" i="17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AA38" i="30"/>
  <c r="AA39" i="30"/>
  <c r="AA40" i="30"/>
  <c r="AA41" i="30"/>
  <c r="AA42" i="30"/>
  <c r="AA43" i="30"/>
  <c r="AA44" i="30"/>
  <c r="AA45" i="30"/>
  <c r="AA46" i="30"/>
  <c r="AA47" i="30"/>
  <c r="AA48" i="30"/>
  <c r="AA49" i="30"/>
  <c r="AA50" i="30"/>
  <c r="AA51" i="30"/>
  <c r="AA52" i="30"/>
  <c r="AA53" i="30"/>
  <c r="AA54" i="30"/>
  <c r="AA55" i="30"/>
  <c r="AA56" i="30"/>
  <c r="AA57" i="30"/>
  <c r="AA58" i="30"/>
  <c r="AA59" i="30"/>
  <c r="AA60" i="30"/>
  <c r="AA61" i="30"/>
  <c r="AA62" i="30"/>
  <c r="AA63" i="30"/>
  <c r="AA64" i="30"/>
  <c r="AA65" i="30"/>
  <c r="AA66" i="30"/>
  <c r="AA67" i="30"/>
  <c r="AA68" i="30"/>
  <c r="AA69" i="30"/>
  <c r="AA70" i="30"/>
  <c r="AA71" i="30"/>
  <c r="AA72" i="30"/>
  <c r="AA73" i="30"/>
  <c r="AA74" i="30"/>
  <c r="AA75" i="30"/>
  <c r="AA76" i="30"/>
  <c r="AA77" i="30"/>
  <c r="AA78" i="30"/>
  <c r="AA79" i="30"/>
  <c r="AA80" i="30"/>
  <c r="AA81" i="30"/>
  <c r="AA84" i="30"/>
  <c r="C32" i="17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8" i="30"/>
  <c r="AB49" i="30"/>
  <c r="AB50" i="30"/>
  <c r="AB51" i="30"/>
  <c r="AB52" i="30"/>
  <c r="AB53" i="30"/>
  <c r="AB54" i="30"/>
  <c r="AB55" i="30"/>
  <c r="AB56" i="30"/>
  <c r="AB57" i="30"/>
  <c r="AB58" i="30"/>
  <c r="AB59" i="30"/>
  <c r="AB60" i="30"/>
  <c r="AB61" i="30"/>
  <c r="AB62" i="30"/>
  <c r="AB63" i="30"/>
  <c r="AB64" i="30"/>
  <c r="AB65" i="30"/>
  <c r="AB66" i="30"/>
  <c r="AB67" i="30"/>
  <c r="AB68" i="30"/>
  <c r="AB69" i="30"/>
  <c r="AB70" i="30"/>
  <c r="AB71" i="30"/>
  <c r="AB72" i="30"/>
  <c r="AB73" i="30"/>
  <c r="AB74" i="30"/>
  <c r="AB75" i="30"/>
  <c r="AB76" i="30"/>
  <c r="AB77" i="30"/>
  <c r="AB78" i="30"/>
  <c r="AB79" i="30"/>
  <c r="AB80" i="30"/>
  <c r="AB81" i="30"/>
  <c r="AB84" i="30"/>
  <c r="C33" i="17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4" i="30"/>
  <c r="C34" i="17"/>
  <c r="AD8" i="30"/>
  <c r="AD9" i="30"/>
  <c r="AD10" i="30"/>
  <c r="AD11" i="30"/>
  <c r="AD12" i="30"/>
  <c r="AD13" i="30"/>
  <c r="AD14" i="30"/>
  <c r="AD15" i="30"/>
  <c r="AD16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56" i="30"/>
  <c r="AD57" i="30"/>
  <c r="AD58" i="30"/>
  <c r="AD59" i="30"/>
  <c r="AD60" i="30"/>
  <c r="AD61" i="30"/>
  <c r="AD62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76" i="30"/>
  <c r="AD77" i="30"/>
  <c r="AD78" i="30"/>
  <c r="AD79" i="30"/>
  <c r="AD80" i="30"/>
  <c r="AD81" i="30"/>
  <c r="AD84" i="30"/>
  <c r="C35" i="17"/>
  <c r="C30" i="17"/>
  <c r="AF8" i="30"/>
  <c r="AF9" i="30"/>
  <c r="AF10" i="30"/>
  <c r="AF11" i="30"/>
  <c r="AF12" i="30"/>
  <c r="AF13" i="30"/>
  <c r="AF14" i="30"/>
  <c r="AF15" i="30"/>
  <c r="AF16" i="30"/>
  <c r="AF17" i="30"/>
  <c r="AF18" i="30"/>
  <c r="AF19" i="30"/>
  <c r="AF20" i="30"/>
  <c r="AF21" i="30"/>
  <c r="AF22" i="30"/>
  <c r="AF23" i="30"/>
  <c r="AF24" i="30"/>
  <c r="AF25" i="30"/>
  <c r="AF26" i="30"/>
  <c r="AF27" i="30"/>
  <c r="AF28" i="30"/>
  <c r="AF29" i="30"/>
  <c r="AF30" i="30"/>
  <c r="AF31" i="30"/>
  <c r="AF32" i="30"/>
  <c r="AF33" i="30"/>
  <c r="AQ28" i="28"/>
  <c r="AF34" i="30"/>
  <c r="AF35" i="30"/>
  <c r="AF36" i="30"/>
  <c r="AF37" i="30"/>
  <c r="AF38" i="30"/>
  <c r="AF39" i="30"/>
  <c r="AF40" i="30"/>
  <c r="AF41" i="30"/>
  <c r="AF42" i="30"/>
  <c r="AF43" i="30"/>
  <c r="AF44" i="30"/>
  <c r="AF45" i="30"/>
  <c r="AF46" i="30"/>
  <c r="AF47" i="30"/>
  <c r="AF48" i="30"/>
  <c r="AF49" i="30"/>
  <c r="AF50" i="30"/>
  <c r="AF51" i="30"/>
  <c r="AF52" i="30"/>
  <c r="AF53" i="30"/>
  <c r="AF54" i="30"/>
  <c r="AF55" i="30"/>
  <c r="AF56" i="30"/>
  <c r="AF57" i="30"/>
  <c r="AF58" i="30"/>
  <c r="AF59" i="30"/>
  <c r="AF60" i="30"/>
  <c r="AF61" i="30"/>
  <c r="AF62" i="30"/>
  <c r="AF63" i="30"/>
  <c r="AF64" i="30"/>
  <c r="AF65" i="30"/>
  <c r="AF66" i="30"/>
  <c r="AF67" i="30"/>
  <c r="AF68" i="30"/>
  <c r="AF69" i="30"/>
  <c r="AF70" i="30"/>
  <c r="AF71" i="30"/>
  <c r="AF72" i="30"/>
  <c r="AF73" i="30"/>
  <c r="AF74" i="30"/>
  <c r="AF75" i="30"/>
  <c r="AF76" i="30"/>
  <c r="AF77" i="30"/>
  <c r="AF78" i="30"/>
  <c r="AF79" i="30"/>
  <c r="AF80" i="30"/>
  <c r="AF81" i="30"/>
  <c r="AF84" i="30"/>
  <c r="C37" i="17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25" i="30"/>
  <c r="AG26" i="30"/>
  <c r="AG27" i="30"/>
  <c r="AG28" i="30"/>
  <c r="AG29" i="30"/>
  <c r="AG30" i="30"/>
  <c r="AG31" i="30"/>
  <c r="AG32" i="30"/>
  <c r="AG33" i="30"/>
  <c r="AS28" i="28"/>
  <c r="AG34" i="30"/>
  <c r="AG35" i="30"/>
  <c r="AG36" i="30"/>
  <c r="AG37" i="30"/>
  <c r="AG38" i="30"/>
  <c r="AG39" i="30"/>
  <c r="AG40" i="30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AG60" i="30"/>
  <c r="AG61" i="30"/>
  <c r="AG62" i="30"/>
  <c r="AG63" i="30"/>
  <c r="AG64" i="30"/>
  <c r="AG65" i="30"/>
  <c r="AG66" i="30"/>
  <c r="AG67" i="30"/>
  <c r="AG68" i="30"/>
  <c r="AG69" i="30"/>
  <c r="AG70" i="30"/>
  <c r="AG71" i="30"/>
  <c r="AG72" i="30"/>
  <c r="AG73" i="30"/>
  <c r="AG74" i="30"/>
  <c r="AG75" i="30"/>
  <c r="AG76" i="30"/>
  <c r="AG77" i="30"/>
  <c r="AG78" i="30"/>
  <c r="AG79" i="30"/>
  <c r="AG80" i="30"/>
  <c r="AG81" i="30"/>
  <c r="AG84" i="30"/>
  <c r="C38" i="17"/>
  <c r="AH8" i="30"/>
  <c r="AH9" i="30"/>
  <c r="AH10" i="30"/>
  <c r="AH11" i="30"/>
  <c r="AH12" i="30"/>
  <c r="AH13" i="30"/>
  <c r="AH14" i="30"/>
  <c r="AH15" i="30"/>
  <c r="AH16" i="30"/>
  <c r="AH17" i="30"/>
  <c r="AH18" i="30"/>
  <c r="AH19" i="30"/>
  <c r="AH20" i="30"/>
  <c r="AH21" i="30"/>
  <c r="AH22" i="30"/>
  <c r="AH23" i="30"/>
  <c r="AH24" i="30"/>
  <c r="AH2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2" i="30"/>
  <c r="AH43" i="30"/>
  <c r="AH44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4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H80" i="30"/>
  <c r="AH81" i="30"/>
  <c r="AH84" i="30"/>
  <c r="C39" i="17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20" i="30"/>
  <c r="AI21" i="30"/>
  <c r="AI22" i="30"/>
  <c r="AI23" i="30"/>
  <c r="AI24" i="30"/>
  <c r="AI25" i="30"/>
  <c r="AI26" i="30"/>
  <c r="AI27" i="30"/>
  <c r="AI28" i="30"/>
  <c r="AI29" i="30"/>
  <c r="AI30" i="30"/>
  <c r="AI31" i="30"/>
  <c r="AI32" i="30"/>
  <c r="AI33" i="30"/>
  <c r="AI34" i="30"/>
  <c r="AI35" i="30"/>
  <c r="AI36" i="30"/>
  <c r="AI37" i="30"/>
  <c r="AI38" i="30"/>
  <c r="AI39" i="30"/>
  <c r="AI40" i="30"/>
  <c r="AI41" i="30"/>
  <c r="AI42" i="30"/>
  <c r="AI43" i="30"/>
  <c r="AI44" i="30"/>
  <c r="AI45" i="30"/>
  <c r="AI46" i="30"/>
  <c r="AI47" i="30"/>
  <c r="AI48" i="30"/>
  <c r="AI49" i="30"/>
  <c r="AI50" i="30"/>
  <c r="AI51" i="30"/>
  <c r="AI52" i="30"/>
  <c r="AI53" i="30"/>
  <c r="AI54" i="30"/>
  <c r="AI55" i="30"/>
  <c r="AI56" i="30"/>
  <c r="AI57" i="30"/>
  <c r="AI58" i="30"/>
  <c r="AI59" i="30"/>
  <c r="AI60" i="30"/>
  <c r="AI61" i="30"/>
  <c r="AI62" i="30"/>
  <c r="AI63" i="30"/>
  <c r="AI64" i="30"/>
  <c r="AI65" i="30"/>
  <c r="AI66" i="30"/>
  <c r="AI67" i="30"/>
  <c r="AI68" i="30"/>
  <c r="AI69" i="30"/>
  <c r="AI70" i="30"/>
  <c r="AI71" i="30"/>
  <c r="AI72" i="30"/>
  <c r="AI73" i="30"/>
  <c r="AI74" i="30"/>
  <c r="AI75" i="30"/>
  <c r="AI76" i="30"/>
  <c r="AI77" i="30"/>
  <c r="AI78" i="30"/>
  <c r="AI79" i="30"/>
  <c r="AI80" i="30"/>
  <c r="AI81" i="30"/>
  <c r="AI84" i="30"/>
  <c r="C40" i="17"/>
  <c r="C36" i="17"/>
  <c r="AK8" i="30"/>
  <c r="AK9" i="30"/>
  <c r="AK10" i="30"/>
  <c r="AK11" i="30"/>
  <c r="AK12" i="30"/>
  <c r="AK13" i="30"/>
  <c r="AK14" i="30"/>
  <c r="AK15" i="30"/>
  <c r="AK16" i="30"/>
  <c r="AK17" i="30"/>
  <c r="AK18" i="30"/>
  <c r="AK19" i="30"/>
  <c r="AK20" i="30"/>
  <c r="AK21" i="30"/>
  <c r="AK22" i="30"/>
  <c r="AK23" i="30"/>
  <c r="AK24" i="30"/>
  <c r="AK25" i="30"/>
  <c r="AK26" i="30"/>
  <c r="AK27" i="30"/>
  <c r="AK28" i="30"/>
  <c r="AK29" i="30"/>
  <c r="AK30" i="30"/>
  <c r="AK31" i="30"/>
  <c r="AK32" i="30"/>
  <c r="AK33" i="30"/>
  <c r="AK34" i="30"/>
  <c r="AK35" i="30"/>
  <c r="AK36" i="30"/>
  <c r="AK37" i="30"/>
  <c r="AK38" i="30"/>
  <c r="AK39" i="30"/>
  <c r="AK40" i="30"/>
  <c r="AK41" i="30"/>
  <c r="AK42" i="30"/>
  <c r="AK43" i="30"/>
  <c r="AK44" i="30"/>
  <c r="AK45" i="30"/>
  <c r="AK46" i="30"/>
  <c r="AK47" i="30"/>
  <c r="AK48" i="30"/>
  <c r="AK49" i="30"/>
  <c r="AK50" i="30"/>
  <c r="AK51" i="30"/>
  <c r="AK52" i="30"/>
  <c r="AK53" i="30"/>
  <c r="AK54" i="30"/>
  <c r="AK55" i="30"/>
  <c r="AK56" i="30"/>
  <c r="AK57" i="30"/>
  <c r="AK58" i="30"/>
  <c r="AK59" i="30"/>
  <c r="AK60" i="30"/>
  <c r="AK61" i="30"/>
  <c r="AK62" i="30"/>
  <c r="AK63" i="30"/>
  <c r="AK64" i="30"/>
  <c r="AK65" i="30"/>
  <c r="AK66" i="30"/>
  <c r="AK67" i="30"/>
  <c r="AK68" i="30"/>
  <c r="AK69" i="30"/>
  <c r="AK70" i="30"/>
  <c r="AK71" i="30"/>
  <c r="AK72" i="30"/>
  <c r="AK73" i="30"/>
  <c r="AK74" i="30"/>
  <c r="AK75" i="30"/>
  <c r="AK76" i="30"/>
  <c r="AK77" i="30"/>
  <c r="AK78" i="30"/>
  <c r="AK79" i="30"/>
  <c r="AK80" i="30"/>
  <c r="AK81" i="30"/>
  <c r="AK84" i="30"/>
  <c r="C42" i="17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3" i="30"/>
  <c r="AL34" i="30"/>
  <c r="AL35" i="30"/>
  <c r="AL36" i="30"/>
  <c r="AL37" i="30"/>
  <c r="AL38" i="30"/>
  <c r="AL39" i="30"/>
  <c r="AL40" i="30"/>
  <c r="AL41" i="30"/>
  <c r="AL42" i="30"/>
  <c r="AL43" i="30"/>
  <c r="AL44" i="30"/>
  <c r="AL45" i="30"/>
  <c r="AL46" i="30"/>
  <c r="AL47" i="30"/>
  <c r="AL48" i="30"/>
  <c r="AL49" i="30"/>
  <c r="AL50" i="30"/>
  <c r="AL51" i="30"/>
  <c r="AL52" i="30"/>
  <c r="AL53" i="30"/>
  <c r="AL54" i="30"/>
  <c r="AL55" i="30"/>
  <c r="AL56" i="30"/>
  <c r="AL57" i="30"/>
  <c r="AL58" i="30"/>
  <c r="AL59" i="30"/>
  <c r="AL60" i="30"/>
  <c r="AL61" i="30"/>
  <c r="AL62" i="30"/>
  <c r="AL63" i="30"/>
  <c r="AL64" i="30"/>
  <c r="AL65" i="30"/>
  <c r="AL66" i="30"/>
  <c r="AL67" i="30"/>
  <c r="AL68" i="30"/>
  <c r="AL69" i="30"/>
  <c r="AL70" i="30"/>
  <c r="AL71" i="30"/>
  <c r="AL72" i="30"/>
  <c r="AL73" i="30"/>
  <c r="AL74" i="30"/>
  <c r="AL75" i="30"/>
  <c r="AL76" i="30"/>
  <c r="AL77" i="30"/>
  <c r="AL78" i="30"/>
  <c r="AL79" i="30"/>
  <c r="AL80" i="30"/>
  <c r="AL81" i="30"/>
  <c r="AL84" i="30"/>
  <c r="C43" i="17"/>
  <c r="AM8" i="30"/>
  <c r="AM9" i="30"/>
  <c r="AM10" i="30"/>
  <c r="AM11" i="30"/>
  <c r="AM12" i="30"/>
  <c r="AM13" i="30"/>
  <c r="AM14" i="30"/>
  <c r="AM15" i="30"/>
  <c r="AM16" i="30"/>
  <c r="AM17" i="30"/>
  <c r="AM18" i="30"/>
  <c r="AM19" i="30"/>
  <c r="AM20" i="30"/>
  <c r="AM21" i="30"/>
  <c r="AM22" i="30"/>
  <c r="AM23" i="30"/>
  <c r="AM24" i="30"/>
  <c r="AM25" i="30"/>
  <c r="AM26" i="30"/>
  <c r="AM27" i="30"/>
  <c r="AM28" i="30"/>
  <c r="AM29" i="30"/>
  <c r="AM30" i="30"/>
  <c r="AM31" i="30"/>
  <c r="AM32" i="30"/>
  <c r="AM33" i="30"/>
  <c r="AM34" i="30"/>
  <c r="AM35" i="30"/>
  <c r="AM36" i="30"/>
  <c r="AM37" i="30"/>
  <c r="AM38" i="30"/>
  <c r="AM39" i="30"/>
  <c r="AM40" i="30"/>
  <c r="AM41" i="30"/>
  <c r="AM42" i="30"/>
  <c r="AM43" i="30"/>
  <c r="AM44" i="30"/>
  <c r="AM45" i="30"/>
  <c r="AM46" i="30"/>
  <c r="AM47" i="30"/>
  <c r="AM48" i="30"/>
  <c r="AM49" i="30"/>
  <c r="AM50" i="30"/>
  <c r="AM51" i="30"/>
  <c r="AM52" i="30"/>
  <c r="AM53" i="30"/>
  <c r="AM54" i="30"/>
  <c r="AM55" i="30"/>
  <c r="AM56" i="30"/>
  <c r="AM57" i="30"/>
  <c r="AM58" i="30"/>
  <c r="AM59" i="30"/>
  <c r="AM60" i="30"/>
  <c r="AM61" i="30"/>
  <c r="AM62" i="30"/>
  <c r="AM63" i="30"/>
  <c r="AM64" i="30"/>
  <c r="AM65" i="30"/>
  <c r="AM66" i="30"/>
  <c r="AM67" i="30"/>
  <c r="AM68" i="30"/>
  <c r="AM69" i="30"/>
  <c r="AM70" i="30"/>
  <c r="AM71" i="30"/>
  <c r="AM72" i="30"/>
  <c r="AM73" i="30"/>
  <c r="AM74" i="30"/>
  <c r="AM75" i="30"/>
  <c r="AM76" i="30"/>
  <c r="AM77" i="30"/>
  <c r="AM78" i="30"/>
  <c r="AM79" i="30"/>
  <c r="AM80" i="30"/>
  <c r="AM81" i="30"/>
  <c r="AM84" i="30"/>
  <c r="C44" i="17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4" i="30"/>
  <c r="C45" i="17"/>
  <c r="C41" i="17"/>
  <c r="AP8" i="30"/>
  <c r="AP9" i="30"/>
  <c r="AP10" i="30"/>
  <c r="AP11" i="30"/>
  <c r="AP12" i="30"/>
  <c r="AP13" i="30"/>
  <c r="AP14" i="30"/>
  <c r="AP15" i="30"/>
  <c r="AP16" i="30"/>
  <c r="AP17" i="30"/>
  <c r="AP18" i="30"/>
  <c r="AP19" i="30"/>
  <c r="AP20" i="30"/>
  <c r="AP21" i="30"/>
  <c r="AP22" i="30"/>
  <c r="AP23" i="30"/>
  <c r="AP24" i="30"/>
  <c r="AP25" i="30"/>
  <c r="AP26" i="30"/>
  <c r="AP27" i="30"/>
  <c r="AP28" i="30"/>
  <c r="AP29" i="30"/>
  <c r="AP30" i="30"/>
  <c r="AP31" i="30"/>
  <c r="AP32" i="30"/>
  <c r="AP33" i="30"/>
  <c r="AP34" i="30"/>
  <c r="AP35" i="30"/>
  <c r="AP36" i="30"/>
  <c r="AP37" i="30"/>
  <c r="AP38" i="30"/>
  <c r="AP39" i="30"/>
  <c r="AP40" i="30"/>
  <c r="AP41" i="30"/>
  <c r="AP42" i="30"/>
  <c r="AP43" i="30"/>
  <c r="AP44" i="30"/>
  <c r="AP45" i="30"/>
  <c r="AP46" i="30"/>
  <c r="AP47" i="30"/>
  <c r="AP48" i="30"/>
  <c r="AP49" i="30"/>
  <c r="AP50" i="30"/>
  <c r="AP51" i="30"/>
  <c r="AP52" i="30"/>
  <c r="AP53" i="30"/>
  <c r="AP54" i="30"/>
  <c r="AP55" i="30"/>
  <c r="AP56" i="30"/>
  <c r="AP57" i="30"/>
  <c r="AP58" i="30"/>
  <c r="AP59" i="30"/>
  <c r="AP60" i="30"/>
  <c r="AP61" i="30"/>
  <c r="AP62" i="30"/>
  <c r="AP63" i="30"/>
  <c r="AP64" i="30"/>
  <c r="AP65" i="30"/>
  <c r="AP66" i="30"/>
  <c r="AP67" i="30"/>
  <c r="AP68" i="30"/>
  <c r="AP69" i="30"/>
  <c r="AP70" i="30"/>
  <c r="AP71" i="30"/>
  <c r="AP72" i="30"/>
  <c r="AP73" i="30"/>
  <c r="AP74" i="30"/>
  <c r="AP75" i="30"/>
  <c r="AP76" i="30"/>
  <c r="AP77" i="30"/>
  <c r="AP78" i="30"/>
  <c r="AP79" i="30"/>
  <c r="AP80" i="30"/>
  <c r="AP81" i="30"/>
  <c r="AP84" i="30"/>
  <c r="C46" i="17"/>
  <c r="C47" i="17"/>
  <c r="K61" i="17"/>
  <c r="M69" i="17"/>
  <c r="D8" i="30"/>
  <c r="D9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4" i="30"/>
  <c r="C6" i="17"/>
  <c r="E8" i="30"/>
  <c r="E9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4" i="30"/>
  <c r="C7" i="17"/>
  <c r="F8" i="30"/>
  <c r="F9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4" i="30"/>
  <c r="C8" i="17"/>
  <c r="C5" i="17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4" i="30"/>
  <c r="C10" i="17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4" i="30"/>
  <c r="C11" i="17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4" i="30"/>
  <c r="C12" i="17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4" i="30"/>
  <c r="C13" i="17"/>
  <c r="C9" i="17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4" i="30"/>
  <c r="C15" i="17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4" i="30"/>
  <c r="C16" i="17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4" i="30"/>
  <c r="C17" i="17"/>
  <c r="C14" i="17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4" i="30"/>
  <c r="C19" i="17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4" i="30"/>
  <c r="C20" i="17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76" i="30"/>
  <c r="S77" i="30"/>
  <c r="S78" i="30"/>
  <c r="S79" i="30"/>
  <c r="S80" i="30"/>
  <c r="S81" i="30"/>
  <c r="S84" i="30"/>
  <c r="C21" i="17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4" i="30"/>
  <c r="C22" i="17"/>
  <c r="C18" i="17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63" i="30"/>
  <c r="V64" i="30"/>
  <c r="V65" i="30"/>
  <c r="V66" i="30"/>
  <c r="V67" i="30"/>
  <c r="V68" i="30"/>
  <c r="V69" i="30"/>
  <c r="V70" i="30"/>
  <c r="V71" i="30"/>
  <c r="V72" i="30"/>
  <c r="V73" i="30"/>
  <c r="V74" i="30"/>
  <c r="V75" i="30"/>
  <c r="V76" i="30"/>
  <c r="V77" i="30"/>
  <c r="V78" i="30"/>
  <c r="V79" i="30"/>
  <c r="V80" i="30"/>
  <c r="V81" i="30"/>
  <c r="V84" i="30"/>
  <c r="C23" i="17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76" i="30"/>
  <c r="W77" i="30"/>
  <c r="W78" i="30"/>
  <c r="W79" i="30"/>
  <c r="W80" i="30"/>
  <c r="W81" i="30"/>
  <c r="W84" i="30"/>
  <c r="C24" i="17"/>
  <c r="C25" i="17"/>
  <c r="K62" i="17"/>
  <c r="M70" i="17"/>
  <c r="N70" i="17"/>
  <c r="O70" i="17"/>
  <c r="N69" i="17"/>
  <c r="O69" i="17"/>
  <c r="M68" i="17"/>
  <c r="L68" i="17"/>
  <c r="N68" i="17"/>
  <c r="O68" i="17"/>
  <c r="C50" i="17"/>
  <c r="K59" i="17"/>
  <c r="M67" i="17"/>
  <c r="K58" i="17"/>
  <c r="M66" i="17"/>
  <c r="L62" i="17"/>
  <c r="M62" i="17"/>
  <c r="L61" i="17"/>
  <c r="M61" i="17"/>
  <c r="K60" i="17"/>
  <c r="L60" i="17"/>
  <c r="M60" i="17"/>
  <c r="C37" i="18"/>
  <c r="J45" i="18"/>
  <c r="C38" i="18"/>
  <c r="J46" i="18"/>
  <c r="J47" i="18"/>
  <c r="K47" i="18"/>
  <c r="L47" i="18"/>
  <c r="K46" i="18"/>
  <c r="L46" i="18"/>
  <c r="K45" i="18"/>
  <c r="L45" i="18"/>
  <c r="F79" i="1"/>
  <c r="G79" i="1"/>
  <c r="O79" i="1"/>
  <c r="AW8" i="30"/>
  <c r="AW9" i="30"/>
  <c r="AW10" i="30"/>
  <c r="AW11" i="30"/>
  <c r="AW12" i="30"/>
  <c r="AW13" i="30"/>
  <c r="AW14" i="30"/>
  <c r="AW15" i="30"/>
  <c r="AW16" i="30"/>
  <c r="AW17" i="30"/>
  <c r="AW18" i="30"/>
  <c r="AW19" i="30"/>
  <c r="AW20" i="30"/>
  <c r="AW21" i="30"/>
  <c r="AW22" i="30"/>
  <c r="AW23" i="30"/>
  <c r="AW24" i="30"/>
  <c r="AW25" i="30"/>
  <c r="AW26" i="30"/>
  <c r="AW27" i="30"/>
  <c r="AW28" i="30"/>
  <c r="AW29" i="30"/>
  <c r="AW30" i="30"/>
  <c r="AW31" i="30"/>
  <c r="AW32" i="30"/>
  <c r="AW33" i="30"/>
  <c r="AW34" i="30"/>
  <c r="AW35" i="30"/>
  <c r="AW36" i="30"/>
  <c r="AW37" i="30"/>
  <c r="AW38" i="30"/>
  <c r="AW39" i="30"/>
  <c r="AW40" i="30"/>
  <c r="AW41" i="30"/>
  <c r="AW42" i="30"/>
  <c r="AW43" i="30"/>
  <c r="AW44" i="30"/>
  <c r="AW45" i="30"/>
  <c r="AW46" i="30"/>
  <c r="AW47" i="30"/>
  <c r="AW48" i="30"/>
  <c r="AW49" i="30"/>
  <c r="AW50" i="30"/>
  <c r="AW51" i="30"/>
  <c r="AW52" i="30"/>
  <c r="AW53" i="30"/>
  <c r="AW54" i="30"/>
  <c r="AW55" i="30"/>
  <c r="AW56" i="30"/>
  <c r="AW57" i="30"/>
  <c r="AW58" i="30"/>
  <c r="AW59" i="30"/>
  <c r="AW60" i="30"/>
  <c r="AW61" i="30"/>
  <c r="AW62" i="30"/>
  <c r="AW63" i="30"/>
  <c r="AW64" i="30"/>
  <c r="AW65" i="30"/>
  <c r="AW66" i="30"/>
  <c r="AW67" i="30"/>
  <c r="AW68" i="30"/>
  <c r="AW69" i="30"/>
  <c r="AW70" i="30"/>
  <c r="AW71" i="30"/>
  <c r="AW72" i="30"/>
  <c r="AW73" i="30"/>
  <c r="AW74" i="30"/>
  <c r="AW75" i="30"/>
  <c r="AW76" i="30"/>
  <c r="AW77" i="30"/>
  <c r="AW78" i="30"/>
  <c r="AW79" i="30"/>
  <c r="AW80" i="30"/>
  <c r="AW81" i="30"/>
  <c r="AW84" i="30"/>
  <c r="F8" i="1"/>
  <c r="G8" i="1"/>
  <c r="O8" i="1"/>
  <c r="G9" i="1"/>
  <c r="O9" i="1"/>
  <c r="F10" i="1"/>
  <c r="G10" i="1"/>
  <c r="O10" i="1"/>
  <c r="F11" i="1"/>
  <c r="G11" i="1"/>
  <c r="O11" i="1"/>
  <c r="F12" i="1"/>
  <c r="G12" i="1"/>
  <c r="O12" i="1"/>
  <c r="F13" i="1"/>
  <c r="G13" i="1"/>
  <c r="O13" i="1"/>
  <c r="F14" i="1"/>
  <c r="G14" i="1"/>
  <c r="O14" i="1"/>
  <c r="F15" i="1"/>
  <c r="G15" i="1"/>
  <c r="O15" i="1"/>
  <c r="F16" i="1"/>
  <c r="G16" i="1"/>
  <c r="O16" i="1"/>
  <c r="F17" i="1"/>
  <c r="G17" i="1"/>
  <c r="O17" i="1"/>
  <c r="F18" i="1"/>
  <c r="G18" i="1"/>
  <c r="O18" i="1"/>
  <c r="F19" i="1"/>
  <c r="G19" i="1"/>
  <c r="O19" i="1"/>
  <c r="F20" i="1"/>
  <c r="G20" i="1"/>
  <c r="O20" i="1"/>
  <c r="F21" i="1"/>
  <c r="G21" i="1"/>
  <c r="O21" i="1"/>
  <c r="F22" i="1"/>
  <c r="G22" i="1"/>
  <c r="O22" i="1"/>
  <c r="F23" i="1"/>
  <c r="G23" i="1"/>
  <c r="O23" i="1"/>
  <c r="F24" i="1"/>
  <c r="G24" i="1"/>
  <c r="O24" i="1"/>
  <c r="F25" i="1"/>
  <c r="G25" i="1"/>
  <c r="O25" i="1"/>
  <c r="F26" i="1"/>
  <c r="G26" i="1"/>
  <c r="O26" i="1"/>
  <c r="F27" i="1"/>
  <c r="G27" i="1"/>
  <c r="O27" i="1"/>
  <c r="F28" i="1"/>
  <c r="G28" i="1"/>
  <c r="O28" i="1"/>
  <c r="F29" i="1"/>
  <c r="G29" i="1"/>
  <c r="O29" i="1"/>
  <c r="F30" i="1"/>
  <c r="G30" i="1"/>
  <c r="O30" i="1"/>
  <c r="F31" i="1"/>
  <c r="G31" i="1"/>
  <c r="O31" i="1"/>
  <c r="F32" i="1"/>
  <c r="G32" i="1"/>
  <c r="O32" i="1"/>
  <c r="F33" i="1"/>
  <c r="G33" i="1"/>
  <c r="O33" i="1"/>
  <c r="F34" i="1"/>
  <c r="G34" i="1"/>
  <c r="O34" i="1"/>
  <c r="F35" i="1"/>
  <c r="G35" i="1"/>
  <c r="O35" i="1"/>
  <c r="F36" i="1"/>
  <c r="G36" i="1"/>
  <c r="O36" i="1"/>
  <c r="F37" i="1"/>
  <c r="G37" i="1"/>
  <c r="O37" i="1"/>
  <c r="F38" i="1"/>
  <c r="G38" i="1"/>
  <c r="O38" i="1"/>
  <c r="F39" i="1"/>
  <c r="G39" i="1"/>
  <c r="O39" i="1"/>
  <c r="F7" i="1"/>
  <c r="G7" i="1"/>
  <c r="O7" i="1"/>
  <c r="F40" i="1"/>
  <c r="G40" i="1"/>
  <c r="O40" i="1"/>
  <c r="F41" i="1"/>
  <c r="G41" i="1"/>
  <c r="O41" i="1"/>
  <c r="F42" i="1"/>
  <c r="G42" i="1"/>
  <c r="O42" i="1"/>
  <c r="F43" i="1"/>
  <c r="G43" i="1"/>
  <c r="O43" i="1"/>
  <c r="F44" i="1"/>
  <c r="G44" i="1"/>
  <c r="O44" i="1"/>
  <c r="G45" i="1"/>
  <c r="O45" i="1"/>
  <c r="F46" i="1"/>
  <c r="G46" i="1"/>
  <c r="O46" i="1"/>
  <c r="F47" i="1"/>
  <c r="G47" i="1"/>
  <c r="O47" i="1"/>
  <c r="F48" i="1"/>
  <c r="G48" i="1"/>
  <c r="O48" i="1"/>
  <c r="F49" i="1"/>
  <c r="G49" i="1"/>
  <c r="O49" i="1"/>
  <c r="F50" i="1"/>
  <c r="G50" i="1"/>
  <c r="O50" i="1"/>
  <c r="F51" i="1"/>
  <c r="G51" i="1"/>
  <c r="O51" i="1"/>
  <c r="F52" i="1"/>
  <c r="G52" i="1"/>
  <c r="O52" i="1"/>
  <c r="F53" i="1"/>
  <c r="G53" i="1"/>
  <c r="O53" i="1"/>
  <c r="F54" i="1"/>
  <c r="G54" i="1"/>
  <c r="O54" i="1"/>
  <c r="F55" i="1"/>
  <c r="G55" i="1"/>
  <c r="O55" i="1"/>
  <c r="F56" i="1"/>
  <c r="G56" i="1"/>
  <c r="O56" i="1"/>
  <c r="F57" i="1"/>
  <c r="G57" i="1"/>
  <c r="O57" i="1"/>
  <c r="F58" i="1"/>
  <c r="G58" i="1"/>
  <c r="O58" i="1"/>
  <c r="F59" i="1"/>
  <c r="G59" i="1"/>
  <c r="O59" i="1"/>
  <c r="F60" i="1"/>
  <c r="G60" i="1"/>
  <c r="O60" i="1"/>
  <c r="F61" i="1"/>
  <c r="G61" i="1"/>
  <c r="O61" i="1"/>
  <c r="F62" i="1"/>
  <c r="G62" i="1"/>
  <c r="O62" i="1"/>
  <c r="F63" i="1"/>
  <c r="G63" i="1"/>
  <c r="O63" i="1"/>
  <c r="F64" i="1"/>
  <c r="G64" i="1"/>
  <c r="O64" i="1"/>
  <c r="F65" i="1"/>
  <c r="G65" i="1"/>
  <c r="O65" i="1"/>
  <c r="F66" i="1"/>
  <c r="G66" i="1"/>
  <c r="O66" i="1"/>
  <c r="F67" i="1"/>
  <c r="G67" i="1"/>
  <c r="O67" i="1"/>
  <c r="F68" i="1"/>
  <c r="G68" i="1"/>
  <c r="O68" i="1"/>
  <c r="F69" i="1"/>
  <c r="G69" i="1"/>
  <c r="O69" i="1"/>
  <c r="F70" i="1"/>
  <c r="G70" i="1"/>
  <c r="O70" i="1"/>
  <c r="F71" i="1"/>
  <c r="G71" i="1"/>
  <c r="O71" i="1"/>
  <c r="F72" i="1"/>
  <c r="G72" i="1"/>
  <c r="O72" i="1"/>
  <c r="F73" i="1"/>
  <c r="G73" i="1"/>
  <c r="O73" i="1"/>
  <c r="F74" i="1"/>
  <c r="G74" i="1"/>
  <c r="O74" i="1"/>
  <c r="F75" i="1"/>
  <c r="G75" i="1"/>
  <c r="O75" i="1"/>
  <c r="F76" i="1"/>
  <c r="G76" i="1"/>
  <c r="O76" i="1"/>
  <c r="F77" i="1"/>
  <c r="G77" i="1"/>
  <c r="O77" i="1"/>
  <c r="F78" i="1"/>
  <c r="G78" i="1"/>
  <c r="O78" i="1"/>
  <c r="F80" i="1"/>
  <c r="G80" i="1"/>
  <c r="O80" i="1"/>
  <c r="O82" i="1"/>
  <c r="D13" i="3"/>
  <c r="D11" i="18"/>
  <c r="M45" i="1"/>
  <c r="M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52" i="28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7" i="1"/>
  <c r="J3" i="28"/>
  <c r="K8" i="1"/>
  <c r="J4" i="28"/>
  <c r="K9" i="1"/>
  <c r="J5" i="28"/>
  <c r="K10" i="1"/>
  <c r="J6" i="28"/>
  <c r="K11" i="1"/>
  <c r="J7" i="28"/>
  <c r="K12" i="1"/>
  <c r="J8" i="28"/>
  <c r="K13" i="1"/>
  <c r="J9" i="28"/>
  <c r="K14" i="1"/>
  <c r="J10" i="28"/>
  <c r="K15" i="1"/>
  <c r="J11" i="28"/>
  <c r="K16" i="1"/>
  <c r="J12" i="28"/>
  <c r="K17" i="1"/>
  <c r="J13" i="28"/>
  <c r="K18" i="1"/>
  <c r="J14" i="28"/>
  <c r="K19" i="1"/>
  <c r="J15" i="28"/>
  <c r="K20" i="1"/>
  <c r="J16" i="28"/>
  <c r="K21" i="1"/>
  <c r="J17" i="28"/>
  <c r="K22" i="1"/>
  <c r="J18" i="28"/>
  <c r="K23" i="1"/>
  <c r="J19" i="28"/>
  <c r="K24" i="1"/>
  <c r="J20" i="28"/>
  <c r="K25" i="1"/>
  <c r="J21" i="28"/>
  <c r="K26" i="1"/>
  <c r="J22" i="28"/>
  <c r="K27" i="1"/>
  <c r="J23" i="28"/>
  <c r="K28" i="1"/>
  <c r="J24" i="28"/>
  <c r="K29" i="1"/>
  <c r="J25" i="28"/>
  <c r="K30" i="1"/>
  <c r="J26" i="28"/>
  <c r="K31" i="1"/>
  <c r="J27" i="28"/>
  <c r="K32" i="1"/>
  <c r="J28" i="28"/>
  <c r="K33" i="1"/>
  <c r="J29" i="28"/>
  <c r="K34" i="1"/>
  <c r="J30" i="28"/>
  <c r="K35" i="1"/>
  <c r="J31" i="28"/>
  <c r="K36" i="1"/>
  <c r="J32" i="28"/>
  <c r="K37" i="1"/>
  <c r="J33" i="28"/>
  <c r="K38" i="1"/>
  <c r="J34" i="28"/>
  <c r="K39" i="1"/>
  <c r="J35" i="28"/>
  <c r="K40" i="1"/>
  <c r="J36" i="28"/>
  <c r="K41" i="1"/>
  <c r="J37" i="28"/>
  <c r="K42" i="1"/>
  <c r="J38" i="28"/>
  <c r="K43" i="1"/>
  <c r="J39" i="28"/>
  <c r="K44" i="1"/>
  <c r="J40" i="28"/>
  <c r="K45" i="1"/>
  <c r="J41" i="28"/>
  <c r="K46" i="1"/>
  <c r="J42" i="28"/>
  <c r="K47" i="1"/>
  <c r="J43" i="28"/>
  <c r="K48" i="1"/>
  <c r="J44" i="28"/>
  <c r="K49" i="1"/>
  <c r="J45" i="28"/>
  <c r="K50" i="1"/>
  <c r="J46" i="28"/>
  <c r="K51" i="1"/>
  <c r="J47" i="28"/>
  <c r="K52" i="1"/>
  <c r="J48" i="28"/>
  <c r="K53" i="1"/>
  <c r="J49" i="28"/>
  <c r="K54" i="1"/>
  <c r="J50" i="28"/>
  <c r="K55" i="1"/>
  <c r="J51" i="28"/>
  <c r="K56" i="1"/>
  <c r="J52" i="28"/>
  <c r="K57" i="1"/>
  <c r="J53" i="28"/>
  <c r="K58" i="1"/>
  <c r="J54" i="28"/>
  <c r="K59" i="1"/>
  <c r="J55" i="28"/>
  <c r="K60" i="1"/>
  <c r="J56" i="28"/>
  <c r="K61" i="1"/>
  <c r="J57" i="28"/>
  <c r="K62" i="1"/>
  <c r="J58" i="28"/>
  <c r="K63" i="1"/>
  <c r="J59" i="28"/>
  <c r="K64" i="1"/>
  <c r="J60" i="28"/>
  <c r="K65" i="1"/>
  <c r="J61" i="28"/>
  <c r="K66" i="1"/>
  <c r="J62" i="28"/>
  <c r="K67" i="1"/>
  <c r="J63" i="28"/>
  <c r="K68" i="1"/>
  <c r="J64" i="28"/>
  <c r="K69" i="1"/>
  <c r="J65" i="28"/>
  <c r="K70" i="1"/>
  <c r="J66" i="28"/>
  <c r="K71" i="1"/>
  <c r="J67" i="28"/>
  <c r="K72" i="1"/>
  <c r="J68" i="28"/>
  <c r="K73" i="1"/>
  <c r="J69" i="28"/>
  <c r="K74" i="1"/>
  <c r="J70" i="28"/>
  <c r="K75" i="1"/>
  <c r="J71" i="28"/>
  <c r="K76" i="1"/>
  <c r="J72" i="28"/>
  <c r="K77" i="1"/>
  <c r="J73" i="28"/>
  <c r="K78" i="1"/>
  <c r="J74" i="28"/>
  <c r="K79" i="1"/>
  <c r="J75" i="28"/>
  <c r="K80" i="1"/>
  <c r="J2" i="28"/>
  <c r="K7" i="1"/>
  <c r="K82" i="1"/>
  <c r="D13" i="18"/>
  <c r="R69" i="3"/>
  <c r="Z12" i="3"/>
  <c r="Z11" i="3"/>
  <c r="B33" i="32"/>
  <c r="C35" i="18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M66" i="1"/>
  <c r="C67" i="1"/>
  <c r="C68" i="1"/>
  <c r="C69" i="1"/>
  <c r="C70" i="1"/>
  <c r="C71" i="1"/>
  <c r="C72" i="1"/>
  <c r="C73" i="1"/>
  <c r="C74" i="1"/>
  <c r="M74" i="1"/>
  <c r="C75" i="1"/>
  <c r="C76" i="1"/>
  <c r="C77" i="1"/>
  <c r="C78" i="1"/>
  <c r="C79" i="1"/>
  <c r="C80" i="1"/>
  <c r="C7" i="1"/>
  <c r="M7" i="1"/>
  <c r="E41" i="32"/>
  <c r="E36" i="32"/>
  <c r="E30" i="32"/>
  <c r="E47" i="32"/>
  <c r="G41" i="32"/>
  <c r="G36" i="32"/>
  <c r="G30" i="32"/>
  <c r="G47" i="32"/>
  <c r="C41" i="32"/>
  <c r="K41" i="32"/>
  <c r="C36" i="32"/>
  <c r="C30" i="32"/>
  <c r="C18" i="32"/>
  <c r="C14" i="32"/>
  <c r="C9" i="32"/>
  <c r="C5" i="32"/>
  <c r="C25" i="32"/>
  <c r="E18" i="32"/>
  <c r="E14" i="32"/>
  <c r="E9" i="32"/>
  <c r="E5" i="32"/>
  <c r="E25" i="32"/>
  <c r="G18" i="32"/>
  <c r="G14" i="32"/>
  <c r="G9" i="32"/>
  <c r="G5" i="32"/>
  <c r="G25" i="32"/>
  <c r="K14" i="32"/>
  <c r="J5" i="32"/>
  <c r="J6" i="32"/>
  <c r="J7" i="32"/>
  <c r="J8" i="32"/>
  <c r="J10" i="32"/>
  <c r="J11" i="32"/>
  <c r="J12" i="32"/>
  <c r="J13" i="32"/>
  <c r="J15" i="32"/>
  <c r="J16" i="32"/>
  <c r="J17" i="32"/>
  <c r="J19" i="32"/>
  <c r="J20" i="32"/>
  <c r="J21" i="32"/>
  <c r="J22" i="32"/>
  <c r="J23" i="32"/>
  <c r="J24" i="32"/>
  <c r="J31" i="32"/>
  <c r="J32" i="32"/>
  <c r="J33" i="32"/>
  <c r="J34" i="32"/>
  <c r="J35" i="32"/>
  <c r="J37" i="32"/>
  <c r="J38" i="32"/>
  <c r="J39" i="32"/>
  <c r="J40" i="32"/>
  <c r="J42" i="32"/>
  <c r="J43" i="32"/>
  <c r="J44" i="32"/>
  <c r="J45" i="32"/>
  <c r="J46" i="32"/>
  <c r="P11" i="3"/>
  <c r="P10" i="3"/>
  <c r="K32" i="32"/>
  <c r="K33" i="32"/>
  <c r="K6" i="32"/>
  <c r="K7" i="32"/>
  <c r="K8" i="32"/>
  <c r="K9" i="32"/>
  <c r="K10" i="32"/>
  <c r="K11" i="32"/>
  <c r="K12" i="32"/>
  <c r="K13" i="32"/>
  <c r="K15" i="32"/>
  <c r="K16" i="32"/>
  <c r="K17" i="32"/>
  <c r="K18" i="32"/>
  <c r="K19" i="32"/>
  <c r="K20" i="32"/>
  <c r="K21" i="32"/>
  <c r="K22" i="32"/>
  <c r="K23" i="32"/>
  <c r="K24" i="32"/>
  <c r="K31" i="32"/>
  <c r="K34" i="32"/>
  <c r="K35" i="32"/>
  <c r="K37" i="32"/>
  <c r="K38" i="32"/>
  <c r="K39" i="32"/>
  <c r="K40" i="32"/>
  <c r="K42" i="32"/>
  <c r="K43" i="32"/>
  <c r="K44" i="32"/>
  <c r="K45" i="32"/>
  <c r="K46" i="32"/>
  <c r="Q10" i="3"/>
  <c r="F20" i="5"/>
  <c r="F18" i="5"/>
  <c r="F17" i="5"/>
  <c r="F16" i="5"/>
  <c r="F15" i="5"/>
  <c r="F14" i="5"/>
  <c r="E20" i="5"/>
  <c r="E16" i="5"/>
  <c r="E15" i="5"/>
  <c r="E14" i="5"/>
  <c r="F12" i="5"/>
  <c r="F11" i="5"/>
  <c r="F10" i="5"/>
  <c r="F9" i="5"/>
  <c r="F8" i="5"/>
  <c r="F7" i="5"/>
  <c r="E12" i="5"/>
  <c r="E10" i="5"/>
  <c r="E9" i="5"/>
  <c r="E8" i="5"/>
  <c r="F6" i="5"/>
  <c r="E7" i="5"/>
  <c r="E6" i="5"/>
  <c r="O72" i="31"/>
  <c r="O73" i="31"/>
  <c r="O74" i="31"/>
  <c r="O75" i="31"/>
  <c r="Q11" i="3"/>
  <c r="Q15" i="3"/>
  <c r="Z7" i="3"/>
  <c r="Z8" i="3"/>
  <c r="T15" i="3"/>
  <c r="Z10" i="3"/>
  <c r="S15" i="3"/>
  <c r="Z9" i="3"/>
  <c r="T11" i="3"/>
  <c r="T10" i="3"/>
  <c r="S11" i="3"/>
  <c r="S10" i="3"/>
  <c r="R11" i="3"/>
  <c r="R10" i="3"/>
  <c r="O179" i="31"/>
  <c r="O178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131" i="31"/>
  <c r="O130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M3" i="31"/>
  <c r="M4" i="31"/>
  <c r="M5" i="31"/>
  <c r="M6" i="31"/>
  <c r="M7" i="31"/>
  <c r="M8" i="31"/>
  <c r="M9" i="31"/>
  <c r="M10" i="31"/>
  <c r="M11" i="31"/>
  <c r="M12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9" i="31"/>
  <c r="M31" i="31"/>
  <c r="M32" i="31"/>
  <c r="M33" i="31"/>
  <c r="M34" i="31"/>
  <c r="M35" i="31"/>
  <c r="M37" i="31"/>
  <c r="M39" i="31"/>
  <c r="M41" i="31"/>
  <c r="M43" i="31"/>
  <c r="M45" i="31"/>
  <c r="M47" i="31"/>
  <c r="M49" i="31"/>
  <c r="M51" i="31"/>
  <c r="M52" i="31"/>
  <c r="M53" i="31"/>
  <c r="M57" i="31"/>
  <c r="M59" i="31"/>
  <c r="M60" i="31"/>
  <c r="M61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2" i="31"/>
  <c r="AO10" i="30"/>
  <c r="L4" i="31"/>
  <c r="AO32" i="30"/>
  <c r="AO56" i="30"/>
  <c r="AJ9" i="30"/>
  <c r="K3" i="31"/>
  <c r="AJ10" i="30"/>
  <c r="AJ11" i="30"/>
  <c r="AJ18" i="30"/>
  <c r="K12" i="31"/>
  <c r="AJ22" i="30"/>
  <c r="K16" i="31"/>
  <c r="AJ23" i="30"/>
  <c r="K17" i="31"/>
  <c r="AJ25" i="30"/>
  <c r="AJ26" i="30"/>
  <c r="K20" i="31"/>
  <c r="AJ29" i="30"/>
  <c r="K23" i="31"/>
  <c r="AJ30" i="30"/>
  <c r="K24" i="31"/>
  <c r="AJ33" i="30"/>
  <c r="K27" i="31"/>
  <c r="AJ34" i="30"/>
  <c r="AJ35" i="30"/>
  <c r="AJ37" i="30"/>
  <c r="AJ41" i="30"/>
  <c r="AJ42" i="30"/>
  <c r="AJ45" i="30"/>
  <c r="AJ39" i="30"/>
  <c r="AJ55" i="30"/>
  <c r="AJ57" i="30"/>
  <c r="AJ60" i="30"/>
  <c r="AJ61" i="30"/>
  <c r="AJ77" i="30"/>
  <c r="K71" i="31"/>
  <c r="AJ78" i="30"/>
  <c r="K72" i="31"/>
  <c r="AE9" i="30"/>
  <c r="AE13" i="30"/>
  <c r="J7" i="31"/>
  <c r="AE18" i="30"/>
  <c r="J12" i="31"/>
  <c r="AE21" i="30"/>
  <c r="J15" i="31"/>
  <c r="AE25" i="30"/>
  <c r="AE28" i="30"/>
  <c r="AE33" i="30"/>
  <c r="AE34" i="30"/>
  <c r="J28" i="31"/>
  <c r="AE37" i="30"/>
  <c r="AE48" i="30"/>
  <c r="AE54" i="30"/>
  <c r="AE70" i="30"/>
  <c r="AE81" i="30"/>
  <c r="AE8" i="30"/>
  <c r="J2" i="31"/>
  <c r="X10" i="30"/>
  <c r="H4" i="31"/>
  <c r="X11" i="30"/>
  <c r="X14" i="30"/>
  <c r="H8" i="31"/>
  <c r="X15" i="30"/>
  <c r="H9" i="31"/>
  <c r="X17" i="30"/>
  <c r="X21" i="30"/>
  <c r="X33" i="30"/>
  <c r="H27" i="31"/>
  <c r="X37" i="30"/>
  <c r="H31" i="31"/>
  <c r="X44" i="30"/>
  <c r="X51" i="30"/>
  <c r="X55" i="30"/>
  <c r="X60" i="30"/>
  <c r="X49" i="30"/>
  <c r="X66" i="30"/>
  <c r="X70" i="30"/>
  <c r="X74" i="30"/>
  <c r="X77" i="30"/>
  <c r="H71" i="31"/>
  <c r="X81" i="30"/>
  <c r="U9" i="30"/>
  <c r="G3" i="31"/>
  <c r="U15" i="30"/>
  <c r="U19" i="30"/>
  <c r="U35" i="30"/>
  <c r="U46" i="30"/>
  <c r="U47" i="30"/>
  <c r="U52" i="30"/>
  <c r="G45" i="31"/>
  <c r="U79" i="30"/>
  <c r="G73" i="31"/>
  <c r="P9" i="30"/>
  <c r="P12" i="30"/>
  <c r="F6" i="31"/>
  <c r="P16" i="30"/>
  <c r="F10" i="31"/>
  <c r="P19" i="30"/>
  <c r="F13" i="31"/>
  <c r="P20" i="30"/>
  <c r="P24" i="30"/>
  <c r="F18" i="31"/>
  <c r="P27" i="30"/>
  <c r="P29" i="30"/>
  <c r="F23" i="31"/>
  <c r="P35" i="30"/>
  <c r="F29" i="31"/>
  <c r="L12" i="30"/>
  <c r="E6" i="31"/>
  <c r="L24" i="30"/>
  <c r="E18" i="31"/>
  <c r="L28" i="30"/>
  <c r="E22" i="31"/>
  <c r="L56" i="30"/>
  <c r="L45" i="30"/>
  <c r="L51" i="30"/>
  <c r="E43" i="31"/>
  <c r="L55" i="30"/>
  <c r="L49" i="30"/>
  <c r="L81" i="30"/>
  <c r="D3" i="31"/>
  <c r="D4" i="31"/>
  <c r="D6" i="31"/>
  <c r="D7" i="31"/>
  <c r="D8" i="31"/>
  <c r="D9" i="31"/>
  <c r="D11" i="31"/>
  <c r="D12" i="31"/>
  <c r="D13" i="31"/>
  <c r="D15" i="31"/>
  <c r="D16" i="31"/>
  <c r="D17" i="31"/>
  <c r="D18" i="31"/>
  <c r="D19" i="31"/>
  <c r="D20" i="31"/>
  <c r="D22" i="31"/>
  <c r="D23" i="31"/>
  <c r="D24" i="31"/>
  <c r="D27" i="31"/>
  <c r="D28" i="31"/>
  <c r="D31" i="31"/>
  <c r="D32" i="31"/>
  <c r="D33" i="31"/>
  <c r="D35" i="31"/>
  <c r="D36" i="31"/>
  <c r="D39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61" i="31"/>
  <c r="D62" i="31"/>
  <c r="D63" i="31"/>
  <c r="D64" i="31"/>
  <c r="D67" i="31"/>
  <c r="D69" i="31"/>
  <c r="D70" i="31"/>
  <c r="D71" i="31"/>
  <c r="D73" i="31"/>
  <c r="D74" i="31"/>
  <c r="D75" i="31"/>
  <c r="C3" i="31"/>
  <c r="C7" i="31"/>
  <c r="G15" i="30"/>
  <c r="C10" i="31"/>
  <c r="C11" i="31"/>
  <c r="C13" i="31"/>
  <c r="C18" i="31"/>
  <c r="C19" i="31"/>
  <c r="C21" i="31"/>
  <c r="C22" i="31"/>
  <c r="C23" i="31"/>
  <c r="C24" i="31"/>
  <c r="C25" i="31"/>
  <c r="C27" i="31"/>
  <c r="C28" i="31"/>
  <c r="C32" i="31"/>
  <c r="C33" i="31"/>
  <c r="C35" i="31"/>
  <c r="C36" i="31"/>
  <c r="C37" i="31"/>
  <c r="C39" i="31"/>
  <c r="C43" i="31"/>
  <c r="C45" i="31"/>
  <c r="C47" i="31"/>
  <c r="C48" i="31"/>
  <c r="C49" i="31"/>
  <c r="C50" i="31"/>
  <c r="C51" i="31"/>
  <c r="G62" i="30"/>
  <c r="C55" i="31"/>
  <c r="C57" i="31"/>
  <c r="C59" i="31"/>
  <c r="C61" i="31"/>
  <c r="C64" i="31"/>
  <c r="C65" i="31"/>
  <c r="C66" i="31"/>
  <c r="C70" i="31"/>
  <c r="C71" i="31"/>
  <c r="C72" i="31"/>
  <c r="G79" i="30"/>
  <c r="G81" i="30"/>
  <c r="C2" i="31"/>
  <c r="AO80" i="30"/>
  <c r="L74" i="31"/>
  <c r="AJ80" i="30"/>
  <c r="K74" i="31"/>
  <c r="AE79" i="30"/>
  <c r="J73" i="31"/>
  <c r="AO77" i="30"/>
  <c r="L71" i="31"/>
  <c r="AO76" i="30"/>
  <c r="L70" i="31"/>
  <c r="U76" i="30"/>
  <c r="G70" i="31"/>
  <c r="AO74" i="30"/>
  <c r="AO73" i="30"/>
  <c r="AJ73" i="30"/>
  <c r="AE73" i="30"/>
  <c r="X73" i="30"/>
  <c r="AO70" i="30"/>
  <c r="AJ70" i="30"/>
  <c r="AO69" i="30"/>
  <c r="AJ69" i="30"/>
  <c r="AE69" i="30"/>
  <c r="X69" i="30"/>
  <c r="AO66" i="30"/>
  <c r="AO65" i="30"/>
  <c r="L59" i="31"/>
  <c r="AJ65" i="30"/>
  <c r="AE65" i="30"/>
  <c r="AO49" i="30"/>
  <c r="AJ49" i="30"/>
  <c r="AO63" i="30"/>
  <c r="AJ63" i="30"/>
  <c r="K54" i="31"/>
  <c r="AE63" i="30"/>
  <c r="AO60" i="30"/>
  <c r="AO59" i="30"/>
  <c r="AE59" i="30"/>
  <c r="AE58" i="30"/>
  <c r="AO55" i="30"/>
  <c r="AO54" i="30"/>
  <c r="AJ54" i="30"/>
  <c r="X54" i="30"/>
  <c r="AO52" i="30"/>
  <c r="L45" i="31"/>
  <c r="AO51" i="30"/>
  <c r="L43" i="31"/>
  <c r="AE51" i="30"/>
  <c r="J43" i="31"/>
  <c r="AO48" i="30"/>
  <c r="AJ48" i="30"/>
  <c r="K42" i="31"/>
  <c r="X47" i="30"/>
  <c r="AO44" i="30"/>
  <c r="AO43" i="30"/>
  <c r="AJ43" i="30"/>
  <c r="AE43" i="30"/>
  <c r="AO41" i="30"/>
  <c r="AE41" i="30"/>
  <c r="AJ56" i="30"/>
  <c r="AE56" i="30"/>
  <c r="X40" i="30"/>
  <c r="H33" i="31"/>
  <c r="AO37" i="30"/>
  <c r="L31" i="31"/>
  <c r="AO36" i="30"/>
  <c r="AJ36" i="30"/>
  <c r="K30" i="31"/>
  <c r="AE36" i="30"/>
  <c r="J30" i="31"/>
  <c r="P36" i="30"/>
  <c r="F30" i="31"/>
  <c r="AO33" i="30"/>
  <c r="L27" i="31"/>
  <c r="AJ32" i="30"/>
  <c r="K26" i="31"/>
  <c r="AE32" i="30"/>
  <c r="J26" i="31"/>
  <c r="P32" i="30"/>
  <c r="F26" i="31"/>
  <c r="AE31" i="30"/>
  <c r="J25" i="31"/>
  <c r="AO29" i="30"/>
  <c r="AE29" i="30"/>
  <c r="J23" i="31"/>
  <c r="AO28" i="30"/>
  <c r="L22" i="31"/>
  <c r="AJ28" i="30"/>
  <c r="K22" i="31"/>
  <c r="P28" i="30"/>
  <c r="F22" i="31"/>
  <c r="AE27" i="30"/>
  <c r="J21" i="31"/>
  <c r="AO25" i="30"/>
  <c r="L19" i="31"/>
  <c r="X25" i="30"/>
  <c r="H19" i="31"/>
  <c r="AO24" i="30"/>
  <c r="AJ24" i="30"/>
  <c r="K18" i="31"/>
  <c r="AE24" i="30"/>
  <c r="J18" i="31"/>
  <c r="AO23" i="30"/>
  <c r="L17" i="31"/>
  <c r="AO21" i="30"/>
  <c r="L15" i="31"/>
  <c r="P21" i="30"/>
  <c r="F15" i="31"/>
  <c r="AO20" i="30"/>
  <c r="AJ20" i="30"/>
  <c r="K14" i="31"/>
  <c r="AE20" i="30"/>
  <c r="AO17" i="30"/>
  <c r="L11" i="31"/>
  <c r="AE17" i="30"/>
  <c r="J11" i="31"/>
  <c r="AO16" i="30"/>
  <c r="L10" i="31"/>
  <c r="AJ16" i="30"/>
  <c r="K10" i="31"/>
  <c r="AE16" i="30"/>
  <c r="J10" i="31"/>
  <c r="AO15" i="30"/>
  <c r="L9" i="31"/>
  <c r="AE15" i="30"/>
  <c r="J9" i="31"/>
  <c r="AO13" i="30"/>
  <c r="AO12" i="30"/>
  <c r="AJ12" i="30"/>
  <c r="K6" i="31"/>
  <c r="AE12" i="30"/>
  <c r="J6" i="31"/>
  <c r="X12" i="30"/>
  <c r="H6" i="31"/>
  <c r="AO9" i="30"/>
  <c r="L3" i="31"/>
  <c r="X9" i="30"/>
  <c r="H3" i="31"/>
  <c r="M11" i="1"/>
  <c r="M15" i="1"/>
  <c r="M19" i="1"/>
  <c r="M23" i="1"/>
  <c r="M27" i="1"/>
  <c r="M31" i="1"/>
  <c r="M35" i="1"/>
  <c r="M39" i="1"/>
  <c r="M43" i="1"/>
  <c r="M47" i="1"/>
  <c r="M49" i="1"/>
  <c r="M51" i="1"/>
  <c r="M53" i="1"/>
  <c r="M55" i="1"/>
  <c r="M57" i="1"/>
  <c r="M61" i="1"/>
  <c r="M63" i="1"/>
  <c r="M65" i="1"/>
  <c r="M67" i="1"/>
  <c r="M69" i="1"/>
  <c r="M71" i="1"/>
  <c r="M73" i="1"/>
  <c r="M75" i="1"/>
  <c r="M79" i="1"/>
  <c r="M7" i="3"/>
  <c r="N7" i="3"/>
  <c r="AJ8" i="30"/>
  <c r="K2" i="31"/>
  <c r="U8" i="30"/>
  <c r="AO8" i="30"/>
  <c r="L2" i="31"/>
  <c r="P76" i="30"/>
  <c r="F70" i="31"/>
  <c r="P69" i="30"/>
  <c r="P65" i="30"/>
  <c r="P63" i="30"/>
  <c r="P59" i="30"/>
  <c r="P54" i="30"/>
  <c r="P48" i="30"/>
  <c r="U33" i="30"/>
  <c r="G27" i="31"/>
  <c r="U27" i="30"/>
  <c r="G21" i="31"/>
  <c r="D45" i="31"/>
  <c r="D29" i="31"/>
  <c r="D25" i="31"/>
  <c r="D21" i="31"/>
  <c r="M62" i="31"/>
  <c r="M54" i="31"/>
  <c r="M58" i="31"/>
  <c r="M55" i="31"/>
  <c r="D60" i="31"/>
  <c r="M36" i="31"/>
  <c r="M50" i="31"/>
  <c r="AE23" i="30"/>
  <c r="J17" i="31"/>
  <c r="C30" i="31"/>
  <c r="L27" i="30"/>
  <c r="E21" i="31"/>
  <c r="L23" i="30"/>
  <c r="E17" i="31"/>
  <c r="U80" i="30"/>
  <c r="G74" i="31"/>
  <c r="M48" i="31"/>
  <c r="D14" i="31"/>
  <c r="M46" i="31"/>
  <c r="G20" i="30"/>
  <c r="P55" i="30"/>
  <c r="M30" i="31"/>
  <c r="C62" i="31"/>
  <c r="D37" i="31"/>
  <c r="M13" i="31"/>
  <c r="D10" i="31"/>
  <c r="P81" i="30"/>
  <c r="C34" i="31"/>
  <c r="C56" i="31"/>
  <c r="AO34" i="30"/>
  <c r="G71" i="30"/>
  <c r="P61" i="30"/>
  <c r="F52" i="31"/>
  <c r="G33" i="30"/>
  <c r="L72" i="30"/>
  <c r="L67" i="30"/>
  <c r="L50" i="30"/>
  <c r="L61" i="30"/>
  <c r="L42" i="30"/>
  <c r="L34" i="30"/>
  <c r="E28" i="31"/>
  <c r="L22" i="30"/>
  <c r="E16" i="31"/>
  <c r="L18" i="30"/>
  <c r="E12" i="31"/>
  <c r="G25" i="30"/>
  <c r="G43" i="30"/>
  <c r="L78" i="30"/>
  <c r="E72" i="31"/>
  <c r="L75" i="30"/>
  <c r="L71" i="30"/>
  <c r="P79" i="30"/>
  <c r="F73" i="31"/>
  <c r="L53" i="30"/>
  <c r="L40" i="30"/>
  <c r="E33" i="31"/>
  <c r="L31" i="30"/>
  <c r="E25" i="31"/>
  <c r="L19" i="30"/>
  <c r="E13" i="31"/>
  <c r="L44" i="30"/>
  <c r="E39" i="31"/>
  <c r="X78" i="30"/>
  <c r="H72" i="31"/>
  <c r="X71" i="30"/>
  <c r="X67" i="30"/>
  <c r="H60" i="31"/>
  <c r="X50" i="30"/>
  <c r="X61" i="30"/>
  <c r="X57" i="30"/>
  <c r="X39" i="30"/>
  <c r="X45" i="30"/>
  <c r="H40" i="31"/>
  <c r="P80" i="30"/>
  <c r="F74" i="31"/>
  <c r="U81" i="30"/>
  <c r="G75" i="31"/>
  <c r="U77" i="30"/>
  <c r="G71" i="31"/>
  <c r="U74" i="30"/>
  <c r="U70" i="30"/>
  <c r="U49" i="30"/>
  <c r="U60" i="30"/>
  <c r="U44" i="30"/>
  <c r="U37" i="30"/>
  <c r="G31" i="31"/>
  <c r="U29" i="30"/>
  <c r="G23" i="31"/>
  <c r="U25" i="30"/>
  <c r="U21" i="30"/>
  <c r="G15" i="31"/>
  <c r="U17" i="30"/>
  <c r="G11" i="31"/>
  <c r="U13" i="30"/>
  <c r="G7" i="31"/>
  <c r="G24" i="30"/>
  <c r="G49" i="30"/>
  <c r="P53" i="30"/>
  <c r="P72" i="30"/>
  <c r="P68" i="30"/>
  <c r="P64" i="30"/>
  <c r="P58" i="30"/>
  <c r="P52" i="30"/>
  <c r="F45" i="31"/>
  <c r="B16" i="32"/>
  <c r="B17" i="32"/>
  <c r="D5" i="31"/>
  <c r="AE75" i="30"/>
  <c r="AE67" i="30"/>
  <c r="AE39" i="30"/>
  <c r="AE42" i="30"/>
  <c r="H33" i="17"/>
  <c r="G28" i="30"/>
  <c r="D2" i="31"/>
  <c r="G8" i="30"/>
  <c r="D43" i="31"/>
  <c r="G51" i="30"/>
  <c r="D40" i="31"/>
  <c r="G45" i="30"/>
  <c r="B8" i="32"/>
  <c r="AE78" i="30"/>
  <c r="J72" i="31"/>
  <c r="AE71" i="30"/>
  <c r="J64" i="31"/>
  <c r="AE50" i="30"/>
  <c r="J56" i="31"/>
  <c r="AE57" i="30"/>
  <c r="AE45" i="30"/>
  <c r="L23" i="31"/>
  <c r="L38" i="30"/>
  <c r="E32" i="31"/>
  <c r="L30" i="30"/>
  <c r="L26" i="30"/>
  <c r="E20" i="31"/>
  <c r="L20" i="30"/>
  <c r="X8" i="30"/>
  <c r="H2" i="31"/>
  <c r="X80" i="30"/>
  <c r="H74" i="31"/>
  <c r="X76" i="30"/>
  <c r="H70" i="31"/>
  <c r="X65" i="30"/>
  <c r="X63" i="30"/>
  <c r="H54" i="31"/>
  <c r="X59" i="30"/>
  <c r="X48" i="30"/>
  <c r="G44" i="30"/>
  <c r="U22" i="30"/>
  <c r="G16" i="31"/>
  <c r="U18" i="30"/>
  <c r="G12" i="31"/>
  <c r="U14" i="30"/>
  <c r="G8" i="31"/>
  <c r="X75" i="30"/>
  <c r="H68" i="31"/>
  <c r="AO53" i="30"/>
  <c r="C44" i="31"/>
  <c r="G69" i="30"/>
  <c r="L9" i="30"/>
  <c r="E3" i="31"/>
  <c r="G40" i="30"/>
  <c r="G30" i="30"/>
  <c r="G17" i="30"/>
  <c r="C26" i="31"/>
  <c r="G76" i="30"/>
  <c r="G34" i="30"/>
  <c r="U71" i="30"/>
  <c r="U67" i="30"/>
  <c r="U50" i="30"/>
  <c r="U39" i="30"/>
  <c r="G44" i="31"/>
  <c r="U45" i="30"/>
  <c r="G40" i="31"/>
  <c r="U38" i="30"/>
  <c r="G32" i="31"/>
  <c r="AU6" i="30"/>
  <c r="G9" i="30"/>
  <c r="L77" i="30"/>
  <c r="E71" i="31"/>
  <c r="P34" i="30"/>
  <c r="F28" i="31"/>
  <c r="U41" i="30"/>
  <c r="X64" i="30"/>
  <c r="X35" i="30"/>
  <c r="H29" i="31"/>
  <c r="G59" i="30"/>
  <c r="G68" i="30"/>
  <c r="L79" i="30"/>
  <c r="L68" i="30"/>
  <c r="L64" i="30"/>
  <c r="L62" i="30"/>
  <c r="L58" i="30"/>
  <c r="E49" i="31"/>
  <c r="L52" i="30"/>
  <c r="E45" i="31"/>
  <c r="L47" i="30"/>
  <c r="L46" i="30"/>
  <c r="G58" i="30"/>
  <c r="L73" i="30"/>
  <c r="AE68" i="30"/>
  <c r="AE35" i="30"/>
  <c r="J29" i="31"/>
  <c r="AO79" i="30"/>
  <c r="L73" i="31"/>
  <c r="AO72" i="30"/>
  <c r="AO64" i="30"/>
  <c r="AO62" i="30"/>
  <c r="C60" i="31"/>
  <c r="G67" i="30"/>
  <c r="G46" i="30"/>
  <c r="G35" i="30"/>
  <c r="C29" i="31"/>
  <c r="C4" i="31"/>
  <c r="D66" i="31"/>
  <c r="G73" i="30"/>
  <c r="C6" i="31"/>
  <c r="G12" i="30"/>
  <c r="G77" i="30"/>
  <c r="G74" i="30"/>
  <c r="C67" i="31"/>
  <c r="C42" i="31"/>
  <c r="G48" i="30"/>
  <c r="C9" i="31"/>
  <c r="L7" i="31"/>
  <c r="G29" i="30"/>
  <c r="C16" i="31"/>
  <c r="G22" i="30"/>
  <c r="D59" i="31"/>
  <c r="G66" i="30"/>
  <c r="U34" i="30"/>
  <c r="G28" i="31"/>
  <c r="AJ53" i="30"/>
  <c r="AJ72" i="30"/>
  <c r="AJ68" i="30"/>
  <c r="AJ64" i="30"/>
  <c r="AJ58" i="30"/>
  <c r="AJ52" i="30"/>
  <c r="K45" i="31"/>
  <c r="AJ47" i="30"/>
  <c r="AJ46" i="30"/>
  <c r="AJ40" i="30"/>
  <c r="K33" i="31"/>
  <c r="AJ31" i="30"/>
  <c r="K25" i="31"/>
  <c r="AJ27" i="30"/>
  <c r="K21" i="31"/>
  <c r="G60" i="30"/>
  <c r="G38" i="30"/>
  <c r="L33" i="30"/>
  <c r="E27" i="31"/>
  <c r="L29" i="30"/>
  <c r="E23" i="31"/>
  <c r="L21" i="30"/>
  <c r="E15" i="31"/>
  <c r="L65" i="30"/>
  <c r="L59" i="30"/>
  <c r="E52" i="31"/>
  <c r="L54" i="30"/>
  <c r="L43" i="30"/>
  <c r="X68" i="30"/>
  <c r="AE53" i="30"/>
  <c r="AE72" i="30"/>
  <c r="G41" i="30"/>
  <c r="G31" i="30"/>
  <c r="G27" i="30"/>
  <c r="L74" i="30"/>
  <c r="L17" i="30"/>
  <c r="E11" i="31"/>
  <c r="P73" i="30"/>
  <c r="U51" i="30"/>
  <c r="G43" i="31"/>
  <c r="U56" i="30"/>
  <c r="X31" i="30"/>
  <c r="H25" i="31"/>
  <c r="L41" i="30"/>
  <c r="L35" i="30"/>
  <c r="E29" i="31"/>
  <c r="P78" i="30"/>
  <c r="F72" i="31"/>
  <c r="P57" i="30"/>
  <c r="P38" i="30"/>
  <c r="F32" i="31"/>
  <c r="U53" i="30"/>
  <c r="X58" i="30"/>
  <c r="AE62" i="30"/>
  <c r="AE52" i="30"/>
  <c r="J45" i="31"/>
  <c r="AE47" i="30"/>
  <c r="J41" i="31"/>
  <c r="L16" i="30"/>
  <c r="E10" i="31"/>
  <c r="U30" i="30"/>
  <c r="G24" i="31"/>
  <c r="AJ62" i="30"/>
  <c r="U61" i="30"/>
  <c r="AO68" i="30"/>
  <c r="M56" i="31"/>
  <c r="B46" i="32"/>
  <c r="M28" i="31"/>
  <c r="AJ19" i="30"/>
  <c r="K13" i="31"/>
  <c r="K5" i="31"/>
  <c r="L18" i="31"/>
  <c r="L6" i="31"/>
  <c r="G18" i="30"/>
  <c r="C12" i="31"/>
  <c r="C8" i="31"/>
  <c r="G14" i="30"/>
  <c r="D72" i="31"/>
  <c r="G78" i="30"/>
  <c r="G72" i="30"/>
  <c r="D65" i="31"/>
  <c r="C69" i="31"/>
  <c r="G53" i="30"/>
  <c r="C58" i="31"/>
  <c r="G65" i="30"/>
  <c r="C54" i="31"/>
  <c r="G63" i="30"/>
  <c r="G37" i="30"/>
  <c r="C31" i="31"/>
  <c r="G75" i="30"/>
  <c r="C68" i="31"/>
  <c r="G23" i="30"/>
  <c r="C17" i="31"/>
  <c r="C75" i="31"/>
  <c r="C52" i="31"/>
  <c r="G61" i="30"/>
  <c r="G52" i="30"/>
  <c r="L42" i="31"/>
  <c r="G42" i="30"/>
  <c r="U64" i="30"/>
  <c r="G57" i="31"/>
  <c r="X19" i="30"/>
  <c r="H13" i="31"/>
  <c r="L69" i="30"/>
  <c r="E62" i="31"/>
  <c r="P75" i="30"/>
  <c r="P71" i="30"/>
  <c r="F65" i="31"/>
  <c r="P39" i="30"/>
  <c r="F44" i="31"/>
  <c r="P10" i="30"/>
  <c r="F4" i="31"/>
  <c r="U57" i="30"/>
  <c r="U40" i="30"/>
  <c r="G33" i="31"/>
  <c r="U10" i="30"/>
  <c r="G4" i="31"/>
  <c r="L37" i="30"/>
  <c r="E31" i="31"/>
  <c r="U42" i="30"/>
  <c r="U26" i="30"/>
  <c r="G20" i="31"/>
  <c r="L63" i="30"/>
  <c r="E54" i="31"/>
  <c r="P45" i="30"/>
  <c r="P26" i="30"/>
  <c r="F20" i="31"/>
  <c r="P22" i="30"/>
  <c r="F16" i="31"/>
  <c r="U78" i="30"/>
  <c r="U72" i="30"/>
  <c r="U54" i="30"/>
  <c r="U75" i="30"/>
  <c r="E24" i="31"/>
  <c r="C5" i="31"/>
  <c r="G11" i="30"/>
  <c r="J82" i="1"/>
  <c r="D12" i="18"/>
  <c r="G21" i="30"/>
  <c r="C15" i="31"/>
  <c r="C63" i="31"/>
  <c r="G70" i="30"/>
  <c r="L8" i="30"/>
  <c r="E2" i="31"/>
  <c r="C20" i="31"/>
  <c r="G26" i="30"/>
  <c r="P37" i="30"/>
  <c r="F31" i="31"/>
  <c r="P33" i="30"/>
  <c r="F27" i="31"/>
  <c r="U43" i="30"/>
  <c r="U36" i="30"/>
  <c r="G30" i="31"/>
  <c r="U32" i="30"/>
  <c r="G26" i="31"/>
  <c r="U28" i="30"/>
  <c r="G22" i="31"/>
  <c r="U24" i="30"/>
  <c r="M24" i="1"/>
  <c r="P67" i="30"/>
  <c r="U73" i="30"/>
  <c r="U69" i="30"/>
  <c r="U16" i="30"/>
  <c r="AE46" i="30"/>
  <c r="J37" i="31"/>
  <c r="AE40" i="30"/>
  <c r="J33" i="31"/>
  <c r="P77" i="30"/>
  <c r="P74" i="30"/>
  <c r="P70" i="30"/>
  <c r="P66" i="30"/>
  <c r="F59" i="31"/>
  <c r="P49" i="30"/>
  <c r="P60" i="30"/>
  <c r="F51" i="31"/>
  <c r="P51" i="30"/>
  <c r="F43" i="31"/>
  <c r="P17" i="30"/>
  <c r="F11" i="31"/>
  <c r="P13" i="30"/>
  <c r="X27" i="30"/>
  <c r="H21" i="31"/>
  <c r="AE19" i="30"/>
  <c r="J13" i="31"/>
  <c r="AE11" i="30"/>
  <c r="J5" i="31"/>
  <c r="AJ76" i="30"/>
  <c r="K70" i="31"/>
  <c r="AO67" i="30"/>
  <c r="L60" i="31"/>
  <c r="AO58" i="30"/>
  <c r="L49" i="31"/>
  <c r="AO47" i="30"/>
  <c r="L41" i="31"/>
  <c r="AO46" i="30"/>
  <c r="AO40" i="30"/>
  <c r="L33" i="31"/>
  <c r="AO38" i="30"/>
  <c r="L32" i="31"/>
  <c r="AO22" i="30"/>
  <c r="AO18" i="30"/>
  <c r="AQ18" i="30"/>
  <c r="AO14" i="30"/>
  <c r="L8" i="31"/>
  <c r="G50" i="30"/>
  <c r="L48" i="30"/>
  <c r="E42" i="31"/>
  <c r="L14" i="30"/>
  <c r="E8" i="31"/>
  <c r="P42" i="30"/>
  <c r="P18" i="30"/>
  <c r="F12" i="31"/>
  <c r="U59" i="30"/>
  <c r="X79" i="30"/>
  <c r="H73" i="31"/>
  <c r="X41" i="30"/>
  <c r="X24" i="30"/>
  <c r="H18" i="31"/>
  <c r="X13" i="30"/>
  <c r="H7" i="31"/>
  <c r="AE30" i="30"/>
  <c r="J24" i="31"/>
  <c r="AE26" i="30"/>
  <c r="AE22" i="30"/>
  <c r="J16" i="31"/>
  <c r="AE14" i="30"/>
  <c r="J8" i="31"/>
  <c r="AJ81" i="30"/>
  <c r="K75" i="31"/>
  <c r="AJ75" i="30"/>
  <c r="AJ71" i="30"/>
  <c r="AJ67" i="30"/>
  <c r="AJ50" i="30"/>
  <c r="AJ38" i="30"/>
  <c r="K32" i="31"/>
  <c r="AJ21" i="30"/>
  <c r="AQ21" i="30"/>
  <c r="AJ14" i="30"/>
  <c r="K8" i="31"/>
  <c r="AO61" i="30"/>
  <c r="AO57" i="30"/>
  <c r="AO39" i="30"/>
  <c r="L44" i="31"/>
  <c r="AO45" i="30"/>
  <c r="L39" i="31"/>
  <c r="AO42" i="30"/>
  <c r="L36" i="31"/>
  <c r="AO27" i="30"/>
  <c r="L36" i="30"/>
  <c r="E30" i="31"/>
  <c r="L32" i="30"/>
  <c r="L25" i="30"/>
  <c r="E19" i="31"/>
  <c r="L13" i="30"/>
  <c r="P41" i="30"/>
  <c r="P25" i="30"/>
  <c r="F19" i="31"/>
  <c r="P47" i="30"/>
  <c r="P40" i="30"/>
  <c r="F33" i="31"/>
  <c r="P31" i="30"/>
  <c r="F25" i="31"/>
  <c r="P23" i="30"/>
  <c r="F17" i="31"/>
  <c r="U66" i="30"/>
  <c r="U48" i="30"/>
  <c r="X72" i="30"/>
  <c r="X62" i="30"/>
  <c r="H53" i="31"/>
  <c r="X52" i="30"/>
  <c r="H45" i="31"/>
  <c r="X46" i="30"/>
  <c r="X56" i="30"/>
  <c r="AJ74" i="30"/>
  <c r="K67" i="31"/>
  <c r="AJ66" i="30"/>
  <c r="K59" i="31"/>
  <c r="AJ17" i="30"/>
  <c r="AO78" i="30"/>
  <c r="L72" i="31"/>
  <c r="AO75" i="30"/>
  <c r="L68" i="31"/>
  <c r="AO30" i="30"/>
  <c r="AO26" i="30"/>
  <c r="L20" i="31"/>
  <c r="AO19" i="30"/>
  <c r="L13" i="31"/>
  <c r="AO11" i="30"/>
  <c r="L5" i="31"/>
  <c r="L28" i="31"/>
  <c r="M46" i="1"/>
  <c r="L82" i="1"/>
  <c r="D14" i="18"/>
  <c r="D34" i="31"/>
  <c r="G56" i="30"/>
  <c r="M54" i="1"/>
  <c r="L15" i="30"/>
  <c r="E9" i="31"/>
  <c r="P62" i="30"/>
  <c r="X16" i="30"/>
  <c r="H10" i="31"/>
  <c r="AE10" i="30"/>
  <c r="J4" i="31"/>
  <c r="L11" i="30"/>
  <c r="E5" i="31"/>
  <c r="P14" i="30"/>
  <c r="F8" i="31"/>
  <c r="U55" i="30"/>
  <c r="X32" i="30"/>
  <c r="H26" i="31"/>
  <c r="X29" i="30"/>
  <c r="AJ13" i="30"/>
  <c r="K7" i="31"/>
  <c r="U11" i="30"/>
  <c r="G5" i="31"/>
  <c r="U23" i="30"/>
  <c r="G17" i="31"/>
  <c r="C46" i="31"/>
  <c r="G54" i="30"/>
  <c r="D30" i="31"/>
  <c r="G36" i="30"/>
  <c r="D26" i="31"/>
  <c r="G32" i="30"/>
  <c r="L66" i="30"/>
  <c r="M33" i="1"/>
  <c r="M41" i="1"/>
  <c r="G80" i="30"/>
  <c r="C74" i="31"/>
  <c r="P30" i="30"/>
  <c r="F24" i="31"/>
  <c r="X20" i="30"/>
  <c r="H14" i="31"/>
  <c r="AE80" i="30"/>
  <c r="J74" i="31"/>
  <c r="P15" i="30"/>
  <c r="F9" i="31"/>
  <c r="P11" i="30"/>
  <c r="U68" i="30"/>
  <c r="U63" i="30"/>
  <c r="U20" i="30"/>
  <c r="X43" i="30"/>
  <c r="H38" i="31"/>
  <c r="AE76" i="30"/>
  <c r="AO71" i="30"/>
  <c r="AO50" i="30"/>
  <c r="L56" i="31"/>
  <c r="P50" i="30"/>
  <c r="U62" i="30"/>
  <c r="U58" i="30"/>
  <c r="U31" i="30"/>
  <c r="G25" i="31"/>
  <c r="U12" i="30"/>
  <c r="Y12" i="30"/>
  <c r="X53" i="30"/>
  <c r="X36" i="30"/>
  <c r="H30" i="31"/>
  <c r="X18" i="30"/>
  <c r="H12" i="31"/>
  <c r="AJ59" i="30"/>
  <c r="K50" i="31"/>
  <c r="AJ15" i="30"/>
  <c r="K9" i="31"/>
  <c r="AO81" i="30"/>
  <c r="L75" i="31"/>
  <c r="L70" i="30"/>
  <c r="L60" i="30"/>
  <c r="L57" i="30"/>
  <c r="E48" i="31"/>
  <c r="L10" i="30"/>
  <c r="E4" i="31"/>
  <c r="L80" i="30"/>
  <c r="E74" i="31"/>
  <c r="L76" i="30"/>
  <c r="M34" i="1"/>
  <c r="M18" i="1"/>
  <c r="G57" i="30"/>
  <c r="G39" i="30"/>
  <c r="M77" i="1"/>
  <c r="E73" i="31"/>
  <c r="L39" i="30"/>
  <c r="E44" i="31"/>
  <c r="P46" i="30"/>
  <c r="U65" i="30"/>
  <c r="X42" i="30"/>
  <c r="X38" i="30"/>
  <c r="H32" i="31"/>
  <c r="X34" i="30"/>
  <c r="H28" i="31"/>
  <c r="X30" i="30"/>
  <c r="X26" i="30"/>
  <c r="H20" i="31"/>
  <c r="X22" i="30"/>
  <c r="H16" i="31"/>
  <c r="AE66" i="30"/>
  <c r="J59" i="31"/>
  <c r="AE49" i="30"/>
  <c r="AE60" i="30"/>
  <c r="J51" i="31"/>
  <c r="AE44" i="30"/>
  <c r="M37" i="1"/>
  <c r="M29" i="1"/>
  <c r="M25" i="1"/>
  <c r="P44" i="30"/>
  <c r="X28" i="30"/>
  <c r="H22" i="31"/>
  <c r="AE64" i="30"/>
  <c r="M36" i="1"/>
  <c r="M17" i="1"/>
  <c r="G64" i="30"/>
  <c r="P8" i="30"/>
  <c r="F2" i="31"/>
  <c r="P43" i="30"/>
  <c r="P56" i="30"/>
  <c r="X23" i="30"/>
  <c r="H17" i="31"/>
  <c r="AE77" i="30"/>
  <c r="AQ77" i="30"/>
  <c r="AE74" i="30"/>
  <c r="AE61" i="30"/>
  <c r="J52" i="31"/>
  <c r="AE38" i="30"/>
  <c r="J32" i="31"/>
  <c r="AJ79" i="30"/>
  <c r="F21" i="31"/>
  <c r="G16" i="30"/>
  <c r="K19" i="31"/>
  <c r="AQ23" i="30"/>
  <c r="AJ51" i="30"/>
  <c r="K43" i="31"/>
  <c r="AJ44" i="30"/>
  <c r="M59" i="1"/>
  <c r="AE55" i="30"/>
  <c r="AQ55" i="30"/>
  <c r="G9" i="31"/>
  <c r="AQ41" i="30"/>
  <c r="AQ34" i="30"/>
  <c r="K28" i="31"/>
  <c r="L26" i="31"/>
  <c r="AQ32" i="30"/>
  <c r="J31" i="31"/>
  <c r="H5" i="31"/>
  <c r="J22" i="31"/>
  <c r="AQ28" i="30"/>
  <c r="J41" i="32"/>
  <c r="K36" i="32"/>
  <c r="K30" i="32"/>
  <c r="J14" i="32"/>
  <c r="J9" i="32"/>
  <c r="I74" i="31"/>
  <c r="M60" i="1"/>
  <c r="K25" i="32"/>
  <c r="J25" i="32"/>
  <c r="E50" i="32"/>
  <c r="F30" i="32"/>
  <c r="F14" i="32"/>
  <c r="G50" i="32"/>
  <c r="F9" i="32"/>
  <c r="F47" i="32"/>
  <c r="F36" i="32"/>
  <c r="J47" i="32"/>
  <c r="C47" i="32"/>
  <c r="F41" i="32"/>
  <c r="K5" i="32"/>
  <c r="J18" i="32"/>
  <c r="K39" i="31"/>
  <c r="L61" i="31"/>
  <c r="L37" i="31"/>
  <c r="G36" i="31"/>
  <c r="K53" i="31"/>
  <c r="H48" i="31"/>
  <c r="H64" i="31"/>
  <c r="J30" i="32"/>
  <c r="J36" i="32"/>
  <c r="F5" i="32"/>
  <c r="F18" i="32"/>
  <c r="C39" i="18"/>
  <c r="J69" i="31"/>
  <c r="E66" i="31"/>
  <c r="F39" i="31"/>
  <c r="H61" i="31"/>
  <c r="G53" i="31"/>
  <c r="E61" i="31"/>
  <c r="H36" i="31"/>
  <c r="J65" i="31"/>
  <c r="J61" i="31"/>
  <c r="L69" i="31"/>
  <c r="Y45" i="30"/>
  <c r="AQ73" i="30"/>
  <c r="E51" i="31"/>
  <c r="G61" i="31"/>
  <c r="H69" i="31"/>
  <c r="E59" i="31"/>
  <c r="L48" i="31"/>
  <c r="F67" i="31"/>
  <c r="E63" i="31"/>
  <c r="K56" i="31"/>
  <c r="I56" i="31"/>
  <c r="AQ29" i="30"/>
  <c r="F56" i="31"/>
  <c r="G42" i="31"/>
  <c r="H42" i="31"/>
  <c r="K34" i="31"/>
  <c r="J39" i="31"/>
  <c r="H65" i="31"/>
  <c r="K64" i="31"/>
  <c r="E35" i="31"/>
  <c r="J34" i="31"/>
  <c r="L63" i="31"/>
  <c r="E58" i="31"/>
  <c r="G54" i="31"/>
  <c r="F63" i="31"/>
  <c r="J57" i="31"/>
  <c r="K60" i="31"/>
  <c r="G34" i="31"/>
  <c r="E46" i="31"/>
  <c r="G66" i="31"/>
  <c r="H50" i="31"/>
  <c r="K48" i="31"/>
  <c r="F53" i="31"/>
  <c r="F66" i="31"/>
  <c r="K49" i="31"/>
  <c r="G47" i="31"/>
  <c r="G65" i="31"/>
  <c r="E57" i="31"/>
  <c r="G38" i="31"/>
  <c r="G68" i="31"/>
  <c r="F48" i="31"/>
  <c r="E38" i="31"/>
  <c r="K37" i="31"/>
  <c r="H57" i="31"/>
  <c r="K63" i="31"/>
  <c r="F37" i="31"/>
  <c r="F64" i="31"/>
  <c r="H24" i="17"/>
  <c r="B24" i="32"/>
  <c r="H12" i="17"/>
  <c r="B11" i="32"/>
  <c r="B7" i="32"/>
  <c r="H39" i="17"/>
  <c r="B39" i="32"/>
  <c r="B31" i="32"/>
  <c r="B13" i="32"/>
  <c r="G55" i="31"/>
  <c r="G59" i="31"/>
  <c r="K69" i="31"/>
  <c r="L65" i="31"/>
  <c r="G56" i="31"/>
  <c r="J36" i="31"/>
  <c r="E64" i="31"/>
  <c r="E36" i="31"/>
  <c r="E65" i="31"/>
  <c r="F54" i="31"/>
  <c r="K46" i="31"/>
  <c r="J50" i="31"/>
  <c r="J58" i="31"/>
  <c r="H62" i="31"/>
  <c r="K66" i="31"/>
  <c r="B12" i="32"/>
  <c r="B6" i="32"/>
  <c r="H42" i="17"/>
  <c r="B42" i="32"/>
  <c r="H40" i="17"/>
  <c r="B40" i="32"/>
  <c r="B20" i="32"/>
  <c r="B43" i="32"/>
  <c r="H37" i="31"/>
  <c r="H35" i="31"/>
  <c r="F36" i="31"/>
  <c r="G69" i="31"/>
  <c r="E50" i="31"/>
  <c r="K65" i="31"/>
  <c r="L57" i="31"/>
  <c r="J60" i="31"/>
  <c r="I60" i="31"/>
  <c r="F61" i="31"/>
  <c r="G51" i="31"/>
  <c r="E60" i="31"/>
  <c r="F50" i="31"/>
  <c r="H46" i="31"/>
  <c r="J49" i="31"/>
  <c r="J54" i="31"/>
  <c r="L62" i="31"/>
  <c r="J66" i="31"/>
  <c r="E47" i="31"/>
  <c r="K36" i="31"/>
  <c r="B37" i="32"/>
  <c r="H21" i="17"/>
  <c r="B21" i="32"/>
  <c r="H45" i="17"/>
  <c r="B45" i="32"/>
  <c r="H19" i="17"/>
  <c r="B19" i="32"/>
  <c r="B22" i="32"/>
  <c r="H35" i="17"/>
  <c r="B35" i="32"/>
  <c r="H32" i="17"/>
  <c r="B32" i="32"/>
  <c r="H34" i="31"/>
  <c r="G46" i="31"/>
  <c r="G48" i="31"/>
  <c r="H49" i="31"/>
  <c r="E67" i="31"/>
  <c r="K61" i="31"/>
  <c r="I61" i="31"/>
  <c r="E37" i="31"/>
  <c r="E53" i="31"/>
  <c r="G64" i="31"/>
  <c r="F57" i="31"/>
  <c r="G67" i="31"/>
  <c r="H56" i="31"/>
  <c r="E69" i="31"/>
  <c r="E56" i="31"/>
  <c r="F46" i="31"/>
  <c r="F62" i="31"/>
  <c r="L47" i="31"/>
  <c r="L51" i="31"/>
  <c r="L58" i="31"/>
  <c r="K62" i="31"/>
  <c r="H66" i="31"/>
  <c r="L67" i="31"/>
  <c r="E34" i="31"/>
  <c r="H63" i="31"/>
  <c r="H23" i="17"/>
  <c r="B23" i="32"/>
  <c r="H38" i="17"/>
  <c r="B38" i="32"/>
  <c r="H11" i="17"/>
  <c r="B10" i="32"/>
  <c r="H34" i="17"/>
  <c r="B34" i="32"/>
  <c r="H44" i="17"/>
  <c r="B44" i="32"/>
  <c r="B15" i="32"/>
  <c r="B14" i="32"/>
  <c r="G52" i="31"/>
  <c r="J53" i="31"/>
  <c r="K57" i="31"/>
  <c r="G60" i="31"/>
  <c r="H58" i="31"/>
  <c r="J48" i="31"/>
  <c r="F49" i="31"/>
  <c r="F69" i="31"/>
  <c r="G63" i="31"/>
  <c r="H52" i="31"/>
  <c r="F58" i="31"/>
  <c r="L46" i="31"/>
  <c r="L50" i="31"/>
  <c r="L54" i="31"/>
  <c r="K58" i="31"/>
  <c r="J62" i="31"/>
  <c r="L66" i="31"/>
  <c r="H67" i="31"/>
  <c r="H51" i="31"/>
  <c r="K52" i="31"/>
  <c r="I22" i="31"/>
  <c r="I45" i="31"/>
  <c r="B45" i="31"/>
  <c r="G2" i="31"/>
  <c r="B2" i="31"/>
  <c r="Y8" i="30"/>
  <c r="I17" i="31"/>
  <c r="I2" i="31"/>
  <c r="I43" i="31"/>
  <c r="I26" i="31"/>
  <c r="K41" i="31"/>
  <c r="I41" i="31"/>
  <c r="Y34" i="30"/>
  <c r="AS34" i="30"/>
  <c r="P88" i="30"/>
  <c r="N88" i="30"/>
  <c r="AQ12" i="30"/>
  <c r="AS12" i="30"/>
  <c r="C14" i="31"/>
  <c r="F14" i="31"/>
  <c r="K68" i="31"/>
  <c r="K35" i="31"/>
  <c r="AQ72" i="30"/>
  <c r="E14" i="31"/>
  <c r="J44" i="31"/>
  <c r="D44" i="31"/>
  <c r="J35" i="31"/>
  <c r="F68" i="31"/>
  <c r="E68" i="31"/>
  <c r="F75" i="31"/>
  <c r="K38" i="31"/>
  <c r="K55" i="31"/>
  <c r="C41" i="31"/>
  <c r="D41" i="31"/>
  <c r="G41" i="31"/>
  <c r="M42" i="31"/>
  <c r="M38" i="31"/>
  <c r="M14" i="31"/>
  <c r="J14" i="31"/>
  <c r="H41" i="31"/>
  <c r="C38" i="31"/>
  <c r="D42" i="31"/>
  <c r="D38" i="31"/>
  <c r="J38" i="31"/>
  <c r="E41" i="31"/>
  <c r="G35" i="31"/>
  <c r="H44" i="31"/>
  <c r="F47" i="31"/>
  <c r="F42" i="31"/>
  <c r="L35" i="31"/>
  <c r="Y81" i="30"/>
  <c r="E55" i="31"/>
  <c r="H75" i="31"/>
  <c r="H55" i="31"/>
  <c r="H47" i="31"/>
  <c r="H39" i="31"/>
  <c r="J75" i="31"/>
  <c r="K47" i="31"/>
  <c r="M75" i="31"/>
  <c r="M44" i="31"/>
  <c r="M40" i="31"/>
  <c r="E75" i="31"/>
  <c r="L40" i="31"/>
  <c r="F40" i="31"/>
  <c r="J40" i="31"/>
  <c r="J68" i="31"/>
  <c r="G39" i="31"/>
  <c r="L14" i="31"/>
  <c r="L38" i="31"/>
  <c r="L55" i="31"/>
  <c r="C40" i="31"/>
  <c r="D68" i="31"/>
  <c r="E40" i="31"/>
  <c r="K44" i="31"/>
  <c r="K40" i="31"/>
  <c r="AQ63" i="30"/>
  <c r="AQ16" i="30"/>
  <c r="AQ36" i="30"/>
  <c r="AO35" i="30"/>
  <c r="L29" i="31"/>
  <c r="AO31" i="30"/>
  <c r="L25" i="31"/>
  <c r="I25" i="31"/>
  <c r="I59" i="31"/>
  <c r="G55" i="30"/>
  <c r="AS55" i="30"/>
  <c r="G13" i="30"/>
  <c r="Y13" i="30"/>
  <c r="J71" i="31"/>
  <c r="I71" i="31"/>
  <c r="AQ43" i="30"/>
  <c r="AQ14" i="30"/>
  <c r="C73" i="31"/>
  <c r="C53" i="31"/>
  <c r="L30" i="31"/>
  <c r="I30" i="31"/>
  <c r="Y48" i="30"/>
  <c r="AQ57" i="30"/>
  <c r="Y22" i="30"/>
  <c r="I28" i="31"/>
  <c r="G47" i="30"/>
  <c r="G19" i="30"/>
  <c r="Y19" i="30"/>
  <c r="AQ69" i="30"/>
  <c r="M80" i="1"/>
  <c r="M76" i="1"/>
  <c r="M72" i="1"/>
  <c r="M68" i="1"/>
  <c r="M64" i="1"/>
  <c r="M56" i="1"/>
  <c r="M52" i="1"/>
  <c r="M48" i="1"/>
  <c r="M44" i="1"/>
  <c r="M40" i="1"/>
  <c r="M32" i="1"/>
  <c r="M28" i="1"/>
  <c r="M20" i="1"/>
  <c r="M16" i="1"/>
  <c r="M12" i="1"/>
  <c r="M8" i="1"/>
  <c r="Y73" i="30"/>
  <c r="AS73" i="30"/>
  <c r="AQ65" i="30"/>
  <c r="M42" i="1"/>
  <c r="M38" i="1"/>
  <c r="M30" i="1"/>
  <c r="M26" i="1"/>
  <c r="M22" i="1"/>
  <c r="M14" i="1"/>
  <c r="M10" i="1"/>
  <c r="H82" i="1"/>
  <c r="D10" i="18"/>
  <c r="M78" i="1"/>
  <c r="M70" i="1"/>
  <c r="M62" i="1"/>
  <c r="M58" i="1"/>
  <c r="M50" i="1"/>
  <c r="G82" i="1"/>
  <c r="D9" i="18"/>
  <c r="Y79" i="30"/>
  <c r="AQ38" i="30"/>
  <c r="AQ15" i="30"/>
  <c r="J47" i="31"/>
  <c r="AQ45" i="30"/>
  <c r="B21" i="31"/>
  <c r="Y20" i="30"/>
  <c r="Y41" i="30"/>
  <c r="AS41" i="30"/>
  <c r="Y75" i="30"/>
  <c r="Y74" i="30"/>
  <c r="B36" i="31"/>
  <c r="B8" i="31"/>
  <c r="G14" i="31"/>
  <c r="Y56" i="30"/>
  <c r="Y58" i="30"/>
  <c r="AQ75" i="30"/>
  <c r="AQ58" i="30"/>
  <c r="AQ71" i="30"/>
  <c r="B31" i="31"/>
  <c r="AQ40" i="30"/>
  <c r="AQ39" i="30"/>
  <c r="AJ84" i="30"/>
  <c r="G6" i="31"/>
  <c r="B6" i="31"/>
  <c r="Y38" i="30"/>
  <c r="AQ19" i="30"/>
  <c r="AQ68" i="30"/>
  <c r="Y71" i="30"/>
  <c r="F35" i="31"/>
  <c r="Y54" i="30"/>
  <c r="M21" i="1"/>
  <c r="M13" i="1"/>
  <c r="Y40" i="30"/>
  <c r="L12" i="31"/>
  <c r="I12" i="31"/>
  <c r="I13" i="31"/>
  <c r="AQ67" i="30"/>
  <c r="I72" i="31"/>
  <c r="D82" i="1"/>
  <c r="D6" i="18"/>
  <c r="E82" i="1"/>
  <c r="D7" i="18"/>
  <c r="F82" i="1"/>
  <c r="I18" i="31"/>
  <c r="X84" i="30"/>
  <c r="Y63" i="30"/>
  <c r="I5" i="31"/>
  <c r="AQ61" i="30"/>
  <c r="Y52" i="30"/>
  <c r="P84" i="30"/>
  <c r="M87" i="30"/>
  <c r="Y37" i="30"/>
  <c r="Y61" i="30"/>
  <c r="AQ64" i="30"/>
  <c r="AQ20" i="30"/>
  <c r="Y70" i="30"/>
  <c r="Y16" i="30"/>
  <c r="L52" i="31"/>
  <c r="C82" i="1"/>
  <c r="D5" i="18"/>
  <c r="AQ17" i="30"/>
  <c r="AQ50" i="30"/>
  <c r="Y64" i="30"/>
  <c r="G49" i="31"/>
  <c r="AQ11" i="30"/>
  <c r="Y39" i="30"/>
  <c r="Y27" i="30"/>
  <c r="Y14" i="30"/>
  <c r="Y33" i="30"/>
  <c r="AQ52" i="30"/>
  <c r="L64" i="31"/>
  <c r="C19" i="3"/>
  <c r="AQ24" i="30"/>
  <c r="Y42" i="30"/>
  <c r="Y60" i="30"/>
  <c r="Y29" i="30"/>
  <c r="AS29" i="30"/>
  <c r="Y15" i="30"/>
  <c r="Y21" i="30"/>
  <c r="AS21" i="30"/>
  <c r="H15" i="31"/>
  <c r="B15" i="31"/>
  <c r="Y44" i="30"/>
  <c r="H23" i="31"/>
  <c r="B23" i="31"/>
  <c r="Y18" i="30"/>
  <c r="AS18" i="30"/>
  <c r="Y62" i="30"/>
  <c r="Y36" i="30"/>
  <c r="Y57" i="30"/>
  <c r="AQ44" i="30"/>
  <c r="AQ51" i="30"/>
  <c r="Y30" i="30"/>
  <c r="AQ78" i="30"/>
  <c r="I10" i="31"/>
  <c r="AQ56" i="30"/>
  <c r="L34" i="31"/>
  <c r="I34" i="31"/>
  <c r="G29" i="31"/>
  <c r="B29" i="31"/>
  <c r="Y35" i="30"/>
  <c r="J19" i="31"/>
  <c r="I19" i="31"/>
  <c r="AQ25" i="30"/>
  <c r="AQ60" i="30"/>
  <c r="K51" i="31"/>
  <c r="F34" i="31"/>
  <c r="K11" i="31"/>
  <c r="I11" i="31"/>
  <c r="Y68" i="30"/>
  <c r="AQ59" i="30"/>
  <c r="H43" i="17"/>
  <c r="H17" i="17"/>
  <c r="B25" i="31"/>
  <c r="H13" i="17"/>
  <c r="K73" i="31"/>
  <c r="I73" i="31"/>
  <c r="AQ79" i="30"/>
  <c r="F60" i="31"/>
  <c r="Y67" i="30"/>
  <c r="AQ70" i="30"/>
  <c r="J63" i="31"/>
  <c r="AQ33" i="30"/>
  <c r="J27" i="31"/>
  <c r="I27" i="31"/>
  <c r="AQ35" i="30"/>
  <c r="K29" i="31"/>
  <c r="K4" i="31"/>
  <c r="I23" i="31"/>
  <c r="J67" i="31"/>
  <c r="AQ74" i="30"/>
  <c r="Y43" i="30"/>
  <c r="F38" i="31"/>
  <c r="Y32" i="30"/>
  <c r="AS32" i="30"/>
  <c r="E26" i="31"/>
  <c r="B26" i="31"/>
  <c r="L16" i="31"/>
  <c r="I16" i="31"/>
  <c r="AQ22" i="30"/>
  <c r="G18" i="31"/>
  <c r="B18" i="31"/>
  <c r="Y24" i="30"/>
  <c r="F3" i="31"/>
  <c r="Y9" i="30"/>
  <c r="G13" i="31"/>
  <c r="B13" i="31"/>
  <c r="E70" i="31"/>
  <c r="B70" i="31"/>
  <c r="Y76" i="30"/>
  <c r="F5" i="31"/>
  <c r="B5" i="31"/>
  <c r="Y11" i="30"/>
  <c r="F41" i="31"/>
  <c r="AQ26" i="30"/>
  <c r="J20" i="31"/>
  <c r="I20" i="31"/>
  <c r="F7" i="31"/>
  <c r="F55" i="31"/>
  <c r="Y49" i="30"/>
  <c r="F71" i="31"/>
  <c r="B71" i="31"/>
  <c r="Y77" i="30"/>
  <c r="AS77" i="30"/>
  <c r="G37" i="31"/>
  <c r="Y46" i="30"/>
  <c r="Y17" i="30"/>
  <c r="H11" i="31"/>
  <c r="B11" i="31"/>
  <c r="K31" i="31"/>
  <c r="I31" i="31"/>
  <c r="AQ37" i="30"/>
  <c r="K15" i="31"/>
  <c r="I15" i="31"/>
  <c r="J55" i="31"/>
  <c r="AQ49" i="30"/>
  <c r="Y65" i="30"/>
  <c r="G58" i="31"/>
  <c r="L24" i="31"/>
  <c r="I24" i="31"/>
  <c r="AQ30" i="30"/>
  <c r="E7" i="31"/>
  <c r="L84" i="30"/>
  <c r="AQ27" i="30"/>
  <c r="L21" i="31"/>
  <c r="I21" i="31"/>
  <c r="G50" i="31"/>
  <c r="Y59" i="30"/>
  <c r="G10" i="31"/>
  <c r="B10" i="31"/>
  <c r="U84" i="30"/>
  <c r="H59" i="31"/>
  <c r="Y66" i="30"/>
  <c r="H43" i="31"/>
  <c r="B43" i="31"/>
  <c r="Y51" i="30"/>
  <c r="J46" i="31"/>
  <c r="AQ54" i="30"/>
  <c r="J3" i="31"/>
  <c r="I3" i="31"/>
  <c r="AE84" i="30"/>
  <c r="AQ9" i="30"/>
  <c r="I9" i="31"/>
  <c r="AQ76" i="30"/>
  <c r="B74" i="31"/>
  <c r="N74" i="31"/>
  <c r="B9" i="31"/>
  <c r="B12" i="31"/>
  <c r="Y28" i="30"/>
  <c r="AS28" i="30"/>
  <c r="B16" i="31"/>
  <c r="B32" i="31"/>
  <c r="Y50" i="30"/>
  <c r="AQ80" i="30"/>
  <c r="AQ42" i="30"/>
  <c r="B4" i="31"/>
  <c r="B33" i="31"/>
  <c r="I32" i="31"/>
  <c r="B28" i="31"/>
  <c r="I8" i="31"/>
  <c r="I33" i="31"/>
  <c r="AQ62" i="30"/>
  <c r="AQ8" i="30"/>
  <c r="H7" i="17"/>
  <c r="H20" i="17"/>
  <c r="I7" i="31"/>
  <c r="B30" i="31"/>
  <c r="B17" i="31"/>
  <c r="B22" i="31"/>
  <c r="D88" i="30"/>
  <c r="AQ66" i="30"/>
  <c r="Y23" i="30"/>
  <c r="AS23" i="30"/>
  <c r="H24" i="31"/>
  <c r="O88" i="30"/>
  <c r="AQ81" i="30"/>
  <c r="J70" i="31"/>
  <c r="I70" i="31"/>
  <c r="AQ13" i="30"/>
  <c r="B20" i="31"/>
  <c r="Y78" i="30"/>
  <c r="L53" i="31"/>
  <c r="Y69" i="30"/>
  <c r="G62" i="31"/>
  <c r="Y26" i="30"/>
  <c r="Y72" i="30"/>
  <c r="Y80" i="30"/>
  <c r="AQ46" i="30"/>
  <c r="G72" i="31"/>
  <c r="B72" i="31"/>
  <c r="G19" i="31"/>
  <c r="Y25" i="30"/>
  <c r="J42" i="31"/>
  <c r="AQ48" i="30"/>
  <c r="Y31" i="30"/>
  <c r="I6" i="31"/>
  <c r="B27" i="31"/>
  <c r="B54" i="31"/>
  <c r="I37" i="31"/>
  <c r="AS65" i="30"/>
  <c r="I63" i="31"/>
  <c r="B66" i="31"/>
  <c r="C118" i="31"/>
  <c r="B56" i="31"/>
  <c r="D8" i="18"/>
  <c r="D17" i="18"/>
  <c r="W13" i="3"/>
  <c r="I39" i="31"/>
  <c r="H14" i="32"/>
  <c r="H41" i="32"/>
  <c r="H23" i="32"/>
  <c r="H36" i="32"/>
  <c r="H24" i="32"/>
  <c r="H18" i="32"/>
  <c r="H30" i="32"/>
  <c r="H46" i="32"/>
  <c r="B57" i="31"/>
  <c r="C50" i="32"/>
  <c r="K47" i="32"/>
  <c r="H47" i="32"/>
  <c r="H9" i="32"/>
  <c r="AS50" i="30"/>
  <c r="B49" i="31"/>
  <c r="B59" i="31"/>
  <c r="B50" i="31"/>
  <c r="F24" i="32"/>
  <c r="F23" i="32"/>
  <c r="F46" i="32"/>
  <c r="J50" i="32"/>
  <c r="H5" i="32"/>
  <c r="H25" i="32"/>
  <c r="D86" i="31"/>
  <c r="B46" i="31"/>
  <c r="I54" i="31"/>
  <c r="I36" i="31"/>
  <c r="AS64" i="30"/>
  <c r="N45" i="31"/>
  <c r="I57" i="31"/>
  <c r="B48" i="31"/>
  <c r="B5" i="32"/>
  <c r="AS72" i="30"/>
  <c r="I67" i="31"/>
  <c r="N30" i="31"/>
  <c r="N28" i="31"/>
  <c r="B60" i="31"/>
  <c r="AS45" i="30"/>
  <c r="B62" i="31"/>
  <c r="N17" i="31"/>
  <c r="AS27" i="30"/>
  <c r="I51" i="31"/>
  <c r="B65" i="31"/>
  <c r="AS25" i="30"/>
  <c r="I65" i="31"/>
  <c r="B63" i="31"/>
  <c r="C101" i="31"/>
  <c r="B61" i="31"/>
  <c r="N61" i="31"/>
  <c r="B53" i="31"/>
  <c r="AS24" i="30"/>
  <c r="D79" i="31"/>
  <c r="B39" i="31"/>
  <c r="M87" i="31"/>
  <c r="I69" i="31"/>
  <c r="H22" i="17"/>
  <c r="H37" i="17"/>
  <c r="I62" i="31"/>
  <c r="N72" i="31"/>
  <c r="B37" i="31"/>
  <c r="B64" i="31"/>
  <c r="I49" i="31"/>
  <c r="AS48" i="30"/>
  <c r="N71" i="31"/>
  <c r="I64" i="31"/>
  <c r="C10" i="3"/>
  <c r="C128" i="31"/>
  <c r="M86" i="31"/>
  <c r="D101" i="31"/>
  <c r="B51" i="31"/>
  <c r="D111" i="31"/>
  <c r="D91" i="31"/>
  <c r="D81" i="31"/>
  <c r="C90" i="31"/>
  <c r="B34" i="31"/>
  <c r="N34" i="31"/>
  <c r="E103" i="31"/>
  <c r="D113" i="31"/>
  <c r="D100" i="31"/>
  <c r="C122" i="31"/>
  <c r="M115" i="31"/>
  <c r="AS59" i="30"/>
  <c r="D92" i="31"/>
  <c r="AS11" i="30"/>
  <c r="AS19" i="30"/>
  <c r="C87" i="31"/>
  <c r="AS22" i="30"/>
  <c r="C117" i="31"/>
  <c r="B9" i="32"/>
  <c r="C97" i="31"/>
  <c r="C127" i="31"/>
  <c r="M122" i="31"/>
  <c r="D83" i="31"/>
  <c r="B52" i="31"/>
  <c r="B69" i="31"/>
  <c r="B67" i="31"/>
  <c r="N67" i="31"/>
  <c r="C85" i="31"/>
  <c r="D117" i="31"/>
  <c r="AS42" i="30"/>
  <c r="M123" i="31"/>
  <c r="D119" i="31"/>
  <c r="D88" i="31"/>
  <c r="D103" i="31"/>
  <c r="C111" i="31"/>
  <c r="C100" i="31"/>
  <c r="C77" i="31"/>
  <c r="C81" i="31"/>
  <c r="D102" i="31"/>
  <c r="C108" i="31"/>
  <c r="C116" i="31"/>
  <c r="M95" i="31"/>
  <c r="D98" i="31"/>
  <c r="D115" i="31"/>
  <c r="D128" i="31"/>
  <c r="D127" i="31"/>
  <c r="N26" i="31"/>
  <c r="C103" i="31"/>
  <c r="C109" i="31"/>
  <c r="C112" i="31"/>
  <c r="M98" i="31"/>
  <c r="D95" i="31"/>
  <c r="C98" i="31"/>
  <c r="D126" i="31"/>
  <c r="D116" i="31"/>
  <c r="AS78" i="30"/>
  <c r="N22" i="31"/>
  <c r="M80" i="31"/>
  <c r="M124" i="31"/>
  <c r="AS17" i="30"/>
  <c r="D105" i="31"/>
  <c r="D120" i="31"/>
  <c r="D87" i="31"/>
  <c r="D108" i="31"/>
  <c r="D112" i="31"/>
  <c r="D97" i="31"/>
  <c r="D94" i="31"/>
  <c r="C120" i="31"/>
  <c r="C95" i="31"/>
  <c r="C99" i="31"/>
  <c r="C84" i="31"/>
  <c r="C94" i="31"/>
  <c r="C105" i="31"/>
  <c r="C104" i="31"/>
  <c r="M125" i="31"/>
  <c r="AS36" i="30"/>
  <c r="N64" i="31"/>
  <c r="C12" i="3"/>
  <c r="E12" i="3"/>
  <c r="I47" i="31"/>
  <c r="C114" i="31"/>
  <c r="D124" i="31"/>
  <c r="D80" i="31"/>
  <c r="AS69" i="30"/>
  <c r="M127" i="31"/>
  <c r="M126" i="31"/>
  <c r="M96" i="31"/>
  <c r="B58" i="31"/>
  <c r="D110" i="31"/>
  <c r="D99" i="31"/>
  <c r="D122" i="31"/>
  <c r="D84" i="31"/>
  <c r="D125" i="31"/>
  <c r="D96" i="31"/>
  <c r="AO84" i="30"/>
  <c r="C88" i="31"/>
  <c r="C79" i="31"/>
  <c r="C96" i="31"/>
  <c r="C119" i="31"/>
  <c r="C83" i="31"/>
  <c r="C106" i="31"/>
  <c r="B44" i="31"/>
  <c r="M90" i="31"/>
  <c r="I66" i="31"/>
  <c r="N66" i="31"/>
  <c r="I50" i="31"/>
  <c r="N50" i="31"/>
  <c r="I48" i="31"/>
  <c r="N48" i="31"/>
  <c r="M102" i="31"/>
  <c r="D109" i="31"/>
  <c r="K110" i="31"/>
  <c r="N62" i="31"/>
  <c r="M101" i="31"/>
  <c r="M108" i="31"/>
  <c r="M93" i="31"/>
  <c r="M116" i="31"/>
  <c r="N43" i="31"/>
  <c r="I68" i="31"/>
  <c r="M79" i="31"/>
  <c r="M111" i="31"/>
  <c r="M100" i="31"/>
  <c r="M114" i="31"/>
  <c r="M105" i="31"/>
  <c r="M113" i="31"/>
  <c r="M103" i="31"/>
  <c r="M117" i="31"/>
  <c r="M91" i="31"/>
  <c r="M97" i="31"/>
  <c r="M112" i="31"/>
  <c r="M128" i="31"/>
  <c r="M107" i="31"/>
  <c r="M121" i="31"/>
  <c r="M82" i="31"/>
  <c r="M92" i="31"/>
  <c r="M94" i="31"/>
  <c r="M89" i="31"/>
  <c r="M99" i="31"/>
  <c r="M109" i="31"/>
  <c r="M106" i="31"/>
  <c r="M104" i="31"/>
  <c r="M119" i="31"/>
  <c r="M118" i="31"/>
  <c r="M81" i="31"/>
  <c r="M110" i="31"/>
  <c r="M120" i="31"/>
  <c r="M85" i="31"/>
  <c r="M88" i="31"/>
  <c r="I46" i="31"/>
  <c r="N46" i="31"/>
  <c r="N59" i="31"/>
  <c r="M83" i="31"/>
  <c r="M77" i="31"/>
  <c r="M84" i="31"/>
  <c r="I52" i="31"/>
  <c r="I58" i="31"/>
  <c r="N60" i="31"/>
  <c r="AS56" i="30"/>
  <c r="AS75" i="30"/>
  <c r="C123" i="31"/>
  <c r="C92" i="31"/>
  <c r="C89" i="31"/>
  <c r="C80" i="31"/>
  <c r="C110" i="31"/>
  <c r="B18" i="32"/>
  <c r="B25" i="32"/>
  <c r="C93" i="31"/>
  <c r="H31" i="17"/>
  <c r="C86" i="31"/>
  <c r="B41" i="32"/>
  <c r="B30" i="32"/>
  <c r="C115" i="31"/>
  <c r="C126" i="31"/>
  <c r="B36" i="32"/>
  <c r="C102" i="31"/>
  <c r="C107" i="31"/>
  <c r="D118" i="31"/>
  <c r="C91" i="31"/>
  <c r="C125" i="31"/>
  <c r="N11" i="31"/>
  <c r="H117" i="31"/>
  <c r="K116" i="31"/>
  <c r="C82" i="31"/>
  <c r="C113" i="31"/>
  <c r="D93" i="31"/>
  <c r="D77" i="31"/>
  <c r="D130" i="31"/>
  <c r="D82" i="31"/>
  <c r="D123" i="31"/>
  <c r="K97" i="31"/>
  <c r="C124" i="31"/>
  <c r="C121" i="31"/>
  <c r="D106" i="31"/>
  <c r="D107" i="31"/>
  <c r="D90" i="31"/>
  <c r="N15" i="31"/>
  <c r="D85" i="31"/>
  <c r="D114" i="31"/>
  <c r="D121" i="31"/>
  <c r="D89" i="31"/>
  <c r="D104" i="31"/>
  <c r="H16" i="17"/>
  <c r="AS68" i="30"/>
  <c r="AS16" i="30"/>
  <c r="N51" i="31"/>
  <c r="AS14" i="30"/>
  <c r="AS20" i="30"/>
  <c r="AS67" i="30"/>
  <c r="AS39" i="30"/>
  <c r="K92" i="31"/>
  <c r="K82" i="31"/>
  <c r="AS30" i="30"/>
  <c r="AS74" i="30"/>
  <c r="I44" i="31"/>
  <c r="N44" i="31"/>
  <c r="N8" i="31"/>
  <c r="B14" i="31"/>
  <c r="AS8" i="30"/>
  <c r="B55" i="31"/>
  <c r="K102" i="31"/>
  <c r="K83" i="31"/>
  <c r="N21" i="31"/>
  <c r="B38" i="31"/>
  <c r="K94" i="31"/>
  <c r="AS79" i="30"/>
  <c r="B35" i="31"/>
  <c r="I14" i="31"/>
  <c r="I75" i="31"/>
  <c r="B47" i="31"/>
  <c r="N47" i="31"/>
  <c r="I38" i="31"/>
  <c r="M78" i="31"/>
  <c r="C18" i="5"/>
  <c r="B68" i="31"/>
  <c r="N27" i="31"/>
  <c r="AS81" i="30"/>
  <c r="N31" i="31"/>
  <c r="I29" i="31"/>
  <c r="N29" i="31"/>
  <c r="N70" i="31"/>
  <c r="AS62" i="30"/>
  <c r="I55" i="31"/>
  <c r="N5" i="31"/>
  <c r="N18" i="31"/>
  <c r="AS33" i="30"/>
  <c r="N23" i="31"/>
  <c r="N10" i="31"/>
  <c r="N12" i="31"/>
  <c r="AS52" i="30"/>
  <c r="N36" i="31"/>
  <c r="C78" i="31"/>
  <c r="C7" i="5"/>
  <c r="AS80" i="30"/>
  <c r="E92" i="31"/>
  <c r="N56" i="31"/>
  <c r="K79" i="31"/>
  <c r="K127" i="31"/>
  <c r="AS57" i="30"/>
  <c r="N87" i="30"/>
  <c r="G84" i="30"/>
  <c r="E87" i="30"/>
  <c r="B40" i="31"/>
  <c r="AS15" i="30"/>
  <c r="AS40" i="30"/>
  <c r="B42" i="31"/>
  <c r="D78" i="31"/>
  <c r="C8" i="5"/>
  <c r="B75" i="31"/>
  <c r="I35" i="31"/>
  <c r="AS51" i="30"/>
  <c r="B73" i="31"/>
  <c r="N73" i="31"/>
  <c r="E87" i="31"/>
  <c r="H46" i="17"/>
  <c r="N13" i="31"/>
  <c r="AQ31" i="30"/>
  <c r="AS31" i="30"/>
  <c r="AS54" i="30"/>
  <c r="AS37" i="30"/>
  <c r="O87" i="30"/>
  <c r="AS76" i="30"/>
  <c r="N54" i="31"/>
  <c r="AS43" i="30"/>
  <c r="AS63" i="30"/>
  <c r="I40" i="31"/>
  <c r="E80" i="31"/>
  <c r="E85" i="31"/>
  <c r="E105" i="31"/>
  <c r="N65" i="31"/>
  <c r="B41" i="31"/>
  <c r="N41" i="31"/>
  <c r="AS70" i="30"/>
  <c r="AS38" i="30"/>
  <c r="E125" i="31"/>
  <c r="N37" i="31"/>
  <c r="AS44" i="30"/>
  <c r="AS71" i="30"/>
  <c r="AS58" i="30"/>
  <c r="M82" i="1"/>
  <c r="D15" i="18"/>
  <c r="E111" i="31"/>
  <c r="E93" i="31"/>
  <c r="E128" i="31"/>
  <c r="N9" i="31"/>
  <c r="E78" i="31"/>
  <c r="C9" i="5"/>
  <c r="E98" i="31"/>
  <c r="E102" i="31"/>
  <c r="K99" i="31"/>
  <c r="K112" i="31"/>
  <c r="B7" i="31"/>
  <c r="N7" i="31"/>
  <c r="AS60" i="30"/>
  <c r="N6" i="31"/>
  <c r="AS61" i="30"/>
  <c r="N63" i="31"/>
  <c r="N16" i="31"/>
  <c r="K78" i="31"/>
  <c r="C16" i="5"/>
  <c r="AS35" i="30"/>
  <c r="AS66" i="30"/>
  <c r="N49" i="31"/>
  <c r="N25" i="31"/>
  <c r="AS49" i="30"/>
  <c r="AS26" i="30"/>
  <c r="N20" i="31"/>
  <c r="AS46" i="30"/>
  <c r="N57" i="31"/>
  <c r="H8" i="17"/>
  <c r="H15" i="17"/>
  <c r="I87" i="30"/>
  <c r="J87" i="30"/>
  <c r="K87" i="30"/>
  <c r="L88" i="30"/>
  <c r="H87" i="30"/>
  <c r="F111" i="31"/>
  <c r="F107" i="31"/>
  <c r="F121" i="31"/>
  <c r="F83" i="31"/>
  <c r="F120" i="31"/>
  <c r="F116" i="31"/>
  <c r="F109" i="31"/>
  <c r="F92" i="31"/>
  <c r="F108" i="31"/>
  <c r="F127" i="31"/>
  <c r="F128" i="31"/>
  <c r="F99" i="31"/>
  <c r="F115" i="31"/>
  <c r="F91" i="31"/>
  <c r="F97" i="31"/>
  <c r="F96" i="31"/>
  <c r="F110" i="31"/>
  <c r="F86" i="31"/>
  <c r="F114" i="31"/>
  <c r="F103" i="31"/>
  <c r="F104" i="31"/>
  <c r="F106" i="31"/>
  <c r="F101" i="31"/>
  <c r="F102" i="31"/>
  <c r="F126" i="31"/>
  <c r="F93" i="31"/>
  <c r="F78" i="31"/>
  <c r="C10" i="5"/>
  <c r="F124" i="31"/>
  <c r="F85" i="31"/>
  <c r="F123" i="31"/>
  <c r="F95" i="31"/>
  <c r="F82" i="31"/>
  <c r="F122" i="31"/>
  <c r="F87" i="31"/>
  <c r="F125" i="31"/>
  <c r="F79" i="31"/>
  <c r="F80" i="31"/>
  <c r="F84" i="31"/>
  <c r="F105" i="31"/>
  <c r="F100" i="31"/>
  <c r="F90" i="31"/>
  <c r="F118" i="31"/>
  <c r="F119" i="31"/>
  <c r="F88" i="31"/>
  <c r="F117" i="31"/>
  <c r="F113" i="31"/>
  <c r="F94" i="31"/>
  <c r="F112" i="31"/>
  <c r="F98" i="31"/>
  <c r="F81" i="31"/>
  <c r="F77" i="31"/>
  <c r="F89" i="31"/>
  <c r="G89" i="31"/>
  <c r="N33" i="31"/>
  <c r="N32" i="31"/>
  <c r="B3" i="31"/>
  <c r="N3" i="31"/>
  <c r="K108" i="31"/>
  <c r="K115" i="31"/>
  <c r="K117" i="31"/>
  <c r="K118" i="31"/>
  <c r="K80" i="31"/>
  <c r="K126" i="31"/>
  <c r="K105" i="31"/>
  <c r="K101" i="31"/>
  <c r="K111" i="31"/>
  <c r="K107" i="31"/>
  <c r="K119" i="31"/>
  <c r="K91" i="31"/>
  <c r="K109" i="31"/>
  <c r="K90" i="31"/>
  <c r="K87" i="31"/>
  <c r="K104" i="31"/>
  <c r="K113" i="31"/>
  <c r="K128" i="31"/>
  <c r="K85" i="31"/>
  <c r="I4" i="31"/>
  <c r="N4" i="31"/>
  <c r="K93" i="31"/>
  <c r="K120" i="31"/>
  <c r="K114" i="31"/>
  <c r="K88" i="31"/>
  <c r="K100" i="31"/>
  <c r="K77" i="31"/>
  <c r="K121" i="31"/>
  <c r="K122" i="31"/>
  <c r="K86" i="31"/>
  <c r="K125" i="31"/>
  <c r="K89" i="31"/>
  <c r="K98" i="31"/>
  <c r="K106" i="31"/>
  <c r="K95" i="31"/>
  <c r="K123" i="31"/>
  <c r="K96" i="31"/>
  <c r="K124" i="31"/>
  <c r="K81" i="31"/>
  <c r="K84" i="31"/>
  <c r="K103" i="31"/>
  <c r="AS9" i="30"/>
  <c r="M132" i="31"/>
  <c r="E110" i="31"/>
  <c r="E84" i="31"/>
  <c r="E90" i="31"/>
  <c r="E122" i="31"/>
  <c r="E126" i="31"/>
  <c r="E106" i="31"/>
  <c r="E88" i="31"/>
  <c r="E91" i="31"/>
  <c r="E81" i="31"/>
  <c r="E127" i="31"/>
  <c r="E109" i="31"/>
  <c r="E101" i="31"/>
  <c r="E123" i="31"/>
  <c r="E113" i="31"/>
  <c r="E104" i="31"/>
  <c r="E114" i="31"/>
  <c r="E96" i="31"/>
  <c r="E115" i="31"/>
  <c r="E79" i="31"/>
  <c r="E120" i="31"/>
  <c r="E77" i="31"/>
  <c r="E89" i="31"/>
  <c r="E100" i="31"/>
  <c r="E94" i="31"/>
  <c r="E124" i="31"/>
  <c r="E118" i="31"/>
  <c r="E112" i="31"/>
  <c r="E99" i="31"/>
  <c r="E86" i="31"/>
  <c r="E97" i="31"/>
  <c r="E107" i="31"/>
  <c r="E119" i="31"/>
  <c r="E83" i="31"/>
  <c r="E121" i="31"/>
  <c r="E116" i="31"/>
  <c r="E108" i="31"/>
  <c r="E95" i="31"/>
  <c r="E117" i="31"/>
  <c r="E82" i="31"/>
  <c r="I42" i="31"/>
  <c r="J98" i="31"/>
  <c r="J79" i="31"/>
  <c r="J128" i="31"/>
  <c r="J84" i="31"/>
  <c r="J95" i="31"/>
  <c r="J110" i="31"/>
  <c r="J104" i="31"/>
  <c r="J109" i="31"/>
  <c r="J78" i="31"/>
  <c r="C15" i="5"/>
  <c r="J115" i="31"/>
  <c r="J83" i="31"/>
  <c r="J82" i="31"/>
  <c r="J126" i="31"/>
  <c r="J116" i="31"/>
  <c r="J113" i="31"/>
  <c r="J112" i="31"/>
  <c r="J118" i="31"/>
  <c r="J103" i="31"/>
  <c r="J87" i="31"/>
  <c r="J117" i="31"/>
  <c r="J97" i="31"/>
  <c r="J120" i="31"/>
  <c r="J111" i="31"/>
  <c r="J77" i="31"/>
  <c r="J125" i="31"/>
  <c r="J127" i="31"/>
  <c r="J89" i="31"/>
  <c r="J105" i="31"/>
  <c r="J119" i="31"/>
  <c r="J81" i="31"/>
  <c r="J86" i="31"/>
  <c r="J121" i="31"/>
  <c r="J108" i="31"/>
  <c r="J102" i="31"/>
  <c r="J124" i="31"/>
  <c r="J106" i="31"/>
  <c r="J92" i="31"/>
  <c r="J80" i="31"/>
  <c r="J114" i="31"/>
  <c r="L111" i="31"/>
  <c r="L92" i="31"/>
  <c r="L77" i="31"/>
  <c r="L101" i="31"/>
  <c r="L88" i="31"/>
  <c r="L106" i="31"/>
  <c r="L94" i="31"/>
  <c r="L123" i="31"/>
  <c r="L116" i="31"/>
  <c r="L78" i="31"/>
  <c r="C17" i="5"/>
  <c r="L99" i="31"/>
  <c r="L100" i="31"/>
  <c r="L103" i="31"/>
  <c r="L122" i="31"/>
  <c r="L126" i="31"/>
  <c r="L117" i="31"/>
  <c r="L105" i="31"/>
  <c r="L98" i="31"/>
  <c r="L87" i="31"/>
  <c r="L90" i="31"/>
  <c r="L97" i="31"/>
  <c r="L124" i="31"/>
  <c r="L127" i="31"/>
  <c r="L121" i="31"/>
  <c r="L93" i="31"/>
  <c r="L128" i="31"/>
  <c r="L125" i="31"/>
  <c r="L83" i="31"/>
  <c r="L113" i="31"/>
  <c r="L95" i="31"/>
  <c r="L108" i="31"/>
  <c r="L109" i="31"/>
  <c r="L86" i="31"/>
  <c r="L85" i="31"/>
  <c r="L104" i="31"/>
  <c r="L102" i="31"/>
  <c r="L91" i="31"/>
  <c r="L107" i="31"/>
  <c r="L84" i="31"/>
  <c r="C11" i="3"/>
  <c r="H18" i="17"/>
  <c r="J96" i="31"/>
  <c r="J85" i="31"/>
  <c r="J107" i="31"/>
  <c r="L118" i="31"/>
  <c r="L110" i="31"/>
  <c r="L96" i="31"/>
  <c r="G82" i="31"/>
  <c r="G110" i="31"/>
  <c r="G99" i="31"/>
  <c r="H101" i="31"/>
  <c r="Y84" i="30"/>
  <c r="D131" i="31"/>
  <c r="D171" i="31"/>
  <c r="AS13" i="30"/>
  <c r="AQ84" i="30"/>
  <c r="N2" i="31"/>
  <c r="C9" i="3"/>
  <c r="D142" i="31"/>
  <c r="J91" i="31"/>
  <c r="J99" i="31"/>
  <c r="J94" i="31"/>
  <c r="L81" i="31"/>
  <c r="L120" i="31"/>
  <c r="L79" i="31"/>
  <c r="G101" i="31"/>
  <c r="G95" i="31"/>
  <c r="G98" i="31"/>
  <c r="G125" i="31"/>
  <c r="G117" i="31"/>
  <c r="G80" i="31"/>
  <c r="G94" i="31"/>
  <c r="G102" i="31"/>
  <c r="G88" i="31"/>
  <c r="G116" i="31"/>
  <c r="G127" i="31"/>
  <c r="G100" i="31"/>
  <c r="G121" i="31"/>
  <c r="G84" i="31"/>
  <c r="G109" i="31"/>
  <c r="G104" i="31"/>
  <c r="G77" i="31"/>
  <c r="G90" i="31"/>
  <c r="G108" i="31"/>
  <c r="G120" i="31"/>
  <c r="G105" i="31"/>
  <c r="G123" i="31"/>
  <c r="G83" i="31"/>
  <c r="G126" i="31"/>
  <c r="G91" i="31"/>
  <c r="G86" i="31"/>
  <c r="G119" i="31"/>
  <c r="G96" i="31"/>
  <c r="G112" i="31"/>
  <c r="G128" i="31"/>
  <c r="G78" i="31"/>
  <c r="C11" i="5"/>
  <c r="G122" i="31"/>
  <c r="G85" i="31"/>
  <c r="G92" i="31"/>
  <c r="G118" i="31"/>
  <c r="G97" i="31"/>
  <c r="G79" i="31"/>
  <c r="G107" i="31"/>
  <c r="G111" i="31"/>
  <c r="G113" i="31"/>
  <c r="G115" i="31"/>
  <c r="G103" i="31"/>
  <c r="B24" i="31"/>
  <c r="N24" i="31"/>
  <c r="H98" i="31"/>
  <c r="H120" i="31"/>
  <c r="H92" i="31"/>
  <c r="H127" i="31"/>
  <c r="H93" i="31"/>
  <c r="H108" i="31"/>
  <c r="H104" i="31"/>
  <c r="H124" i="31"/>
  <c r="H116" i="31"/>
  <c r="H105" i="31"/>
  <c r="H85" i="31"/>
  <c r="H99" i="31"/>
  <c r="H109" i="31"/>
  <c r="H77" i="31"/>
  <c r="H79" i="31"/>
  <c r="H119" i="31"/>
  <c r="H110" i="31"/>
  <c r="H94" i="31"/>
  <c r="H100" i="31"/>
  <c r="H88" i="31"/>
  <c r="H96" i="31"/>
  <c r="H113" i="31"/>
  <c r="H84" i="31"/>
  <c r="H107" i="31"/>
  <c r="H95" i="31"/>
  <c r="H122" i="31"/>
  <c r="H80" i="31"/>
  <c r="H102" i="31"/>
  <c r="H82" i="31"/>
  <c r="H86" i="31"/>
  <c r="H106" i="31"/>
  <c r="H97" i="31"/>
  <c r="H83" i="31"/>
  <c r="H115" i="31"/>
  <c r="H128" i="31"/>
  <c r="H121" i="31"/>
  <c r="H91" i="31"/>
  <c r="H111" i="31"/>
  <c r="H103" i="31"/>
  <c r="H118" i="31"/>
  <c r="H123" i="31"/>
  <c r="H81" i="31"/>
  <c r="H112" i="31"/>
  <c r="H87" i="31"/>
  <c r="H89" i="31"/>
  <c r="H90" i="31"/>
  <c r="H114" i="31"/>
  <c r="H125" i="31"/>
  <c r="H78" i="31"/>
  <c r="C12" i="5"/>
  <c r="C17" i="3"/>
  <c r="H36" i="17"/>
  <c r="E19" i="3"/>
  <c r="F19" i="3"/>
  <c r="J100" i="31"/>
  <c r="J93" i="31"/>
  <c r="J90" i="31"/>
  <c r="L119" i="31"/>
  <c r="L80" i="31"/>
  <c r="L114" i="31"/>
  <c r="L82" i="31"/>
  <c r="G124" i="31"/>
  <c r="G87" i="31"/>
  <c r="G81" i="31"/>
  <c r="H41" i="17"/>
  <c r="C18" i="3"/>
  <c r="I53" i="31"/>
  <c r="N53" i="31"/>
  <c r="B19" i="31"/>
  <c r="N19" i="31"/>
  <c r="J88" i="31"/>
  <c r="J122" i="31"/>
  <c r="J101" i="31"/>
  <c r="J123" i="31"/>
  <c r="L112" i="31"/>
  <c r="L115" i="31"/>
  <c r="L89" i="31"/>
  <c r="G93" i="31"/>
  <c r="G106" i="31"/>
  <c r="G114" i="31"/>
  <c r="H126" i="31"/>
  <c r="D151" i="31"/>
  <c r="M133" i="31"/>
  <c r="C131" i="31"/>
  <c r="M131" i="31"/>
  <c r="C171" i="31"/>
  <c r="C150" i="31"/>
  <c r="D19" i="18"/>
  <c r="E13" i="18"/>
  <c r="N39" i="31"/>
  <c r="F25" i="32"/>
  <c r="K50" i="32"/>
  <c r="D23" i="32"/>
  <c r="D5" i="32"/>
  <c r="D18" i="32"/>
  <c r="D46" i="32"/>
  <c r="D24" i="32"/>
  <c r="D9" i="32"/>
  <c r="D14" i="32"/>
  <c r="D25" i="32"/>
  <c r="D36" i="32"/>
  <c r="D30" i="32"/>
  <c r="D41" i="32"/>
  <c r="D47" i="32"/>
  <c r="M150" i="31"/>
  <c r="K144" i="31"/>
  <c r="D165" i="31"/>
  <c r="C173" i="31"/>
  <c r="N69" i="31"/>
  <c r="C151" i="31"/>
  <c r="C153" i="31"/>
  <c r="C144" i="31"/>
  <c r="C148" i="31"/>
  <c r="D139" i="31"/>
  <c r="D177" i="31"/>
  <c r="D170" i="31"/>
  <c r="M152" i="31"/>
  <c r="D153" i="31"/>
  <c r="C166" i="31"/>
  <c r="C167" i="31"/>
  <c r="D164" i="31"/>
  <c r="D172" i="31"/>
  <c r="D154" i="31"/>
  <c r="M142" i="31"/>
  <c r="C147" i="31"/>
  <c r="C161" i="31"/>
  <c r="N68" i="31"/>
  <c r="C149" i="31"/>
  <c r="N58" i="31"/>
  <c r="M165" i="31"/>
  <c r="C132" i="31"/>
  <c r="K133" i="31"/>
  <c r="D158" i="31"/>
  <c r="D157" i="31"/>
  <c r="D149" i="31"/>
  <c r="K173" i="31"/>
  <c r="C175" i="31"/>
  <c r="C137" i="31"/>
  <c r="C154" i="31"/>
  <c r="C141" i="31"/>
  <c r="C172" i="31"/>
  <c r="C138" i="31"/>
  <c r="C177" i="31"/>
  <c r="C159" i="31"/>
  <c r="C162" i="31"/>
  <c r="D156" i="31"/>
  <c r="D169" i="31"/>
  <c r="D135" i="31"/>
  <c r="D175" i="31"/>
  <c r="D145" i="31"/>
  <c r="D143" i="31"/>
  <c r="D174" i="31"/>
  <c r="D144" i="31"/>
  <c r="D167" i="31"/>
  <c r="D140" i="31"/>
  <c r="D147" i="31"/>
  <c r="M139" i="31"/>
  <c r="M154" i="31"/>
  <c r="D137" i="31"/>
  <c r="K145" i="31"/>
  <c r="C169" i="31"/>
  <c r="C152" i="31"/>
  <c r="C165" i="31"/>
  <c r="C170" i="31"/>
  <c r="C158" i="31"/>
  <c r="C143" i="31"/>
  <c r="C164" i="31"/>
  <c r="C163" i="31"/>
  <c r="D141" i="31"/>
  <c r="C155" i="31"/>
  <c r="D176" i="31"/>
  <c r="D146" i="31"/>
  <c r="D163" i="31"/>
  <c r="D148" i="31"/>
  <c r="D136" i="31"/>
  <c r="D168" i="31"/>
  <c r="D159" i="31"/>
  <c r="D178" i="31"/>
  <c r="D150" i="31"/>
  <c r="D155" i="31"/>
  <c r="C179" i="31"/>
  <c r="M148" i="31"/>
  <c r="M160" i="31"/>
  <c r="M144" i="31"/>
  <c r="C136" i="31"/>
  <c r="D132" i="31"/>
  <c r="C176" i="31"/>
  <c r="C157" i="31"/>
  <c r="C174" i="31"/>
  <c r="C139" i="31"/>
  <c r="C156" i="31"/>
  <c r="C168" i="31"/>
  <c r="C160" i="31"/>
  <c r="C142" i="31"/>
  <c r="C140" i="31"/>
  <c r="C178" i="31"/>
  <c r="C145" i="31"/>
  <c r="D166" i="31"/>
  <c r="D160" i="31"/>
  <c r="D134" i="31"/>
  <c r="D179" i="31"/>
  <c r="D133" i="31"/>
  <c r="D173" i="31"/>
  <c r="D162" i="31"/>
  <c r="D161" i="31"/>
  <c r="D152" i="31"/>
  <c r="M149" i="31"/>
  <c r="M151" i="31"/>
  <c r="C134" i="31"/>
  <c r="D138" i="31"/>
  <c r="M170" i="31"/>
  <c r="C130" i="31"/>
  <c r="N52" i="31"/>
  <c r="K130" i="31"/>
  <c r="C133" i="31"/>
  <c r="M135" i="31"/>
  <c r="M161" i="31"/>
  <c r="M162" i="31"/>
  <c r="M137" i="31"/>
  <c r="M163" i="31"/>
  <c r="M153" i="31"/>
  <c r="C146" i="31"/>
  <c r="C135" i="31"/>
  <c r="N14" i="31"/>
  <c r="F12" i="3"/>
  <c r="M159" i="31"/>
  <c r="M164" i="31"/>
  <c r="M167" i="31"/>
  <c r="M136" i="31"/>
  <c r="M168" i="31"/>
  <c r="M178" i="31"/>
  <c r="M174" i="31"/>
  <c r="M147" i="31"/>
  <c r="M177" i="31"/>
  <c r="M175" i="31"/>
  <c r="M157" i="31"/>
  <c r="M155" i="31"/>
  <c r="M179" i="31"/>
  <c r="M172" i="31"/>
  <c r="M176" i="31"/>
  <c r="M146" i="31"/>
  <c r="M171" i="31"/>
  <c r="M140" i="31"/>
  <c r="M169" i="31"/>
  <c r="M173" i="31"/>
  <c r="M138" i="31"/>
  <c r="M166" i="31"/>
  <c r="M134" i="31"/>
  <c r="M158" i="31"/>
  <c r="M130" i="31"/>
  <c r="M143" i="31"/>
  <c r="M156" i="31"/>
  <c r="M145" i="31"/>
  <c r="M141" i="31"/>
  <c r="K137" i="31"/>
  <c r="K157" i="31"/>
  <c r="K135" i="31"/>
  <c r="K131" i="31"/>
  <c r="K147" i="31"/>
  <c r="K169" i="31"/>
  <c r="K138" i="31"/>
  <c r="K139" i="31"/>
  <c r="K136" i="31"/>
  <c r="K150" i="31"/>
  <c r="K134" i="31"/>
  <c r="K140" i="31"/>
  <c r="K143" i="31"/>
  <c r="K170" i="31"/>
  <c r="B47" i="32"/>
  <c r="B50" i="32"/>
  <c r="K151" i="31"/>
  <c r="K174" i="31"/>
  <c r="K152" i="31"/>
  <c r="K154" i="31"/>
  <c r="K175" i="31"/>
  <c r="K166" i="31"/>
  <c r="K148" i="31"/>
  <c r="K158" i="31"/>
  <c r="K165" i="31"/>
  <c r="K168" i="31"/>
  <c r="K177" i="31"/>
  <c r="K156" i="31"/>
  <c r="K172" i="31"/>
  <c r="K162" i="31"/>
  <c r="K160" i="31"/>
  <c r="K155" i="31"/>
  <c r="K179" i="31"/>
  <c r="K149" i="31"/>
  <c r="C16" i="3"/>
  <c r="C20" i="3"/>
  <c r="R63" i="3"/>
  <c r="H30" i="17"/>
  <c r="N42" i="31"/>
  <c r="K167" i="31"/>
  <c r="N75" i="31"/>
  <c r="N38" i="31"/>
  <c r="N35" i="31"/>
  <c r="N55" i="31"/>
  <c r="K146" i="31"/>
  <c r="K153" i="31"/>
  <c r="P87" i="30"/>
  <c r="L87" i="30"/>
  <c r="K159" i="31"/>
  <c r="E171" i="31"/>
  <c r="D87" i="30"/>
  <c r="K163" i="31"/>
  <c r="F87" i="30"/>
  <c r="E134" i="31"/>
  <c r="K161" i="31"/>
  <c r="N40" i="31"/>
  <c r="E142" i="31"/>
  <c r="E179" i="31"/>
  <c r="E153" i="31"/>
  <c r="E131" i="31"/>
  <c r="E138" i="31"/>
  <c r="E157" i="31"/>
  <c r="E173" i="31"/>
  <c r="E160" i="31"/>
  <c r="E172" i="31"/>
  <c r="E158" i="31"/>
  <c r="E170" i="31"/>
  <c r="E143" i="31"/>
  <c r="E168" i="31"/>
  <c r="E150" i="31"/>
  <c r="E6" i="18"/>
  <c r="E7" i="18"/>
  <c r="E9" i="18"/>
  <c r="E5" i="18"/>
  <c r="E10" i="18"/>
  <c r="E14" i="18"/>
  <c r="E12" i="18"/>
  <c r="E11" i="18"/>
  <c r="E15" i="18"/>
  <c r="E8" i="18"/>
  <c r="K176" i="31"/>
  <c r="E132" i="31"/>
  <c r="E178" i="31"/>
  <c r="E155" i="31"/>
  <c r="E141" i="31"/>
  <c r="E133" i="31"/>
  <c r="E151" i="31"/>
  <c r="E148" i="31"/>
  <c r="E176" i="31"/>
  <c r="E135" i="31"/>
  <c r="E167" i="31"/>
  <c r="E152" i="31"/>
  <c r="E169" i="31"/>
  <c r="E136" i="31"/>
  <c r="E146" i="31"/>
  <c r="E177" i="31"/>
  <c r="E162" i="31"/>
  <c r="E137" i="31"/>
  <c r="E145" i="31"/>
  <c r="E166" i="31"/>
  <c r="E139" i="31"/>
  <c r="E163" i="31"/>
  <c r="E159" i="31"/>
  <c r="E154" i="31"/>
  <c r="E175" i="31"/>
  <c r="E164" i="31"/>
  <c r="E156" i="31"/>
  <c r="E130" i="31"/>
  <c r="E149" i="31"/>
  <c r="E165" i="31"/>
  <c r="E161" i="31"/>
  <c r="E147" i="31"/>
  <c r="E144" i="31"/>
  <c r="E174" i="31"/>
  <c r="E140" i="31"/>
  <c r="H6" i="17"/>
  <c r="H5" i="17"/>
  <c r="H14" i="17"/>
  <c r="H10" i="17"/>
  <c r="F152" i="31"/>
  <c r="F173" i="31"/>
  <c r="F142" i="31"/>
  <c r="F140" i="31"/>
  <c r="F148" i="31"/>
  <c r="F168" i="31"/>
  <c r="F139" i="31"/>
  <c r="F170" i="31"/>
  <c r="F177" i="31"/>
  <c r="F172" i="31"/>
  <c r="F176" i="31"/>
  <c r="F157" i="31"/>
  <c r="F153" i="31"/>
  <c r="F156" i="31"/>
  <c r="F133" i="31"/>
  <c r="F171" i="31"/>
  <c r="F161" i="31"/>
  <c r="F131" i="31"/>
  <c r="F143" i="31"/>
  <c r="F145" i="31"/>
  <c r="F132" i="31"/>
  <c r="F134" i="31"/>
  <c r="F174" i="31"/>
  <c r="F151" i="31"/>
  <c r="F136" i="31"/>
  <c r="F135" i="31"/>
  <c r="F166" i="31"/>
  <c r="F130" i="31"/>
  <c r="F137" i="31"/>
  <c r="F169" i="31"/>
  <c r="F178" i="31"/>
  <c r="F175" i="31"/>
  <c r="F138" i="31"/>
  <c r="F159" i="31"/>
  <c r="F141" i="31"/>
  <c r="F163" i="31"/>
  <c r="F164" i="31"/>
  <c r="F144" i="31"/>
  <c r="F154" i="31"/>
  <c r="F165" i="31"/>
  <c r="F162" i="31"/>
  <c r="F179" i="31"/>
  <c r="F155" i="31"/>
  <c r="F150" i="31"/>
  <c r="F146" i="31"/>
  <c r="F147" i="31"/>
  <c r="F167" i="31"/>
  <c r="F160" i="31"/>
  <c r="F158" i="31"/>
  <c r="L89" i="30"/>
  <c r="L90" i="30"/>
  <c r="F149" i="31"/>
  <c r="K141" i="31"/>
  <c r="K171" i="31"/>
  <c r="K164" i="31"/>
  <c r="K132" i="31"/>
  <c r="K142" i="31"/>
  <c r="K178" i="31"/>
  <c r="H145" i="31"/>
  <c r="H161" i="31"/>
  <c r="H179" i="31"/>
  <c r="H139" i="31"/>
  <c r="H146" i="31"/>
  <c r="H137" i="31"/>
  <c r="H154" i="31"/>
  <c r="H177" i="31"/>
  <c r="H140" i="31"/>
  <c r="H152" i="31"/>
  <c r="H172" i="31"/>
  <c r="H170" i="31"/>
  <c r="H141" i="31"/>
  <c r="H176" i="31"/>
  <c r="H143" i="31"/>
  <c r="H178" i="31"/>
  <c r="H132" i="31"/>
  <c r="H134" i="31"/>
  <c r="H149" i="31"/>
  <c r="H169" i="31"/>
  <c r="H151" i="31"/>
  <c r="H153" i="31"/>
  <c r="H168" i="31"/>
  <c r="H135" i="31"/>
  <c r="H159" i="31"/>
  <c r="H142" i="31"/>
  <c r="H165" i="31"/>
  <c r="H158" i="31"/>
  <c r="H155" i="31"/>
  <c r="H162" i="31"/>
  <c r="H136" i="31"/>
  <c r="H173" i="31"/>
  <c r="H148" i="31"/>
  <c r="H150" i="31"/>
  <c r="H166" i="31"/>
  <c r="H174" i="31"/>
  <c r="H144" i="31"/>
  <c r="H160" i="31"/>
  <c r="H157" i="31"/>
  <c r="H156" i="31"/>
  <c r="H138" i="31"/>
  <c r="H133" i="31"/>
  <c r="H147" i="31"/>
  <c r="H175" i="31"/>
  <c r="H167" i="31"/>
  <c r="H131" i="31"/>
  <c r="H163" i="31"/>
  <c r="H130" i="31"/>
  <c r="H164" i="31"/>
  <c r="H171" i="31"/>
  <c r="E11" i="3"/>
  <c r="F11" i="3"/>
  <c r="I99" i="31"/>
  <c r="I85" i="31"/>
  <c r="I79" i="31"/>
  <c r="I94" i="31"/>
  <c r="I122" i="31"/>
  <c r="B111" i="31"/>
  <c r="B112" i="31"/>
  <c r="B96" i="31"/>
  <c r="B116" i="31"/>
  <c r="B82" i="31"/>
  <c r="B119" i="31"/>
  <c r="B122" i="31"/>
  <c r="B77" i="31"/>
  <c r="B110" i="31"/>
  <c r="B127" i="31"/>
  <c r="B121" i="31"/>
  <c r="B104" i="31"/>
  <c r="B105" i="31"/>
  <c r="C8" i="3"/>
  <c r="W8" i="3"/>
  <c r="H47" i="17"/>
  <c r="G130" i="31"/>
  <c r="G133" i="31"/>
  <c r="G165" i="31"/>
  <c r="G137" i="31"/>
  <c r="G142" i="31"/>
  <c r="G173" i="31"/>
  <c r="G161" i="31"/>
  <c r="G172" i="31"/>
  <c r="G152" i="31"/>
  <c r="G143" i="31"/>
  <c r="G147" i="31"/>
  <c r="G154" i="31"/>
  <c r="G136" i="31"/>
  <c r="G135" i="31"/>
  <c r="G145" i="31"/>
  <c r="G151" i="31"/>
  <c r="G144" i="31"/>
  <c r="G176" i="31"/>
  <c r="G156" i="31"/>
  <c r="G148" i="31"/>
  <c r="G158" i="31"/>
  <c r="G155" i="31"/>
  <c r="G134" i="31"/>
  <c r="G175" i="31"/>
  <c r="G179" i="31"/>
  <c r="G139" i="31"/>
  <c r="G153" i="31"/>
  <c r="G141" i="31"/>
  <c r="G168" i="31"/>
  <c r="G140" i="31"/>
  <c r="G131" i="31"/>
  <c r="G163" i="31"/>
  <c r="G162" i="31"/>
  <c r="G167" i="31"/>
  <c r="G169" i="31"/>
  <c r="G157" i="31"/>
  <c r="G177" i="31"/>
  <c r="G171" i="31"/>
  <c r="G166" i="31"/>
  <c r="G174" i="31"/>
  <c r="G132" i="31"/>
  <c r="G160" i="31"/>
  <c r="G150" i="31"/>
  <c r="G146" i="31"/>
  <c r="G164" i="31"/>
  <c r="G159" i="31"/>
  <c r="G170" i="31"/>
  <c r="G138" i="31"/>
  <c r="G149" i="31"/>
  <c r="G178" i="31"/>
  <c r="J159" i="31"/>
  <c r="J160" i="31"/>
  <c r="J177" i="31"/>
  <c r="J164" i="31"/>
  <c r="J155" i="31"/>
  <c r="J154" i="31"/>
  <c r="J158" i="31"/>
  <c r="J175" i="31"/>
  <c r="J146" i="31"/>
  <c r="J139" i="31"/>
  <c r="J130" i="31"/>
  <c r="J172" i="31"/>
  <c r="J165" i="31"/>
  <c r="J141" i="31"/>
  <c r="J173" i="31"/>
  <c r="J140" i="31"/>
  <c r="J134" i="31"/>
  <c r="J169" i="31"/>
  <c r="J166" i="31"/>
  <c r="J138" i="31"/>
  <c r="J131" i="31"/>
  <c r="J170" i="31"/>
  <c r="J147" i="31"/>
  <c r="J144" i="31"/>
  <c r="J161" i="31"/>
  <c r="J171" i="31"/>
  <c r="J150" i="31"/>
  <c r="J143" i="31"/>
  <c r="J162" i="31"/>
  <c r="J157" i="31"/>
  <c r="J145" i="31"/>
  <c r="J163" i="31"/>
  <c r="J153" i="31"/>
  <c r="J133" i="31"/>
  <c r="J151" i="31"/>
  <c r="J168" i="31"/>
  <c r="J179" i="31"/>
  <c r="J142" i="31"/>
  <c r="J156" i="31"/>
  <c r="J132" i="31"/>
  <c r="J167" i="31"/>
  <c r="J135" i="31"/>
  <c r="J174" i="31"/>
  <c r="J149" i="31"/>
  <c r="J136" i="31"/>
  <c r="J137" i="31"/>
  <c r="J176" i="31"/>
  <c r="J152" i="31"/>
  <c r="J178" i="31"/>
  <c r="J148" i="31"/>
  <c r="I81" i="31"/>
  <c r="I91" i="31"/>
  <c r="I116" i="31"/>
  <c r="I117" i="31"/>
  <c r="I78" i="31"/>
  <c r="C14" i="5"/>
  <c r="I113" i="31"/>
  <c r="I106" i="31"/>
  <c r="I118" i="31"/>
  <c r="I83" i="31"/>
  <c r="I89" i="31"/>
  <c r="I95" i="31"/>
  <c r="I123" i="31"/>
  <c r="I121" i="31"/>
  <c r="I107" i="31"/>
  <c r="I84" i="31"/>
  <c r="I114" i="31"/>
  <c r="I124" i="31"/>
  <c r="I80" i="31"/>
  <c r="I104" i="31"/>
  <c r="I127" i="31"/>
  <c r="I110" i="31"/>
  <c r="B113" i="31"/>
  <c r="B123" i="31"/>
  <c r="B79" i="31"/>
  <c r="B88" i="31"/>
  <c r="B80" i="31"/>
  <c r="B78" i="31"/>
  <c r="C6" i="5"/>
  <c r="B89" i="31"/>
  <c r="B114" i="31"/>
  <c r="B102" i="31"/>
  <c r="B107" i="31"/>
  <c r="B92" i="31"/>
  <c r="B108" i="31"/>
  <c r="B100" i="31"/>
  <c r="I93" i="31"/>
  <c r="I108" i="31"/>
  <c r="I90" i="31"/>
  <c r="I77" i="31"/>
  <c r="I100" i="31"/>
  <c r="I126" i="31"/>
  <c r="I109" i="31"/>
  <c r="I97" i="31"/>
  <c r="I111" i="31"/>
  <c r="I119" i="31"/>
  <c r="I101" i="31"/>
  <c r="I115" i="31"/>
  <c r="I88" i="31"/>
  <c r="B83" i="31"/>
  <c r="B106" i="31"/>
  <c r="B98" i="31"/>
  <c r="B84" i="31"/>
  <c r="B95" i="31"/>
  <c r="B126" i="31"/>
  <c r="B125" i="31"/>
  <c r="B87" i="31"/>
  <c r="B115" i="31"/>
  <c r="B101" i="31"/>
  <c r="B81" i="31"/>
  <c r="B117" i="31"/>
  <c r="B124" i="31"/>
  <c r="E18" i="3"/>
  <c r="F18" i="3"/>
  <c r="F17" i="3"/>
  <c r="E17" i="3"/>
  <c r="AV6" i="30"/>
  <c r="AS84" i="30"/>
  <c r="W15" i="3"/>
  <c r="Z13" i="3"/>
  <c r="L161" i="31"/>
  <c r="L139" i="31"/>
  <c r="L172" i="31"/>
  <c r="L146" i="31"/>
  <c r="L134" i="31"/>
  <c r="L140" i="31"/>
  <c r="L155" i="31"/>
  <c r="L143" i="31"/>
  <c r="L135" i="31"/>
  <c r="L167" i="31"/>
  <c r="L173" i="31"/>
  <c r="L148" i="31"/>
  <c r="L168" i="31"/>
  <c r="L171" i="31"/>
  <c r="L142" i="31"/>
  <c r="L178" i="31"/>
  <c r="L149" i="31"/>
  <c r="L151" i="31"/>
  <c r="L157" i="31"/>
  <c r="L153" i="31"/>
  <c r="L165" i="31"/>
  <c r="L156" i="31"/>
  <c r="L166" i="31"/>
  <c r="L170" i="31"/>
  <c r="L144" i="31"/>
  <c r="L145" i="31"/>
  <c r="L163" i="31"/>
  <c r="L133" i="31"/>
  <c r="L152" i="31"/>
  <c r="L154" i="31"/>
  <c r="L169" i="31"/>
  <c r="L176" i="31"/>
  <c r="L138" i="31"/>
  <c r="L158" i="31"/>
  <c r="L137" i="31"/>
  <c r="L136" i="31"/>
  <c r="L177" i="31"/>
  <c r="L141" i="31"/>
  <c r="L131" i="31"/>
  <c r="L147" i="31"/>
  <c r="L162" i="31"/>
  <c r="L132" i="31"/>
  <c r="L179" i="31"/>
  <c r="L159" i="31"/>
  <c r="L164" i="31"/>
  <c r="L130" i="31"/>
  <c r="L160" i="31"/>
  <c r="L174" i="31"/>
  <c r="L150" i="31"/>
  <c r="L175" i="31"/>
  <c r="I92" i="31"/>
  <c r="I105" i="31"/>
  <c r="I102" i="31"/>
  <c r="I128" i="31"/>
  <c r="I103" i="31"/>
  <c r="I112" i="31"/>
  <c r="I86" i="31"/>
  <c r="I82" i="31"/>
  <c r="I120" i="31"/>
  <c r="I125" i="31"/>
  <c r="I87" i="31"/>
  <c r="I96" i="31"/>
  <c r="I98" i="31"/>
  <c r="B128" i="31"/>
  <c r="B94" i="31"/>
  <c r="B86" i="31"/>
  <c r="B91" i="31"/>
  <c r="B90" i="31"/>
  <c r="B85" i="31"/>
  <c r="B120" i="31"/>
  <c r="B97" i="31"/>
  <c r="B103" i="31"/>
  <c r="B109" i="31"/>
  <c r="B118" i="31"/>
  <c r="B99" i="31"/>
  <c r="B93" i="31"/>
  <c r="E17" i="18"/>
  <c r="D18" i="18"/>
  <c r="N100" i="31"/>
  <c r="N79" i="31"/>
  <c r="N109" i="31"/>
  <c r="N122" i="31"/>
  <c r="N96" i="31"/>
  <c r="N116" i="31"/>
  <c r="N94" i="31"/>
  <c r="N105" i="31"/>
  <c r="N124" i="31"/>
  <c r="N97" i="31"/>
  <c r="N80" i="31"/>
  <c r="N95" i="31"/>
  <c r="N91" i="31"/>
  <c r="N123" i="31"/>
  <c r="E16" i="3"/>
  <c r="F16" i="3"/>
  <c r="N77" i="31"/>
  <c r="N130" i="31"/>
  <c r="N90" i="31"/>
  <c r="N112" i="31"/>
  <c r="N108" i="31"/>
  <c r="N102" i="31"/>
  <c r="N104" i="31"/>
  <c r="N110" i="31"/>
  <c r="N115" i="31"/>
  <c r="N119" i="31"/>
  <c r="N114" i="31"/>
  <c r="N92" i="31"/>
  <c r="N127" i="31"/>
  <c r="N106" i="31"/>
  <c r="N82" i="31"/>
  <c r="N93" i="31"/>
  <c r="N86" i="31"/>
  <c r="N89" i="31"/>
  <c r="N88" i="31"/>
  <c r="N83" i="31"/>
  <c r="N87" i="31"/>
  <c r="N126" i="31"/>
  <c r="N128" i="31"/>
  <c r="N117" i="31"/>
  <c r="N118" i="31"/>
  <c r="N107" i="31"/>
  <c r="N84" i="31"/>
  <c r="N85" i="31"/>
  <c r="N111" i="31"/>
  <c r="N81" i="31"/>
  <c r="N98" i="31"/>
  <c r="N113" i="31"/>
  <c r="N120" i="31"/>
  <c r="N101" i="31"/>
  <c r="N99" i="31"/>
  <c r="N121" i="31"/>
  <c r="N125" i="31"/>
  <c r="N103" i="31"/>
  <c r="G87" i="30"/>
  <c r="N78" i="31"/>
  <c r="C20" i="5"/>
  <c r="D11" i="5"/>
  <c r="H9" i="17"/>
  <c r="F10" i="3"/>
  <c r="E10" i="3"/>
  <c r="E20" i="3"/>
  <c r="F20" i="3"/>
  <c r="B139" i="31"/>
  <c r="B160" i="31"/>
  <c r="B145" i="31"/>
  <c r="B155" i="31"/>
  <c r="B157" i="31"/>
  <c r="B140" i="31"/>
  <c r="B171" i="31"/>
  <c r="B151" i="31"/>
  <c r="B162" i="31"/>
  <c r="B164" i="31"/>
  <c r="B152" i="31"/>
  <c r="B174" i="31"/>
  <c r="B169" i="31"/>
  <c r="B143" i="31"/>
  <c r="B146" i="31"/>
  <c r="B163" i="31"/>
  <c r="B131" i="31"/>
  <c r="B130" i="31"/>
  <c r="B168" i="31"/>
  <c r="B153" i="31"/>
  <c r="B165" i="31"/>
  <c r="B166" i="31"/>
  <c r="B141" i="31"/>
  <c r="B149" i="31"/>
  <c r="B170" i="31"/>
  <c r="B176" i="31"/>
  <c r="B178" i="31"/>
  <c r="B133" i="31"/>
  <c r="B154" i="31"/>
  <c r="B167" i="31"/>
  <c r="B132" i="31"/>
  <c r="B150" i="31"/>
  <c r="B177" i="31"/>
  <c r="B173" i="31"/>
  <c r="B175" i="31"/>
  <c r="B137" i="31"/>
  <c r="B147" i="31"/>
  <c r="B158" i="31"/>
  <c r="B138" i="31"/>
  <c r="B134" i="31"/>
  <c r="B142" i="31"/>
  <c r="B156" i="31"/>
  <c r="B148" i="31"/>
  <c r="B172" i="31"/>
  <c r="B135" i="31"/>
  <c r="B159" i="31"/>
  <c r="B161" i="31"/>
  <c r="B144" i="31"/>
  <c r="B136" i="31"/>
  <c r="B179" i="31"/>
  <c r="W10" i="3"/>
  <c r="W9" i="3"/>
  <c r="H25" i="17"/>
  <c r="I163" i="31"/>
  <c r="I145" i="31"/>
  <c r="I147" i="31"/>
  <c r="I153" i="31"/>
  <c r="I174" i="31"/>
  <c r="I140" i="31"/>
  <c r="I157" i="31"/>
  <c r="I172" i="31"/>
  <c r="I164" i="31"/>
  <c r="I142" i="31"/>
  <c r="I130" i="31"/>
  <c r="I136" i="31"/>
  <c r="I165" i="31"/>
  <c r="I160" i="31"/>
  <c r="I169" i="31"/>
  <c r="I138" i="31"/>
  <c r="I159" i="31"/>
  <c r="I135" i="31"/>
  <c r="I170" i="31"/>
  <c r="I134" i="31"/>
  <c r="I151" i="31"/>
  <c r="I137" i="31"/>
  <c r="I162" i="31"/>
  <c r="I156" i="31"/>
  <c r="I148" i="31"/>
  <c r="I173" i="31"/>
  <c r="I166" i="31"/>
  <c r="I171" i="31"/>
  <c r="I150" i="31"/>
  <c r="I158" i="31"/>
  <c r="I155" i="31"/>
  <c r="I131" i="31"/>
  <c r="I132" i="31"/>
  <c r="I175" i="31"/>
  <c r="I133" i="31"/>
  <c r="I167" i="31"/>
  <c r="I176" i="31"/>
  <c r="I168" i="31"/>
  <c r="I143" i="31"/>
  <c r="I161" i="31"/>
  <c r="I152" i="31"/>
  <c r="I139" i="31"/>
  <c r="I179" i="31"/>
  <c r="I144" i="31"/>
  <c r="I149" i="31"/>
  <c r="I178" i="31"/>
  <c r="I141" i="31"/>
  <c r="I177" i="31"/>
  <c r="I146" i="31"/>
  <c r="I154" i="31"/>
  <c r="F8" i="3"/>
  <c r="C13" i="3"/>
  <c r="D5" i="17"/>
  <c r="E18" i="18"/>
  <c r="W14" i="3"/>
  <c r="N135" i="31"/>
  <c r="N131" i="31"/>
  <c r="N140" i="31"/>
  <c r="N150" i="31"/>
  <c r="N146" i="31"/>
  <c r="N153" i="31"/>
  <c r="N136" i="31"/>
  <c r="N134" i="31"/>
  <c r="N152" i="31"/>
  <c r="N145" i="31"/>
  <c r="N149" i="31"/>
  <c r="N138" i="31"/>
  <c r="N133" i="31"/>
  <c r="N132" i="31"/>
  <c r="N148" i="31"/>
  <c r="N139" i="31"/>
  <c r="N142" i="31"/>
  <c r="N141" i="31"/>
  <c r="N143" i="31"/>
  <c r="N144" i="31"/>
  <c r="N169" i="31"/>
  <c r="N147" i="31"/>
  <c r="N151" i="31"/>
  <c r="N137" i="31"/>
  <c r="N173" i="31"/>
  <c r="N162" i="31"/>
  <c r="N157" i="31"/>
  <c r="N163" i="31"/>
  <c r="N158" i="31"/>
  <c r="N164" i="31"/>
  <c r="N170" i="31"/>
  <c r="N166" i="31"/>
  <c r="N160" i="31"/>
  <c r="N156" i="31"/>
  <c r="N161" i="31"/>
  <c r="N165" i="31"/>
  <c r="N179" i="31"/>
  <c r="N172" i="31"/>
  <c r="N168" i="31"/>
  <c r="N154" i="31"/>
  <c r="N155" i="31"/>
  <c r="N167" i="31"/>
  <c r="N159" i="31"/>
  <c r="N177" i="31"/>
  <c r="N174" i="31"/>
  <c r="N171" i="31"/>
  <c r="N178" i="31"/>
  <c r="N176" i="31"/>
  <c r="N175" i="31"/>
  <c r="D25" i="17"/>
  <c r="W6" i="3"/>
  <c r="E50" i="17"/>
  <c r="H50" i="17"/>
  <c r="D18" i="5"/>
  <c r="D10" i="5"/>
  <c r="D7" i="5"/>
  <c r="D14" i="5"/>
  <c r="D9" i="5"/>
  <c r="D20" i="5"/>
  <c r="D16" i="5"/>
  <c r="D8" i="5"/>
  <c r="D6" i="5"/>
  <c r="D12" i="5"/>
  <c r="D17" i="5"/>
  <c r="D15" i="5"/>
  <c r="F9" i="3"/>
  <c r="E9" i="3"/>
  <c r="E8" i="3"/>
  <c r="C22" i="3"/>
  <c r="F13" i="3"/>
  <c r="E13" i="3"/>
  <c r="W7" i="3"/>
  <c r="D14" i="17"/>
  <c r="D50" i="17"/>
  <c r="D24" i="17"/>
  <c r="D46" i="17"/>
  <c r="D30" i="17"/>
  <c r="D23" i="17"/>
  <c r="D18" i="17"/>
  <c r="D36" i="17"/>
  <c r="D41" i="17"/>
  <c r="D9" i="17"/>
  <c r="D47" i="17"/>
  <c r="W5" i="3"/>
  <c r="W11" i="3"/>
  <c r="F50" i="17"/>
  <c r="F22" i="3"/>
  <c r="E22" i="3"/>
  <c r="D30" i="22"/>
  <c r="B30" i="22"/>
  <c r="F10" i="22"/>
  <c r="F14" i="22"/>
  <c r="F29" i="22"/>
  <c r="F21" i="22"/>
  <c r="F24" i="22"/>
  <c r="F12" i="22"/>
  <c r="F9" i="22"/>
  <c r="F26" i="22"/>
  <c r="F20" i="22"/>
  <c r="F19" i="22"/>
  <c r="F22" i="22"/>
  <c r="F15" i="22"/>
  <c r="F16" i="22"/>
  <c r="F27" i="22"/>
  <c r="F6" i="22"/>
  <c r="F5" i="22"/>
  <c r="F11" i="22"/>
  <c r="F17" i="22"/>
  <c r="F23" i="22"/>
  <c r="F7" i="22"/>
  <c r="F13" i="22"/>
  <c r="F8" i="22"/>
  <c r="F28" i="22"/>
  <c r="F25" i="22"/>
  <c r="F18" i="22"/>
  <c r="C30" i="22"/>
  <c r="E30" i="22"/>
  <c r="F4" i="22"/>
  <c r="F30" i="22"/>
</calcChain>
</file>

<file path=xl/sharedStrings.xml><?xml version="1.0" encoding="utf-8"?>
<sst xmlns="http://schemas.openxmlformats.org/spreadsheetml/2006/main" count="827" uniqueCount="298">
  <si>
    <t>org_namecongde</t>
  </si>
  <si>
    <t>ref-fund-inc-year-rentas-y-otros-ingresos</t>
  </si>
  <si>
    <t>ref-fund-inc-year-ventas-y-prestaciones-de</t>
  </si>
  <si>
    <t>ref-fund-inc-year-ingresos-ordinarios-de-la</t>
  </si>
  <si>
    <t>ref-fund-inc-year-subvenciones-del-sector-publico</t>
  </si>
  <si>
    <t>ref-fund-inc-year-contratos-del-sector-publico</t>
  </si>
  <si>
    <t>ref-fund-inc-year-subvenciones-del-sector-privado</t>
  </si>
  <si>
    <t>ref-fund-inc-year-aportaciones-privadas-donaciones-y</t>
  </si>
  <si>
    <t>ref-fund-inc-year-cuotas-de-asociados-y</t>
  </si>
  <si>
    <t>ref-fund-inc-year-otro-tipos-de-ingresos</t>
  </si>
  <si>
    <t>ref-fund-inc-year-explain</t>
  </si>
  <si>
    <t>ref-fund-inc-year-total</t>
  </si>
  <si>
    <t>ref-fund-con-year-cuot-per</t>
  </si>
  <si>
    <t>ref-fund-con-year-cuot-apa</t>
  </si>
  <si>
    <t>ref-fund-con-year-cuot-ent</t>
  </si>
  <si>
    <t>ref-fund-con-year-cuot-tot</t>
  </si>
  <si>
    <t>ref-fund-con-year-don-pun</t>
  </si>
  <si>
    <t>ref-fund-con-year-don-eme</t>
  </si>
  <si>
    <t>ref-fund-con-year-don-cap</t>
  </si>
  <si>
    <t>ref-fund-con-year-don-per</t>
  </si>
  <si>
    <t>ref-fund-con-year-don-tot</t>
  </si>
  <si>
    <t>ref-fund-con-year-priv-sub</t>
  </si>
  <si>
    <t>ref-fund-con-year-priv-con</t>
  </si>
  <si>
    <t>ref-fund-con-year-priv-pat</t>
  </si>
  <si>
    <t>ref-fund-con-year-priv-tot</t>
  </si>
  <si>
    <t>ref-fund-con-year-ven-com</t>
  </si>
  <si>
    <t>ref-fund-con-year-ven-mer</t>
  </si>
  <si>
    <t>ref-fund-con-year-ven-pub</t>
  </si>
  <si>
    <t>ref-fund-con-year-ven-otr</t>
  </si>
  <si>
    <t>ref-fund-con-year-ven-tot</t>
  </si>
  <si>
    <t>ref-fund-con-year-otr-ser</t>
  </si>
  <si>
    <t>ref-fund-con-year-otr-otr</t>
  </si>
  <si>
    <t>ref-fund-con-year-otr-otr-explain</t>
  </si>
  <si>
    <t>ref-fund-con-year-tot</t>
  </si>
  <si>
    <t>ref-fund-cop-year-nac-aecid</t>
  </si>
  <si>
    <t>ref-fund-cop-year-nac-desar</t>
  </si>
  <si>
    <t>ref-fund-cop-year-nac-convo</t>
  </si>
  <si>
    <t>ref-fund-cop-year-nac-minis</t>
  </si>
  <si>
    <t>ref-fund-cop-year-nac-otr</t>
  </si>
  <si>
    <t>ref-fund-cop-year-nac-otr-explain</t>
  </si>
  <si>
    <t>ref-fund-cop-year-nac-tot</t>
  </si>
  <si>
    <t>ref-fund-cop-year-aut-gob-tot</t>
  </si>
  <si>
    <t>Fondos autonomicos gobiernos autonomicos</t>
  </si>
  <si>
    <t>ref-fund-cop-year-aut-loc</t>
  </si>
  <si>
    <t>ref-fund-cop-year-aut-fun</t>
  </si>
  <si>
    <t>ref-fund-cop-year-aut-otr</t>
  </si>
  <si>
    <t>ref-fund-cop-year-aut-otr-explain</t>
  </si>
  <si>
    <t>ref-fund-cop-year-aut-tot</t>
  </si>
  <si>
    <t>ref-fund-cop-year-int-europeaid</t>
  </si>
  <si>
    <t>ref-fund-cop-year-int-echo</t>
  </si>
  <si>
    <t>ref-fund-cop-year-int-multi</t>
  </si>
  <si>
    <t>ref-fund-cop-year-int-otr</t>
  </si>
  <si>
    <t>ref-fund-cop-year-int-otr-explain</t>
  </si>
  <si>
    <t>ref-fund-cop-year-int-tot</t>
  </si>
  <si>
    <t>ref-fund-cop-year-otr</t>
  </si>
  <si>
    <t>ref-fund-cop-year-otr-explain</t>
  </si>
  <si>
    <t>ref-fund-cop-year-tto</t>
  </si>
  <si>
    <t>ref-fund-year-tot</t>
  </si>
  <si>
    <t>Accion Contra el Hambre</t>
  </si>
  <si>
    <t>Accion Verapaz</t>
  </si>
  <si>
    <t>ADRA</t>
  </si>
  <si>
    <t>AIDA</t>
  </si>
  <si>
    <t>AIETI</t>
  </si>
  <si>
    <t>ALBOAN</t>
  </si>
  <si>
    <t>Alianza por la Solidaridad</t>
  </si>
  <si>
    <t xml:space="preserve"> </t>
  </si>
  <si>
    <t>Asociacion Entrepueblos</t>
  </si>
  <si>
    <t>Ayuda en Accion</t>
  </si>
  <si>
    <t>Caritas Española</t>
  </si>
  <si>
    <t>CERAI</t>
  </si>
  <si>
    <t>CESAL</t>
  </si>
  <si>
    <t>CODESPA</t>
  </si>
  <si>
    <t>Comision General Justicia y Paz</t>
  </si>
  <si>
    <t>COOPERACCIO</t>
  </si>
  <si>
    <t>Cooperacion Internacional</t>
  </si>
  <si>
    <t>Cruz Roja Española</t>
  </si>
  <si>
    <t>Economistas sin Fronteras</t>
  </si>
  <si>
    <t>Edificando Comunidad de Nazaret</t>
  </si>
  <si>
    <t>Educo</t>
  </si>
  <si>
    <t>FAD</t>
  </si>
  <si>
    <t>Farmaceuticos Sin Fronteras de España</t>
  </si>
  <si>
    <t>Farmamundi</t>
  </si>
  <si>
    <t>FERE-CECA</t>
  </si>
  <si>
    <t>FISC-COMPAÑIA DE MARIA</t>
  </si>
  <si>
    <t>Fundacion Adsis</t>
  </si>
  <si>
    <t>Fundacion CIDEAL</t>
  </si>
  <si>
    <t>Fundacion del Valle</t>
  </si>
  <si>
    <t>Fundacion Entreculturas</t>
  </si>
  <si>
    <t>Fundacion Iberoamerica-Europa</t>
  </si>
  <si>
    <t>Fundacion Madreselva</t>
  </si>
  <si>
    <t>Fundacion Mainel</t>
  </si>
  <si>
    <t>Fundacion para el Desarrollo de la Enfermeria - FUDEN</t>
  </si>
  <si>
    <t>Fundacion PROCLADE</t>
  </si>
  <si>
    <t>InspirAction</t>
  </si>
  <si>
    <t>InteRed</t>
  </si>
  <si>
    <t>ISCOD</t>
  </si>
  <si>
    <t>JOVENES Y DESARROLLO</t>
  </si>
  <si>
    <t>Juan Ciudad ONGD</t>
  </si>
  <si>
    <t>Manos Unidas</t>
  </si>
  <si>
    <t>Medicos del Mundo</t>
  </si>
  <si>
    <t>Medicus Mundi</t>
  </si>
  <si>
    <t>Movimiento por la Paz -MPDL-</t>
  </si>
  <si>
    <t>Mujeres en Zona de Conflicto (MZC)</t>
  </si>
  <si>
    <t>MUNDUBAT</t>
  </si>
  <si>
    <t>OCASHA-Cristianos con el Sur</t>
  </si>
  <si>
    <t>ONGAWA</t>
  </si>
  <si>
    <t>Oxfam Intermon</t>
  </si>
  <si>
    <t>Paz con Dignidad</t>
  </si>
  <si>
    <t>Prosalus</t>
  </si>
  <si>
    <t>PROYDE</t>
  </si>
  <si>
    <t>PROYECTO SOLIDARIO POR LA INFANCIA</t>
  </si>
  <si>
    <t>Save the Children</t>
  </si>
  <si>
    <t>SED</t>
  </si>
  <si>
    <t>SETEM</t>
  </si>
  <si>
    <t>SOTERMUN-USO</t>
  </si>
  <si>
    <t>Rentas y otros ingresos</t>
  </si>
  <si>
    <t>Ventas y prest.serv.</t>
  </si>
  <si>
    <t>Ingresos ord.activ. mercantil</t>
  </si>
  <si>
    <t>Subvenc.  sector publico</t>
  </si>
  <si>
    <t>Contratos sector publico</t>
  </si>
  <si>
    <t>Subvenc. Sector privado</t>
  </si>
  <si>
    <t>Aport. Privadas</t>
  </si>
  <si>
    <t>Cuotas asociados</t>
  </si>
  <si>
    <t>Otro tipo ingresos</t>
  </si>
  <si>
    <t>Total</t>
  </si>
  <si>
    <t>Nombre</t>
  </si>
  <si>
    <t>Desglose ingresos ejecutados</t>
  </si>
  <si>
    <t>millones €</t>
  </si>
  <si>
    <t>%</t>
  </si>
  <si>
    <t>Total Ingresos</t>
  </si>
  <si>
    <t>Publicos</t>
  </si>
  <si>
    <t>Privados</t>
  </si>
  <si>
    <t>Fondos públicos</t>
  </si>
  <si>
    <t>Fondos privados</t>
  </si>
  <si>
    <t>Total Fondos</t>
  </si>
  <si>
    <t>FONDOS PRIVADOS</t>
  </si>
  <si>
    <t>TOTAL FONDOS PRIVADOS</t>
  </si>
  <si>
    <t>FONDOS CONCEDIDOS PÚBLICOS</t>
  </si>
  <si>
    <t>TOTAL FONDOS PÚBLICOS</t>
  </si>
  <si>
    <t>Por cuotas periódicas</t>
  </si>
  <si>
    <t>Por donaciones puntuales y campañas de captación</t>
  </si>
  <si>
    <t>Por fondos de entidades privadas</t>
  </si>
  <si>
    <t>Por venta de productos</t>
  </si>
  <si>
    <t>Servicios prestados</t>
  </si>
  <si>
    <t>Ámbito Nacional</t>
  </si>
  <si>
    <t>Cooperación descentralizada</t>
  </si>
  <si>
    <t>Ámbito internacional</t>
  </si>
  <si>
    <t>Otros fondos públicos</t>
  </si>
  <si>
    <t>Cuotas de particulares</t>
  </si>
  <si>
    <t>Cuotas por apadrinamiento</t>
  </si>
  <si>
    <t>Cuotas de entidades privadas</t>
  </si>
  <si>
    <t>TOTAL</t>
  </si>
  <si>
    <t>Donativos puntuales entidades privadas</t>
  </si>
  <si>
    <t>Campañas ante emergencias</t>
  </si>
  <si>
    <t>Campañas de captación de recursos</t>
  </si>
  <si>
    <t>Resto de donaciones puntuales</t>
  </si>
  <si>
    <t>Subvenciones entidades privadas</t>
  </si>
  <si>
    <t>Convenios</t>
  </si>
  <si>
    <t>Patrocinios</t>
  </si>
  <si>
    <t>Comercio Justo</t>
  </si>
  <si>
    <t>Merchandising</t>
  </si>
  <si>
    <t>Publicaciones</t>
  </si>
  <si>
    <t xml:space="preserve">Otros </t>
  </si>
  <si>
    <t>Otros privados</t>
  </si>
  <si>
    <t>MAEC Convenios AECID</t>
  </si>
  <si>
    <t>MAEC proyectos o acciones</t>
  </si>
  <si>
    <t>MAEC otras</t>
  </si>
  <si>
    <t>Otros Ministerios</t>
  </si>
  <si>
    <t>Otros organismos ámbito estatal</t>
  </si>
  <si>
    <t>Fondos autonómicos</t>
  </si>
  <si>
    <t>Entidades locales</t>
  </si>
  <si>
    <t>Fondos de cooperación</t>
  </si>
  <si>
    <t>Otros organismos</t>
  </si>
  <si>
    <t>EuropeAid</t>
  </si>
  <si>
    <t>ECHO</t>
  </si>
  <si>
    <t>Organismos multilaterales</t>
  </si>
  <si>
    <t>Otros organismos internacional</t>
  </si>
  <si>
    <t xml:space="preserve">Otros   </t>
  </si>
  <si>
    <t>TOTAL FONDOS</t>
  </si>
  <si>
    <t>Desglose fondos privados</t>
  </si>
  <si>
    <t>Difer.2014-2013</t>
  </si>
  <si>
    <t>Difer.2015-2013</t>
  </si>
  <si>
    <t>Apoyos periódicos (cuotas)</t>
  </si>
  <si>
    <t>Cuotas de particulares (NO incluye apadrinamientos)</t>
  </si>
  <si>
    <t>Apoyos puntuales (donaciones)</t>
  </si>
  <si>
    <t>Campañas de captación de fondos</t>
  </si>
  <si>
    <t>Donativos de entidades privadas</t>
  </si>
  <si>
    <t>Fondos de entidades privadas</t>
  </si>
  <si>
    <t>Convocatorias de ayudas</t>
  </si>
  <si>
    <t>Venta de productos</t>
  </si>
  <si>
    <t>Comercio justo</t>
  </si>
  <si>
    <t>Otros fondos privados</t>
  </si>
  <si>
    <t>Desglose fondos públicos</t>
  </si>
  <si>
    <t>Ámbito estatal</t>
  </si>
  <si>
    <t>MAEC Convenios</t>
  </si>
  <si>
    <t>MAEC Proyectos / Acciones</t>
  </si>
  <si>
    <t>MAEC otros</t>
  </si>
  <si>
    <t>Otros organismos públicos ámbito estatal</t>
  </si>
  <si>
    <t>Gobiernos autonómicos</t>
  </si>
  <si>
    <t xml:space="preserve">Entidades locales (diputaciones, ayunt.) </t>
  </si>
  <si>
    <t>Otros organismos (descentralizada)</t>
  </si>
  <si>
    <t>Organismos multilaterales (ONU, Banco Mundial, FMI)</t>
  </si>
  <si>
    <t>Otros organismos internacionales</t>
  </si>
  <si>
    <t>Otros Públicos</t>
  </si>
  <si>
    <t>total</t>
  </si>
  <si>
    <t>Total Fondos Obtenidos/Concedidos</t>
  </si>
  <si>
    <t>Ingresos públicos</t>
  </si>
  <si>
    <t>Ingresos privados</t>
  </si>
  <si>
    <t>Ingresos totales</t>
  </si>
  <si>
    <r>
      <t xml:space="preserve">
</t>
    </r>
    <r>
      <rPr>
        <b/>
        <sz val="10"/>
        <color indexed="63"/>
        <rFont val="Tahoma"/>
        <family val="2"/>
      </rPr>
      <t>Importes en Euros</t>
    </r>
  </si>
  <si>
    <t>mill de €</t>
  </si>
  <si>
    <t>años</t>
  </si>
  <si>
    <t>ingresos</t>
  </si>
  <si>
    <t>% Fondos públicos</t>
  </si>
  <si>
    <t>% Fondos privados</t>
  </si>
  <si>
    <t>total privados</t>
  </si>
  <si>
    <t>Ingresos ejecutados</t>
  </si>
  <si>
    <t>total públicos</t>
  </si>
  <si>
    <t>Fondos obtenidos/ concedidos</t>
  </si>
  <si>
    <t>ONGD</t>
  </si>
  <si>
    <t>Total privados
(€)</t>
  </si>
  <si>
    <t>Por colaboraciones periódicas (NO apadrinam)</t>
  </si>
  <si>
    <t>Por apadrinamientos</t>
  </si>
  <si>
    <t>Por colaboraciones puntuales (donaciones)</t>
  </si>
  <si>
    <t>Fondos de entidadees privadas</t>
  </si>
  <si>
    <t>Total públicos
(€)</t>
  </si>
  <si>
    <r>
      <t xml:space="preserve">Ámbito nacional </t>
    </r>
    <r>
      <rPr>
        <vertAlign val="superscript"/>
        <sz val="10"/>
        <color indexed="16"/>
        <rFont val="Tahoma"/>
        <family val="2"/>
      </rPr>
      <t>(2)</t>
    </r>
  </si>
  <si>
    <r>
      <t xml:space="preserve">Cooperación descentralizada </t>
    </r>
    <r>
      <rPr>
        <vertAlign val="superscript"/>
        <sz val="10"/>
        <color indexed="16"/>
        <rFont val="Tahoma"/>
        <family val="2"/>
      </rPr>
      <t>(3)</t>
    </r>
  </si>
  <si>
    <r>
      <t>Ámbito internacional</t>
    </r>
    <r>
      <rPr>
        <vertAlign val="superscript"/>
        <sz val="10"/>
        <color indexed="16"/>
        <rFont val="Tahoma"/>
        <family val="2"/>
      </rPr>
      <t xml:space="preserve"> (4)</t>
    </r>
  </si>
  <si>
    <t>Otros fondos</t>
  </si>
  <si>
    <t>Totales Fondos Obtenidos o Concedidos</t>
  </si>
  <si>
    <t>privados</t>
  </si>
  <si>
    <t>públicos</t>
  </si>
  <si>
    <t>Nº ONGD  Receptoras</t>
  </si>
  <si>
    <t>Nº ONGD que concentran</t>
  </si>
  <si>
    <t xml:space="preserve">¿Qué ONGD son las principales receptoras? </t>
  </si>
  <si>
    <t xml:space="preserve"> &gt; 50%</t>
  </si>
  <si>
    <t xml:space="preserve"> &gt; 90%</t>
  </si>
  <si>
    <t>Oxfam Intermon, Manos Unidas</t>
  </si>
  <si>
    <t>Apoyos periódicos (NO apadrin.)</t>
  </si>
  <si>
    <t>Ayuda en Accion, Educo</t>
  </si>
  <si>
    <t>Por apoyos puntuales (donación)</t>
  </si>
  <si>
    <t>Accion contra el Hambre, Oxfam Intermon</t>
  </si>
  <si>
    <t>Ámbito nacional</t>
  </si>
  <si>
    <t>Total fondos en 2015</t>
  </si>
  <si>
    <t>Amigos de la Tierra España</t>
  </si>
  <si>
    <t>Amref Salud Africa</t>
  </si>
  <si>
    <t>Arquitectura Sin Fronteras España ASFE</t>
  </si>
  <si>
    <t>Asamblea de Cooperacion Por la Paz</t>
  </si>
  <si>
    <t>Asociacion FONTILLES</t>
  </si>
  <si>
    <t>Asociacion Nuevos Caminos</t>
  </si>
  <si>
    <t>Fundacion Anesvad</t>
  </si>
  <si>
    <t>Fundacion Esperanza y Alegria</t>
  </si>
  <si>
    <t>Fundacion de Religiosos para la Salud</t>
  </si>
  <si>
    <t>Fundacion 1 de Mayo</t>
  </si>
  <si>
    <t>Fundacion Promocion Social</t>
  </si>
  <si>
    <t>Fundacion Tierra de Hombres</t>
  </si>
  <si>
    <t>Humanismo y Democracia</t>
  </si>
  <si>
    <t>Fundacion Mensajeros de la Paz</t>
  </si>
  <si>
    <t>Plan Internacional España</t>
  </si>
  <si>
    <t>PUEBLOS HERMANOS</t>
  </si>
  <si>
    <t>RESCATE</t>
  </si>
  <si>
    <t>VSF Justicia Alimentaria Global</t>
  </si>
  <si>
    <t>FONDOS OBTENIDOS/CONCEDIDOS EN 2016 EN COOPERACIÓN</t>
  </si>
  <si>
    <t>Difer.2015-
2016</t>
  </si>
  <si>
    <t>Fondos obtenidos/ concedidos en 2016 respecto a 2015</t>
  </si>
  <si>
    <t>Variación 15-16</t>
  </si>
  <si>
    <t>Análisis de concentración de los fondos en 2016</t>
  </si>
  <si>
    <t>en el 2016</t>
  </si>
  <si>
    <t>INGRESOS EJECUTADOS EN 2016 EN COOPERACIÓN</t>
  </si>
  <si>
    <t>Oxfam Intermon, Save the Children, Manos Unidas, Accion contra el Hambre</t>
  </si>
  <si>
    <t>Manos Unidas, Caritas Española</t>
  </si>
  <si>
    <t>Accion contra el Hambre, Oxfam Intermon, Caritas Española</t>
  </si>
  <si>
    <t>Cruz Roja Española, Accion contra el Hambre</t>
  </si>
  <si>
    <t>Medicus Mundi, Farmamnundi, Asamblea de Cooperacion por la Paz (ACPP)</t>
  </si>
  <si>
    <t>Oxfam Intermon, Accion contra el Hambre</t>
  </si>
  <si>
    <t>Fondos obtenidos/concedidos en 2016</t>
  </si>
  <si>
    <t>Total
suma</t>
  </si>
  <si>
    <t>Promociones y actividades de captacion de fondos</t>
  </si>
  <si>
    <t>Promociones y actividades captacion fondos</t>
  </si>
  <si>
    <t>capt fondos</t>
  </si>
  <si>
    <t>Promociones y act captacion</t>
  </si>
  <si>
    <t>los datos de ADRA y Fundacion Iberoamerica Europa estan sacados de la memoria economica (la parte proporcional a cooperacion)</t>
  </si>
  <si>
    <t>s.d.</t>
  </si>
  <si>
    <t>Total
Ingresos publicos</t>
  </si>
  <si>
    <t>Cuotas periodicas particulares y entidades</t>
  </si>
  <si>
    <t>Dato memoria SOTERMUN-USO</t>
  </si>
  <si>
    <t>Variación 2013-2016</t>
  </si>
  <si>
    <t>Variación 2012-2016</t>
  </si>
  <si>
    <t>numero</t>
  </si>
  <si>
    <t>TOTAL cuotas periódicas</t>
  </si>
  <si>
    <t>TOTAL doncaciones</t>
  </si>
  <si>
    <t>TOTAL  Fondo de empresas fundaciones</t>
  </si>
  <si>
    <t>TOTAL venta de productos</t>
  </si>
  <si>
    <t>TOTAL servicios prestados</t>
  </si>
  <si>
    <t>TOTAL fondos MAE y otros ministerios</t>
  </si>
  <si>
    <t>TOTAL fondos descentralizados</t>
  </si>
  <si>
    <t>TOTAL fondos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</si>
</sst>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Tahoma"/>
      <family val="2"/>
    </font>
    <font>
      <sz val="10"/>
      <name val="Tahoma"/>
      <family val="2"/>
    </font>
    <font>
      <b/>
      <sz val="11"/>
      <color indexed="22"/>
      <name val="Tahoma"/>
      <family val="2"/>
    </font>
    <font>
      <sz val="11"/>
      <color indexed="22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63"/>
      <name val="Tahoma"/>
      <family val="2"/>
    </font>
    <font>
      <sz val="9"/>
      <name val="Tahoma"/>
      <family val="2"/>
    </font>
    <font>
      <b/>
      <i/>
      <sz val="10"/>
      <color indexed="8"/>
      <name val="Tahoma"/>
      <family val="2"/>
    </font>
    <font>
      <i/>
      <sz val="10"/>
      <color indexed="8"/>
      <name val="Tahoma"/>
      <family val="2"/>
    </font>
    <font>
      <b/>
      <sz val="9"/>
      <name val="Tahoma"/>
      <family val="2"/>
    </font>
    <font>
      <vertAlign val="superscript"/>
      <sz val="10"/>
      <color indexed="16"/>
      <name val="Tahoma"/>
      <family val="2"/>
    </font>
    <font>
      <b/>
      <sz val="11"/>
      <name val="Tahoma"/>
      <family val="2"/>
    </font>
    <font>
      <sz val="10"/>
      <color indexed="23"/>
      <name val="Tahoma"/>
      <family val="2"/>
    </font>
    <font>
      <b/>
      <sz val="10"/>
      <color indexed="23"/>
      <name val="Tahoma"/>
      <family val="2"/>
    </font>
    <font>
      <b/>
      <sz val="10"/>
      <color indexed="22"/>
      <name val="Tahoma"/>
      <family val="2"/>
    </font>
    <font>
      <i/>
      <sz val="10"/>
      <name val="Tahoma"/>
      <family val="2"/>
    </font>
    <font>
      <sz val="10"/>
      <color indexed="22"/>
      <name val="Tahoma"/>
      <family val="2"/>
    </font>
    <font>
      <b/>
      <i/>
      <sz val="10"/>
      <name val="Tahoma"/>
      <family val="2"/>
    </font>
    <font>
      <b/>
      <sz val="10"/>
      <color indexed="63"/>
      <name val="Tahoma"/>
      <family val="2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9"/>
      <color indexed="23"/>
      <name val="Tahoma"/>
      <family val="2"/>
    </font>
    <font>
      <sz val="9"/>
      <color indexed="8"/>
      <name val="Tahoma"/>
      <family val="2"/>
    </font>
    <font>
      <sz val="9"/>
      <color indexed="23"/>
      <name val="Tahoma"/>
      <family val="2"/>
    </font>
    <font>
      <b/>
      <sz val="8"/>
      <color indexed="8"/>
      <name val="Tahoma"/>
      <family val="2"/>
    </font>
    <font>
      <b/>
      <sz val="10"/>
      <color indexed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i/>
      <sz val="8"/>
      <color indexed="8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rgb="FF00B0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8">
    <xf numFmtId="0" fontId="0" fillId="0" borderId="0" xfId="0"/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11" fillId="0" borderId="3" xfId="0" applyNumberFormat="1" applyFont="1" applyFill="1" applyBorder="1" applyAlignment="1">
      <alignment horizontal="left" vertical="center"/>
    </xf>
    <xf numFmtId="0" fontId="11" fillId="0" borderId="4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3" fillId="0" borderId="0" xfId="0" applyFont="1"/>
    <xf numFmtId="0" fontId="13" fillId="0" borderId="0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right" vertical="center"/>
    </xf>
    <xf numFmtId="0" fontId="5" fillId="0" borderId="0" xfId="0" applyFont="1"/>
    <xf numFmtId="4" fontId="4" fillId="0" borderId="0" xfId="0" applyNumberFormat="1" applyFont="1" applyFill="1" applyAlignment="1">
      <alignment horizontal="center" vertical="center"/>
    </xf>
    <xf numFmtId="4" fontId="6" fillId="2" borderId="2" xfId="0" applyNumberFormat="1" applyFont="1" applyFill="1" applyBorder="1" applyAlignment="1">
      <alignment vertical="center"/>
    </xf>
    <xf numFmtId="4" fontId="9" fillId="0" borderId="0" xfId="0" applyNumberFormat="1" applyFont="1" applyFill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vertical="center"/>
    </xf>
    <xf numFmtId="4" fontId="13" fillId="0" borderId="1" xfId="0" applyNumberFormat="1" applyFont="1" applyFill="1" applyBorder="1" applyAlignment="1">
      <alignment horizontal="right" vertical="center"/>
    </xf>
    <xf numFmtId="4" fontId="13" fillId="0" borderId="0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4" fontId="9" fillId="0" borderId="0" xfId="0" applyNumberFormat="1" applyFont="1" applyBorder="1" applyAlignment="1">
      <alignment horizontal="right" vertical="center" wrapText="1"/>
    </xf>
    <xf numFmtId="164" fontId="9" fillId="0" borderId="0" xfId="1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" fontId="5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 vertical="center" wrapText="1"/>
    </xf>
    <xf numFmtId="4" fontId="9" fillId="0" borderId="0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3" fontId="11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" fontId="5" fillId="0" borderId="0" xfId="0" applyNumberFormat="1" applyFont="1" applyAlignment="1">
      <alignment horizontal="lef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center" vertical="center" wrapText="1"/>
    </xf>
    <xf numFmtId="164" fontId="11" fillId="0" borderId="0" xfId="1" applyNumberFormat="1" applyFont="1" applyFill="1" applyBorder="1" applyAlignment="1">
      <alignment horizontal="right" vertical="center" wrapText="1"/>
    </xf>
    <xf numFmtId="4" fontId="5" fillId="0" borderId="0" xfId="0" applyNumberFormat="1" applyFont="1" applyFill="1" applyBorder="1" applyAlignment="1">
      <alignment vertical="center" wrapText="1"/>
    </xf>
    <xf numFmtId="164" fontId="13" fillId="0" borderId="0" xfId="1" applyNumberFormat="1" applyFont="1" applyFill="1" applyBorder="1" applyAlignment="1">
      <alignment horizontal="right" vertical="center" wrapText="1"/>
    </xf>
    <xf numFmtId="164" fontId="5" fillId="0" borderId="0" xfId="1" applyNumberFormat="1" applyFont="1" applyFill="1" applyBorder="1" applyAlignment="1">
      <alignment vertical="center" wrapText="1"/>
    </xf>
    <xf numFmtId="9" fontId="11" fillId="0" borderId="0" xfId="1" applyFont="1" applyFill="1" applyBorder="1" applyAlignment="1">
      <alignment horizontal="right" vertical="center" wrapText="1"/>
    </xf>
    <xf numFmtId="4" fontId="5" fillId="0" borderId="0" xfId="0" applyNumberFormat="1" applyFont="1" applyFill="1" applyAlignment="1">
      <alignment horizontal="left" vertical="center" wrapText="1"/>
    </xf>
    <xf numFmtId="9" fontId="5" fillId="0" borderId="0" xfId="1" applyFont="1" applyFill="1" applyAlignment="1">
      <alignment horizontal="left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64" fontId="11" fillId="0" borderId="6" xfId="1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right" vertical="center" wrapText="1"/>
    </xf>
    <xf numFmtId="3" fontId="10" fillId="0" borderId="7" xfId="0" applyNumberFormat="1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3" fontId="13" fillId="0" borderId="7" xfId="0" applyNumberFormat="1" applyFont="1" applyFill="1" applyBorder="1" applyAlignment="1">
      <alignment horizontal="center" vertical="center" wrapText="1"/>
    </xf>
    <xf numFmtId="3" fontId="10" fillId="0" borderId="7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3" fontId="13" fillId="0" borderId="1" xfId="0" applyNumberFormat="1" applyFont="1" applyFill="1" applyBorder="1" applyAlignment="1">
      <alignment horizontal="right" vertical="center" wrapText="1"/>
    </xf>
    <xf numFmtId="0" fontId="15" fillId="0" borderId="0" xfId="0" applyNumberFormat="1" applyFont="1" applyFill="1" applyAlignment="1">
      <alignment horizontal="left" vertical="center"/>
    </xf>
    <xf numFmtId="3" fontId="18" fillId="0" borderId="0" xfId="0" applyNumberFormat="1" applyFont="1" applyFill="1" applyAlignment="1">
      <alignment vertical="center"/>
    </xf>
    <xf numFmtId="3" fontId="15" fillId="0" borderId="0" xfId="0" applyNumberFormat="1" applyFont="1" applyFill="1" applyAlignment="1">
      <alignment vertical="center"/>
    </xf>
    <xf numFmtId="3" fontId="13" fillId="0" borderId="7" xfId="0" applyNumberFormat="1" applyFont="1" applyFill="1" applyBorder="1" applyAlignment="1">
      <alignment horizontal="right" vertical="center" wrapText="1"/>
    </xf>
    <xf numFmtId="3" fontId="20" fillId="0" borderId="0" xfId="0" applyNumberFormat="1" applyFont="1" applyFill="1" applyAlignment="1">
      <alignment vertical="center"/>
    </xf>
    <xf numFmtId="3" fontId="13" fillId="0" borderId="0" xfId="0" applyNumberFormat="1" applyFont="1" applyFill="1" applyBorder="1" applyAlignment="1">
      <alignment vertical="center" wrapText="1"/>
    </xf>
    <xf numFmtId="9" fontId="5" fillId="0" borderId="0" xfId="1" applyFont="1" applyFill="1" applyAlignment="1">
      <alignment vertical="center"/>
    </xf>
    <xf numFmtId="9" fontId="5" fillId="0" borderId="0" xfId="1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3" fontId="11" fillId="0" borderId="1" xfId="0" applyNumberFormat="1" applyFont="1" applyFill="1" applyBorder="1" applyAlignment="1">
      <alignment horizontal="left" vertical="center" wrapText="1"/>
    </xf>
    <xf numFmtId="3" fontId="11" fillId="0" borderId="5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3" fontId="20" fillId="2" borderId="2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right" vertical="center"/>
    </xf>
    <xf numFmtId="0" fontId="40" fillId="0" borderId="0" xfId="0" applyNumberFormat="1" applyFont="1" applyFill="1" applyAlignment="1">
      <alignment vertical="center"/>
    </xf>
    <xf numFmtId="0" fontId="40" fillId="0" borderId="0" xfId="0" applyNumberFormat="1" applyFont="1" applyFill="1" applyBorder="1" applyAlignment="1">
      <alignment vertical="center"/>
    </xf>
    <xf numFmtId="4" fontId="5" fillId="0" borderId="0" xfId="0" applyNumberFormat="1" applyFont="1"/>
    <xf numFmtId="3" fontId="5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64" fontId="21" fillId="0" borderId="0" xfId="1" applyNumberFormat="1" applyFont="1" applyFill="1" applyBorder="1" applyAlignment="1">
      <alignment horizontal="right" vertical="center" wrapText="1"/>
    </xf>
    <xf numFmtId="4" fontId="5" fillId="0" borderId="0" xfId="0" applyNumberFormat="1" applyFont="1" applyFill="1" applyAlignment="1">
      <alignment vertical="center" wrapText="1"/>
    </xf>
    <xf numFmtId="164" fontId="22" fillId="0" borderId="0" xfId="1" applyNumberFormat="1" applyFont="1" applyFill="1" applyBorder="1" applyAlignment="1">
      <alignment horizontal="right" vertical="center" wrapText="1"/>
    </xf>
    <xf numFmtId="164" fontId="21" fillId="0" borderId="0" xfId="1" applyNumberFormat="1" applyFont="1" applyFill="1" applyBorder="1" applyAlignment="1">
      <alignment vertical="center" wrapText="1"/>
    </xf>
    <xf numFmtId="3" fontId="5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vertical="center" wrapText="1"/>
    </xf>
    <xf numFmtId="3" fontId="23" fillId="2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3" fontId="11" fillId="0" borderId="3" xfId="0" applyNumberFormat="1" applyFont="1" applyFill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3" fontId="11" fillId="3" borderId="3" xfId="0" applyNumberFormat="1" applyFont="1" applyFill="1" applyBorder="1" applyAlignment="1">
      <alignment horizontal="center" vertical="center" wrapText="1"/>
    </xf>
    <xf numFmtId="3" fontId="11" fillId="3" borderId="11" xfId="0" applyNumberFormat="1" applyFont="1" applyFill="1" applyBorder="1" applyAlignment="1">
      <alignment horizontal="center" vertical="center" wrapText="1"/>
    </xf>
    <xf numFmtId="3" fontId="11" fillId="3" borderId="12" xfId="0" applyNumberFormat="1" applyFont="1" applyFill="1" applyBorder="1" applyAlignment="1">
      <alignment horizontal="center" vertical="center" wrapText="1"/>
    </xf>
    <xf numFmtId="3" fontId="11" fillId="3" borderId="9" xfId="0" applyNumberFormat="1" applyFont="1" applyFill="1" applyBorder="1" applyAlignment="1">
      <alignment horizontal="center" vertical="center" wrapText="1"/>
    </xf>
    <xf numFmtId="3" fontId="11" fillId="3" borderId="13" xfId="0" applyNumberFormat="1" applyFont="1" applyFill="1" applyBorder="1" applyAlignment="1">
      <alignment horizontal="center" vertical="center" wrapText="1"/>
    </xf>
    <xf numFmtId="3" fontId="11" fillId="4" borderId="14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right" vertical="center"/>
    </xf>
    <xf numFmtId="3" fontId="9" fillId="5" borderId="16" xfId="0" applyNumberFormat="1" applyFont="1" applyFill="1" applyBorder="1" applyAlignment="1">
      <alignment vertical="center"/>
    </xf>
    <xf numFmtId="3" fontId="9" fillId="4" borderId="17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9" fontId="9" fillId="0" borderId="0" xfId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9" fontId="9" fillId="0" borderId="0" xfId="1" applyFont="1" applyFill="1" applyAlignment="1">
      <alignment vertical="center"/>
    </xf>
    <xf numFmtId="3" fontId="24" fillId="0" borderId="0" xfId="0" applyNumberFormat="1" applyFont="1" applyFill="1" applyAlignment="1">
      <alignment vertical="center"/>
    </xf>
    <xf numFmtId="0" fontId="23" fillId="2" borderId="2" xfId="0" applyNumberFormat="1" applyFont="1" applyFill="1" applyBorder="1" applyAlignment="1">
      <alignment vertical="center" wrapText="1"/>
    </xf>
    <xf numFmtId="0" fontId="25" fillId="2" borderId="2" xfId="0" applyNumberFormat="1" applyFont="1" applyFill="1" applyBorder="1" applyAlignment="1">
      <alignment vertical="center"/>
    </xf>
    <xf numFmtId="3" fontId="25" fillId="2" borderId="2" xfId="0" applyNumberFormat="1" applyFont="1" applyFill="1" applyBorder="1" applyAlignment="1">
      <alignment vertical="center"/>
    </xf>
    <xf numFmtId="9" fontId="23" fillId="2" borderId="2" xfId="1" applyFont="1" applyFill="1" applyBorder="1" applyAlignment="1">
      <alignment vertical="center"/>
    </xf>
    <xf numFmtId="3" fontId="26" fillId="6" borderId="0" xfId="0" applyNumberFormat="1" applyFont="1" applyFill="1" applyBorder="1" applyAlignment="1">
      <alignment vertical="center"/>
    </xf>
    <xf numFmtId="3" fontId="12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 wrapText="1"/>
    </xf>
    <xf numFmtId="9" fontId="5" fillId="0" borderId="0" xfId="1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11" fillId="0" borderId="21" xfId="0" applyFont="1" applyFill="1" applyBorder="1" applyAlignment="1">
      <alignment vertical="center" wrapText="1"/>
    </xf>
    <xf numFmtId="0" fontId="11" fillId="0" borderId="21" xfId="0" applyFont="1" applyFill="1" applyBorder="1" applyAlignment="1">
      <alignment horizontal="right" vertical="center" wrapText="1"/>
    </xf>
    <xf numFmtId="0" fontId="11" fillId="0" borderId="22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13" fillId="0" borderId="23" xfId="0" applyFont="1" applyFill="1" applyBorder="1" applyAlignment="1">
      <alignment horizontal="left" vertical="center" wrapText="1"/>
    </xf>
    <xf numFmtId="9" fontId="5" fillId="0" borderId="0" xfId="0" applyNumberFormat="1" applyFont="1" applyBorder="1" applyAlignment="1">
      <alignment vertical="center" wrapText="1"/>
    </xf>
    <xf numFmtId="164" fontId="5" fillId="0" borderId="0" xfId="0" applyNumberFormat="1" applyFont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4" fontId="5" fillId="0" borderId="0" xfId="0" applyNumberFormat="1" applyFont="1" applyBorder="1" applyAlignment="1">
      <alignment vertical="center" wrapText="1"/>
    </xf>
    <xf numFmtId="4" fontId="5" fillId="0" borderId="4" xfId="0" applyNumberFormat="1" applyFont="1" applyBorder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49" fontId="13" fillId="0" borderId="8" xfId="0" applyNumberFormat="1" applyFont="1" applyFill="1" applyBorder="1" applyAlignment="1">
      <alignment horizontal="left" vertical="center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Fill="1" applyBorder="1" applyAlignment="1">
      <alignment horizontal="center" vertical="center" wrapText="1"/>
    </xf>
    <xf numFmtId="9" fontId="11" fillId="0" borderId="24" xfId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center" wrapText="1"/>
    </xf>
    <xf numFmtId="4" fontId="5" fillId="0" borderId="25" xfId="0" applyNumberFormat="1" applyFont="1" applyBorder="1" applyAlignment="1">
      <alignment vertical="center" wrapText="1"/>
    </xf>
    <xf numFmtId="4" fontId="5" fillId="0" borderId="26" xfId="0" applyNumberFormat="1" applyFont="1" applyBorder="1" applyAlignment="1">
      <alignment vertical="center" wrapText="1"/>
    </xf>
    <xf numFmtId="9" fontId="5" fillId="0" borderId="24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4" fontId="5" fillId="0" borderId="21" xfId="0" applyNumberFormat="1" applyFont="1" applyBorder="1" applyAlignment="1">
      <alignment vertical="center" wrapText="1"/>
    </xf>
    <xf numFmtId="0" fontId="24" fillId="0" borderId="8" xfId="0" applyFont="1" applyFill="1" applyBorder="1" applyAlignment="1">
      <alignment horizontal="right" vertical="center"/>
    </xf>
    <xf numFmtId="0" fontId="5" fillId="0" borderId="23" xfId="0" applyFont="1" applyFill="1" applyBorder="1" applyAlignment="1">
      <alignment vertical="center" wrapText="1"/>
    </xf>
    <xf numFmtId="9" fontId="5" fillId="0" borderId="0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2" fontId="9" fillId="0" borderId="25" xfId="0" applyNumberFormat="1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4" fontId="9" fillId="0" borderId="25" xfId="0" applyNumberFormat="1" applyFont="1" applyBorder="1" applyAlignment="1">
      <alignment vertical="center" wrapText="1"/>
    </xf>
    <xf numFmtId="4" fontId="9" fillId="0" borderId="26" xfId="0" applyNumberFormat="1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2" fontId="9" fillId="0" borderId="28" xfId="0" applyNumberFormat="1" applyFont="1" applyFill="1" applyBorder="1" applyAlignment="1">
      <alignment horizontal="center" vertical="center"/>
    </xf>
    <xf numFmtId="4" fontId="9" fillId="0" borderId="28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4" fontId="9" fillId="0" borderId="0" xfId="0" applyNumberFormat="1" applyFont="1" applyBorder="1" applyAlignment="1">
      <alignment vertical="center" wrapText="1"/>
    </xf>
    <xf numFmtId="10" fontId="5" fillId="0" borderId="0" xfId="0" applyNumberFormat="1" applyFont="1"/>
    <xf numFmtId="9" fontId="5" fillId="0" borderId="24" xfId="0" applyNumberFormat="1" applyFont="1" applyFill="1" applyBorder="1" applyAlignment="1">
      <alignment vertical="center"/>
    </xf>
    <xf numFmtId="4" fontId="5" fillId="0" borderId="22" xfId="0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 vertical="center" wrapText="1"/>
    </xf>
    <xf numFmtId="3" fontId="29" fillId="0" borderId="8" xfId="0" applyNumberFormat="1" applyFont="1" applyFill="1" applyBorder="1" applyAlignment="1">
      <alignment horizontal="left" vertical="center" wrapText="1"/>
    </xf>
    <xf numFmtId="3" fontId="29" fillId="0" borderId="0" xfId="0" applyNumberFormat="1" applyFont="1" applyFill="1" applyBorder="1" applyAlignment="1">
      <alignment horizontal="center" vertical="center" wrapText="1"/>
    </xf>
    <xf numFmtId="9" fontId="30" fillId="0" borderId="0" xfId="1" applyFont="1" applyFill="1" applyBorder="1" applyAlignment="1">
      <alignment horizontal="center" vertical="center" wrapText="1"/>
    </xf>
    <xf numFmtId="1" fontId="18" fillId="5" borderId="0" xfId="0" applyNumberFormat="1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3" fontId="31" fillId="0" borderId="8" xfId="0" applyNumberFormat="1" applyFont="1" applyFill="1" applyBorder="1" applyAlignment="1">
      <alignment horizontal="left" vertical="center" wrapText="1"/>
    </xf>
    <xf numFmtId="3" fontId="31" fillId="0" borderId="0" xfId="0" applyNumberFormat="1" applyFont="1" applyFill="1" applyBorder="1" applyAlignment="1">
      <alignment horizontal="center" vertical="center" wrapText="1"/>
    </xf>
    <xf numFmtId="9" fontId="32" fillId="0" borderId="0" xfId="1" applyFont="1" applyFill="1" applyBorder="1" applyAlignment="1">
      <alignment horizontal="center" vertical="center" wrapText="1"/>
    </xf>
    <xf numFmtId="1" fontId="15" fillId="5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3" fontId="18" fillId="5" borderId="0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3" fontId="11" fillId="0" borderId="27" xfId="0" applyNumberFormat="1" applyFont="1" applyFill="1" applyBorder="1" applyAlignment="1">
      <alignment horizontal="left" vertical="center" wrapText="1"/>
    </xf>
    <xf numFmtId="3" fontId="9" fillId="0" borderId="28" xfId="0" applyNumberFormat="1" applyFont="1" applyBorder="1" applyAlignment="1">
      <alignment horizontal="center" vertical="center" wrapText="1"/>
    </xf>
    <xf numFmtId="9" fontId="22" fillId="0" borderId="28" xfId="1" applyFont="1" applyFill="1" applyBorder="1" applyAlignment="1">
      <alignment horizontal="center" vertical="center" wrapText="1"/>
    </xf>
    <xf numFmtId="1" fontId="5" fillId="5" borderId="28" xfId="0" applyNumberFormat="1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vertical="center" wrapText="1"/>
    </xf>
    <xf numFmtId="3" fontId="5" fillId="0" borderId="0" xfId="0" applyNumberFormat="1" applyFont="1"/>
    <xf numFmtId="3" fontId="13" fillId="0" borderId="30" xfId="0" applyNumberFormat="1" applyFont="1" applyFill="1" applyBorder="1" applyAlignment="1">
      <alignment horizontal="right" vertical="center"/>
    </xf>
    <xf numFmtId="3" fontId="34" fillId="2" borderId="2" xfId="0" applyNumberFormat="1" applyFont="1" applyFill="1" applyBorder="1" applyAlignment="1">
      <alignment vertical="center"/>
    </xf>
    <xf numFmtId="3" fontId="5" fillId="2" borderId="2" xfId="0" applyNumberFormat="1" applyFont="1" applyFill="1" applyBorder="1" applyAlignment="1">
      <alignment vertical="center"/>
    </xf>
    <xf numFmtId="0" fontId="13" fillId="0" borderId="25" xfId="0" applyFont="1" applyBorder="1"/>
    <xf numFmtId="4" fontId="11" fillId="0" borderId="0" xfId="0" applyNumberFormat="1" applyFont="1" applyFill="1" applyBorder="1" applyAlignment="1">
      <alignment horizontal="center" vertical="center" wrapText="1"/>
    </xf>
    <xf numFmtId="4" fontId="9" fillId="0" borderId="4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3" fillId="0" borderId="0" xfId="0" applyFont="1"/>
    <xf numFmtId="164" fontId="5" fillId="0" borderId="0" xfId="1" applyNumberFormat="1" applyFont="1" applyBorder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3" fillId="0" borderId="0" xfId="0" applyFont="1" applyFill="1" applyBorder="1" applyAlignment="1">
      <alignment horizontal="left" vertical="center" wrapText="1"/>
    </xf>
    <xf numFmtId="4" fontId="36" fillId="0" borderId="0" xfId="0" applyNumberFormat="1" applyFont="1" applyBorder="1" applyAlignment="1">
      <alignment horizontal="center" vertical="center" wrapText="1"/>
    </xf>
    <xf numFmtId="164" fontId="36" fillId="0" borderId="0" xfId="1" applyNumberFormat="1" applyFont="1" applyBorder="1" applyAlignment="1">
      <alignment horizontal="center" vertical="center" wrapText="1"/>
    </xf>
    <xf numFmtId="164" fontId="36" fillId="0" borderId="0" xfId="1" applyNumberFormat="1" applyFont="1" applyBorder="1" applyAlignment="1">
      <alignment vertical="center" wrapText="1"/>
    </xf>
    <xf numFmtId="4" fontId="36" fillId="0" borderId="0" xfId="0" applyNumberFormat="1" applyFont="1" applyBorder="1" applyAlignment="1">
      <alignment horizontal="right" vertical="center" wrapText="1"/>
    </xf>
    <xf numFmtId="4" fontId="36" fillId="0" borderId="0" xfId="0" applyNumberFormat="1" applyFont="1" applyFill="1" applyBorder="1" applyAlignment="1">
      <alignment horizontal="right" vertical="center" wrapText="1"/>
    </xf>
    <xf numFmtId="164" fontId="35" fillId="0" borderId="0" xfId="1" applyNumberFormat="1" applyFont="1" applyBorder="1" applyAlignment="1">
      <alignment vertical="center" wrapText="1"/>
    </xf>
    <xf numFmtId="164" fontId="36" fillId="7" borderId="0" xfId="1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left" vertical="center" wrapText="1"/>
    </xf>
    <xf numFmtId="4" fontId="35" fillId="0" borderId="0" xfId="0" applyNumberFormat="1" applyFont="1" applyBorder="1" applyAlignment="1">
      <alignment horizontal="right" vertical="center" wrapText="1"/>
    </xf>
    <xf numFmtId="3" fontId="37" fillId="0" borderId="0" xfId="0" applyNumberFormat="1" applyFont="1" applyFill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3" fontId="33" fillId="0" borderId="0" xfId="0" applyNumberFormat="1" applyFont="1" applyFill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3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 vertical="center" wrapText="1"/>
    </xf>
    <xf numFmtId="4" fontId="33" fillId="0" borderId="0" xfId="0" applyNumberFormat="1" applyFont="1" applyFill="1" applyBorder="1" applyAlignment="1">
      <alignment horizontal="right" vertical="center" wrapText="1"/>
    </xf>
    <xf numFmtId="164" fontId="33" fillId="0" borderId="0" xfId="1" applyNumberFormat="1" applyFont="1" applyFill="1" applyBorder="1" applyAlignment="1">
      <alignment horizontal="right" vertical="center" wrapText="1"/>
    </xf>
    <xf numFmtId="4" fontId="35" fillId="0" borderId="0" xfId="0" applyNumberFormat="1" applyFont="1" applyFill="1" applyBorder="1" applyAlignment="1">
      <alignment vertical="center" wrapText="1"/>
    </xf>
    <xf numFmtId="164" fontId="37" fillId="0" borderId="0" xfId="1" applyNumberFormat="1" applyFont="1" applyFill="1" applyBorder="1" applyAlignment="1">
      <alignment horizontal="right" vertical="center" wrapText="1"/>
    </xf>
    <xf numFmtId="164" fontId="35" fillId="0" borderId="0" xfId="1" applyNumberFormat="1" applyFont="1" applyFill="1" applyBorder="1" applyAlignment="1">
      <alignment vertical="center" wrapText="1"/>
    </xf>
    <xf numFmtId="4" fontId="37" fillId="0" borderId="0" xfId="0" applyNumberFormat="1" applyFont="1" applyFill="1" applyBorder="1" applyAlignment="1">
      <alignment horizontal="right" vertical="center" wrapText="1"/>
    </xf>
    <xf numFmtId="0" fontId="39" fillId="0" borderId="0" xfId="0" applyFont="1" applyFill="1" applyBorder="1" applyAlignment="1">
      <alignment horizontal="right" vertical="center" wrapText="1"/>
    </xf>
    <xf numFmtId="164" fontId="11" fillId="7" borderId="0" xfId="1" applyNumberFormat="1" applyFont="1" applyFill="1" applyBorder="1" applyAlignment="1">
      <alignment horizontal="right" vertical="center" wrapText="1"/>
    </xf>
    <xf numFmtId="164" fontId="35" fillId="7" borderId="0" xfId="1" applyNumberFormat="1" applyFont="1" applyFill="1" applyBorder="1" applyAlignment="1">
      <alignment vertical="center" wrapText="1"/>
    </xf>
    <xf numFmtId="0" fontId="33" fillId="7" borderId="15" xfId="0" applyFont="1" applyFill="1" applyBorder="1" applyAlignment="1">
      <alignment horizontal="left" vertical="center" wrapText="1"/>
    </xf>
    <xf numFmtId="4" fontId="33" fillId="7" borderId="5" xfId="0" applyNumberFormat="1" applyFont="1" applyFill="1" applyBorder="1" applyAlignment="1">
      <alignment horizontal="right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" fontId="13" fillId="0" borderId="0" xfId="0" applyNumberFormat="1" applyFont="1" applyFill="1" applyBorder="1" applyAlignment="1">
      <alignment horizontal="left"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1" fillId="0" borderId="0" xfId="0" applyFont="1" applyAlignment="1">
      <alignment horizontal="center"/>
    </xf>
    <xf numFmtId="164" fontId="5" fillId="0" borderId="31" xfId="0" applyNumberFormat="1" applyFont="1" applyFill="1" applyBorder="1" applyAlignment="1">
      <alignment horizontal="right" vertical="center" wrapText="1"/>
    </xf>
    <xf numFmtId="164" fontId="5" fillId="0" borderId="41" xfId="0" applyNumberFormat="1" applyFont="1" applyFill="1" applyBorder="1" applyAlignment="1">
      <alignment horizontal="right" vertical="center" wrapText="1"/>
    </xf>
    <xf numFmtId="4" fontId="9" fillId="0" borderId="9" xfId="0" applyNumberFormat="1" applyFont="1" applyBorder="1" applyAlignment="1">
      <alignment vertical="center" wrapText="1"/>
    </xf>
    <xf numFmtId="4" fontId="5" fillId="0" borderId="41" xfId="0" applyNumberFormat="1" applyFont="1" applyBorder="1" applyAlignment="1">
      <alignment vertical="center" wrapText="1"/>
    </xf>
    <xf numFmtId="4" fontId="5" fillId="0" borderId="9" xfId="0" applyNumberFormat="1" applyFont="1" applyBorder="1" applyAlignment="1">
      <alignment vertical="center" wrapText="1"/>
    </xf>
    <xf numFmtId="0" fontId="9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0" fontId="5" fillId="0" borderId="2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4" fontId="9" fillId="0" borderId="25" xfId="0" applyNumberFormat="1" applyFont="1" applyFill="1" applyBorder="1" applyAlignment="1">
      <alignment vertical="center" wrapText="1"/>
    </xf>
    <xf numFmtId="4" fontId="5" fillId="0" borderId="4" xfId="0" applyNumberFormat="1" applyFont="1" applyFill="1" applyBorder="1" applyAlignment="1">
      <alignment vertical="center" wrapText="1"/>
    </xf>
    <xf numFmtId="4" fontId="9" fillId="0" borderId="26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3" fontId="11" fillId="0" borderId="42" xfId="0" applyNumberFormat="1" applyFont="1" applyFill="1" applyBorder="1" applyAlignment="1">
      <alignment horizontal="right" vertical="center" wrapText="1"/>
    </xf>
    <xf numFmtId="3" fontId="11" fillId="0" borderId="43" xfId="0" applyNumberFormat="1" applyFont="1" applyFill="1" applyBorder="1" applyAlignment="1">
      <alignment horizontal="right" vertical="center" wrapText="1"/>
    </xf>
    <xf numFmtId="3" fontId="11" fillId="0" borderId="44" xfId="0" applyNumberFormat="1" applyFont="1" applyFill="1" applyBorder="1" applyAlignment="1">
      <alignment horizontal="right" vertical="center" wrapText="1"/>
    </xf>
    <xf numFmtId="0" fontId="11" fillId="0" borderId="0" xfId="0" applyFont="1" applyFill="1"/>
    <xf numFmtId="4" fontId="41" fillId="0" borderId="0" xfId="0" applyNumberFormat="1" applyFont="1"/>
    <xf numFmtId="0" fontId="41" fillId="0" borderId="0" xfId="0" applyNumberFormat="1" applyFont="1" applyFill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center"/>
    </xf>
    <xf numFmtId="3" fontId="9" fillId="0" borderId="31" xfId="0" applyNumberFormat="1" applyFont="1" applyFill="1" applyBorder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4" fontId="13" fillId="0" borderId="45" xfId="0" applyNumberFormat="1" applyFont="1" applyFill="1" applyBorder="1" applyAlignment="1">
      <alignment horizontal="right" vertical="center" wrapText="1"/>
    </xf>
    <xf numFmtId="164" fontId="21" fillId="0" borderId="45" xfId="1" applyNumberFormat="1" applyFont="1" applyFill="1" applyBorder="1" applyAlignment="1">
      <alignment horizontal="right" vertical="center" wrapText="1"/>
    </xf>
    <xf numFmtId="3" fontId="40" fillId="0" borderId="1" xfId="0" applyNumberFormat="1" applyFont="1" applyFill="1" applyBorder="1" applyAlignment="1">
      <alignment horizontal="right" vertical="center"/>
    </xf>
    <xf numFmtId="4" fontId="41" fillId="0" borderId="1" xfId="0" applyNumberFormat="1" applyFont="1" applyFill="1" applyBorder="1" applyAlignment="1">
      <alignment horizontal="right" vertical="center"/>
    </xf>
    <xf numFmtId="0" fontId="41" fillId="0" borderId="0" xfId="0" applyNumberFormat="1" applyFont="1" applyFill="1" applyAlignment="1">
      <alignment vertical="center"/>
    </xf>
    <xf numFmtId="3" fontId="9" fillId="5" borderId="16" xfId="0" applyNumberFormat="1" applyFont="1" applyFill="1" applyBorder="1" applyAlignment="1">
      <alignment horizontal="right" vertical="center"/>
    </xf>
    <xf numFmtId="3" fontId="41" fillId="0" borderId="1" xfId="0" applyNumberFormat="1" applyFont="1" applyFill="1" applyBorder="1" applyAlignment="1">
      <alignment horizontal="right" vertical="center"/>
    </xf>
    <xf numFmtId="3" fontId="9" fillId="4" borderId="17" xfId="0" applyNumberFormat="1" applyFont="1" applyFill="1" applyBorder="1" applyAlignment="1">
      <alignment horizontal="right" vertical="center"/>
    </xf>
    <xf numFmtId="10" fontId="5" fillId="0" borderId="0" xfId="0" applyNumberFormat="1" applyFont="1" applyAlignment="1">
      <alignment vertical="center" wrapText="1"/>
    </xf>
    <xf numFmtId="4" fontId="9" fillId="8" borderId="9" xfId="0" applyNumberFormat="1" applyFont="1" applyFill="1" applyBorder="1" applyAlignment="1">
      <alignment vertical="center" wrapText="1"/>
    </xf>
    <xf numFmtId="4" fontId="5" fillId="8" borderId="41" xfId="0" applyNumberFormat="1" applyFont="1" applyFill="1" applyBorder="1" applyAlignment="1">
      <alignment vertical="center" wrapText="1"/>
    </xf>
    <xf numFmtId="4" fontId="5" fillId="8" borderId="9" xfId="0" applyNumberFormat="1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0" fontId="5" fillId="0" borderId="4" xfId="0" applyNumberFormat="1" applyFont="1" applyBorder="1" applyAlignment="1">
      <alignment vertical="center" wrapText="1"/>
    </xf>
    <xf numFmtId="10" fontId="5" fillId="0" borderId="26" xfId="0" applyNumberFormat="1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31" xfId="0" applyFont="1" applyBorder="1" applyAlignment="1">
      <alignment vertical="center" wrapText="1"/>
    </xf>
    <xf numFmtId="0" fontId="5" fillId="0" borderId="41" xfId="0" applyFont="1" applyBorder="1" applyAlignment="1">
      <alignment vertical="center" wrapText="1"/>
    </xf>
    <xf numFmtId="0" fontId="42" fillId="0" borderId="0" xfId="0" applyFont="1" applyFill="1" applyBorder="1" applyAlignment="1">
      <alignment horizontal="right" vertical="center" wrapText="1"/>
    </xf>
    <xf numFmtId="9" fontId="43" fillId="0" borderId="0" xfId="0" applyNumberFormat="1" applyFont="1" applyFill="1" applyBorder="1" applyAlignment="1">
      <alignment horizontal="right" vertical="center" wrapText="1"/>
    </xf>
    <xf numFmtId="4" fontId="43" fillId="0" borderId="0" xfId="0" applyNumberFormat="1" applyFont="1" applyBorder="1" applyAlignment="1">
      <alignment vertical="center" wrapText="1"/>
    </xf>
    <xf numFmtId="0" fontId="44" fillId="0" borderId="0" xfId="0" applyFont="1" applyFill="1" applyBorder="1" applyAlignment="1">
      <alignment horizontal="left" vertical="center" wrapText="1"/>
    </xf>
    <xf numFmtId="4" fontId="45" fillId="0" borderId="25" xfId="0" applyNumberFormat="1" applyFont="1" applyBorder="1" applyAlignment="1">
      <alignment vertical="center" wrapText="1"/>
    </xf>
    <xf numFmtId="4" fontId="43" fillId="0" borderId="25" xfId="0" applyNumberFormat="1" applyFont="1" applyBorder="1" applyAlignment="1">
      <alignment vertical="center" wrapText="1"/>
    </xf>
    <xf numFmtId="10" fontId="43" fillId="0" borderId="0" xfId="0" applyNumberFormat="1" applyFont="1" applyBorder="1" applyAlignment="1">
      <alignment vertical="center" wrapText="1"/>
    </xf>
    <xf numFmtId="3" fontId="11" fillId="0" borderId="3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/>
    </xf>
    <xf numFmtId="3" fontId="9" fillId="0" borderId="31" xfId="0" applyNumberFormat="1" applyFont="1" applyFill="1" applyBorder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4" fontId="11" fillId="0" borderId="31" xfId="0" applyNumberFormat="1" applyFont="1" applyFill="1" applyBorder="1" applyAlignment="1">
      <alignment horizontal="center" vertical="center" wrapText="1"/>
    </xf>
    <xf numFmtId="4" fontId="11" fillId="0" borderId="9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left" vertical="center" wrapText="1"/>
    </xf>
    <xf numFmtId="3" fontId="13" fillId="0" borderId="45" xfId="0" applyNumberFormat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" fontId="13" fillId="0" borderId="0" xfId="0" applyNumberFormat="1" applyFont="1" applyFill="1" applyBorder="1" applyAlignment="1">
      <alignment horizontal="left" vertical="center" wrapText="1"/>
    </xf>
    <xf numFmtId="3" fontId="11" fillId="5" borderId="32" xfId="0" applyNumberFormat="1" applyFont="1" applyFill="1" applyBorder="1" applyAlignment="1">
      <alignment horizontal="center" vertical="center" wrapText="1"/>
    </xf>
    <xf numFmtId="3" fontId="11" fillId="5" borderId="33" xfId="0" applyNumberFormat="1" applyFont="1" applyFill="1" applyBorder="1" applyAlignment="1">
      <alignment horizontal="center" vertical="center" wrapText="1"/>
    </xf>
    <xf numFmtId="3" fontId="11" fillId="5" borderId="34" xfId="0" applyNumberFormat="1" applyFont="1" applyFill="1" applyBorder="1" applyAlignment="1">
      <alignment horizontal="center"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3" fontId="11" fillId="0" borderId="19" xfId="0" applyNumberFormat="1" applyFont="1" applyBorder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3" fontId="11" fillId="0" borderId="35" xfId="0" applyNumberFormat="1" applyFont="1" applyBorder="1" applyAlignment="1">
      <alignment horizontal="center" vertical="center" wrapText="1"/>
    </xf>
    <xf numFmtId="0" fontId="5" fillId="0" borderId="19" xfId="0" applyFont="1" applyBorder="1" applyAlignment="1"/>
    <xf numFmtId="0" fontId="5" fillId="0" borderId="11" xfId="0" applyFont="1" applyBorder="1" applyAlignment="1"/>
    <xf numFmtId="3" fontId="11" fillId="0" borderId="10" xfId="0" applyNumberFormat="1" applyFont="1" applyBorder="1" applyAlignment="1">
      <alignment horizontal="left" vertical="center" wrapText="1"/>
    </xf>
    <xf numFmtId="3" fontId="11" fillId="0" borderId="19" xfId="0" applyNumberFormat="1" applyFont="1" applyBorder="1" applyAlignment="1">
      <alignment horizontal="left" vertical="center" wrapText="1"/>
    </xf>
    <xf numFmtId="3" fontId="11" fillId="5" borderId="36" xfId="0" applyNumberFormat="1" applyFont="1" applyFill="1" applyBorder="1" applyAlignment="1">
      <alignment horizontal="center" vertical="center" wrapText="1"/>
    </xf>
    <xf numFmtId="3" fontId="11" fillId="5" borderId="16" xfId="0" applyNumberFormat="1" applyFont="1" applyFill="1" applyBorder="1" applyAlignment="1">
      <alignment horizontal="center" vertical="center" wrapText="1"/>
    </xf>
    <xf numFmtId="3" fontId="11" fillId="5" borderId="37" xfId="0" applyNumberFormat="1" applyFont="1" applyFill="1" applyBorder="1" applyAlignment="1">
      <alignment horizontal="center" vertical="center" wrapText="1"/>
    </xf>
    <xf numFmtId="3" fontId="9" fillId="0" borderId="35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38" xfId="0" applyFont="1" applyFill="1" applyBorder="1" applyAlignment="1">
      <alignment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38" xfId="0" applyFont="1" applyBorder="1" applyAlignment="1">
      <alignment horizontal="left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3" fontId="11" fillId="8" borderId="9" xfId="0" applyNumberFormat="1" applyFont="1" applyFill="1" applyBorder="1" applyAlignment="1">
      <alignment horizontal="center" vertical="center" wrapText="1"/>
    </xf>
    <xf numFmtId="0" fontId="4" fillId="8" borderId="0" xfId="0" applyNumberFormat="1" applyFont="1" applyFill="1" applyAlignment="1">
      <alignment horizontal="center" vertical="center"/>
    </xf>
    <xf numFmtId="3" fontId="23" fillId="8" borderId="2" xfId="0" applyNumberFormat="1" applyFont="1" applyFill="1" applyBorder="1" applyAlignment="1">
      <alignment vertical="center"/>
    </xf>
    <xf numFmtId="3" fontId="9" fillId="8" borderId="0" xfId="0" applyNumberFormat="1" applyFont="1" applyFill="1" applyAlignment="1">
      <alignment vertical="center"/>
    </xf>
    <xf numFmtId="3" fontId="12" fillId="8" borderId="0" xfId="0" applyNumberFormat="1" applyFont="1" applyFill="1" applyAlignment="1">
      <alignment vertical="center"/>
    </xf>
    <xf numFmtId="3" fontId="11" fillId="8" borderId="1" xfId="0" applyNumberFormat="1" applyFont="1" applyFill="1" applyBorder="1" applyAlignment="1">
      <alignment horizontal="right" vertical="center" wrapText="1"/>
    </xf>
    <xf numFmtId="0" fontId="5" fillId="8" borderId="0" xfId="0" applyNumberFormat="1" applyFont="1" applyFill="1" applyBorder="1" applyAlignment="1">
      <alignment vertical="center"/>
    </xf>
    <xf numFmtId="0" fontId="4" fillId="8" borderId="0" xfId="0" applyNumberFormat="1" applyFont="1" applyFill="1" applyAlignment="1">
      <alignment vertical="center"/>
    </xf>
    <xf numFmtId="3" fontId="26" fillId="8" borderId="0" xfId="0" applyNumberFormat="1" applyFont="1" applyFill="1" applyBorder="1" applyAlignment="1">
      <alignment vertical="center"/>
    </xf>
    <xf numFmtId="3" fontId="9" fillId="8" borderId="0" xfId="0" applyNumberFormat="1" applyFont="1" applyFill="1" applyBorder="1" applyAlignment="1">
      <alignment vertical="center"/>
    </xf>
    <xf numFmtId="0" fontId="4" fillId="8" borderId="0" xfId="0" applyNumberFormat="1" applyFont="1" applyFill="1" applyBorder="1" applyAlignment="1">
      <alignment vertical="center"/>
    </xf>
    <xf numFmtId="164" fontId="9" fillId="8" borderId="0" xfId="0" applyNumberFormat="1" applyFont="1" applyFill="1" applyAlignment="1">
      <alignment vertical="center"/>
    </xf>
    <xf numFmtId="0" fontId="41" fillId="8" borderId="0" xfId="0" applyNumberFormat="1" applyFont="1" applyFill="1" applyAlignment="1">
      <alignment horizontal="center" vertical="center"/>
    </xf>
    <xf numFmtId="3" fontId="24" fillId="8" borderId="0" xfId="0" applyNumberFormat="1" applyFont="1" applyFill="1" applyAlignment="1">
      <alignment vertical="center"/>
    </xf>
    <xf numFmtId="3" fontId="25" fillId="8" borderId="2" xfId="0" applyNumberFormat="1" applyFont="1" applyFill="1" applyBorder="1" applyAlignment="1">
      <alignment vertical="center"/>
    </xf>
    <xf numFmtId="3" fontId="11" fillId="8" borderId="3" xfId="0" applyNumberFormat="1" applyFont="1" applyFill="1" applyBorder="1" applyAlignment="1">
      <alignment horizontal="center" vertical="center" wrapText="1"/>
    </xf>
    <xf numFmtId="3" fontId="4" fillId="8" borderId="0" xfId="0" applyNumberFormat="1" applyFont="1" applyFill="1" applyAlignment="1">
      <alignment vertical="center"/>
    </xf>
    <xf numFmtId="3" fontId="5" fillId="8" borderId="0" xfId="0" applyNumberFormat="1" applyFont="1" applyFill="1" applyBorder="1" applyAlignment="1">
      <alignment vertical="center"/>
    </xf>
    <xf numFmtId="3" fontId="5" fillId="8" borderId="0" xfId="0" applyNumberFormat="1" applyFont="1" applyFill="1" applyAlignment="1">
      <alignment vertical="center"/>
    </xf>
    <xf numFmtId="3" fontId="23" fillId="8" borderId="2" xfId="0" applyNumberFormat="1" applyFont="1" applyFill="1" applyBorder="1" applyAlignment="1">
      <alignment horizontal="right" vertical="center"/>
    </xf>
    <xf numFmtId="3" fontId="9" fillId="8" borderId="0" xfId="0" applyNumberFormat="1" applyFont="1" applyFill="1" applyAlignment="1">
      <alignment horizontal="right" vertical="center"/>
    </xf>
    <xf numFmtId="3" fontId="11" fillId="8" borderId="18" xfId="0" applyNumberFormat="1" applyFont="1" applyFill="1" applyBorder="1" applyAlignment="1">
      <alignment horizontal="right" vertical="center" wrapText="1"/>
    </xf>
    <xf numFmtId="3" fontId="11" fillId="8" borderId="10" xfId="0" applyNumberFormat="1" applyFont="1" applyFill="1" applyBorder="1" applyAlignment="1">
      <alignment horizontal="center" vertical="center" wrapText="1"/>
    </xf>
    <xf numFmtId="3" fontId="4" fillId="8" borderId="0" xfId="0" applyNumberFormat="1" applyFont="1" applyFill="1" applyAlignment="1">
      <alignment horizontal="right" vertical="center"/>
    </xf>
    <xf numFmtId="3" fontId="11" fillId="8" borderId="15" xfId="0" applyNumberFormat="1" applyFont="1" applyFill="1" applyBorder="1" applyAlignment="1">
      <alignment horizontal="right" vertical="center"/>
    </xf>
    <xf numFmtId="3" fontId="9" fillId="8" borderId="0" xfId="0" applyNumberFormat="1" applyFont="1" applyFill="1" applyBorder="1" applyAlignment="1">
      <alignment horizontal="right" vertical="center"/>
    </xf>
    <xf numFmtId="0" fontId="4" fillId="8" borderId="0" xfId="0" applyNumberFormat="1" applyFont="1" applyFill="1" applyBorder="1" applyAlignment="1">
      <alignment horizontal="right" vertical="center"/>
    </xf>
    <xf numFmtId="3" fontId="11" fillId="8" borderId="15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25" b="1" i="0" u="sng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Distribución de Ingresos de Cooperación Internacional. 2003.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26A-4A23-B970-32A92C37682D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26A-4A23-B970-32A92C37682D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26A-4A23-B970-32A92C37682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26A-4A23-B970-32A92C37682D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(Ingresos!$I$85,Ingresos!$C$85)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6A-4A23-B970-32A92C37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" r="0.750000000000002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Ingresos ejecutados (millones euros)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Comparación!$Z$6</c:f>
              <c:strCache>
                <c:ptCount val="1"/>
                <c:pt idx="0">
                  <c:v>ingresos</c:v>
                </c:pt>
              </c:strCache>
            </c:strRef>
          </c:tx>
          <c:marker>
            <c:spPr>
              <a:ln cap="rnd"/>
            </c:spPr>
          </c:marker>
          <c:dLbls>
            <c:spPr>
              <a:ln cap="rnd">
                <a:miter lim="800000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Comparación!$Y$7:$Y$13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Comparación!$Z$7:$Z$13</c:f>
              <c:numCache>
                <c:formatCode>#,##0.00</c:formatCode>
                <c:ptCount val="7"/>
                <c:pt idx="0">
                  <c:v>723.36202900000001</c:v>
                </c:pt>
                <c:pt idx="1">
                  <c:v>732.10098799999992</c:v>
                </c:pt>
                <c:pt idx="2">
                  <c:v>545.75176579000004</c:v>
                </c:pt>
                <c:pt idx="3">
                  <c:v>503.94739817999988</c:v>
                </c:pt>
                <c:pt idx="4">
                  <c:v>574.79751962</c:v>
                </c:pt>
                <c:pt idx="5">
                  <c:v>553.75446443999999</c:v>
                </c:pt>
                <c:pt idx="6">
                  <c:v>563.91819240000007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A-474F-B130-26450117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150984"/>
        <c:axId val="320151376"/>
      </c:lineChart>
      <c:catAx>
        <c:axId val="32015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20151376"/>
        <c:crosses val="autoZero"/>
        <c:auto val="1"/>
        <c:lblAlgn val="ctr"/>
        <c:lblOffset val="100"/>
        <c:noMultiLvlLbl val="0"/>
      </c:catAx>
      <c:valAx>
        <c:axId val="320151376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20150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/>
              <a:t>Fondos obtenidos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504582223124976E-2"/>
          <c:y val="1.0952580927384077E-2"/>
          <c:w val="0.813560818254212"/>
          <c:h val="0.85714617879688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Comparación!$I$62</c:f>
              <c:strCache>
                <c:ptCount val="1"/>
                <c:pt idx="0">
                  <c:v>Total Fondos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Comparación!$J$59:$R$59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Comparación!$J$62:$R$62</c:f>
              <c:numCache>
                <c:formatCode>0.00</c:formatCode>
                <c:ptCount val="9"/>
                <c:pt idx="0">
                  <c:v>625.3882853099999</c:v>
                </c:pt>
                <c:pt idx="1">
                  <c:v>648.65075400000001</c:v>
                </c:pt>
                <c:pt idx="2">
                  <c:v>817.3001569999999</c:v>
                </c:pt>
                <c:pt idx="3">
                  <c:v>530.519499</c:v>
                </c:pt>
                <c:pt idx="4">
                  <c:v>458.06621561999998</c:v>
                </c:pt>
                <c:pt idx="5">
                  <c:v>465.25853819999998</c:v>
                </c:pt>
                <c:pt idx="6">
                  <c:v>620.89275281000005</c:v>
                </c:pt>
                <c:pt idx="7">
                  <c:v>498.57178699000002</c:v>
                </c:pt>
                <c:pt idx="8">
                  <c:v>561.76895000000002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79-434E-A704-7CEAB3C01664}"/>
            </c:ext>
          </c:extLst>
        </c:ser>
        <c:ser>
          <c:idx val="2"/>
          <c:order val="1"/>
          <c:tx>
            <c:strRef>
              <c:f>Comparación!$I$63</c:f>
              <c:strCache>
                <c:ptCount val="1"/>
                <c:pt idx="0">
                  <c:v>Fondos públicos</c:v>
                </c:pt>
              </c:strCache>
            </c:strRef>
          </c:tx>
          <c:invertIfNegative val="0"/>
          <c:cat>
            <c:numRef>
              <c:f>Comparación!$J$59:$R$59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Comparación!$J$63:$R$63</c:f>
              <c:numCache>
                <c:formatCode>0.00</c:formatCode>
                <c:ptCount val="9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  <c:pt idx="8">
                  <c:v>235.735263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79-434E-A704-7CEAB3C01664}"/>
            </c:ext>
          </c:extLst>
        </c:ser>
        <c:ser>
          <c:idx val="3"/>
          <c:order val="2"/>
          <c:tx>
            <c:strRef>
              <c:f>Comparación!$I$64</c:f>
              <c:strCache>
                <c:ptCount val="1"/>
                <c:pt idx="0">
                  <c:v>Fondos privados</c:v>
                </c:pt>
              </c:strCache>
            </c:strRef>
          </c:tx>
          <c:invertIfNegative val="0"/>
          <c:cat>
            <c:numRef>
              <c:f>Comparación!$J$59:$R$59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Comparación!$J$64:$R$64</c:f>
              <c:numCache>
                <c:formatCode>0.00</c:formatCode>
                <c:ptCount val="9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  <c:pt idx="8">
                  <c:v>327.64548500000001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10-4D2A-A0C2-4E239E42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20152160"/>
        <c:axId val="320152552"/>
      </c:barChart>
      <c:catAx>
        <c:axId val="3201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2015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015255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32015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299638761"/>
          <c:y val="0.20634995625546862"/>
          <c:w val="0.11495298292569271"/>
          <c:h val="0.185533858267716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222" r="0.75000000000000222" t="1" header="0" footer="0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/>
              <a:t>Ingresos ejecutados</a:t>
            </a:r>
          </a:p>
        </c:rich>
      </c:tx>
      <c:layout>
        <c:manualLayout>
          <c:xMode val="edge"/>
          <c:yMode val="edge"/>
          <c:x val="0.44332429874837082"/>
          <c:y val="2.66666666666666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04582223124976E-2"/>
          <c:y val="1.0952580927384077E-2"/>
          <c:w val="0.813560818254212"/>
          <c:h val="0.857146178796885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Comparación!$I$69</c:f>
              <c:strCache>
                <c:ptCount val="1"/>
                <c:pt idx="0">
                  <c:v>Ingresos ejecutados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Comparación!$K$68:$R$68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Comparación!$J$69:$R$69</c:f>
              <c:numCache>
                <c:formatCode>0.00</c:formatCode>
                <c:ptCount val="9"/>
                <c:pt idx="0">
                  <c:v>659.69287899999995</c:v>
                </c:pt>
                <c:pt idx="1">
                  <c:v>688.36316299999999</c:v>
                </c:pt>
                <c:pt idx="2">
                  <c:v>723.36202900000001</c:v>
                </c:pt>
                <c:pt idx="3">
                  <c:v>732.10098799999992</c:v>
                </c:pt>
                <c:pt idx="4">
                  <c:v>545.75176579000004</c:v>
                </c:pt>
                <c:pt idx="5">
                  <c:v>503.94739817999988</c:v>
                </c:pt>
                <c:pt idx="6">
                  <c:v>574.79751962</c:v>
                </c:pt>
                <c:pt idx="7">
                  <c:v>553.75446443999999</c:v>
                </c:pt>
                <c:pt idx="8">
                  <c:v>486.60224299999999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7-4674-BAB6-DE3862A304FD}"/>
            </c:ext>
          </c:extLst>
        </c:ser>
        <c:ser>
          <c:idx val="0"/>
          <c:order val="1"/>
          <c:tx>
            <c:strRef>
              <c:f>Comparación!$I$70</c:f>
              <c:strCache>
                <c:ptCount val="1"/>
                <c:pt idx="0">
                  <c:v>Ingresos públicos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Comparación!$K$68:$R$68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Comparación!$J$70:$R$70</c:f>
              <c:numCache>
                <c:formatCode>0.00</c:formatCode>
                <c:ptCount val="9"/>
                <c:pt idx="0">
                  <c:v>376.64164999999997</c:v>
                </c:pt>
                <c:pt idx="1">
                  <c:v>404.21496599999995</c:v>
                </c:pt>
                <c:pt idx="2">
                  <c:v>411.8</c:v>
                </c:pt>
                <c:pt idx="3">
                  <c:v>373.59837199999998</c:v>
                </c:pt>
                <c:pt idx="4">
                  <c:v>312.52822587000003</c:v>
                </c:pt>
                <c:pt idx="5">
                  <c:v>278.23514241999993</c:v>
                </c:pt>
                <c:pt idx="6">
                  <c:v>296.84194337638002</c:v>
                </c:pt>
                <c:pt idx="7">
                  <c:v>257.57064429000002</c:v>
                </c:pt>
                <c:pt idx="8">
                  <c:v>254.670086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C7-4674-BAB6-DE3862A304FD}"/>
            </c:ext>
          </c:extLst>
        </c:ser>
        <c:ser>
          <c:idx val="2"/>
          <c:order val="2"/>
          <c:tx>
            <c:strRef>
              <c:f>Comparación!$I$71</c:f>
              <c:strCache>
                <c:ptCount val="1"/>
                <c:pt idx="0">
                  <c:v>Ingresos privados</c:v>
                </c:pt>
              </c:strCache>
            </c:strRef>
          </c:tx>
          <c:invertIfNegative val="0"/>
          <c:cat>
            <c:numRef>
              <c:f>Comparación!$K$68:$R$68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Comparación!$J$71:$R$71</c:f>
              <c:numCache>
                <c:formatCode>0.00</c:formatCode>
                <c:ptCount val="9"/>
                <c:pt idx="0">
                  <c:v>268.83795600000002</c:v>
                </c:pt>
                <c:pt idx="1">
                  <c:v>270.25202899999999</c:v>
                </c:pt>
                <c:pt idx="2">
                  <c:v>311.562029</c:v>
                </c:pt>
                <c:pt idx="3">
                  <c:v>344.48292099999998</c:v>
                </c:pt>
                <c:pt idx="4">
                  <c:v>233.22353991999998</c:v>
                </c:pt>
                <c:pt idx="5">
                  <c:v>225.71225575999995</c:v>
                </c:pt>
                <c:pt idx="6">
                  <c:v>277.95557624361999</c:v>
                </c:pt>
                <c:pt idx="7">
                  <c:v>296.18382015000003</c:v>
                </c:pt>
                <c:pt idx="8">
                  <c:v>231.93215699999999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C7-4674-BAB6-DE3862A3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20153336"/>
        <c:axId val="246668544"/>
      </c:barChart>
      <c:catAx>
        <c:axId val="3201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466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6854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320153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776492229"/>
          <c:y val="0.20634995625546862"/>
          <c:w val="0.11495348795686255"/>
          <c:h val="0.185533858267716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222" r="0.75000000000000222" t="1" header="0" footer="0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 b="1"/>
              <a:t>Fondos obtenidos</a:t>
            </a:r>
          </a:p>
        </c:rich>
      </c:tx>
      <c:layout>
        <c:manualLayout>
          <c:xMode val="edge"/>
          <c:yMode val="edge"/>
          <c:x val="0.42638311943290685"/>
          <c:y val="4.44444444444445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650918635170605E-2"/>
          <c:y val="3.6508311461067491E-2"/>
          <c:w val="0.813560818254212"/>
          <c:h val="0.85714617879688582"/>
        </c:manualLayout>
      </c:layout>
      <c:barChart>
        <c:barDir val="col"/>
        <c:grouping val="clustered"/>
        <c:varyColors val="0"/>
        <c:ser>
          <c:idx val="1"/>
          <c:order val="0"/>
          <c:tx>
            <c:v>Fondos publicos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4"/>
              <c:layout>
                <c:manualLayout>
                  <c:x val="-8.3989501312335957E-3"/>
                  <c:y val="2.22222222222222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F7E-490C-B193-3C64A11BC7FC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6989486813854344E-17"/>
                  <c:y val="3.333333333333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F7E-490C-B193-3C64A11BC7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numRef>
              <c:f>Comparación!$O$4:$W$4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Comparación!$O$8:$W$8</c:f>
              <c:numCache>
                <c:formatCode>#,##0.00</c:formatCode>
                <c:ptCount val="9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  <c:pt idx="8">
                  <c:v>235.735263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7E-490C-B193-3C64A11BC7FC}"/>
            </c:ext>
          </c:extLst>
        </c:ser>
        <c:ser>
          <c:idx val="0"/>
          <c:order val="1"/>
          <c:tx>
            <c:v>Fondos privados</c:v>
          </c:tx>
          <c:spPr>
            <a:solidFill>
              <a:srgbClr val="FF0000"/>
            </a:solidFill>
          </c:spPr>
          <c:invertIfNegative val="0"/>
          <c:dLbls>
            <c:dLbl>
              <c:idx val="4"/>
              <c:layout>
                <c:manualLayout>
                  <c:x val="1.2598425196850407E-2"/>
                  <c:y val="6.111111111111103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F7E-490C-B193-3C64A11BC7FC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4.1994750656167978E-3"/>
                  <c:y val="9.444444444444434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F7E-490C-B193-3C64A11BC7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Comparación!$O$4:$W$4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Comparación!$O$9:$W$9</c:f>
              <c:numCache>
                <c:formatCode>#,##0.00</c:formatCode>
                <c:ptCount val="9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  <c:pt idx="8">
                  <c:v>327.64548500000001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F7E-490C-B193-3C64A11B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46669328"/>
        <c:axId val="246669720"/>
      </c:barChart>
      <c:catAx>
        <c:axId val="24666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46669720"/>
        <c:crosses val="autoZero"/>
        <c:auto val="1"/>
        <c:lblAlgn val="ctr"/>
        <c:lblOffset val="100"/>
        <c:noMultiLvlLbl val="0"/>
      </c:catAx>
      <c:valAx>
        <c:axId val="24666972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24666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0514807695"/>
          <c:y val="0.20634995625546862"/>
          <c:w val="0.11675929485192306"/>
          <c:h val="0.2473783902012254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93-4191-973D-BA047E1535DA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93-4191-973D-BA047E1535DA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293-4191-973D-BA047E1535D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93-4191-973D-BA047E1535D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(Ingresos!$I$85,Ingresos!$C$85)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93-4191-973D-BA047E15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" r="0.75000000000000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04582223124976E-2"/>
          <c:y val="1.9841469816273122E-2"/>
          <c:w val="0.813560818254212"/>
          <c:h val="0.8571461787968858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'Totales ingresos'!$B$47</c:f>
              <c:strCache>
                <c:ptCount val="1"/>
                <c:pt idx="0">
                  <c:v>Ingresos totales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'Totales ingresos'!$C$44:$J$44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'Totales ingresos'!$C$47:$J$47</c:f>
              <c:numCache>
                <c:formatCode>#,##0.00</c:formatCode>
                <c:ptCount val="8"/>
                <c:pt idx="0">
                  <c:v>688.36316299999999</c:v>
                </c:pt>
                <c:pt idx="1">
                  <c:v>723.36202900000001</c:v>
                </c:pt>
                <c:pt idx="2">
                  <c:v>732.10098799999992</c:v>
                </c:pt>
                <c:pt idx="3">
                  <c:v>545.75176579000004</c:v>
                </c:pt>
                <c:pt idx="4">
                  <c:v>503.94739817999988</c:v>
                </c:pt>
                <c:pt idx="5">
                  <c:v>574.79751962</c:v>
                </c:pt>
                <c:pt idx="6">
                  <c:v>553.75446443999999</c:v>
                </c:pt>
                <c:pt idx="7">
                  <c:v>563.79714100000001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E4-4AEB-AF05-396155EE980E}"/>
            </c:ext>
          </c:extLst>
        </c:ser>
        <c:ser>
          <c:idx val="1"/>
          <c:order val="1"/>
          <c:tx>
            <c:strRef>
              <c:f>'Totales ingresos'!$B$45</c:f>
              <c:strCache>
                <c:ptCount val="1"/>
                <c:pt idx="0">
                  <c:v>Ingresos públicos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'Totales ingresos'!$C$44:$J$44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'Totales ingresos'!$C$45:$J$45</c:f>
              <c:numCache>
                <c:formatCode>#,##0.00</c:formatCode>
                <c:ptCount val="8"/>
                <c:pt idx="0">
                  <c:v>404.21496599999995</c:v>
                </c:pt>
                <c:pt idx="1">
                  <c:v>411.8</c:v>
                </c:pt>
                <c:pt idx="2">
                  <c:v>373.59837199999998</c:v>
                </c:pt>
                <c:pt idx="3">
                  <c:v>312.52822587000003</c:v>
                </c:pt>
                <c:pt idx="4">
                  <c:v>278.23514241999993</c:v>
                </c:pt>
                <c:pt idx="5">
                  <c:v>296.84194337638002</c:v>
                </c:pt>
                <c:pt idx="6">
                  <c:v>257.57064429000002</c:v>
                </c:pt>
                <c:pt idx="7">
                  <c:v>255.673564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4-4AEB-AF05-396155EE980E}"/>
            </c:ext>
          </c:extLst>
        </c:ser>
        <c:ser>
          <c:idx val="0"/>
          <c:order val="2"/>
          <c:tx>
            <c:strRef>
              <c:f>'Totales ingresos'!$B$46</c:f>
              <c:strCache>
                <c:ptCount val="1"/>
                <c:pt idx="0">
                  <c:v>Ingresos privados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'Totales ingresos'!$C$44:$J$44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'Totales ingresos'!$C$46:$J$46</c:f>
              <c:numCache>
                <c:formatCode>#,##0.00</c:formatCode>
                <c:ptCount val="8"/>
                <c:pt idx="0">
                  <c:v>270.25202899999999</c:v>
                </c:pt>
                <c:pt idx="1">
                  <c:v>311.562029</c:v>
                </c:pt>
                <c:pt idx="2">
                  <c:v>344.48292099999998</c:v>
                </c:pt>
                <c:pt idx="3">
                  <c:v>233.22353991999998</c:v>
                </c:pt>
                <c:pt idx="4">
                  <c:v>225.71225575999995</c:v>
                </c:pt>
                <c:pt idx="5">
                  <c:v>277.95557624361999</c:v>
                </c:pt>
                <c:pt idx="6">
                  <c:v>296.18382015000003</c:v>
                </c:pt>
                <c:pt idx="7">
                  <c:v>308.12357700000001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E4-4AEB-AF05-396155EE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50656880"/>
        <c:axId val="250654528"/>
      </c:barChart>
      <c:catAx>
        <c:axId val="25065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506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654528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25065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65741032370956"/>
          <c:y val="0.20634987293255011"/>
          <c:w val="0.14161959755030654"/>
          <c:h val="0.22362904636920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289" r="0.750000000000002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25" b="1" i="0" u="sng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r>
              <a:rPr lang="en-US"/>
              <a:t>Distribución de Ingresos de Cooperación Internacional. 2003.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B8-44D2-BF6A-B56F3C7494C6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B8-44D2-BF6A-B56F3C7494C6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B8-44D2-BF6A-B56F3C7494C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B8-44D2-BF6A-B56F3C7494C6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(Ingresos!$I$85,Ingresos!$C$85)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B8-44D2-BF6A-B56F3C74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22" r="0.75000000000000222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C0C0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BA5-427B-9CF3-42BDF9753556}"/>
              </c:ext>
            </c:extLst>
          </c:dPt>
          <c:dPt>
            <c:idx val="1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BA5-427B-9CF3-42BDF9753556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A5-427B-9CF3-42BDF97535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BA5-427B-9CF3-42BDF9753556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Ingresos Públicos</c:v>
              </c:pt>
              <c:pt idx="1">
                <c:v>Ingresos Privados</c:v>
              </c:pt>
            </c:strLit>
          </c:cat>
          <c:val>
            <c:numRef>
              <c:f>(Ingresos!$I$85,Ingresos!$C$85)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A5-427B-9CF3-42BDF975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222" r="0.750000000000002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Futura Md BT"/>
                <a:ea typeface="Futura Md BT"/>
                <a:cs typeface="Futura Md BT"/>
              </a:defRPr>
            </a:pPr>
            <a:r>
              <a:rPr lang="en-US"/>
              <a:t>Fig 4.a  Fondos concedidos/obtenidos en 2004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rgbClr val="969696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8080FF"/>
              </a:solidFill>
              <a:ln w="3175">
                <a:solidFill>
                  <a:srgbClr val="969696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E66-49AC-8208-3EE0BD2498A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/>
                      <a:t>Fondos Públicos
231 mill €
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E66-49AC-8208-3EE0BD2498A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/>
                      <a:t>Fondos Privados
251 mill €
52%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E66-49AC-8208-3EE0BD2498A1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Futura Lt BT"/>
                    <a:ea typeface="Futura Lt BT"/>
                    <a:cs typeface="Futura Lt BT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FFFFFF"/>
                  </a:solidFill>
                  <a:prstDash val="solid"/>
                </a:ln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('Totales fondos'!#REF!,'Totales fondos'!#REF!)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66-49AC-8208-3EE0BD2498A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('Totales fondos'!#REF!,'Totales fondos'!#REF!)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Futura Lt BT"/>
          <a:ea typeface="Futura Lt BT"/>
          <a:cs typeface="Futura Lt BT"/>
        </a:defRPr>
      </a:pPr>
      <a:endParaRPr lang="es-ES"/>
    </a:p>
  </c:txPr>
  <c:printSettings>
    <c:headerFooter alignWithMargins="0"/>
    <c:pageMargins b="1" l="0.750000000000002" r="0.750000000000002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rgbClr val="969696"/>
              </a:solidFill>
              <a:prstDash val="solid"/>
            </a:ln>
          </c:spPr>
          <c:explosion val="5"/>
          <c:dPt>
            <c:idx val="0"/>
            <c:bubble3D val="0"/>
            <c:spPr>
              <a:solidFill>
                <a:srgbClr val="A6CAF0"/>
              </a:solidFill>
              <a:ln w="3175">
                <a:solidFill>
                  <a:srgbClr val="969696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DEF-4744-8244-BD89AEE22D3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Fondos Públicos</a:t>
                    </a:r>
                    <a:endParaRPr lang="en-US" sz="200" b="0" i="0" u="none" strike="noStrike" baseline="0">
                      <a:solidFill>
                        <a:srgbClr val="000000"/>
                      </a:solidFill>
                      <a:latin typeface="Futura Lt BT"/>
                    </a:endParaRP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231 mill €</a:t>
                    </a: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25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DEF-4744-8244-BD89AEE22D3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Fondos Privados</a:t>
                    </a:r>
                    <a:endParaRPr lang="en-US" sz="200" b="0" i="0" u="none" strike="noStrike" baseline="0">
                      <a:solidFill>
                        <a:srgbClr val="000000"/>
                      </a:solidFill>
                      <a:latin typeface="Futura Lt BT"/>
                    </a:endParaRP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00" b="0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251 mill €</a:t>
                    </a:r>
                  </a:p>
                  <a:p>
                    <a:pPr>
                      <a:defRPr sz="150" b="0" i="0" u="none" strike="noStrike" baseline="0">
                        <a:solidFill>
                          <a:srgbClr val="000000"/>
                        </a:solidFill>
                        <a:latin typeface="Futura Lt BT"/>
                        <a:ea typeface="Futura Lt BT"/>
                        <a:cs typeface="Futura Lt BT"/>
                      </a:defRPr>
                    </a:pPr>
                    <a:r>
                      <a:rPr lang="en-US" sz="225" b="1" i="0" u="none" strike="noStrike" baseline="0">
                        <a:solidFill>
                          <a:srgbClr val="000000"/>
                        </a:solidFill>
                        <a:latin typeface="Futura Lt BT"/>
                      </a:rPr>
                      <a:t>52%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DEF-4744-8244-BD89AEE22D34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Futura Lt BT"/>
                    <a:ea typeface="Futura Lt BT"/>
                    <a:cs typeface="Futura Lt BT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3175">
                  <a:solidFill>
                    <a:srgbClr val="FFFFFF"/>
                  </a:solidFill>
                  <a:prstDash val="solid"/>
                </a:ln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('Totales fondos'!#REF!,'Totales fondos'!#REF!)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F-4744-8244-BD89AEE22D3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('Totales fondos'!#REF!,'Totales fondos'!#REF!)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Futura Lt BT"/>
          <a:ea typeface="Futura Lt BT"/>
          <a:cs typeface="Futura Lt BT"/>
        </a:defRPr>
      </a:pPr>
      <a:endParaRPr lang="es-ES"/>
    </a:p>
  </c:txPr>
  <c:printSettings>
    <c:headerFooter alignWithMargins="0"/>
    <c:pageMargins b="1" l="0.750000000000002" r="0.750000000000002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04582223124976E-2"/>
          <c:y val="1.9841469816273109E-2"/>
          <c:w val="0.813560818254212"/>
          <c:h val="0.8571461787968858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'Totales fondos'!$B$60</c:f>
              <c:strCache>
                <c:ptCount val="1"/>
                <c:pt idx="0">
                  <c:v>Total Fondos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'Totales fondos'!$C$57:$K$57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'Totales fondos'!$C$60:$K$60</c:f>
              <c:numCache>
                <c:formatCode>#,##0.00</c:formatCode>
                <c:ptCount val="9"/>
                <c:pt idx="0">
                  <c:v>625.3882853099999</c:v>
                </c:pt>
                <c:pt idx="1">
                  <c:v>648.65075400000001</c:v>
                </c:pt>
                <c:pt idx="2">
                  <c:v>817.3001569999999</c:v>
                </c:pt>
                <c:pt idx="3">
                  <c:v>530.519499</c:v>
                </c:pt>
                <c:pt idx="4">
                  <c:v>458.06621561999998</c:v>
                </c:pt>
                <c:pt idx="5">
                  <c:v>465.25853819999998</c:v>
                </c:pt>
                <c:pt idx="6">
                  <c:v>606.03010081999992</c:v>
                </c:pt>
                <c:pt idx="7">
                  <c:v>498.57178699000002</c:v>
                </c:pt>
                <c:pt idx="8">
                  <c:v>563.38074800000004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35-495E-9749-00C397ED7389}"/>
            </c:ext>
          </c:extLst>
        </c:ser>
        <c:ser>
          <c:idx val="3"/>
          <c:order val="1"/>
          <c:tx>
            <c:strRef>
              <c:f>'Totales fondos'!$B$61</c:f>
              <c:strCache>
                <c:ptCount val="1"/>
                <c:pt idx="0">
                  <c:v>Fondos públicos</c:v>
                </c:pt>
              </c:strCache>
            </c:strRef>
          </c:tx>
          <c:invertIfNegative val="0"/>
          <c:cat>
            <c:numRef>
              <c:f>'Totales fondos'!$C$57:$K$57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'Totales fondos'!$C$61:$K$61</c:f>
              <c:numCache>
                <c:formatCode>#,##0.00</c:formatCode>
                <c:ptCount val="9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329.77124838999998</c:v>
                </c:pt>
                <c:pt idx="7">
                  <c:v>198.83856585000001</c:v>
                </c:pt>
                <c:pt idx="8">
                  <c:v>235.735263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35-495E-9749-00C397ED7389}"/>
            </c:ext>
          </c:extLst>
        </c:ser>
        <c:ser>
          <c:idx val="4"/>
          <c:order val="2"/>
          <c:tx>
            <c:strRef>
              <c:f>'Totales fondos'!$B$62</c:f>
              <c:strCache>
                <c:ptCount val="1"/>
                <c:pt idx="0">
                  <c:v>Fondos privados</c:v>
                </c:pt>
              </c:strCache>
            </c:strRef>
          </c:tx>
          <c:invertIfNegative val="0"/>
          <c:cat>
            <c:numRef>
              <c:f>'Totales fondos'!$C$57:$K$57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'Totales fondos'!$C$62:$K$62</c:f>
              <c:numCache>
                <c:formatCode>#,##0.00</c:formatCode>
                <c:ptCount val="9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  <c:pt idx="8">
                  <c:v>327.64548500000001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35-495E-9749-00C397ED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2184992"/>
        <c:axId val="243517320"/>
      </c:barChart>
      <c:catAx>
        <c:axId val="1321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4351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51732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13218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324073299638761"/>
          <c:y val="0.20634995625546873"/>
          <c:w val="0.11675930460845498"/>
          <c:h val="0.185533858267716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266" r="0.75000000000000266" t="1" header="0" footer="0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37922532410877E-2"/>
          <c:y val="6.4285914260717406E-2"/>
          <c:w val="0.813560818254212"/>
          <c:h val="0.8571461787968858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Comparación!$I$8</c:f>
              <c:strCache>
                <c:ptCount val="1"/>
                <c:pt idx="0">
                  <c:v>Fondos públicos</c:v>
                </c:pt>
              </c:strCache>
            </c:strRef>
          </c:tx>
          <c:spPr>
            <a:solidFill>
              <a:srgbClr val="424242"/>
            </a:solidFill>
            <a:ln w="25400">
              <a:noFill/>
            </a:ln>
          </c:spPr>
          <c:invertIfNegative val="0"/>
          <c:cat>
            <c:numRef>
              <c:f>Comparación!$O$4:$W$4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Comparación!$O$8:$W$8</c:f>
              <c:numCache>
                <c:formatCode>#,##0.00</c:formatCode>
                <c:ptCount val="9"/>
                <c:pt idx="0">
                  <c:v>357.97642230999998</c:v>
                </c:pt>
                <c:pt idx="1">
                  <c:v>384.78602000000001</c:v>
                </c:pt>
                <c:pt idx="2">
                  <c:v>476.51523699999996</c:v>
                </c:pt>
                <c:pt idx="3">
                  <c:v>217.94701999999998</c:v>
                </c:pt>
                <c:pt idx="4">
                  <c:v>230.46236994999995</c:v>
                </c:pt>
                <c:pt idx="5">
                  <c:v>235.69270122999998</c:v>
                </c:pt>
                <c:pt idx="6">
                  <c:v>344.63390038</c:v>
                </c:pt>
                <c:pt idx="7">
                  <c:v>198.83856585000001</c:v>
                </c:pt>
                <c:pt idx="8">
                  <c:v>235.735263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CE-4670-BF35-2D458CDE2C12}"/>
            </c:ext>
          </c:extLst>
        </c:ser>
        <c:ser>
          <c:idx val="0"/>
          <c:order val="1"/>
          <c:tx>
            <c:strRef>
              <c:f>Comparación!$I$9</c:f>
              <c:strCache>
                <c:ptCount val="1"/>
                <c:pt idx="0">
                  <c:v>Fondos privados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Comparación!$O$4:$W$4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Comparación!$O$9:$W$9</c:f>
              <c:numCache>
                <c:formatCode>#,##0.00</c:formatCode>
                <c:ptCount val="9"/>
                <c:pt idx="0">
                  <c:v>267.41186299999998</c:v>
                </c:pt>
                <c:pt idx="1">
                  <c:v>263.86473400000006</c:v>
                </c:pt>
                <c:pt idx="2">
                  <c:v>340.78492</c:v>
                </c:pt>
                <c:pt idx="3">
                  <c:v>312.57247899999999</c:v>
                </c:pt>
                <c:pt idx="4">
                  <c:v>227.60384567</c:v>
                </c:pt>
                <c:pt idx="5">
                  <c:v>229.56583696999996</c:v>
                </c:pt>
                <c:pt idx="6">
                  <c:v>276.25885242999999</c:v>
                </c:pt>
                <c:pt idx="7">
                  <c:v>299.73322114000001</c:v>
                </c:pt>
                <c:pt idx="8">
                  <c:v>327.64548500000001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CE-4670-BF35-2D458CDE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20149808"/>
        <c:axId val="320150200"/>
      </c:barChart>
      <c:catAx>
        <c:axId val="32014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2015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015020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320149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728726815065928"/>
          <c:y val="0.48193252439189782"/>
          <c:w val="0.10734485958602669"/>
          <c:h val="0.343467598465085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02" r="0.750000000000002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0</xdr:rowOff>
    </xdr:from>
    <xdr:to>
      <xdr:col>2</xdr:col>
      <xdr:colOff>0</xdr:colOff>
      <xdr:row>85</xdr:row>
      <xdr:rowOff>0</xdr:rowOff>
    </xdr:to>
    <xdr:graphicFrame macro="">
      <xdr:nvGraphicFramePr>
        <xdr:cNvPr id="4398" name="Chart 7">
          <a:extLst>
            <a:ext uri="{FF2B5EF4-FFF2-40B4-BE49-F238E27FC236}">
              <a16:creationId xmlns:a16="http://schemas.microsoft.com/office/drawing/2014/main" xmlns="" id="{7B226D8A-45BA-4F46-9A00-0C3FBE124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85</xdr:row>
      <xdr:rowOff>0</xdr:rowOff>
    </xdr:from>
    <xdr:to>
      <xdr:col>15</xdr:col>
      <xdr:colOff>180975</xdr:colOff>
      <xdr:row>85</xdr:row>
      <xdr:rowOff>0</xdr:rowOff>
    </xdr:to>
    <xdr:graphicFrame macro="">
      <xdr:nvGraphicFramePr>
        <xdr:cNvPr id="4399" name="Chart 10">
          <a:extLst>
            <a:ext uri="{FF2B5EF4-FFF2-40B4-BE49-F238E27FC236}">
              <a16:creationId xmlns:a16="http://schemas.microsoft.com/office/drawing/2014/main" xmlns="" id="{72A5396C-0A51-41A9-8155-4973EB4F0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161925</xdr:rowOff>
    </xdr:from>
    <xdr:to>
      <xdr:col>7</xdr:col>
      <xdr:colOff>333375</xdr:colOff>
      <xdr:row>69</xdr:row>
      <xdr:rowOff>85725</xdr:rowOff>
    </xdr:to>
    <xdr:graphicFrame macro="">
      <xdr:nvGraphicFramePr>
        <xdr:cNvPr id="3" name="Chart 29">
          <a:extLst>
            <a:ext uri="{FF2B5EF4-FFF2-40B4-BE49-F238E27FC236}">
              <a16:creationId xmlns:a16="http://schemas.microsoft.com/office/drawing/2014/main" xmlns="" id="{E1810120-38B0-4492-A1F6-FFA9761B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0</xdr:rowOff>
    </xdr:from>
    <xdr:to>
      <xdr:col>3</xdr:col>
      <xdr:colOff>781050</xdr:colOff>
      <xdr:row>81</xdr:row>
      <xdr:rowOff>0</xdr:rowOff>
    </xdr:to>
    <xdr:graphicFrame macro="">
      <xdr:nvGraphicFramePr>
        <xdr:cNvPr id="619757" name="Chart 1025">
          <a:extLst>
            <a:ext uri="{FF2B5EF4-FFF2-40B4-BE49-F238E27FC236}">
              <a16:creationId xmlns:a16="http://schemas.microsoft.com/office/drawing/2014/main" xmlns="" id="{29826A27-369E-496E-A61B-AA1EE1FD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84</xdr:row>
      <xdr:rowOff>0</xdr:rowOff>
    </xdr:from>
    <xdr:to>
      <xdr:col>45</xdr:col>
      <xdr:colOff>180975</xdr:colOff>
      <xdr:row>84</xdr:row>
      <xdr:rowOff>0</xdr:rowOff>
    </xdr:to>
    <xdr:graphicFrame macro="">
      <xdr:nvGraphicFramePr>
        <xdr:cNvPr id="619758" name="Chart 1026">
          <a:extLst>
            <a:ext uri="{FF2B5EF4-FFF2-40B4-BE49-F238E27FC236}">
              <a16:creationId xmlns:a16="http://schemas.microsoft.com/office/drawing/2014/main" xmlns="" id="{F8A3AB21-FCF3-4055-AF05-F0BDA3BE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76200</xdr:rowOff>
    </xdr:from>
    <xdr:to>
      <xdr:col>12</xdr:col>
      <xdr:colOff>0</xdr:colOff>
      <xdr:row>29</xdr:row>
      <xdr:rowOff>152400</xdr:rowOff>
    </xdr:to>
    <xdr:graphicFrame macro="">
      <xdr:nvGraphicFramePr>
        <xdr:cNvPr id="63895" name="Chart 1">
          <a:extLst>
            <a:ext uri="{FF2B5EF4-FFF2-40B4-BE49-F238E27FC236}">
              <a16:creationId xmlns:a16="http://schemas.microsoft.com/office/drawing/2014/main" xmlns="" id="{D50E38C4-D0B9-4E5F-8B43-70F7F2CE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12</xdr:col>
      <xdr:colOff>0</xdr:colOff>
      <xdr:row>16</xdr:row>
      <xdr:rowOff>76200</xdr:rowOff>
    </xdr:to>
    <xdr:graphicFrame macro="">
      <xdr:nvGraphicFramePr>
        <xdr:cNvPr id="63896" name="Chart 4">
          <a:extLst>
            <a:ext uri="{FF2B5EF4-FFF2-40B4-BE49-F238E27FC236}">
              <a16:creationId xmlns:a16="http://schemas.microsoft.com/office/drawing/2014/main" xmlns="" id="{2213E583-3703-4D34-8D48-238EC2AD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371475</xdr:colOff>
      <xdr:row>80</xdr:row>
      <xdr:rowOff>104775</xdr:rowOff>
    </xdr:to>
    <xdr:graphicFrame macro="">
      <xdr:nvGraphicFramePr>
        <xdr:cNvPr id="5" name="Chart 29">
          <a:extLst>
            <a:ext uri="{FF2B5EF4-FFF2-40B4-BE49-F238E27FC236}">
              <a16:creationId xmlns:a16="http://schemas.microsoft.com/office/drawing/2014/main" xmlns="" id="{41DBA00C-B6C8-49EC-9DC2-337DECB21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15</xdr:row>
      <xdr:rowOff>47624</xdr:rowOff>
    </xdr:from>
    <xdr:to>
      <xdr:col>15</xdr:col>
      <xdr:colOff>323850</xdr:colOff>
      <xdr:row>33</xdr:row>
      <xdr:rowOff>76199</xdr:rowOff>
    </xdr:to>
    <xdr:graphicFrame macro="">
      <xdr:nvGraphicFramePr>
        <xdr:cNvPr id="5522" name="Chart 29">
          <a:extLst>
            <a:ext uri="{FF2B5EF4-FFF2-40B4-BE49-F238E27FC236}">
              <a16:creationId xmlns:a16="http://schemas.microsoft.com/office/drawing/2014/main" xmlns="" id="{FB862CF9-50B0-4379-8FD9-DA78EB11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17</xdr:row>
      <xdr:rowOff>123825</xdr:rowOff>
    </xdr:from>
    <xdr:to>
      <xdr:col>22</xdr:col>
      <xdr:colOff>590550</xdr:colOff>
      <xdr:row>33</xdr:row>
      <xdr:rowOff>85725</xdr:rowOff>
    </xdr:to>
    <xdr:graphicFrame macro="">
      <xdr:nvGraphicFramePr>
        <xdr:cNvPr id="5523" name="4 Gráfico">
          <a:extLst>
            <a:ext uri="{FF2B5EF4-FFF2-40B4-BE49-F238E27FC236}">
              <a16:creationId xmlns:a16="http://schemas.microsoft.com/office/drawing/2014/main" xmlns="" id="{EE31DB6C-C919-4345-B825-0A18BF89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209550</xdr:colOff>
      <xdr:row>56</xdr:row>
      <xdr:rowOff>104775</xdr:rowOff>
    </xdr:to>
    <xdr:graphicFrame macro="">
      <xdr:nvGraphicFramePr>
        <xdr:cNvPr id="5524" name="Chart 29">
          <a:extLst>
            <a:ext uri="{FF2B5EF4-FFF2-40B4-BE49-F238E27FC236}">
              <a16:creationId xmlns:a16="http://schemas.microsoft.com/office/drawing/2014/main" xmlns="" id="{6BFD2176-1759-448D-8AD0-B82789CC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16</xdr:col>
      <xdr:colOff>171450</xdr:colOff>
      <xdr:row>90</xdr:row>
      <xdr:rowOff>104775</xdr:rowOff>
    </xdr:to>
    <xdr:graphicFrame macro="">
      <xdr:nvGraphicFramePr>
        <xdr:cNvPr id="5525" name="Chart 29">
          <a:extLst>
            <a:ext uri="{FF2B5EF4-FFF2-40B4-BE49-F238E27FC236}">
              <a16:creationId xmlns:a16="http://schemas.microsoft.com/office/drawing/2014/main" xmlns="" id="{6B83EC72-575A-4B65-A041-5D7E1E07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40</xdr:row>
      <xdr:rowOff>152400</xdr:rowOff>
    </xdr:from>
    <xdr:to>
      <xdr:col>25</xdr:col>
      <xdr:colOff>123825</xdr:colOff>
      <xdr:row>55</xdr:row>
      <xdr:rowOff>9525</xdr:rowOff>
    </xdr:to>
    <xdr:graphicFrame macro="">
      <xdr:nvGraphicFramePr>
        <xdr:cNvPr id="5526" name="Gráfico 5">
          <a:extLst>
            <a:ext uri="{FF2B5EF4-FFF2-40B4-BE49-F238E27FC236}">
              <a16:creationId xmlns:a16="http://schemas.microsoft.com/office/drawing/2014/main" xmlns="" id="{364AA44D-B1E1-44DB-AC7C-E9CAA4C3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0.36458</cdr:x>
      <cdr:y>0.76</cdr:y>
    </cdr:from>
    <cdr:to>
      <cdr:x>0.42195</cdr:x>
      <cdr:y>0.78889</cdr:y>
    </cdr:to>
    <cdr:sp macro="" textlink="">
      <cdr:nvSpPr>
        <cdr:cNvPr id="160770" name="Line 409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91951" y="2171710"/>
          <a:ext cx="360657" cy="825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0.37526</cdr:x>
      <cdr:y>0.48354</cdr:y>
    </cdr:from>
    <cdr:to>
      <cdr:x>0.42499</cdr:x>
      <cdr:y>0.57333</cdr:y>
    </cdr:to>
    <cdr:sp macro="" textlink="">
      <cdr:nvSpPr>
        <cdr:cNvPr id="160771" name="Line 409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59062" y="1381725"/>
          <a:ext cx="312628" cy="2565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0.37073</cdr:x>
      <cdr:y>0.67958</cdr:y>
    </cdr:from>
    <cdr:to>
      <cdr:x>0.44383</cdr:x>
      <cdr:y>0.74705</cdr:y>
    </cdr:to>
    <cdr:sp macro="" textlink="">
      <cdr:nvSpPr>
        <cdr:cNvPr id="160774" name="Text Box 410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0615" y="1941890"/>
          <a:ext cx="459543" cy="1927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+6%</a:t>
          </a:r>
        </a:p>
      </cdr:txBody>
    </cdr:sp>
  </cdr:relSizeAnchor>
  <cdr:relSizeAnchor xmlns:cdr="http://schemas.openxmlformats.org/drawingml/2006/chartDrawing">
    <cdr:from>
      <cdr:x>0.38084</cdr:x>
      <cdr:y>0.4618</cdr:y>
    </cdr:from>
    <cdr:to>
      <cdr:x>0.45394</cdr:x>
      <cdr:y>0.51727</cdr:y>
    </cdr:to>
    <cdr:sp macro="" textlink="">
      <cdr:nvSpPr>
        <cdr:cNvPr id="160775" name="Text Box 410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4145" y="1319603"/>
          <a:ext cx="459543" cy="158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-27%</a:t>
          </a:r>
        </a:p>
      </cdr:txBody>
    </cdr:sp>
  </cdr:relSizeAnchor>
  <cdr:relSizeAnchor xmlns:cdr="http://schemas.openxmlformats.org/drawingml/2006/chartDrawing">
    <cdr:from>
      <cdr:x>0.46139</cdr:x>
      <cdr:y>0.77333</cdr:y>
    </cdr:from>
    <cdr:to>
      <cdr:x>0.51753</cdr:x>
      <cdr:y>0.78666</cdr:y>
    </cdr:to>
    <cdr:sp macro="" textlink="">
      <cdr:nvSpPr>
        <cdr:cNvPr id="160776" name="Line 410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900553" y="2209790"/>
          <a:ext cx="352924" cy="380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0.20151</cdr:x>
      <cdr:y>0.57667</cdr:y>
    </cdr:from>
    <cdr:to>
      <cdr:x>0.2303</cdr:x>
      <cdr:y>0.74667</cdr:y>
    </cdr:to>
    <cdr:sp macro="" textlink="">
      <cdr:nvSpPr>
        <cdr:cNvPr id="160777" name="Line 410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266824" y="1647824"/>
          <a:ext cx="180975" cy="4857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0.27878</cdr:x>
      <cdr:y>0.52563</cdr:y>
    </cdr:from>
    <cdr:to>
      <cdr:x>0.33544</cdr:x>
      <cdr:y>0.76</cdr:y>
    </cdr:to>
    <cdr:sp macro="" textlink="">
      <cdr:nvSpPr>
        <cdr:cNvPr id="160778" name="Line 410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752550" y="1501978"/>
          <a:ext cx="356194" cy="6697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0.18443</cdr:x>
      <cdr:y>0.20153</cdr:y>
    </cdr:from>
    <cdr:to>
      <cdr:x>0.25606</cdr:x>
      <cdr:y>0.3007</cdr:y>
    </cdr:to>
    <cdr:sp macro="" textlink="">
      <cdr:nvSpPr>
        <cdr:cNvPr id="160779" name="Text Box 410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9393" y="575862"/>
          <a:ext cx="450302" cy="283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+29%</a:t>
          </a:r>
        </a:p>
      </cdr:txBody>
    </cdr:sp>
  </cdr:relSizeAnchor>
  <cdr:relSizeAnchor xmlns:cdr="http://schemas.openxmlformats.org/drawingml/2006/chartDrawing">
    <cdr:from>
      <cdr:x>0.19134</cdr:x>
      <cdr:y>0.49359</cdr:y>
    </cdr:from>
    <cdr:to>
      <cdr:x>0.2588</cdr:x>
      <cdr:y>0.55242</cdr:y>
    </cdr:to>
    <cdr:sp macro="" textlink="">
      <cdr:nvSpPr>
        <cdr:cNvPr id="160781" name="Text Box 410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2863" y="1410424"/>
          <a:ext cx="424087" cy="1681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+24%</a:t>
          </a:r>
        </a:p>
      </cdr:txBody>
    </cdr:sp>
  </cdr:relSizeAnchor>
  <cdr:relSizeAnchor xmlns:cdr="http://schemas.openxmlformats.org/drawingml/2006/chartDrawing">
    <cdr:from>
      <cdr:x>0.28739</cdr:x>
      <cdr:y>0.25439</cdr:y>
    </cdr:from>
    <cdr:to>
      <cdr:x>0.35539</cdr:x>
      <cdr:y>0.41556</cdr:y>
    </cdr:to>
    <cdr:sp macro="" textlink="">
      <cdr:nvSpPr>
        <cdr:cNvPr id="160782" name="Line 41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06681" y="726919"/>
          <a:ext cx="427482" cy="460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0.20286</cdr:x>
      <cdr:y>0.25999</cdr:y>
    </cdr:from>
    <cdr:to>
      <cdr:x>0.25649</cdr:x>
      <cdr:y>0.41162</cdr:y>
    </cdr:to>
    <cdr:sp macro="" textlink="">
      <cdr:nvSpPr>
        <cdr:cNvPr id="160783" name="Line 41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275264" y="742931"/>
          <a:ext cx="337145" cy="4332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0.3047</cdr:x>
      <cdr:y>0.24024</cdr:y>
    </cdr:from>
    <cdr:to>
      <cdr:x>0.37633</cdr:x>
      <cdr:y>0.34013</cdr:y>
    </cdr:to>
    <cdr:sp macro="" textlink="">
      <cdr:nvSpPr>
        <cdr:cNvPr id="160784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5508" y="686486"/>
          <a:ext cx="450302" cy="28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-8%</a:t>
          </a:r>
        </a:p>
      </cdr:txBody>
    </cdr:sp>
  </cdr:relSizeAnchor>
  <cdr:relSizeAnchor xmlns:cdr="http://schemas.openxmlformats.org/drawingml/2006/chartDrawing">
    <cdr:from>
      <cdr:x>0.28593</cdr:x>
      <cdr:y>0.5229</cdr:y>
    </cdr:from>
    <cdr:to>
      <cdr:x>0.35977</cdr:x>
      <cdr:y>0.59037</cdr:y>
    </cdr:to>
    <cdr:sp macro="" textlink="">
      <cdr:nvSpPr>
        <cdr:cNvPr id="160785" name="Text Box 41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7470" y="1494187"/>
          <a:ext cx="464196" cy="192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-54%</a:t>
          </a:r>
        </a:p>
      </cdr:txBody>
    </cdr:sp>
  </cdr:relSizeAnchor>
  <cdr:relSizeAnchor xmlns:cdr="http://schemas.openxmlformats.org/drawingml/2006/chartDrawing">
    <cdr:from>
      <cdr:x>0.46747</cdr:x>
      <cdr:y>0.52667</cdr:y>
    </cdr:from>
    <cdr:to>
      <cdr:x>0.51818</cdr:x>
      <cdr:y>0.57</cdr:y>
    </cdr:to>
    <cdr:sp macro="" textlink="">
      <cdr:nvSpPr>
        <cdr:cNvPr id="16" name="Line 409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38744" y="1504959"/>
          <a:ext cx="318806" cy="1238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0.47203</cdr:x>
      <cdr:y>0.43</cdr:y>
    </cdr:from>
    <cdr:to>
      <cdr:x>0.54366</cdr:x>
      <cdr:y>0.52989</cdr:y>
    </cdr:to>
    <cdr:sp macro="" textlink="">
      <cdr:nvSpPr>
        <cdr:cNvPr id="18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67409" y="1228735"/>
          <a:ext cx="450302" cy="28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-+1%</a:t>
          </a:r>
        </a:p>
      </cdr:txBody>
    </cdr:sp>
  </cdr:relSizeAnchor>
  <cdr:relSizeAnchor xmlns:cdr="http://schemas.openxmlformats.org/drawingml/2006/chartDrawing">
    <cdr:from>
      <cdr:x>0.46445</cdr:x>
      <cdr:y>0.68666</cdr:y>
    </cdr:from>
    <cdr:to>
      <cdr:x>0.53239</cdr:x>
      <cdr:y>0.76158</cdr:y>
    </cdr:to>
    <cdr:sp macro="" textlink="">
      <cdr:nvSpPr>
        <cdr:cNvPr id="19" name="Text Box 41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9782" y="1962121"/>
          <a:ext cx="427105" cy="21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+2%</a:t>
          </a:r>
        </a:p>
      </cdr:txBody>
    </cdr:sp>
  </cdr:relSizeAnchor>
  <cdr:relSizeAnchor xmlns:cdr="http://schemas.openxmlformats.org/drawingml/2006/chartDrawing">
    <cdr:from>
      <cdr:x>0.6511</cdr:x>
      <cdr:y>0.5</cdr:y>
    </cdr:from>
    <cdr:to>
      <cdr:x>0.70421</cdr:x>
      <cdr:y>0.54334</cdr:y>
    </cdr:to>
    <cdr:sp macro="" textlink="">
      <cdr:nvSpPr>
        <cdr:cNvPr id="22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093155" y="1428740"/>
          <a:ext cx="333876" cy="1238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0.57419</cdr:x>
      <cdr:y>0.65667</cdr:y>
    </cdr:from>
    <cdr:to>
      <cdr:x>0.61364</cdr:x>
      <cdr:y>0.73777</cdr:y>
    </cdr:to>
    <cdr:sp macro="" textlink="">
      <cdr:nvSpPr>
        <cdr:cNvPr id="23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09639" y="1876425"/>
          <a:ext cx="247986" cy="2317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0.6587</cdr:x>
      <cdr:y>0.70001</cdr:y>
    </cdr:from>
    <cdr:to>
      <cdr:x>0.69967</cdr:x>
      <cdr:y>0.77667</cdr:y>
    </cdr:to>
    <cdr:sp macro="" textlink="">
      <cdr:nvSpPr>
        <cdr:cNvPr id="24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40929" y="2000269"/>
          <a:ext cx="257558" cy="2190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0.56511</cdr:x>
      <cdr:y>0.52001</cdr:y>
    </cdr:from>
    <cdr:to>
      <cdr:x>0.6162</cdr:x>
      <cdr:y>0.55778</cdr:y>
    </cdr:to>
    <cdr:sp macro="" textlink="">
      <cdr:nvSpPr>
        <cdr:cNvPr id="25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552551" y="1485919"/>
          <a:ext cx="321177" cy="1079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0.65304</cdr:x>
      <cdr:y>0.38896</cdr:y>
    </cdr:from>
    <cdr:to>
      <cdr:x>0.71241</cdr:x>
      <cdr:y>0.48328</cdr:y>
    </cdr:to>
    <cdr:sp macro="" textlink="">
      <cdr:nvSpPr>
        <cdr:cNvPr id="26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0812" y="1218889"/>
          <a:ext cx="387388" cy="29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+8%</a:t>
          </a:r>
        </a:p>
      </cdr:txBody>
    </cdr:sp>
  </cdr:relSizeAnchor>
  <cdr:relSizeAnchor xmlns:cdr="http://schemas.openxmlformats.org/drawingml/2006/chartDrawing">
    <cdr:from>
      <cdr:x>0.65768</cdr:x>
      <cdr:y>0.78778</cdr:y>
    </cdr:from>
    <cdr:to>
      <cdr:x>0.72931</cdr:x>
      <cdr:y>0.88767</cdr:y>
    </cdr:to>
    <cdr:sp macro="" textlink="">
      <cdr:nvSpPr>
        <cdr:cNvPr id="27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4488" y="2251072"/>
          <a:ext cx="450302" cy="285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-42%</a:t>
          </a:r>
        </a:p>
      </cdr:txBody>
    </cdr:sp>
  </cdr:relSizeAnchor>
  <cdr:relSizeAnchor xmlns:cdr="http://schemas.openxmlformats.org/drawingml/2006/chartDrawing">
    <cdr:from>
      <cdr:x>0.57117</cdr:x>
      <cdr:y>0.75777</cdr:y>
    </cdr:from>
    <cdr:to>
      <cdr:x>0.6428</cdr:x>
      <cdr:y>0.85766</cdr:y>
    </cdr:to>
    <cdr:sp macro="" textlink="">
      <cdr:nvSpPr>
        <cdr:cNvPr id="28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0679" y="2165328"/>
          <a:ext cx="450302" cy="28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+46%</a:t>
          </a:r>
        </a:p>
      </cdr:txBody>
    </cdr:sp>
  </cdr:relSizeAnchor>
  <cdr:relSizeAnchor xmlns:cdr="http://schemas.openxmlformats.org/drawingml/2006/chartDrawing">
    <cdr:from>
      <cdr:x>0.56207</cdr:x>
      <cdr:y>0.4511</cdr:y>
    </cdr:from>
    <cdr:to>
      <cdr:x>0.6337</cdr:x>
      <cdr:y>0.55099</cdr:y>
    </cdr:to>
    <cdr:sp macro="" textlink="">
      <cdr:nvSpPr>
        <cdr:cNvPr id="29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3470" y="1289028"/>
          <a:ext cx="450302" cy="28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+20%</a:t>
          </a:r>
        </a:p>
      </cdr:txBody>
    </cdr:sp>
  </cdr:relSizeAnchor>
  <cdr:relSizeAnchor xmlns:cdr="http://schemas.openxmlformats.org/drawingml/2006/chartDrawing">
    <cdr:from>
      <cdr:x>0.10624</cdr:x>
      <cdr:y>0.56778</cdr:y>
    </cdr:from>
    <cdr:to>
      <cdr:x>0.14369</cdr:x>
      <cdr:y>0.64</cdr:y>
    </cdr:to>
    <cdr:sp macro="" textlink="">
      <cdr:nvSpPr>
        <cdr:cNvPr id="30" name="Line 4111">
          <a:extLst xmlns:a="http://schemas.openxmlformats.org/drawingml/2006/main">
            <a:ext uri="{FF2B5EF4-FFF2-40B4-BE49-F238E27FC236}">
              <a16:creationId xmlns:a16="http://schemas.microsoft.com/office/drawing/2014/main" xmlns="" id="{B1A6DF1E-129B-4E08-A1DC-A32FD62EF87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67886" y="1622422"/>
          <a:ext cx="235430" cy="2063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0.1214</cdr:x>
      <cdr:y>0.38334</cdr:y>
    </cdr:from>
    <cdr:to>
      <cdr:x>0.15781</cdr:x>
      <cdr:y>0.39333</cdr:y>
    </cdr:to>
    <cdr:sp macro="" textlink="">
      <cdr:nvSpPr>
        <cdr:cNvPr id="31" name="Line 4111">
          <a:extLst xmlns:a="http://schemas.openxmlformats.org/drawingml/2006/main">
            <a:ext uri="{FF2B5EF4-FFF2-40B4-BE49-F238E27FC236}">
              <a16:creationId xmlns:a16="http://schemas.microsoft.com/office/drawing/2014/main" xmlns="" id="{B1A6DF1E-129B-4E08-A1DC-A32FD62EF87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61998" y="1095385"/>
          <a:ext cx="228602" cy="285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0.00388</cdr:x>
      <cdr:y>0.00853</cdr:y>
    </cdr:to>
    <cdr:pic>
      <cdr:nvPicPr>
        <cdr:cNvPr id="33" name="chart">
          <a:extLst xmlns:a="http://schemas.openxmlformats.org/drawingml/2006/main">
            <a:ext uri="{FF2B5EF4-FFF2-40B4-BE49-F238E27FC236}">
              <a16:creationId xmlns:a16="http://schemas.microsoft.com/office/drawing/2014/main" xmlns="" id="{49104D94-0208-4A72-A68C-6189239524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0.73788</cdr:x>
      <cdr:y>0.57</cdr:y>
    </cdr:from>
    <cdr:to>
      <cdr:x>0.79099</cdr:x>
      <cdr:y>0.61334</cdr:y>
    </cdr:to>
    <cdr:sp macro="" textlink="">
      <cdr:nvSpPr>
        <cdr:cNvPr id="34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638675" y="1628775"/>
          <a:ext cx="333876" cy="1238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0.73939</cdr:x>
      <cdr:y>0.74333</cdr:y>
    </cdr:from>
    <cdr:to>
      <cdr:x>0.7925</cdr:x>
      <cdr:y>0.78667</cdr:y>
    </cdr:to>
    <cdr:sp macro="" textlink="">
      <cdr:nvSpPr>
        <cdr:cNvPr id="35" name="Line 4104">
          <a:extLst xmlns:a="http://schemas.openxmlformats.org/drawingml/2006/main"/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648200" y="2124075"/>
          <a:ext cx="333876" cy="1238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0.00388</cdr:x>
      <cdr:y>0.00853</cdr:y>
    </cdr:to>
    <cdr:pic>
      <cdr:nvPicPr>
        <cdr:cNvPr id="36" name="chart">
          <a:extLst xmlns:a="http://schemas.openxmlformats.org/drawingml/2006/main">
            <a:ext uri="{FF2B5EF4-FFF2-40B4-BE49-F238E27FC236}">
              <a16:creationId xmlns:a16="http://schemas.microsoft.com/office/drawing/2014/main" xmlns="" id="{4BBF4CB5-BAA4-49D3-8646-F91B4EAD8B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0.00388</cdr:x>
      <cdr:y>0.00853</cdr:y>
    </cdr:to>
    <cdr:pic>
      <cdr:nvPicPr>
        <cdr:cNvPr id="37" name="chart">
          <a:extLst xmlns:a="http://schemas.openxmlformats.org/drawingml/2006/main">
            <a:ext uri="{FF2B5EF4-FFF2-40B4-BE49-F238E27FC236}">
              <a16:creationId xmlns:a16="http://schemas.microsoft.com/office/drawing/2014/main" xmlns="" id="{1051B527-6F8D-442F-9F08-69B81336D3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0.74745</cdr:x>
      <cdr:y>0.48632</cdr:y>
    </cdr:from>
    <cdr:to>
      <cdr:x>0.80682</cdr:x>
      <cdr:y>0.58065</cdr:y>
    </cdr:to>
    <cdr:sp macro="" textlink="">
      <cdr:nvSpPr>
        <cdr:cNvPr id="38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76800" y="1524000"/>
          <a:ext cx="387388" cy="29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+19%</a:t>
          </a:r>
        </a:p>
      </cdr:txBody>
    </cdr:sp>
  </cdr:relSizeAnchor>
  <cdr:relSizeAnchor xmlns:cdr="http://schemas.openxmlformats.org/drawingml/2006/chartDrawing">
    <cdr:from>
      <cdr:x>0.74453</cdr:x>
      <cdr:y>0.79939</cdr:y>
    </cdr:from>
    <cdr:to>
      <cdr:x>0.8039</cdr:x>
      <cdr:y>0.89372</cdr:y>
    </cdr:to>
    <cdr:sp macro="" textlink="">
      <cdr:nvSpPr>
        <cdr:cNvPr id="39" name="Text Box 4112">
          <a:extLst xmlns:a="http://schemas.openxmlformats.org/drawingml/2006/main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750" y="2505075"/>
          <a:ext cx="387388" cy="29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850" b="0" i="0" u="none" strike="noStrike" baseline="0">
              <a:solidFill>
                <a:srgbClr val="000000"/>
              </a:solidFill>
              <a:latin typeface="Calibri"/>
            </a:rPr>
            <a:t>-32%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0.53581</cdr:x>
      <cdr:y>0.24523</cdr:y>
    </cdr:from>
    <cdr:to>
      <cdr:x>0.58855</cdr:x>
      <cdr:y>0.35545</cdr:y>
    </cdr:to>
    <cdr:sp macro="" textlink="">
      <cdr:nvSpPr>
        <cdr:cNvPr id="160773" name="Text Box 410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8305" y="594146"/>
          <a:ext cx="267248" cy="265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entraci&#243;n%2020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9-2014"/>
      <sheetName val="datos9-2015"/>
      <sheetName val="Ingresos2014"/>
      <sheetName val="Ingresos2015"/>
      <sheetName val="Totales ingresos"/>
      <sheetName val="Fondos2014"/>
      <sheetName val="Fondos2015"/>
      <sheetName val="comparativa2013"/>
      <sheetName val="Totales fondos"/>
      <sheetName val="Comparación"/>
      <sheetName val="Concentración 2014"/>
      <sheetName val="Concentracion 2015"/>
      <sheetName val="totales concent 2015"/>
      <sheetName val="Internacio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2">
          <cell r="B132">
            <v>0.20543697068639682</v>
          </cell>
          <cell r="C132">
            <v>0.31484998431134736</v>
          </cell>
          <cell r="D132">
            <v>0.44550174104154827</v>
          </cell>
          <cell r="E132">
            <v>0.25800710883498595</v>
          </cell>
          <cell r="F132">
            <v>0.25751538351656256</v>
          </cell>
          <cell r="G132">
            <v>0.62500456581363273</v>
          </cell>
          <cell r="H132">
            <v>0.45283021779964538</v>
          </cell>
          <cell r="I132">
            <v>0.39029761992220691</v>
          </cell>
          <cell r="J132">
            <v>0.31719766729748361</v>
          </cell>
          <cell r="K132">
            <v>9.1866471668196989E-2</v>
          </cell>
          <cell r="L132">
            <v>0.60175376413420401</v>
          </cell>
          <cell r="M132">
            <v>0.89858050535242018</v>
          </cell>
          <cell r="N132">
            <v>0.18513464124242796</v>
          </cell>
        </row>
        <row r="133">
          <cell r="B133">
            <v>0.33495731364194226</v>
          </cell>
          <cell r="C133">
            <v>0.41438220840456841</v>
          </cell>
          <cell r="D133">
            <v>0.8351080878826258</v>
          </cell>
          <cell r="E133">
            <v>0.51209491252001904</v>
          </cell>
          <cell r="F133">
            <v>0.36718476792138299</v>
          </cell>
          <cell r="G133">
            <v>0.82916793645462361</v>
          </cell>
          <cell r="H133">
            <v>0.75154736340416106</v>
          </cell>
          <cell r="I133">
            <v>0.48275137717706496</v>
          </cell>
          <cell r="J133">
            <v>0.45351295131528052</v>
          </cell>
          <cell r="K133">
            <v>0.1765199083527845</v>
          </cell>
          <cell r="L133">
            <v>0.7437214095682797</v>
          </cell>
          <cell r="M133">
            <v>0.98152018642435934</v>
          </cell>
          <cell r="N133">
            <v>0.34487531326181176</v>
          </cell>
        </row>
        <row r="134">
          <cell r="B134">
            <v>0.43012326442329812</v>
          </cell>
          <cell r="C134">
            <v>0.512464918356201</v>
          </cell>
          <cell r="D134">
            <v>0.98761276301155809</v>
          </cell>
          <cell r="E134">
            <v>0.62524965493410878</v>
          </cell>
          <cell r="F134">
            <v>0.45812680417010038</v>
          </cell>
          <cell r="G134">
            <v>0.92147804334472572</v>
          </cell>
          <cell r="H134">
            <v>0.90574556654686522</v>
          </cell>
          <cell r="I134">
            <v>0.56565627507517058</v>
          </cell>
          <cell r="J134">
            <v>0.53690367432431052</v>
          </cell>
          <cell r="K134">
            <v>0.23452355411808276</v>
          </cell>
          <cell r="L134">
            <v>0.86814697795761275</v>
          </cell>
          <cell r="M134">
            <v>1</v>
          </cell>
          <cell r="N134">
            <v>0.4331183132139631</v>
          </cell>
        </row>
        <row r="135">
          <cell r="B135">
            <v>0.51621482756391701</v>
          </cell>
          <cell r="C135">
            <v>0.61035364270019044</v>
          </cell>
          <cell r="D135">
            <v>0.99437746934882298</v>
          </cell>
          <cell r="E135">
            <v>0.69268176613593857</v>
          </cell>
          <cell r="F135">
            <v>0.53686292607603292</v>
          </cell>
          <cell r="G135">
            <v>0.94626665493600504</v>
          </cell>
          <cell r="H135">
            <v>0.94036284982393559</v>
          </cell>
          <cell r="I135">
            <v>0.61361529127122305</v>
          </cell>
          <cell r="J135">
            <v>0.61286478599329053</v>
          </cell>
          <cell r="K135">
            <v>0.29152033212601913</v>
          </cell>
          <cell r="L135">
            <v>0.89349333858656133</v>
          </cell>
          <cell r="M135">
            <v>1</v>
          </cell>
          <cell r="N135">
            <v>0.50016861840588511</v>
          </cell>
        </row>
        <row r="136">
          <cell r="B136">
            <v>0.59434381223435528</v>
          </cell>
          <cell r="C136">
            <v>0.69596648318737475</v>
          </cell>
          <cell r="D136">
            <v>0.99834041833249654</v>
          </cell>
          <cell r="E136">
            <v>0.73280261220071552</v>
          </cell>
          <cell r="F136">
            <v>0.60273274816451361</v>
          </cell>
          <cell r="G136">
            <v>0.96096318387581625</v>
          </cell>
          <cell r="H136">
            <v>0.95818232001961778</v>
          </cell>
          <cell r="I136">
            <v>0.65564586408426873</v>
          </cell>
          <cell r="J136">
            <v>0.66623679965946481</v>
          </cell>
          <cell r="K136">
            <v>0.34838299726929894</v>
          </cell>
          <cell r="L136">
            <v>0.91537657174641085</v>
          </cell>
          <cell r="M136">
            <v>1</v>
          </cell>
          <cell r="N136">
            <v>0.55597900586464732</v>
          </cell>
        </row>
        <row r="137">
          <cell r="B137">
            <v>0.65548627068228305</v>
          </cell>
          <cell r="C137">
            <v>0.77209471402790653</v>
          </cell>
          <cell r="D137">
            <v>0.99944056678459492</v>
          </cell>
          <cell r="E137">
            <v>0.76678312521631353</v>
          </cell>
          <cell r="F137">
            <v>0.6566664969936612</v>
          </cell>
          <cell r="G137">
            <v>0.97147289731608832</v>
          </cell>
          <cell r="H137">
            <v>0.96484450094419805</v>
          </cell>
          <cell r="I137">
            <v>0.68435773295937818</v>
          </cell>
          <cell r="J137">
            <v>0.70689461224412509</v>
          </cell>
          <cell r="K137">
            <v>0.39857880708836407</v>
          </cell>
          <cell r="L137">
            <v>0.93647528043179029</v>
          </cell>
          <cell r="M137">
            <v>1</v>
          </cell>
          <cell r="N137">
            <v>0.61029828985839263</v>
          </cell>
        </row>
        <row r="138">
          <cell r="B138">
            <v>0.70778386443255081</v>
          </cell>
          <cell r="C138">
            <v>0.84480173619296106</v>
          </cell>
          <cell r="D138">
            <v>0.9998252630355956</v>
          </cell>
          <cell r="E138">
            <v>0.79570469022131241</v>
          </cell>
          <cell r="F138">
            <v>0.69194001718771292</v>
          </cell>
          <cell r="G138">
            <v>0.98093395154929008</v>
          </cell>
          <cell r="H138">
            <v>0.97071480593214265</v>
          </cell>
          <cell r="I138">
            <v>0.71182064477759877</v>
          </cell>
          <cell r="J138">
            <v>0.73967457772381295</v>
          </cell>
          <cell r="K138">
            <v>0.44574988486970002</v>
          </cell>
          <cell r="L138">
            <v>0.95588302175936957</v>
          </cell>
          <cell r="M138">
            <v>1</v>
          </cell>
          <cell r="N138">
            <v>0.66272742396291107</v>
          </cell>
        </row>
        <row r="139">
          <cell r="B139">
            <v>0.75358697617962001</v>
          </cell>
          <cell r="C139">
            <v>0.88229192088092023</v>
          </cell>
          <cell r="D139">
            <v>0.99994455628003176</v>
          </cell>
          <cell r="E139">
            <v>0.82385966991589266</v>
          </cell>
          <cell r="F139">
            <v>0.72664300090452782</v>
          </cell>
          <cell r="G139">
            <v>0.98964395328382371</v>
          </cell>
          <cell r="H139">
            <v>0.97646312033228189</v>
          </cell>
          <cell r="I139">
            <v>0.73747120636859098</v>
          </cell>
          <cell r="J139">
            <v>0.76356602033170307</v>
          </cell>
          <cell r="K139">
            <v>0.49147775656976866</v>
          </cell>
          <cell r="L139">
            <v>0.96777734480879885</v>
          </cell>
          <cell r="M139">
            <v>1</v>
          </cell>
          <cell r="N139">
            <v>0.70971447781441688</v>
          </cell>
        </row>
        <row r="140">
          <cell r="B140">
            <v>0.79724810837679627</v>
          </cell>
          <cell r="C140">
            <v>0.91622023497878713</v>
          </cell>
          <cell r="D140">
            <v>1.0000000000000002</v>
          </cell>
          <cell r="E140">
            <v>0.84778017365852487</v>
          </cell>
          <cell r="F140">
            <v>0.75152763768900266</v>
          </cell>
          <cell r="G140">
            <v>0.99312998214213688</v>
          </cell>
          <cell r="H140">
            <v>0.98012185804187091</v>
          </cell>
          <cell r="I140">
            <v>0.76125874562075069</v>
          </cell>
          <cell r="J140">
            <v>0.7849632908880716</v>
          </cell>
          <cell r="K140">
            <v>0.5366907751899731</v>
          </cell>
          <cell r="L140">
            <v>0.97442154567950412</v>
          </cell>
          <cell r="M140">
            <v>1</v>
          </cell>
          <cell r="N140">
            <v>0.75247277545653934</v>
          </cell>
        </row>
        <row r="141">
          <cell r="B141">
            <v>0.83215415645201429</v>
          </cell>
          <cell r="C141">
            <v>0.93132705824661444</v>
          </cell>
          <cell r="D141">
            <v>1.0000000000000002</v>
          </cell>
          <cell r="E141">
            <v>0.86012944552381032</v>
          </cell>
          <cell r="F141">
            <v>0.77637373194149806</v>
          </cell>
          <cell r="G141">
            <v>0.99518626538015009</v>
          </cell>
          <cell r="H141">
            <v>0.98350079109450228</v>
          </cell>
          <cell r="I141">
            <v>0.78234525860215576</v>
          </cell>
          <cell r="J141">
            <v>0.80479482237081457</v>
          </cell>
          <cell r="K141">
            <v>0.58136379642673897</v>
          </cell>
          <cell r="L141">
            <v>0.97966045199298268</v>
          </cell>
          <cell r="M141">
            <v>1</v>
          </cell>
          <cell r="N141">
            <v>0.77901794240564737</v>
          </cell>
        </row>
        <row r="142">
          <cell r="B142">
            <v>0.85820626955104284</v>
          </cell>
          <cell r="C142">
            <v>0.93907094575922045</v>
          </cell>
          <cell r="D142">
            <v>1.0000000000000002</v>
          </cell>
          <cell r="E142">
            <v>0.87243968083969037</v>
          </cell>
          <cell r="F142">
            <v>0.80113828414076993</v>
          </cell>
          <cell r="G142">
            <v>0.9966744408032927</v>
          </cell>
          <cell r="H142">
            <v>0.98666896798241588</v>
          </cell>
          <cell r="I142">
            <v>0.80149599665803473</v>
          </cell>
          <cell r="J142">
            <v>0.82310516433225478</v>
          </cell>
          <cell r="K142">
            <v>0.61900030557846686</v>
          </cell>
          <cell r="L142">
            <v>0.98330677379684495</v>
          </cell>
          <cell r="M142">
            <v>1</v>
          </cell>
          <cell r="N142">
            <v>0.80060735498361368</v>
          </cell>
        </row>
        <row r="143">
          <cell r="B143">
            <v>0.87747266961708847</v>
          </cell>
          <cell r="C143">
            <v>0.94595195903566509</v>
          </cell>
          <cell r="D143">
            <v>1.0000000000000002</v>
          </cell>
          <cell r="E143">
            <v>0.88384817198528487</v>
          </cell>
          <cell r="F143">
            <v>0.82177566654374357</v>
          </cell>
          <cell r="G143">
            <v>0.99786886553189424</v>
          </cell>
          <cell r="H143">
            <v>0.98913484016450504</v>
          </cell>
          <cell r="I143">
            <v>0.81841530451774791</v>
          </cell>
          <cell r="J143">
            <v>0.84108405000910513</v>
          </cell>
          <cell r="K143">
            <v>0.65302300717455997</v>
          </cell>
          <cell r="L143">
            <v>0.98687139231907273</v>
          </cell>
          <cell r="M143">
            <v>1</v>
          </cell>
          <cell r="N143">
            <v>0.8206099035522717</v>
          </cell>
        </row>
        <row r="144">
          <cell r="B144">
            <v>0.8909715704443002</v>
          </cell>
          <cell r="C144">
            <v>0.95227074325016547</v>
          </cell>
          <cell r="D144">
            <v>1.0000000000000002</v>
          </cell>
          <cell r="E144">
            <v>0.89489821966481908</v>
          </cell>
          <cell r="F144">
            <v>0.84133480253636528</v>
          </cell>
          <cell r="G144">
            <v>0.99854831850580794</v>
          </cell>
          <cell r="H144">
            <v>0.99117146418075819</v>
          </cell>
          <cell r="I144">
            <v>0.83275588773313425</v>
          </cell>
          <cell r="J144">
            <v>0.85768008680331786</v>
          </cell>
          <cell r="K144">
            <v>0.67956221463991651</v>
          </cell>
          <cell r="L144">
            <v>0.99022904935691247</v>
          </cell>
          <cell r="M144">
            <v>1</v>
          </cell>
          <cell r="N144">
            <v>0.8366845546341678</v>
          </cell>
        </row>
        <row r="145">
          <cell r="B145">
            <v>0.90336236753848553</v>
          </cell>
          <cell r="C145">
            <v>0.95673317220321263</v>
          </cell>
          <cell r="D145">
            <v>1.0000000000000002</v>
          </cell>
          <cell r="E145">
            <v>0.90511962251974687</v>
          </cell>
          <cell r="F145">
            <v>0.85946454387784932</v>
          </cell>
          <cell r="G145">
            <v>0.99910957503848674</v>
          </cell>
          <cell r="H145">
            <v>0.99290691060555714</v>
          </cell>
          <cell r="I145">
            <v>0.8463388010299312</v>
          </cell>
          <cell r="J145">
            <v>0.86914239469583954</v>
          </cell>
          <cell r="K145">
            <v>0.70587502189635065</v>
          </cell>
          <cell r="L145">
            <v>0.99240529408986589</v>
          </cell>
          <cell r="M145">
            <v>1</v>
          </cell>
          <cell r="N145">
            <v>0.85090691744659797</v>
          </cell>
        </row>
        <row r="146">
          <cell r="B146">
            <v>0.91192601312847721</v>
          </cell>
          <cell r="C146">
            <v>0.96020964268772091</v>
          </cell>
          <cell r="D146">
            <v>1.0000000000000002</v>
          </cell>
          <cell r="E146">
            <v>0.91478990011564332</v>
          </cell>
          <cell r="F146">
            <v>0.87636347449421548</v>
          </cell>
          <cell r="G146">
            <v>0.99937872879969214</v>
          </cell>
          <cell r="H146">
            <v>0.99449372028892702</v>
          </cell>
          <cell r="I146">
            <v>0.859421146795603</v>
          </cell>
          <cell r="J146">
            <v>0.88024360562086046</v>
          </cell>
          <cell r="K146">
            <v>0.73202499706638346</v>
          </cell>
          <cell r="L146">
            <v>0.99423303999905954</v>
          </cell>
          <cell r="M146">
            <v>1</v>
          </cell>
          <cell r="N146">
            <v>0.86474623848867715</v>
          </cell>
        </row>
        <row r="147">
          <cell r="B147">
            <v>0.91963330068300708</v>
          </cell>
          <cell r="C147">
            <v>0.9635870444603073</v>
          </cell>
          <cell r="D147">
            <v>1.0000000000000002</v>
          </cell>
          <cell r="E147">
            <v>0.9224505501575857</v>
          </cell>
          <cell r="F147">
            <v>0.89222626162046925</v>
          </cell>
          <cell r="G147">
            <v>0.99955395620091037</v>
          </cell>
          <cell r="H147">
            <v>0.99566851622994823</v>
          </cell>
          <cell r="I147">
            <v>0.87038969271463407</v>
          </cell>
          <cell r="J147">
            <v>0.89070259667260721</v>
          </cell>
          <cell r="K147">
            <v>0.75622094909935478</v>
          </cell>
          <cell r="L147">
            <v>0.99562080677963671</v>
          </cell>
          <cell r="M147">
            <v>1</v>
          </cell>
          <cell r="N147">
            <v>0.87490208586593987</v>
          </cell>
        </row>
        <row r="148">
          <cell r="B148">
            <v>0.9260368677664057</v>
          </cell>
          <cell r="C148">
            <v>0.96663533290675374</v>
          </cell>
          <cell r="D148">
            <v>1.0000000000000002</v>
          </cell>
          <cell r="E148">
            <v>0.92926116759856914</v>
          </cell>
          <cell r="F148">
            <v>0.90718327134424526</v>
          </cell>
          <cell r="G148">
            <v>0.99972217572520661</v>
          </cell>
          <cell r="H148">
            <v>0.99668020094135157</v>
          </cell>
          <cell r="I148">
            <v>0.88065315358439067</v>
          </cell>
          <cell r="J148">
            <v>0.90085634079177157</v>
          </cell>
          <cell r="K148">
            <v>0.77414093053896693</v>
          </cell>
          <cell r="L148">
            <v>0.99678970660597854</v>
          </cell>
          <cell r="M148">
            <v>1</v>
          </cell>
          <cell r="N148">
            <v>0.88462542270177003</v>
          </cell>
        </row>
        <row r="149">
          <cell r="B149">
            <v>0.93096666164159703</v>
          </cell>
          <cell r="C149">
            <v>0.9688820803699888</v>
          </cell>
          <cell r="D149">
            <v>1.0000000000000002</v>
          </cell>
          <cell r="E149">
            <v>0.93536387250720976</v>
          </cell>
          <cell r="F149">
            <v>0.91926977638037988</v>
          </cell>
          <cell r="G149">
            <v>0.99988470844356037</v>
          </cell>
          <cell r="H149">
            <v>0.99753806867367889</v>
          </cell>
          <cell r="I149">
            <v>0.89068406766523667</v>
          </cell>
          <cell r="J149">
            <v>0.91080069566892863</v>
          </cell>
          <cell r="K149">
            <v>0.7913058500456428</v>
          </cell>
          <cell r="L149">
            <v>0.9977430929786264</v>
          </cell>
          <cell r="M149">
            <v>1</v>
          </cell>
          <cell r="N149">
            <v>0.89138896882142749</v>
          </cell>
        </row>
        <row r="150">
          <cell r="B150">
            <v>0.93519655103383137</v>
          </cell>
          <cell r="C150">
            <v>0.9709613591021925</v>
          </cell>
          <cell r="D150">
            <v>1.0000000000000002</v>
          </cell>
          <cell r="E150">
            <v>0.94070862996521787</v>
          </cell>
          <cell r="F150">
            <v>0.93127833142290706</v>
          </cell>
          <cell r="G150">
            <v>1.0000000000000002</v>
          </cell>
          <cell r="H150">
            <v>0.99835009709329325</v>
          </cell>
          <cell r="I150">
            <v>0.89904132066038034</v>
          </cell>
          <cell r="J150">
            <v>0.92034220074815776</v>
          </cell>
          <cell r="K150">
            <v>0.80652001169923626</v>
          </cell>
          <cell r="L150">
            <v>0.99838878290450295</v>
          </cell>
          <cell r="M150">
            <v>1</v>
          </cell>
          <cell r="N150">
            <v>0.89752185723775624</v>
          </cell>
        </row>
        <row r="151">
          <cell r="B151">
            <v>0.93939530184035758</v>
          </cell>
          <cell r="C151">
            <v>0.97297257680342297</v>
          </cell>
          <cell r="D151">
            <v>1.0000000000000002</v>
          </cell>
          <cell r="E151">
            <v>0.94603555410307949</v>
          </cell>
          <cell r="F151">
            <v>0.94077300501571126</v>
          </cell>
          <cell r="G151">
            <v>1.0000000000000002</v>
          </cell>
          <cell r="H151">
            <v>0.99889016916096651</v>
          </cell>
          <cell r="I151">
            <v>0.9067816608374516</v>
          </cell>
          <cell r="J151">
            <v>0.92981252776380707</v>
          </cell>
          <cell r="K151">
            <v>0.81996876873427416</v>
          </cell>
          <cell r="L151">
            <v>0.99899567616321372</v>
          </cell>
          <cell r="M151">
            <v>1</v>
          </cell>
          <cell r="N151">
            <v>0.90342948757742125</v>
          </cell>
        </row>
        <row r="152">
          <cell r="B152">
            <v>0.94288093936695772</v>
          </cell>
          <cell r="C152">
            <v>0.97489319418837572</v>
          </cell>
          <cell r="D152">
            <v>1.0000000000000002</v>
          </cell>
          <cell r="E152">
            <v>0.95112471801589082</v>
          </cell>
          <cell r="F152">
            <v>0.94893193577975632</v>
          </cell>
          <cell r="G152">
            <v>1.0000000000000002</v>
          </cell>
          <cell r="H152">
            <v>0.99941295335472091</v>
          </cell>
          <cell r="I152">
            <v>0.91430605844917379</v>
          </cell>
          <cell r="J152">
            <v>0.93908286536606733</v>
          </cell>
          <cell r="K152">
            <v>0.83290965785838544</v>
          </cell>
          <cell r="L152">
            <v>0.99945849804375264</v>
          </cell>
          <cell r="M152">
            <v>1</v>
          </cell>
          <cell r="N152">
            <v>0.9092885344354833</v>
          </cell>
        </row>
        <row r="153">
          <cell r="B153">
            <v>0.94622698333797439</v>
          </cell>
          <cell r="C153">
            <v>0.97674379524312349</v>
          </cell>
          <cell r="D153">
            <v>1.0000000000000002</v>
          </cell>
          <cell r="E153">
            <v>0.95593070706152206</v>
          </cell>
          <cell r="F153">
            <v>0.9562223753761856</v>
          </cell>
          <cell r="G153">
            <v>1.0000000000000002</v>
          </cell>
          <cell r="H153">
            <v>0.99962010551274394</v>
          </cell>
          <cell r="I153">
            <v>0.92071490224943198</v>
          </cell>
          <cell r="J153">
            <v>0.94648513521164035</v>
          </cell>
          <cell r="K153">
            <v>0.84358112146269504</v>
          </cell>
          <cell r="L153">
            <v>0.99981577677659461</v>
          </cell>
          <cell r="M153">
            <v>1</v>
          </cell>
          <cell r="N153">
            <v>0.91484608401446865</v>
          </cell>
        </row>
        <row r="154">
          <cell r="B154">
            <v>0.94954792613756878</v>
          </cell>
          <cell r="C154">
            <v>0.97858033291227897</v>
          </cell>
          <cell r="D154">
            <v>1.0000000000000002</v>
          </cell>
          <cell r="E154">
            <v>0.96063281962933478</v>
          </cell>
          <cell r="F154">
            <v>0.96177549028510723</v>
          </cell>
          <cell r="G154">
            <v>1.0000000000000002</v>
          </cell>
          <cell r="H154">
            <v>0.99979298536548278</v>
          </cell>
          <cell r="I154">
            <v>0.92589227533899954</v>
          </cell>
          <cell r="J154">
            <v>0.95373335372065549</v>
          </cell>
          <cell r="K154">
            <v>0.85386007652226548</v>
          </cell>
          <cell r="L154">
            <v>0.99992093987632436</v>
          </cell>
          <cell r="M154">
            <v>1</v>
          </cell>
          <cell r="N154">
            <v>0.91978251019927948</v>
          </cell>
        </row>
        <row r="155">
          <cell r="B155">
            <v>0.95274386757832463</v>
          </cell>
          <cell r="C155">
            <v>0.98029936883222446</v>
          </cell>
          <cell r="D155">
            <v>1.0000000000000002</v>
          </cell>
          <cell r="E155">
            <v>0.96466353458384102</v>
          </cell>
          <cell r="F155">
            <v>0.96675234638145136</v>
          </cell>
          <cell r="G155">
            <v>1.0000000000000002</v>
          </cell>
          <cell r="H155">
            <v>0.99995355936993324</v>
          </cell>
          <cell r="I155">
            <v>0.93077690622460296</v>
          </cell>
          <cell r="J155">
            <v>0.96076799456821405</v>
          </cell>
          <cell r="K155">
            <v>0.8639096760948356</v>
          </cell>
          <cell r="L155">
            <v>1.0000100683339943</v>
          </cell>
          <cell r="M155">
            <v>1</v>
          </cell>
          <cell r="N155">
            <v>0.9242996062068578</v>
          </cell>
        </row>
        <row r="156">
          <cell r="B156">
            <v>0.95593916448675842</v>
          </cell>
          <cell r="C156">
            <v>0.98189676227972966</v>
          </cell>
          <cell r="D156">
            <v>1.0000000000000002</v>
          </cell>
          <cell r="E156">
            <v>0.96856906699960565</v>
          </cell>
          <cell r="F156">
            <v>0.97036653824243535</v>
          </cell>
          <cell r="G156">
            <v>1.0000000000000002</v>
          </cell>
          <cell r="H156">
            <v>0.9999981013961331</v>
          </cell>
          <cell r="I156">
            <v>0.93545361592638943</v>
          </cell>
          <cell r="J156">
            <v>0.96711408464269188</v>
          </cell>
          <cell r="K156">
            <v>0.87260110413047332</v>
          </cell>
          <cell r="L156">
            <v>1.0000344410682487</v>
          </cell>
          <cell r="M156">
            <v>1</v>
          </cell>
          <cell r="N156">
            <v>0.92866522668883378</v>
          </cell>
        </row>
        <row r="157">
          <cell r="B157">
            <v>0.95862181932149748</v>
          </cell>
          <cell r="C157">
            <v>0.98329292597465434</v>
          </cell>
          <cell r="D157">
            <v>1.0000000000000002</v>
          </cell>
          <cell r="E157">
            <v>0.97226360995683325</v>
          </cell>
          <cell r="F157">
            <v>0.97362803486771365</v>
          </cell>
          <cell r="G157">
            <v>1.0000000000000002</v>
          </cell>
          <cell r="H157">
            <v>1</v>
          </cell>
          <cell r="I157">
            <v>0.94008078166793918</v>
          </cell>
          <cell r="J157">
            <v>0.97346017471716961</v>
          </cell>
          <cell r="K157">
            <v>0.88053693924584897</v>
          </cell>
          <cell r="L157">
            <v>1.0000344410682487</v>
          </cell>
          <cell r="M157">
            <v>1</v>
          </cell>
          <cell r="N157">
            <v>0.93257635033713038</v>
          </cell>
        </row>
        <row r="158">
          <cell r="B158">
            <v>0.96123507280385723</v>
          </cell>
          <cell r="C158">
            <v>0.98448948057827812</v>
          </cell>
          <cell r="D158">
            <v>1.0000000000000002</v>
          </cell>
          <cell r="E158">
            <v>0.97474868064467413</v>
          </cell>
          <cell r="F158">
            <v>0.97652196730976748</v>
          </cell>
          <cell r="G158">
            <v>1.0000000000000002</v>
          </cell>
          <cell r="H158">
            <v>1</v>
          </cell>
          <cell r="I158">
            <v>0.94435145781353469</v>
          </cell>
          <cell r="J158">
            <v>0.97972535214319778</v>
          </cell>
          <cell r="K158">
            <v>0.88841227656093757</v>
          </cell>
          <cell r="L158">
            <v>1.0000344410682487</v>
          </cell>
          <cell r="M158">
            <v>1</v>
          </cell>
          <cell r="N158">
            <v>0.9363711916202393</v>
          </cell>
        </row>
        <row r="159">
          <cell r="B159">
            <v>0.96347859927326163</v>
          </cell>
          <cell r="C159">
            <v>0.98568553523693447</v>
          </cell>
          <cell r="D159">
            <v>1.0000000000000002</v>
          </cell>
          <cell r="E159">
            <v>0.97717335494177604</v>
          </cell>
          <cell r="F159">
            <v>0.97922886154319</v>
          </cell>
          <cell r="G159">
            <v>1.0000000000000002</v>
          </cell>
          <cell r="H159">
            <v>1</v>
          </cell>
          <cell r="I159">
            <v>0.94799067195142928</v>
          </cell>
          <cell r="J159">
            <v>0.9856736001194254</v>
          </cell>
          <cell r="K159">
            <v>0.8959263880490711</v>
          </cell>
          <cell r="L159">
            <v>1.0000344410682487</v>
          </cell>
          <cell r="M159">
            <v>1</v>
          </cell>
          <cell r="N159">
            <v>0.93971331773432243</v>
          </cell>
        </row>
        <row r="160">
          <cell r="B160">
            <v>0.96567201862297358</v>
          </cell>
          <cell r="C160">
            <v>0.98687494857748703</v>
          </cell>
          <cell r="D160">
            <v>1.0000000000000002</v>
          </cell>
          <cell r="E160">
            <v>0.97940143225402343</v>
          </cell>
          <cell r="F160">
            <v>0.98160421323625358</v>
          </cell>
          <cell r="G160">
            <v>1.0000000000000002</v>
          </cell>
          <cell r="H160">
            <v>1</v>
          </cell>
          <cell r="I160">
            <v>0.9511439385087479</v>
          </cell>
          <cell r="J160">
            <v>0.98986416296050339</v>
          </cell>
          <cell r="K160">
            <v>0.90306788359535184</v>
          </cell>
          <cell r="L160">
            <v>1.0000344410682487</v>
          </cell>
          <cell r="M160">
            <v>1</v>
          </cell>
          <cell r="N160">
            <v>0.94302504444823942</v>
          </cell>
        </row>
        <row r="161">
          <cell r="B161">
            <v>0.96780435464276071</v>
          </cell>
          <cell r="C161">
            <v>0.98802299492494683</v>
          </cell>
          <cell r="D161">
            <v>1.0000000000000002</v>
          </cell>
          <cell r="E161">
            <v>0.98142906755702131</v>
          </cell>
          <cell r="F161">
            <v>0.98374653425630865</v>
          </cell>
          <cell r="G161">
            <v>1.0000000000000002</v>
          </cell>
          <cell r="H161">
            <v>1</v>
          </cell>
          <cell r="I161">
            <v>0.95403162107447881</v>
          </cell>
          <cell r="J161">
            <v>0.99351316475332818</v>
          </cell>
          <cell r="K161">
            <v>0.90997787424321352</v>
          </cell>
          <cell r="L161">
            <v>1.0000344410682487</v>
          </cell>
          <cell r="M161">
            <v>1</v>
          </cell>
          <cell r="N161">
            <v>0.94626764334247204</v>
          </cell>
        </row>
        <row r="162">
          <cell r="B162">
            <v>0.96993004307551356</v>
          </cell>
          <cell r="C162">
            <v>0.98915631622373368</v>
          </cell>
          <cell r="D162">
            <v>1.0000000000000002</v>
          </cell>
          <cell r="E162">
            <v>0.98335782785039061</v>
          </cell>
          <cell r="F162">
            <v>0.98572033086046007</v>
          </cell>
          <cell r="G162">
            <v>1.0000000000000002</v>
          </cell>
          <cell r="H162">
            <v>1</v>
          </cell>
          <cell r="I162">
            <v>0.95689348038012922</v>
          </cell>
          <cell r="J162">
            <v>0.99532180042455431</v>
          </cell>
          <cell r="K162">
            <v>0.91685024210656119</v>
          </cell>
          <cell r="L162">
            <v>1.0000344410682487</v>
          </cell>
          <cell r="M162">
            <v>1</v>
          </cell>
          <cell r="N162">
            <v>0.9493645537090698</v>
          </cell>
        </row>
        <row r="163">
          <cell r="B163">
            <v>0.97196904431884101</v>
          </cell>
          <cell r="C163">
            <v>0.99023511350480109</v>
          </cell>
          <cell r="D163">
            <v>1.0000000000000002</v>
          </cell>
          <cell r="E163">
            <v>0.98528325012896023</v>
          </cell>
          <cell r="F163">
            <v>0.98753476021800435</v>
          </cell>
          <cell r="G163">
            <v>1.0000000000000002</v>
          </cell>
          <cell r="H163">
            <v>1</v>
          </cell>
          <cell r="I163">
            <v>0.9596749507032315</v>
          </cell>
          <cell r="J163">
            <v>0.99708855190128887</v>
          </cell>
          <cell r="K163">
            <v>0.92356863498256248</v>
          </cell>
          <cell r="L163">
            <v>1.0000344410682487</v>
          </cell>
          <cell r="M163">
            <v>1</v>
          </cell>
          <cell r="N163">
            <v>0.95213887807962194</v>
          </cell>
        </row>
        <row r="164">
          <cell r="B164">
            <v>0.97398812869028739</v>
          </cell>
          <cell r="C164">
            <v>0.99120855279453279</v>
          </cell>
          <cell r="D164">
            <v>1.0000000000000002</v>
          </cell>
          <cell r="E164">
            <v>0.98698585290840346</v>
          </cell>
          <cell r="F164">
            <v>0.98907119801947008</v>
          </cell>
          <cell r="G164">
            <v>1.0000000000000002</v>
          </cell>
          <cell r="H164">
            <v>1</v>
          </cell>
          <cell r="I164">
            <v>0.96239435776437432</v>
          </cell>
          <cell r="J164">
            <v>0.99847628314832526</v>
          </cell>
          <cell r="K164">
            <v>0.93017928668295602</v>
          </cell>
          <cell r="L164">
            <v>1.0000344410682487</v>
          </cell>
          <cell r="M164">
            <v>1</v>
          </cell>
          <cell r="N164">
            <v>0.95478563254751558</v>
          </cell>
        </row>
        <row r="165">
          <cell r="B165">
            <v>0.97593929979312022</v>
          </cell>
          <cell r="C165">
            <v>0.99212056823872019</v>
          </cell>
          <cell r="D165">
            <v>1.0000000000000002</v>
          </cell>
          <cell r="E165">
            <v>0.98856540995809139</v>
          </cell>
          <cell r="F165">
            <v>0.99051462006495505</v>
          </cell>
          <cell r="G165">
            <v>1.0000000000000002</v>
          </cell>
          <cell r="H165">
            <v>1</v>
          </cell>
          <cell r="I165">
            <v>0.96505039160641282</v>
          </cell>
          <cell r="J165">
            <v>0.99944630364100195</v>
          </cell>
          <cell r="K165">
            <v>0.9365541082707034</v>
          </cell>
          <cell r="L165">
            <v>1.0000344410682487</v>
          </cell>
          <cell r="M165">
            <v>1</v>
          </cell>
          <cell r="N165">
            <v>0.95735905594713322</v>
          </cell>
        </row>
        <row r="166">
          <cell r="B166">
            <v>0.97786434832984592</v>
          </cell>
          <cell r="C166">
            <v>0.99302311191718085</v>
          </cell>
          <cell r="D166">
            <v>1.0000000000000002</v>
          </cell>
          <cell r="E166">
            <v>0.98963744127453035</v>
          </cell>
          <cell r="F166">
            <v>0.99186863198751318</v>
          </cell>
          <cell r="G166">
            <v>1.0000000000000002</v>
          </cell>
          <cell r="H166">
            <v>1</v>
          </cell>
          <cell r="I166">
            <v>0.96768082634005792</v>
          </cell>
          <cell r="J166">
            <v>0.99981596338784029</v>
          </cell>
          <cell r="K166">
            <v>0.94169977857724418</v>
          </cell>
          <cell r="L166">
            <v>1.0000344410682487</v>
          </cell>
          <cell r="M166">
            <v>1</v>
          </cell>
          <cell r="N166">
            <v>0.95990375433424213</v>
          </cell>
        </row>
        <row r="167">
          <cell r="B167">
            <v>0.97978587285852059</v>
          </cell>
          <cell r="C167">
            <v>0.99376150779554862</v>
          </cell>
          <cell r="D167">
            <v>1.0000000000000002</v>
          </cell>
          <cell r="E167">
            <v>0.99063183567438318</v>
          </cell>
          <cell r="F167">
            <v>0.99311286382673702</v>
          </cell>
          <cell r="G167">
            <v>1.0000000000000002</v>
          </cell>
          <cell r="H167">
            <v>1</v>
          </cell>
          <cell r="I167">
            <v>0.97011131097936365</v>
          </cell>
          <cell r="J167">
            <v>0.99994288518932983</v>
          </cell>
          <cell r="K167">
            <v>0.94658569832179618</v>
          </cell>
          <cell r="L167">
            <v>1.0000344410682487</v>
          </cell>
          <cell r="M167">
            <v>1</v>
          </cell>
          <cell r="N167">
            <v>0.96242020591934341</v>
          </cell>
        </row>
        <row r="168">
          <cell r="B168">
            <v>0.98168459253507834</v>
          </cell>
          <cell r="C168">
            <v>0.99448366019330192</v>
          </cell>
          <cell r="D168">
            <v>1.0000000000000002</v>
          </cell>
          <cell r="E168">
            <v>0.99150037280580516</v>
          </cell>
          <cell r="F168">
            <v>0.9941195604966544</v>
          </cell>
          <cell r="G168">
            <v>1.0000000000000002</v>
          </cell>
          <cell r="H168">
            <v>1</v>
          </cell>
          <cell r="I168">
            <v>0.97246319879348508</v>
          </cell>
          <cell r="J168">
            <v>0.99997461563970225</v>
          </cell>
          <cell r="K168">
            <v>0.95119548848754054</v>
          </cell>
          <cell r="L168">
            <v>1.0000344410682487</v>
          </cell>
          <cell r="M168">
            <v>1</v>
          </cell>
          <cell r="N168">
            <v>0.96492076311766917</v>
          </cell>
        </row>
        <row r="169">
          <cell r="B169">
            <v>0.98352183811840765</v>
          </cell>
          <cell r="C169">
            <v>0.99515666790288149</v>
          </cell>
          <cell r="D169">
            <v>1.0000000000000002</v>
          </cell>
          <cell r="E169">
            <v>0.99227168496338125</v>
          </cell>
          <cell r="F169">
            <v>0.99511419188813077</v>
          </cell>
          <cell r="G169">
            <v>1.0000000000000002</v>
          </cell>
          <cell r="H169">
            <v>1</v>
          </cell>
          <cell r="I169">
            <v>0.97480475898332897</v>
          </cell>
          <cell r="J169">
            <v>1.0000000000000002</v>
          </cell>
          <cell r="K169">
            <v>0.95577912144074095</v>
          </cell>
          <cell r="L169">
            <v>1.0000344410682487</v>
          </cell>
          <cell r="M169">
            <v>1</v>
          </cell>
          <cell r="N169">
            <v>0.96739497868753788</v>
          </cell>
        </row>
        <row r="170">
          <cell r="B170">
            <v>0.98527579237213148</v>
          </cell>
          <cell r="C170">
            <v>0.99582924211656376</v>
          </cell>
          <cell r="D170">
            <v>1.0000000000000002</v>
          </cell>
          <cell r="E170">
            <v>0.99302288379735759</v>
          </cell>
          <cell r="F170">
            <v>0.99609517330225106</v>
          </cell>
          <cell r="G170">
            <v>1.0000000000000002</v>
          </cell>
          <cell r="H170">
            <v>1</v>
          </cell>
          <cell r="I170">
            <v>0.97699494552052479</v>
          </cell>
          <cell r="J170">
            <v>1.0000000000000002</v>
          </cell>
          <cell r="K170">
            <v>0.96010519060019761</v>
          </cell>
          <cell r="L170">
            <v>1.0000344410682487</v>
          </cell>
          <cell r="M170">
            <v>1</v>
          </cell>
          <cell r="N170">
            <v>0.96981678258988457</v>
          </cell>
        </row>
        <row r="171">
          <cell r="B171">
            <v>0.98687401803986352</v>
          </cell>
          <cell r="C171">
            <v>0.9964031443551612</v>
          </cell>
          <cell r="D171">
            <v>1.0000000000000002</v>
          </cell>
          <cell r="E171">
            <v>0.99375116799723484</v>
          </cell>
          <cell r="F171">
            <v>0.99705215876275188</v>
          </cell>
          <cell r="G171">
            <v>1.0000000000000002</v>
          </cell>
          <cell r="H171">
            <v>1</v>
          </cell>
          <cell r="I171">
            <v>0.97913050276609614</v>
          </cell>
          <cell r="J171">
            <v>1.0000000000000002</v>
          </cell>
          <cell r="K171">
            <v>0.96437353640066914</v>
          </cell>
          <cell r="L171">
            <v>1.0000344410682487</v>
          </cell>
          <cell r="M171">
            <v>1</v>
          </cell>
          <cell r="N171">
            <v>0.97216739176987277</v>
          </cell>
        </row>
        <row r="172">
          <cell r="B172">
            <v>0.98833127310500002</v>
          </cell>
          <cell r="C172">
            <v>0.99688221931184062</v>
          </cell>
          <cell r="D172">
            <v>1.0000000000000002</v>
          </cell>
          <cell r="E172">
            <v>0.99444541920552409</v>
          </cell>
          <cell r="F172">
            <v>0.99769820163767209</v>
          </cell>
          <cell r="G172">
            <v>1.0000000000000002</v>
          </cell>
          <cell r="H172">
            <v>1</v>
          </cell>
          <cell r="I172">
            <v>0.98106298109773871</v>
          </cell>
          <cell r="J172">
            <v>1.0000000000000002</v>
          </cell>
          <cell r="K172">
            <v>0.96855376525400605</v>
          </cell>
          <cell r="L172">
            <v>1.0000344410682487</v>
          </cell>
          <cell r="M172">
            <v>1</v>
          </cell>
          <cell r="N172">
            <v>0.97442314180490441</v>
          </cell>
        </row>
        <row r="173">
          <cell r="B173">
            <v>0.98943623389335911</v>
          </cell>
          <cell r="C173">
            <v>0.99730776111410235</v>
          </cell>
          <cell r="D173">
            <v>1.0000000000000002</v>
          </cell>
          <cell r="E173">
            <v>0.99508239537650689</v>
          </cell>
          <cell r="F173">
            <v>0.99826367145204353</v>
          </cell>
          <cell r="G173">
            <v>1.0000000000000002</v>
          </cell>
          <cell r="H173">
            <v>1</v>
          </cell>
          <cell r="I173">
            <v>0.98293955870432581</v>
          </cell>
          <cell r="J173">
            <v>1.0000000000000002</v>
          </cell>
          <cell r="K173">
            <v>0.97220024014610829</v>
          </cell>
          <cell r="L173">
            <v>1.0000344410682487</v>
          </cell>
          <cell r="M173">
            <v>1</v>
          </cell>
          <cell r="N173">
            <v>0.97659154802421344</v>
          </cell>
        </row>
        <row r="174">
          <cell r="B174">
            <v>0.99040860747356907</v>
          </cell>
          <cell r="C174">
            <v>0.9977277293510749</v>
          </cell>
          <cell r="D174">
            <v>1.0000000000000002</v>
          </cell>
          <cell r="E174">
            <v>0.99565028736586791</v>
          </cell>
          <cell r="F174">
            <v>0.99873112935403996</v>
          </cell>
          <cell r="G174">
            <v>1.0000000000000002</v>
          </cell>
          <cell r="H174">
            <v>1</v>
          </cell>
          <cell r="I174">
            <v>0.98480939214639795</v>
          </cell>
          <cell r="J174">
            <v>1.0000000000000002</v>
          </cell>
          <cell r="K174">
            <v>0.97524255405328952</v>
          </cell>
          <cell r="L174">
            <v>1.0000344410682487</v>
          </cell>
          <cell r="M174">
            <v>1</v>
          </cell>
          <cell r="N174">
            <v>0.97867983502701705</v>
          </cell>
        </row>
        <row r="175">
          <cell r="B175">
            <v>0.99130681738250803</v>
          </cell>
          <cell r="C175">
            <v>0.99813885703410909</v>
          </cell>
          <cell r="D175">
            <v>1.0000000000000002</v>
          </cell>
          <cell r="E175">
            <v>0.99612588304255512</v>
          </cell>
          <cell r="F175">
            <v>0.99910816930531987</v>
          </cell>
          <cell r="G175">
            <v>1.0000000000000002</v>
          </cell>
          <cell r="H175">
            <v>1</v>
          </cell>
          <cell r="I175">
            <v>0.9866237987151526</v>
          </cell>
          <cell r="J175">
            <v>1.0000000000000002</v>
          </cell>
          <cell r="K175">
            <v>0.97827708212881015</v>
          </cell>
          <cell r="L175">
            <v>1.0000344410682487</v>
          </cell>
          <cell r="M175">
            <v>1</v>
          </cell>
          <cell r="N175">
            <v>0.98050098927060603</v>
          </cell>
        </row>
        <row r="176">
          <cell r="B176">
            <v>0.99219695340640146</v>
          </cell>
          <cell r="C176">
            <v>0.9984794923679865</v>
          </cell>
          <cell r="D176">
            <v>1.0000000000000002</v>
          </cell>
          <cell r="E176">
            <v>0.99656300164007794</v>
          </cell>
          <cell r="F176">
            <v>0.99948520925659989</v>
          </cell>
          <cell r="G176">
            <v>1.0000000000000002</v>
          </cell>
          <cell r="H176">
            <v>1</v>
          </cell>
          <cell r="I176">
            <v>0.9884126314724172</v>
          </cell>
          <cell r="J176">
            <v>1.0000000000000002</v>
          </cell>
          <cell r="K176">
            <v>0.98044489317835781</v>
          </cell>
          <cell r="L176">
            <v>1.0000344410682487</v>
          </cell>
          <cell r="M176">
            <v>1</v>
          </cell>
          <cell r="N176">
            <v>0.98216465693751276</v>
          </cell>
        </row>
        <row r="177">
          <cell r="B177">
            <v>0.99300149365257806</v>
          </cell>
          <cell r="C177">
            <v>0.99870272209173405</v>
          </cell>
          <cell r="D177">
            <v>1.0000000000000002</v>
          </cell>
          <cell r="E177">
            <v>0.99699742417833415</v>
          </cell>
          <cell r="F177">
            <v>0.99986204108182664</v>
          </cell>
          <cell r="G177">
            <v>1.0000000000000002</v>
          </cell>
          <cell r="H177">
            <v>1</v>
          </cell>
          <cell r="I177">
            <v>0.99007035817443267</v>
          </cell>
          <cell r="J177">
            <v>1.0000000000000002</v>
          </cell>
          <cell r="K177">
            <v>0.98245212563164275</v>
          </cell>
          <cell r="L177">
            <v>1.0000344410682487</v>
          </cell>
          <cell r="M177">
            <v>1</v>
          </cell>
          <cell r="N177">
            <v>0.98372676660702663</v>
          </cell>
        </row>
        <row r="178">
          <cell r="B178">
            <v>0.99371008332043209</v>
          </cell>
          <cell r="C178">
            <v>0.99891409756239358</v>
          </cell>
          <cell r="D178">
            <v>1.0000000000000002</v>
          </cell>
          <cell r="E178">
            <v>0.99742697172584827</v>
          </cell>
          <cell r="F178">
            <v>0.99992519527366608</v>
          </cell>
          <cell r="G178">
            <v>1.0000000000000002</v>
          </cell>
          <cell r="H178">
            <v>1</v>
          </cell>
          <cell r="I178">
            <v>0.99145338967450625</v>
          </cell>
          <cell r="J178">
            <v>1.0000000000000002</v>
          </cell>
          <cell r="K178">
            <v>0.98444909964025251</v>
          </cell>
          <cell r="L178">
            <v>1.0000344410682487</v>
          </cell>
          <cell r="M178">
            <v>1</v>
          </cell>
          <cell r="N178">
            <v>0.98521127300460742</v>
          </cell>
        </row>
        <row r="179">
          <cell r="B179">
            <v>0.99438810861048421</v>
          </cell>
          <cell r="C179">
            <v>0.99908006798108751</v>
          </cell>
          <cell r="D179">
            <v>1.0000000000000002</v>
          </cell>
          <cell r="E179">
            <v>0.99782664914949482</v>
          </cell>
          <cell r="F179">
            <v>0.999962899268794</v>
          </cell>
          <cell r="G179">
            <v>1.0000000000000002</v>
          </cell>
          <cell r="H179">
            <v>1</v>
          </cell>
          <cell r="I179">
            <v>0.99279562928913578</v>
          </cell>
          <cell r="J179">
            <v>1.0000000000000002</v>
          </cell>
          <cell r="K179">
            <v>0.98614016045754505</v>
          </cell>
          <cell r="L179">
            <v>1.0000344410682487</v>
          </cell>
          <cell r="M179">
            <v>1</v>
          </cell>
          <cell r="N179">
            <v>0.98655408581375548</v>
          </cell>
        </row>
        <row r="180">
          <cell r="B180">
            <v>0.99496750689585456</v>
          </cell>
          <cell r="C180">
            <v>0.99923442090549119</v>
          </cell>
          <cell r="D180">
            <v>1.0000000000000002</v>
          </cell>
          <cell r="E180">
            <v>0.9982130575491367</v>
          </cell>
          <cell r="F180">
            <v>0.99998544625788055</v>
          </cell>
          <cell r="G180">
            <v>1.0000000000000002</v>
          </cell>
          <cell r="H180">
            <v>1</v>
          </cell>
          <cell r="I180">
            <v>0.99403595371486142</v>
          </cell>
          <cell r="J180">
            <v>1.0000000000000002</v>
          </cell>
          <cell r="K180">
            <v>0.98778724336935075</v>
          </cell>
          <cell r="L180">
            <v>1.0000344410682487</v>
          </cell>
          <cell r="M180">
            <v>1</v>
          </cell>
          <cell r="N180">
            <v>0.98786926617188553</v>
          </cell>
        </row>
        <row r="181">
          <cell r="B181">
            <v>0.99547387684453703</v>
          </cell>
          <cell r="C181">
            <v>0.9993758019056237</v>
          </cell>
          <cell r="D181">
            <v>1.0000000000000002</v>
          </cell>
          <cell r="E181">
            <v>0.99850682066832896</v>
          </cell>
          <cell r="F181">
            <v>1</v>
          </cell>
          <cell r="G181">
            <v>1.0000000000000002</v>
          </cell>
          <cell r="H181">
            <v>1</v>
          </cell>
          <cell r="I181">
            <v>0.99516711757655252</v>
          </cell>
          <cell r="J181">
            <v>1.0000000000000002</v>
          </cell>
          <cell r="K181">
            <v>0.98940315842167348</v>
          </cell>
          <cell r="L181">
            <v>1.0000344410682487</v>
          </cell>
          <cell r="M181">
            <v>1</v>
          </cell>
          <cell r="N181">
            <v>0.98901555498884319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workbookViewId="0">
      <selection activeCell="A36" sqref="A36"/>
    </sheetView>
  </sheetViews>
  <sheetFormatPr baseColWidth="10" defaultColWidth="11.42578125" defaultRowHeight="12.75" x14ac:dyDescent="0.2"/>
  <cols>
    <col min="1" max="1" width="31.28515625" style="17" customWidth="1"/>
    <col min="2" max="2" width="12.42578125" style="20" customWidth="1"/>
    <col min="3" max="3" width="12" style="20" customWidth="1"/>
    <col min="4" max="4" width="12.28515625" style="20" customWidth="1"/>
    <col min="5" max="5" width="14" style="20" customWidth="1"/>
    <col min="6" max="6" width="12.28515625" style="20" customWidth="1"/>
    <col min="7" max="7" width="13.7109375" style="20" customWidth="1"/>
    <col min="8" max="8" width="11.5703125" style="20" customWidth="1"/>
    <col min="9" max="9" width="15.42578125" style="20" customWidth="1"/>
    <col min="10" max="10" width="12.7109375" style="20" bestFit="1" customWidth="1"/>
    <col min="11" max="11" width="16.28515625" style="20" customWidth="1"/>
    <col min="12" max="12" width="13.5703125" style="20" customWidth="1"/>
    <col min="13" max="13" width="16.7109375" style="20" customWidth="1"/>
    <col min="14" max="14" width="16.140625" style="20" customWidth="1"/>
    <col min="15" max="15" width="15.5703125" style="20" customWidth="1"/>
    <col min="16" max="16" width="15.140625" style="20" customWidth="1"/>
    <col min="17" max="17" width="18.42578125" style="20" customWidth="1"/>
    <col min="18" max="18" width="18.28515625" style="20" customWidth="1"/>
    <col min="19" max="19" width="18.5703125" style="20" customWidth="1"/>
    <col min="20" max="20" width="20" style="20" customWidth="1"/>
    <col min="21" max="21" width="17" style="20" customWidth="1"/>
    <col min="22" max="22" width="19.7109375" style="20" customWidth="1"/>
    <col min="23" max="23" width="18.85546875" style="20" customWidth="1"/>
    <col min="24" max="24" width="20.85546875" style="20" customWidth="1"/>
    <col min="25" max="25" width="19.140625" style="20" customWidth="1"/>
    <col min="26" max="26" width="19.7109375" style="20" customWidth="1"/>
    <col min="27" max="27" width="19" style="20" customWidth="1"/>
    <col min="28" max="28" width="18.28515625" style="20" customWidth="1"/>
    <col min="29" max="29" width="16.7109375" style="20" customWidth="1"/>
    <col min="30" max="30" width="16.85546875" style="20" customWidth="1"/>
    <col min="31" max="31" width="17.7109375" style="20" customWidth="1"/>
    <col min="32" max="32" width="16.42578125" style="20" customWidth="1"/>
    <col min="33" max="33" width="17.5703125" style="20" customWidth="1"/>
    <col min="34" max="34" width="15.5703125" style="20" customWidth="1"/>
    <col min="35" max="35" width="16.42578125" style="20" customWidth="1"/>
    <col min="36" max="36" width="18.7109375" style="20" customWidth="1"/>
    <col min="37" max="37" width="18" style="20" customWidth="1"/>
    <col min="38" max="38" width="17.7109375" style="20" customWidth="1"/>
    <col min="39" max="39" width="18.5703125" style="20" customWidth="1"/>
    <col min="40" max="40" width="17.7109375" style="20" customWidth="1"/>
    <col min="41" max="41" width="18.28515625" style="20" customWidth="1"/>
    <col min="42" max="42" width="17.42578125" style="20" customWidth="1"/>
    <col min="43" max="43" width="17.28515625" style="20" customWidth="1"/>
    <col min="44" max="44" width="15.140625" style="20" customWidth="1"/>
    <col min="45" max="45" width="17.7109375" style="20" customWidth="1"/>
    <col min="46" max="46" width="19.28515625" style="20" customWidth="1"/>
    <col min="47" max="47" width="16.7109375" style="20" customWidth="1"/>
    <col min="48" max="48" width="15.85546875" style="20" customWidth="1"/>
    <col min="49" max="50" width="18.28515625" style="20" customWidth="1"/>
    <col min="51" max="51" width="27" style="20" bestFit="1" customWidth="1"/>
    <col min="52" max="52" width="16.42578125" style="20" customWidth="1"/>
    <col min="53" max="53" width="17.7109375" style="20" customWidth="1"/>
    <col min="54" max="54" width="16.85546875" style="20" customWidth="1"/>
    <col min="55" max="55" width="17.7109375" style="20" customWidth="1"/>
    <col min="56" max="56" width="17.28515625" style="20" customWidth="1"/>
    <col min="57" max="57" width="14.7109375" style="20" customWidth="1"/>
    <col min="58" max="58" width="16.140625" style="20" customWidth="1"/>
    <col min="59" max="59" width="13.5703125" style="20" customWidth="1"/>
    <col min="60" max="16384" width="11.42578125" style="20"/>
  </cols>
  <sheetData>
    <row r="1" spans="1:59" s="285" customFormat="1" x14ac:dyDescent="0.2">
      <c r="A1" s="296" t="s">
        <v>0</v>
      </c>
      <c r="B1" s="285" t="s">
        <v>1</v>
      </c>
      <c r="C1" s="285" t="s">
        <v>2</v>
      </c>
      <c r="D1" s="285" t="s">
        <v>3</v>
      </c>
      <c r="E1" s="285" t="s">
        <v>4</v>
      </c>
      <c r="F1" s="285" t="s">
        <v>5</v>
      </c>
      <c r="G1" s="285" t="s">
        <v>6</v>
      </c>
      <c r="H1" s="285" t="s">
        <v>7</v>
      </c>
      <c r="I1" s="285" t="s">
        <v>8</v>
      </c>
      <c r="J1" s="285" t="s">
        <v>280</v>
      </c>
      <c r="K1" s="285" t="s">
        <v>9</v>
      </c>
      <c r="L1" s="285" t="s">
        <v>10</v>
      </c>
      <c r="M1" s="285" t="s">
        <v>11</v>
      </c>
      <c r="N1" s="285" t="s">
        <v>12</v>
      </c>
      <c r="O1" s="285" t="s">
        <v>13</v>
      </c>
      <c r="P1" s="285" t="s">
        <v>14</v>
      </c>
      <c r="Q1" s="285" t="s">
        <v>15</v>
      </c>
      <c r="R1" s="285" t="s">
        <v>16</v>
      </c>
      <c r="S1" s="285" t="s">
        <v>17</v>
      </c>
      <c r="T1" s="285" t="s">
        <v>18</v>
      </c>
      <c r="U1" s="285" t="s">
        <v>19</v>
      </c>
      <c r="V1" s="285" t="s">
        <v>20</v>
      </c>
      <c r="W1" s="285" t="s">
        <v>21</v>
      </c>
      <c r="X1" s="285" t="s">
        <v>22</v>
      </c>
      <c r="Y1" s="285" t="s">
        <v>23</v>
      </c>
      <c r="Z1" s="285" t="s">
        <v>24</v>
      </c>
      <c r="AA1" s="285" t="s">
        <v>25</v>
      </c>
      <c r="AB1" s="285" t="s">
        <v>26</v>
      </c>
      <c r="AC1" s="285" t="s">
        <v>27</v>
      </c>
      <c r="AD1" s="285" t="s">
        <v>28</v>
      </c>
      <c r="AE1" s="285" t="s">
        <v>29</v>
      </c>
      <c r="AF1" s="285" t="s">
        <v>30</v>
      </c>
      <c r="AG1" s="285" t="s">
        <v>31</v>
      </c>
      <c r="AH1" s="285" t="s">
        <v>32</v>
      </c>
      <c r="AI1" s="285" t="s">
        <v>33</v>
      </c>
      <c r="AJ1" s="285" t="s">
        <v>34</v>
      </c>
      <c r="AK1" s="285" t="s">
        <v>35</v>
      </c>
      <c r="AL1" s="285" t="s">
        <v>36</v>
      </c>
      <c r="AM1" s="285" t="s">
        <v>37</v>
      </c>
      <c r="AN1" s="285" t="s">
        <v>38</v>
      </c>
      <c r="AO1" s="285" t="s">
        <v>39</v>
      </c>
      <c r="AP1" s="285" t="s">
        <v>40</v>
      </c>
      <c r="AQ1" s="285" t="s">
        <v>41</v>
      </c>
      <c r="AR1" s="285" t="s">
        <v>42</v>
      </c>
      <c r="AS1" s="285" t="s">
        <v>43</v>
      </c>
      <c r="AT1" s="285" t="s">
        <v>44</v>
      </c>
      <c r="AU1" s="285" t="s">
        <v>45</v>
      </c>
      <c r="AV1" s="285" t="s">
        <v>46</v>
      </c>
      <c r="AW1" s="285" t="s">
        <v>47</v>
      </c>
      <c r="AX1" s="285" t="s">
        <v>48</v>
      </c>
      <c r="AY1" s="285" t="s">
        <v>49</v>
      </c>
      <c r="AZ1" s="285" t="s">
        <v>50</v>
      </c>
      <c r="BA1" s="285" t="s">
        <v>51</v>
      </c>
      <c r="BB1" s="285" t="s">
        <v>52</v>
      </c>
      <c r="BC1" s="285" t="s">
        <v>53</v>
      </c>
      <c r="BD1" s="285" t="s">
        <v>54</v>
      </c>
      <c r="BE1" s="285" t="s">
        <v>55</v>
      </c>
      <c r="BF1" s="285" t="s">
        <v>56</v>
      </c>
      <c r="BG1" s="285" t="s">
        <v>57</v>
      </c>
    </row>
    <row r="2" spans="1:59" x14ac:dyDescent="0.2">
      <c r="A2" s="17" t="s">
        <v>58</v>
      </c>
      <c r="B2" s="85">
        <v>2126764</v>
      </c>
      <c r="C2" s="20">
        <v>0</v>
      </c>
      <c r="D2" s="20">
        <v>0</v>
      </c>
      <c r="E2" s="85">
        <v>71521034</v>
      </c>
      <c r="F2" s="20">
        <v>0</v>
      </c>
      <c r="G2" s="85">
        <v>1897004</v>
      </c>
      <c r="H2" s="20">
        <v>0</v>
      </c>
      <c r="I2" s="85">
        <v>9537702</v>
      </c>
      <c r="J2" s="85">
        <f>M2-B2-C2-D2-E2-F2-G2-H2-I2-K2</f>
        <v>2779951</v>
      </c>
      <c r="K2" s="85">
        <v>7783</v>
      </c>
      <c r="L2" s="85" t="s">
        <v>65</v>
      </c>
      <c r="M2" s="85">
        <v>87870238</v>
      </c>
      <c r="N2" s="85">
        <v>9537702</v>
      </c>
      <c r="O2" s="20">
        <v>0</v>
      </c>
      <c r="P2" s="20">
        <v>0</v>
      </c>
      <c r="Q2" s="85">
        <v>9537702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85">
        <v>2012747</v>
      </c>
      <c r="X2" s="20">
        <v>0</v>
      </c>
      <c r="Y2" s="85">
        <v>2779951</v>
      </c>
      <c r="Z2" s="85">
        <v>4792698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85">
        <v>2126764</v>
      </c>
      <c r="AI2" s="85">
        <v>16457164</v>
      </c>
      <c r="AJ2" s="20">
        <v>0</v>
      </c>
      <c r="AK2" s="20">
        <v>0</v>
      </c>
      <c r="AL2" s="20">
        <v>0</v>
      </c>
      <c r="AM2" s="85">
        <v>1223784</v>
      </c>
      <c r="AN2" s="85">
        <v>1739518</v>
      </c>
      <c r="AO2" s="85" t="s">
        <v>65</v>
      </c>
      <c r="AP2" s="85">
        <v>2963302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W2" s="20">
        <v>0</v>
      </c>
      <c r="AX2" s="85">
        <v>3940789</v>
      </c>
      <c r="AY2" s="85">
        <v>23241726</v>
      </c>
      <c r="AZ2" s="85">
        <v>20848232</v>
      </c>
      <c r="BA2" s="85">
        <v>18258136</v>
      </c>
      <c r="BB2" s="85" t="s">
        <v>65</v>
      </c>
      <c r="BC2" s="85">
        <v>66288883</v>
      </c>
      <c r="BD2" s="20">
        <v>0</v>
      </c>
      <c r="BF2" s="85">
        <v>69252185</v>
      </c>
      <c r="BG2" s="85">
        <v>85709349</v>
      </c>
    </row>
    <row r="3" spans="1:59" x14ac:dyDescent="0.2">
      <c r="A3" s="17" t="s">
        <v>59</v>
      </c>
      <c r="B3" s="20">
        <v>0</v>
      </c>
      <c r="C3" s="20">
        <v>0</v>
      </c>
      <c r="D3" s="20">
        <v>300</v>
      </c>
      <c r="E3" s="85">
        <v>12198</v>
      </c>
      <c r="F3" s="20">
        <v>0</v>
      </c>
      <c r="G3" s="20">
        <v>0</v>
      </c>
      <c r="H3" s="20">
        <v>0</v>
      </c>
      <c r="I3" s="85">
        <v>85632</v>
      </c>
      <c r="J3" s="85">
        <f t="shared" ref="J3:J66" si="0">M3-B3-C3-D3-E3-F3-G3-H3-I3-K3</f>
        <v>449474</v>
      </c>
      <c r="K3" s="20">
        <v>434</v>
      </c>
      <c r="L3" s="85" t="s">
        <v>65</v>
      </c>
      <c r="M3" s="85">
        <v>548038</v>
      </c>
      <c r="N3" s="85">
        <v>85632</v>
      </c>
      <c r="O3" s="85">
        <v>19245</v>
      </c>
      <c r="P3" s="20">
        <v>0</v>
      </c>
      <c r="Q3" s="85">
        <v>104877</v>
      </c>
      <c r="R3" s="20">
        <v>0</v>
      </c>
      <c r="S3" s="85">
        <v>167307</v>
      </c>
      <c r="T3" s="85">
        <v>247019</v>
      </c>
      <c r="U3" s="85">
        <v>15903</v>
      </c>
      <c r="V3" s="85">
        <v>430229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I3" s="85">
        <v>535106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P3" s="20">
        <v>0</v>
      </c>
      <c r="AQ3" s="20">
        <v>0</v>
      </c>
      <c r="AR3" s="20">
        <v>0</v>
      </c>
      <c r="AS3" s="85">
        <v>12198</v>
      </c>
      <c r="AT3" s="20">
        <v>0</v>
      </c>
      <c r="AU3" s="20">
        <v>0</v>
      </c>
      <c r="AW3" s="85">
        <v>12198</v>
      </c>
      <c r="AX3" s="20">
        <v>0</v>
      </c>
      <c r="AY3" s="20">
        <v>0</v>
      </c>
      <c r="AZ3" s="20">
        <v>0</v>
      </c>
      <c r="BA3" s="20">
        <v>0</v>
      </c>
      <c r="BC3" s="20">
        <v>0</v>
      </c>
      <c r="BD3" s="20">
        <v>0</v>
      </c>
      <c r="BF3" s="85">
        <v>12198</v>
      </c>
      <c r="BG3" s="85">
        <v>547304</v>
      </c>
    </row>
    <row r="4" spans="1:59" x14ac:dyDescent="0.2">
      <c r="A4" s="17" t="s">
        <v>60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85">
        <f t="shared" si="0"/>
        <v>0</v>
      </c>
      <c r="K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C4" s="20">
        <v>0</v>
      </c>
      <c r="BD4" s="20">
        <v>0</v>
      </c>
      <c r="BF4" s="20">
        <v>0</v>
      </c>
      <c r="BG4" s="20">
        <v>0</v>
      </c>
    </row>
    <row r="5" spans="1:59" x14ac:dyDescent="0.2">
      <c r="A5" s="17" t="s">
        <v>61</v>
      </c>
      <c r="B5" s="20">
        <v>0</v>
      </c>
      <c r="C5" s="85">
        <v>347409</v>
      </c>
      <c r="D5" s="20">
        <v>0</v>
      </c>
      <c r="E5" s="85">
        <v>981471</v>
      </c>
      <c r="F5" s="20">
        <v>0</v>
      </c>
      <c r="G5" s="85">
        <v>95266</v>
      </c>
      <c r="H5" s="20">
        <v>0</v>
      </c>
      <c r="I5" s="20">
        <v>0</v>
      </c>
      <c r="J5" s="85">
        <f t="shared" si="0"/>
        <v>199280</v>
      </c>
      <c r="K5" s="20">
        <v>188</v>
      </c>
      <c r="M5" s="85">
        <v>1623614</v>
      </c>
      <c r="N5" s="85">
        <v>40303</v>
      </c>
      <c r="O5" s="20">
        <v>0</v>
      </c>
      <c r="P5" s="85">
        <v>76114</v>
      </c>
      <c r="Q5" s="85">
        <v>116417</v>
      </c>
      <c r="R5" s="85">
        <v>31281</v>
      </c>
      <c r="S5" s="20">
        <v>0</v>
      </c>
      <c r="T5" s="20">
        <v>0</v>
      </c>
      <c r="U5" s="85">
        <v>51581</v>
      </c>
      <c r="V5" s="85">
        <v>82862</v>
      </c>
      <c r="W5" s="85">
        <v>502155</v>
      </c>
      <c r="X5" s="20">
        <v>0</v>
      </c>
      <c r="Y5" s="20">
        <v>0</v>
      </c>
      <c r="Z5" s="85">
        <v>502155</v>
      </c>
      <c r="AA5" s="20">
        <v>0</v>
      </c>
      <c r="AB5" s="20">
        <v>0</v>
      </c>
      <c r="AC5" s="20">
        <v>0</v>
      </c>
      <c r="AD5" s="85">
        <v>347409</v>
      </c>
      <c r="AE5" s="85">
        <v>347409</v>
      </c>
      <c r="AF5" s="20">
        <v>0</v>
      </c>
      <c r="AG5" s="20">
        <v>0</v>
      </c>
      <c r="AI5" s="85">
        <v>1048843</v>
      </c>
      <c r="AJ5" s="20">
        <v>0</v>
      </c>
      <c r="AK5" s="85">
        <v>850615</v>
      </c>
      <c r="AL5" s="20">
        <v>0</v>
      </c>
      <c r="AM5" s="20">
        <v>0</v>
      </c>
      <c r="AN5" s="20">
        <v>0</v>
      </c>
      <c r="AP5" s="85">
        <v>850615</v>
      </c>
      <c r="AQ5" s="85">
        <v>367634</v>
      </c>
      <c r="AR5" s="20">
        <v>0</v>
      </c>
      <c r="AS5" s="20">
        <v>0</v>
      </c>
      <c r="AT5" s="20">
        <v>0</v>
      </c>
      <c r="AU5" s="20">
        <v>0</v>
      </c>
      <c r="AW5" s="85">
        <v>367634</v>
      </c>
      <c r="AX5" s="85">
        <v>330000</v>
      </c>
      <c r="AY5" s="20">
        <v>0</v>
      </c>
      <c r="AZ5" s="20">
        <v>0</v>
      </c>
      <c r="BA5" s="20">
        <v>0</v>
      </c>
      <c r="BC5" s="85">
        <v>330000</v>
      </c>
      <c r="BD5" s="20">
        <v>0</v>
      </c>
      <c r="BF5" s="85">
        <v>1548249</v>
      </c>
      <c r="BG5" s="85">
        <v>2597092</v>
      </c>
    </row>
    <row r="6" spans="1:59" x14ac:dyDescent="0.2">
      <c r="A6" s="17" t="s">
        <v>62</v>
      </c>
      <c r="B6" s="85">
        <v>2008</v>
      </c>
      <c r="C6" s="85">
        <v>7567</v>
      </c>
      <c r="D6" s="20">
        <v>0</v>
      </c>
      <c r="E6" s="85">
        <v>740774</v>
      </c>
      <c r="F6" s="20">
        <v>0</v>
      </c>
      <c r="G6" s="85">
        <v>2104</v>
      </c>
      <c r="H6" s="20">
        <v>0</v>
      </c>
      <c r="I6" s="20">
        <v>0</v>
      </c>
      <c r="J6" s="85">
        <f t="shared" si="0"/>
        <v>12632</v>
      </c>
      <c r="K6" s="85">
        <v>1930</v>
      </c>
      <c r="M6" s="85">
        <v>767015</v>
      </c>
      <c r="N6" s="20">
        <v>0</v>
      </c>
      <c r="O6" s="20">
        <v>0</v>
      </c>
      <c r="P6" s="20">
        <v>0</v>
      </c>
      <c r="Q6" s="20">
        <v>0</v>
      </c>
      <c r="R6" s="85">
        <v>2008</v>
      </c>
      <c r="S6" s="20">
        <v>0</v>
      </c>
      <c r="T6" s="20">
        <v>0</v>
      </c>
      <c r="U6" s="85">
        <v>12632</v>
      </c>
      <c r="V6" s="85">
        <v>14640</v>
      </c>
      <c r="W6" s="85">
        <v>42000</v>
      </c>
      <c r="X6" s="20">
        <v>0</v>
      </c>
      <c r="Y6" s="20">
        <v>0</v>
      </c>
      <c r="Z6" s="85">
        <v>42000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85">
        <v>7567</v>
      </c>
      <c r="AG6" s="20">
        <v>0</v>
      </c>
      <c r="AI6" s="85">
        <v>64207</v>
      </c>
      <c r="AJ6" s="20">
        <v>0</v>
      </c>
      <c r="AK6" s="85">
        <v>349300</v>
      </c>
      <c r="AL6" s="20">
        <v>0</v>
      </c>
      <c r="AM6" s="85">
        <v>7000</v>
      </c>
      <c r="AN6" s="20">
        <v>0</v>
      </c>
      <c r="AP6" s="85">
        <v>356300</v>
      </c>
      <c r="AQ6" s="20">
        <v>0</v>
      </c>
      <c r="AR6" s="20">
        <v>0</v>
      </c>
      <c r="AS6" s="85">
        <v>90518</v>
      </c>
      <c r="AT6" s="85">
        <v>349330</v>
      </c>
      <c r="AU6" s="85">
        <v>3750</v>
      </c>
      <c r="AW6" s="85">
        <v>443598</v>
      </c>
      <c r="AX6" s="20">
        <v>0</v>
      </c>
      <c r="AY6" s="20">
        <v>0</v>
      </c>
      <c r="AZ6" s="20">
        <v>0</v>
      </c>
      <c r="BA6" s="20">
        <v>0</v>
      </c>
      <c r="BC6" s="20">
        <v>0</v>
      </c>
      <c r="BD6" s="20">
        <v>0</v>
      </c>
      <c r="BF6" s="85">
        <v>799898</v>
      </c>
      <c r="BG6" s="85">
        <v>864105</v>
      </c>
    </row>
    <row r="7" spans="1:59" x14ac:dyDescent="0.2">
      <c r="A7" s="17" t="s">
        <v>63</v>
      </c>
      <c r="B7" s="20">
        <v>0</v>
      </c>
      <c r="C7" s="85">
        <v>79245</v>
      </c>
      <c r="D7" s="20">
        <v>0</v>
      </c>
      <c r="E7" s="85">
        <v>4149878</v>
      </c>
      <c r="F7" s="20">
        <v>0</v>
      </c>
      <c r="G7" s="85">
        <v>783392</v>
      </c>
      <c r="H7" s="20">
        <v>0</v>
      </c>
      <c r="I7" s="85">
        <v>2205630</v>
      </c>
      <c r="J7" s="85">
        <f t="shared" si="0"/>
        <v>1966440</v>
      </c>
      <c r="K7" s="85">
        <v>391097</v>
      </c>
      <c r="M7" s="85">
        <v>9575682</v>
      </c>
      <c r="N7" s="85">
        <v>711673</v>
      </c>
      <c r="O7" s="85">
        <v>61320</v>
      </c>
      <c r="P7" s="85">
        <v>9365</v>
      </c>
      <c r="Q7" s="85">
        <v>782358</v>
      </c>
      <c r="R7" s="85">
        <v>1404098</v>
      </c>
      <c r="S7" s="85">
        <v>196747</v>
      </c>
      <c r="T7" s="85">
        <v>16656</v>
      </c>
      <c r="U7" s="85">
        <v>6744195</v>
      </c>
      <c r="V7" s="85">
        <v>8361696</v>
      </c>
      <c r="W7" s="85">
        <v>127500</v>
      </c>
      <c r="X7" s="20">
        <v>0</v>
      </c>
      <c r="Y7" s="20">
        <v>0</v>
      </c>
      <c r="Z7" s="85">
        <v>127500</v>
      </c>
      <c r="AA7" s="85">
        <v>6096</v>
      </c>
      <c r="AB7" s="20">
        <v>0</v>
      </c>
      <c r="AC7" s="85">
        <v>4714</v>
      </c>
      <c r="AD7" s="20">
        <v>0</v>
      </c>
      <c r="AE7" s="85">
        <v>10810</v>
      </c>
      <c r="AF7" s="85">
        <v>68435</v>
      </c>
      <c r="AG7" s="20">
        <v>0</v>
      </c>
      <c r="AI7" s="85">
        <v>9350799</v>
      </c>
      <c r="AJ7" s="20">
        <v>0</v>
      </c>
      <c r="AK7" s="85">
        <v>449053</v>
      </c>
      <c r="AL7" s="20">
        <v>0</v>
      </c>
      <c r="AM7" s="20">
        <v>0</v>
      </c>
      <c r="AN7" s="20">
        <v>0</v>
      </c>
      <c r="AP7" s="85">
        <v>449053</v>
      </c>
      <c r="AQ7" s="85">
        <v>3049006</v>
      </c>
      <c r="AR7" s="20">
        <v>0</v>
      </c>
      <c r="AS7" s="85">
        <v>653156</v>
      </c>
      <c r="AT7" s="20">
        <v>0</v>
      </c>
      <c r="AU7" s="20">
        <v>0</v>
      </c>
      <c r="AW7" s="85">
        <v>3702162</v>
      </c>
      <c r="AX7" s="20">
        <v>0</v>
      </c>
      <c r="AY7" s="20">
        <v>0</v>
      </c>
      <c r="AZ7" s="20">
        <v>0</v>
      </c>
      <c r="BA7" s="20">
        <v>0</v>
      </c>
      <c r="BC7" s="20">
        <v>0</v>
      </c>
      <c r="BD7" s="20">
        <v>0</v>
      </c>
      <c r="BF7" s="85">
        <v>4151215</v>
      </c>
      <c r="BG7" s="85">
        <v>13502014</v>
      </c>
    </row>
    <row r="8" spans="1:59" x14ac:dyDescent="0.2">
      <c r="A8" s="17" t="s">
        <v>64</v>
      </c>
      <c r="B8" s="20">
        <v>0</v>
      </c>
      <c r="C8" s="85">
        <v>124523</v>
      </c>
      <c r="D8" s="20">
        <v>0</v>
      </c>
      <c r="E8" s="85">
        <v>7479299</v>
      </c>
      <c r="F8" s="20">
        <v>0</v>
      </c>
      <c r="G8" s="85">
        <v>110376</v>
      </c>
      <c r="H8" s="20">
        <v>0</v>
      </c>
      <c r="I8" s="20">
        <v>0</v>
      </c>
      <c r="J8" s="85">
        <f t="shared" si="0"/>
        <v>988822</v>
      </c>
      <c r="K8" s="85">
        <v>8177</v>
      </c>
      <c r="M8" s="85">
        <v>8711197</v>
      </c>
      <c r="N8" s="85">
        <v>340852</v>
      </c>
      <c r="O8" s="20">
        <v>0</v>
      </c>
      <c r="P8" s="20">
        <v>0</v>
      </c>
      <c r="Q8" s="85">
        <v>340852</v>
      </c>
      <c r="R8" s="85">
        <v>79167</v>
      </c>
      <c r="S8" s="85">
        <v>21756</v>
      </c>
      <c r="T8" s="85">
        <v>17636</v>
      </c>
      <c r="U8" s="85">
        <v>578787</v>
      </c>
      <c r="V8" s="85">
        <v>697346</v>
      </c>
      <c r="W8" s="20">
        <v>0</v>
      </c>
      <c r="X8" s="85">
        <v>61000</v>
      </c>
      <c r="Y8" s="20">
        <v>0</v>
      </c>
      <c r="Z8" s="85">
        <v>61000</v>
      </c>
      <c r="AA8" s="85">
        <v>82475</v>
      </c>
      <c r="AB8" s="20">
        <v>0</v>
      </c>
      <c r="AC8" s="20">
        <v>0</v>
      </c>
      <c r="AD8" s="85">
        <v>8723</v>
      </c>
      <c r="AE8" s="85">
        <v>91198</v>
      </c>
      <c r="AF8" s="85">
        <v>12253</v>
      </c>
      <c r="AG8" s="85">
        <v>21073</v>
      </c>
      <c r="AI8" s="85">
        <v>1223722</v>
      </c>
      <c r="AJ8" s="20">
        <v>0</v>
      </c>
      <c r="AK8" s="85">
        <v>665620</v>
      </c>
      <c r="AL8" s="20">
        <v>0</v>
      </c>
      <c r="AM8" s="85">
        <v>7140</v>
      </c>
      <c r="AN8" s="20">
        <v>0</v>
      </c>
      <c r="AP8" s="85">
        <v>672760</v>
      </c>
      <c r="AQ8" s="85">
        <v>1923964</v>
      </c>
      <c r="AR8" s="20">
        <v>0</v>
      </c>
      <c r="AS8" s="85">
        <v>700822</v>
      </c>
      <c r="AT8" s="20">
        <v>0</v>
      </c>
      <c r="AU8" s="20">
        <v>0</v>
      </c>
      <c r="AW8" s="85">
        <v>2624786</v>
      </c>
      <c r="AX8" s="85">
        <v>1562261</v>
      </c>
      <c r="AY8" s="85">
        <v>741804</v>
      </c>
      <c r="AZ8" s="20">
        <v>0</v>
      </c>
      <c r="BA8" s="20">
        <v>0</v>
      </c>
      <c r="BC8" s="85">
        <v>2304065</v>
      </c>
      <c r="BD8" s="20">
        <v>0</v>
      </c>
      <c r="BF8" s="85">
        <v>5601611</v>
      </c>
      <c r="BG8" s="85">
        <v>6825333</v>
      </c>
    </row>
    <row r="9" spans="1:59" x14ac:dyDescent="0.2">
      <c r="A9" s="17" t="s">
        <v>245</v>
      </c>
      <c r="B9" s="20">
        <v>0</v>
      </c>
      <c r="C9" s="20">
        <v>0</v>
      </c>
      <c r="D9" s="20">
        <v>0</v>
      </c>
      <c r="E9" s="85">
        <v>548201</v>
      </c>
      <c r="F9" s="20">
        <v>0</v>
      </c>
      <c r="G9" s="85">
        <v>6692</v>
      </c>
      <c r="H9" s="20">
        <v>0</v>
      </c>
      <c r="I9" s="85">
        <v>3940</v>
      </c>
      <c r="J9" s="85">
        <f t="shared" si="0"/>
        <v>0</v>
      </c>
      <c r="K9" s="20">
        <v>547</v>
      </c>
      <c r="M9" s="85">
        <v>559380</v>
      </c>
      <c r="N9" s="85">
        <v>3940</v>
      </c>
      <c r="O9" s="20">
        <v>0</v>
      </c>
      <c r="P9" s="20">
        <v>0</v>
      </c>
      <c r="Q9" s="85">
        <v>3940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I9" s="85">
        <v>3940</v>
      </c>
      <c r="AJ9" s="20">
        <v>0</v>
      </c>
      <c r="AK9" s="85">
        <v>625825</v>
      </c>
      <c r="AL9" s="20">
        <v>0</v>
      </c>
      <c r="AM9" s="20">
        <v>0</v>
      </c>
      <c r="AN9" s="20">
        <v>0</v>
      </c>
      <c r="AP9" s="85">
        <v>625825</v>
      </c>
      <c r="AQ9" s="85">
        <v>293725</v>
      </c>
      <c r="AR9" s="20">
        <v>0</v>
      </c>
      <c r="AS9" s="85">
        <v>29928</v>
      </c>
      <c r="AT9" s="20">
        <v>0</v>
      </c>
      <c r="AU9" s="20">
        <v>0</v>
      </c>
      <c r="AW9" s="85">
        <v>323653</v>
      </c>
      <c r="AX9" s="20">
        <v>0</v>
      </c>
      <c r="AY9" s="20">
        <v>0</v>
      </c>
      <c r="AZ9" s="20">
        <v>0</v>
      </c>
      <c r="BA9" s="85">
        <v>1425000</v>
      </c>
      <c r="BC9" s="85">
        <v>1425000</v>
      </c>
      <c r="BD9" s="20">
        <v>0</v>
      </c>
      <c r="BF9" s="85">
        <v>2374478</v>
      </c>
      <c r="BG9" s="85">
        <v>2378418</v>
      </c>
    </row>
    <row r="10" spans="1:59" x14ac:dyDescent="0.2">
      <c r="A10" s="17" t="s">
        <v>246</v>
      </c>
      <c r="B10" s="20">
        <v>0</v>
      </c>
      <c r="C10" s="20">
        <v>0</v>
      </c>
      <c r="D10" s="20">
        <v>0</v>
      </c>
      <c r="E10" s="85">
        <v>461169</v>
      </c>
      <c r="F10" s="20">
        <v>0</v>
      </c>
      <c r="G10" s="85">
        <v>247192</v>
      </c>
      <c r="H10" s="20">
        <v>0</v>
      </c>
      <c r="I10" s="85">
        <v>45139</v>
      </c>
      <c r="J10" s="85">
        <f t="shared" si="0"/>
        <v>70662</v>
      </c>
      <c r="K10" s="85">
        <v>1470</v>
      </c>
      <c r="M10" s="85">
        <v>825632</v>
      </c>
      <c r="N10" s="85">
        <v>45139</v>
      </c>
      <c r="O10" s="20">
        <v>0</v>
      </c>
      <c r="P10" s="20">
        <v>0</v>
      </c>
      <c r="Q10" s="85">
        <v>45139</v>
      </c>
      <c r="R10" s="85">
        <v>15704</v>
      </c>
      <c r="S10" s="20">
        <v>0</v>
      </c>
      <c r="T10" s="85">
        <v>36826</v>
      </c>
      <c r="U10" s="85">
        <v>18132</v>
      </c>
      <c r="V10" s="85">
        <v>70662</v>
      </c>
      <c r="W10" s="85">
        <v>213196</v>
      </c>
      <c r="X10" s="85">
        <v>33996</v>
      </c>
      <c r="Y10" s="20">
        <v>0</v>
      </c>
      <c r="Z10" s="85">
        <v>247192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I10" s="85">
        <v>362993</v>
      </c>
      <c r="AJ10" s="20">
        <v>0</v>
      </c>
      <c r="AK10" s="85">
        <v>291470</v>
      </c>
      <c r="AL10" s="20">
        <v>0</v>
      </c>
      <c r="AM10" s="20">
        <v>0</v>
      </c>
      <c r="AN10" s="20">
        <v>0</v>
      </c>
      <c r="AP10" s="85">
        <v>291470</v>
      </c>
      <c r="AQ10" s="85">
        <v>169699</v>
      </c>
      <c r="AR10" s="20">
        <v>0</v>
      </c>
      <c r="AS10" s="20">
        <v>0</v>
      </c>
      <c r="AT10" s="20">
        <v>0</v>
      </c>
      <c r="AU10" s="20">
        <v>0</v>
      </c>
      <c r="AW10" s="85">
        <v>169699</v>
      </c>
      <c r="AX10" s="20">
        <v>0</v>
      </c>
      <c r="AY10" s="20">
        <v>0</v>
      </c>
      <c r="AZ10" s="20">
        <v>0</v>
      </c>
      <c r="BA10" s="20">
        <v>0</v>
      </c>
      <c r="BC10" s="20">
        <v>0</v>
      </c>
      <c r="BD10" s="20">
        <v>0</v>
      </c>
      <c r="BF10" s="85">
        <v>461169</v>
      </c>
      <c r="BG10" s="85">
        <v>824162</v>
      </c>
    </row>
    <row r="11" spans="1:59" x14ac:dyDescent="0.2">
      <c r="A11" s="17" t="s">
        <v>247</v>
      </c>
      <c r="B11" s="20">
        <v>0</v>
      </c>
      <c r="C11" s="85">
        <v>61213</v>
      </c>
      <c r="D11" s="20">
        <v>0</v>
      </c>
      <c r="E11" s="85">
        <v>1063996</v>
      </c>
      <c r="F11" s="20">
        <v>0</v>
      </c>
      <c r="G11" s="20">
        <v>0</v>
      </c>
      <c r="H11" s="20">
        <v>0</v>
      </c>
      <c r="I11" s="85">
        <v>84415</v>
      </c>
      <c r="J11" s="85">
        <f t="shared" si="0"/>
        <v>36959</v>
      </c>
      <c r="K11" s="20">
        <v>32</v>
      </c>
      <c r="M11" s="85">
        <v>1246615</v>
      </c>
      <c r="N11" s="85">
        <v>84415</v>
      </c>
      <c r="O11" s="20">
        <v>0</v>
      </c>
      <c r="P11" s="20">
        <v>0</v>
      </c>
      <c r="Q11" s="85">
        <v>84415</v>
      </c>
      <c r="R11" s="85">
        <v>34859</v>
      </c>
      <c r="S11" s="20">
        <v>0</v>
      </c>
      <c r="T11" s="85">
        <v>2100</v>
      </c>
      <c r="U11" s="20">
        <v>0</v>
      </c>
      <c r="V11" s="85">
        <v>36959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I11" s="85">
        <v>121374</v>
      </c>
      <c r="AJ11" s="20">
        <v>0</v>
      </c>
      <c r="AK11" s="20">
        <v>0</v>
      </c>
      <c r="AL11" s="20">
        <v>0</v>
      </c>
      <c r="AM11" s="20">
        <v>0</v>
      </c>
      <c r="AN11" s="20">
        <v>828</v>
      </c>
      <c r="AP11" s="20">
        <v>828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C11" s="20">
        <v>0</v>
      </c>
      <c r="BD11" s="20">
        <v>0</v>
      </c>
      <c r="BF11" s="20">
        <v>828</v>
      </c>
      <c r="BG11" s="85">
        <v>122202</v>
      </c>
    </row>
    <row r="12" spans="1:59" x14ac:dyDescent="0.2">
      <c r="A12" s="17" t="s">
        <v>248</v>
      </c>
      <c r="B12" s="20">
        <v>0</v>
      </c>
      <c r="C12" s="20">
        <v>0</v>
      </c>
      <c r="D12" s="20">
        <v>0</v>
      </c>
      <c r="E12" s="85">
        <v>5948038</v>
      </c>
      <c r="F12" s="20">
        <v>0</v>
      </c>
      <c r="G12" s="85">
        <v>3582</v>
      </c>
      <c r="H12" s="20">
        <v>0</v>
      </c>
      <c r="I12" s="85">
        <v>130414</v>
      </c>
      <c r="J12" s="85">
        <f t="shared" si="0"/>
        <v>0</v>
      </c>
      <c r="K12" s="85">
        <v>36372</v>
      </c>
      <c r="M12" s="85">
        <v>6118406</v>
      </c>
      <c r="N12" s="85">
        <v>130414</v>
      </c>
      <c r="O12" s="20">
        <v>0</v>
      </c>
      <c r="P12" s="20">
        <v>0</v>
      </c>
      <c r="Q12" s="85">
        <v>130414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85">
        <v>120857</v>
      </c>
      <c r="X12" s="20">
        <v>0</v>
      </c>
      <c r="Y12" s="20">
        <v>0</v>
      </c>
      <c r="Z12" s="85">
        <v>120857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I12" s="85">
        <v>251271</v>
      </c>
      <c r="AJ12" s="20">
        <v>0</v>
      </c>
      <c r="AK12" s="85">
        <v>118854</v>
      </c>
      <c r="AL12" s="20">
        <v>0</v>
      </c>
      <c r="AM12" s="20">
        <v>0</v>
      </c>
      <c r="AN12" s="85">
        <v>100991</v>
      </c>
      <c r="AP12" s="85">
        <v>219845</v>
      </c>
      <c r="AQ12" s="85">
        <v>3010817</v>
      </c>
      <c r="AR12" s="20">
        <v>0</v>
      </c>
      <c r="AS12" s="85">
        <v>1814069</v>
      </c>
      <c r="AT12" s="20">
        <v>0</v>
      </c>
      <c r="AU12" s="20">
        <v>0</v>
      </c>
      <c r="AW12" s="85">
        <v>4824886</v>
      </c>
      <c r="AX12" s="20">
        <v>0</v>
      </c>
      <c r="AY12" s="20">
        <v>0</v>
      </c>
      <c r="AZ12" s="20">
        <v>0</v>
      </c>
      <c r="BA12" s="20">
        <v>0</v>
      </c>
      <c r="BC12" s="20">
        <v>0</v>
      </c>
      <c r="BD12" s="20">
        <v>0</v>
      </c>
      <c r="BF12" s="85">
        <v>5044731</v>
      </c>
      <c r="BG12" s="85">
        <v>5296002</v>
      </c>
    </row>
    <row r="13" spans="1:59" x14ac:dyDescent="0.2">
      <c r="A13" s="17" t="s">
        <v>66</v>
      </c>
      <c r="B13" s="20">
        <v>0</v>
      </c>
      <c r="C13" s="20">
        <v>0</v>
      </c>
      <c r="D13" s="20">
        <v>0</v>
      </c>
      <c r="E13" s="85">
        <v>2362940</v>
      </c>
      <c r="F13" s="20">
        <v>0</v>
      </c>
      <c r="G13" s="20">
        <v>0</v>
      </c>
      <c r="H13" s="20">
        <v>0</v>
      </c>
      <c r="I13" s="85">
        <v>84099</v>
      </c>
      <c r="J13" s="85">
        <f t="shared" si="0"/>
        <v>18767</v>
      </c>
      <c r="K13" s="85">
        <v>3515</v>
      </c>
      <c r="M13" s="85">
        <v>2469321</v>
      </c>
      <c r="N13" s="85">
        <v>84098</v>
      </c>
      <c r="O13" s="20">
        <v>0</v>
      </c>
      <c r="P13" s="20">
        <v>0</v>
      </c>
      <c r="Q13" s="85">
        <v>84098</v>
      </c>
      <c r="R13" s="20">
        <v>0</v>
      </c>
      <c r="S13" s="20">
        <v>0</v>
      </c>
      <c r="T13" s="20">
        <v>0</v>
      </c>
      <c r="U13" s="85">
        <v>18766</v>
      </c>
      <c r="V13" s="85">
        <v>18766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I13" s="85">
        <v>102864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P13" s="20">
        <v>0</v>
      </c>
      <c r="AQ13" s="85">
        <v>770736</v>
      </c>
      <c r="AR13" s="20">
        <v>0</v>
      </c>
      <c r="AS13" s="85">
        <v>555038</v>
      </c>
      <c r="AT13" s="85">
        <v>37933</v>
      </c>
      <c r="AU13" s="85">
        <v>6900</v>
      </c>
      <c r="AW13" s="85">
        <v>1370607</v>
      </c>
      <c r="AX13" s="20">
        <v>0</v>
      </c>
      <c r="AY13" s="20">
        <v>0</v>
      </c>
      <c r="AZ13" s="20">
        <v>0</v>
      </c>
      <c r="BA13" s="20">
        <v>0</v>
      </c>
      <c r="BC13" s="20">
        <v>0</v>
      </c>
      <c r="BD13" s="20">
        <v>0</v>
      </c>
      <c r="BF13" s="85">
        <v>1370607</v>
      </c>
      <c r="BG13" s="85">
        <v>1473471</v>
      </c>
    </row>
    <row r="14" spans="1:59" x14ac:dyDescent="0.2">
      <c r="A14" s="17" t="s">
        <v>249</v>
      </c>
      <c r="B14" s="20">
        <v>0</v>
      </c>
      <c r="C14" s="20">
        <v>0</v>
      </c>
      <c r="D14" s="20">
        <v>0</v>
      </c>
      <c r="E14" s="85">
        <v>139931</v>
      </c>
      <c r="F14" s="20">
        <v>0</v>
      </c>
      <c r="G14" s="85">
        <v>113115</v>
      </c>
      <c r="H14" s="20">
        <v>0</v>
      </c>
      <c r="I14" s="85">
        <v>162924</v>
      </c>
      <c r="J14" s="85">
        <f t="shared" si="0"/>
        <v>347409</v>
      </c>
      <c r="K14" s="20">
        <v>0</v>
      </c>
      <c r="M14" s="85">
        <v>763379</v>
      </c>
      <c r="N14" s="85">
        <v>157146</v>
      </c>
      <c r="O14" s="20">
        <v>0</v>
      </c>
      <c r="P14" s="85">
        <v>5778</v>
      </c>
      <c r="Q14" s="85">
        <v>162924</v>
      </c>
      <c r="R14" s="85">
        <v>106576</v>
      </c>
      <c r="S14" s="20">
        <v>0</v>
      </c>
      <c r="T14" s="85">
        <v>305156</v>
      </c>
      <c r="U14" s="20">
        <v>0</v>
      </c>
      <c r="V14" s="85">
        <v>411732</v>
      </c>
      <c r="W14" s="85">
        <v>52212</v>
      </c>
      <c r="X14" s="20">
        <v>0</v>
      </c>
      <c r="Y14" s="20">
        <v>0</v>
      </c>
      <c r="Z14" s="85">
        <v>52212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I14" s="85">
        <v>626868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P14" s="20">
        <v>0</v>
      </c>
      <c r="AQ14" s="85">
        <v>272700</v>
      </c>
      <c r="AR14" s="20">
        <v>0</v>
      </c>
      <c r="AS14" s="85">
        <v>54094</v>
      </c>
      <c r="AT14" s="20">
        <v>0</v>
      </c>
      <c r="AU14" s="20">
        <v>0</v>
      </c>
      <c r="AW14" s="85">
        <v>326794</v>
      </c>
      <c r="AX14" s="20">
        <v>0</v>
      </c>
      <c r="AY14" s="20">
        <v>0</v>
      </c>
      <c r="AZ14" s="20">
        <v>0</v>
      </c>
      <c r="BA14" s="20">
        <v>0</v>
      </c>
      <c r="BC14" s="20">
        <v>0</v>
      </c>
      <c r="BD14" s="20">
        <v>0</v>
      </c>
      <c r="BF14" s="85">
        <v>326794</v>
      </c>
      <c r="BG14" s="85">
        <v>953662</v>
      </c>
    </row>
    <row r="15" spans="1:59" x14ac:dyDescent="0.2">
      <c r="A15" s="17" t="s">
        <v>250</v>
      </c>
      <c r="B15" s="20">
        <v>0</v>
      </c>
      <c r="C15" s="20">
        <v>0</v>
      </c>
      <c r="D15" s="20">
        <v>0</v>
      </c>
      <c r="E15" s="85">
        <v>103233</v>
      </c>
      <c r="F15" s="20">
        <v>0</v>
      </c>
      <c r="G15" s="85">
        <v>147144</v>
      </c>
      <c r="H15" s="20">
        <v>0</v>
      </c>
      <c r="I15" s="85">
        <v>377435</v>
      </c>
      <c r="J15" s="85">
        <f t="shared" si="0"/>
        <v>204312</v>
      </c>
      <c r="K15" s="85">
        <v>23845</v>
      </c>
      <c r="M15" s="85">
        <v>855969</v>
      </c>
      <c r="N15" s="85">
        <v>328591</v>
      </c>
      <c r="O15" s="20">
        <v>0</v>
      </c>
      <c r="P15" s="85">
        <v>48844</v>
      </c>
      <c r="Q15" s="85">
        <v>377435</v>
      </c>
      <c r="R15" s="85">
        <v>56600</v>
      </c>
      <c r="S15" s="20">
        <v>0</v>
      </c>
      <c r="T15" s="85">
        <v>11540</v>
      </c>
      <c r="U15" s="85">
        <v>136172</v>
      </c>
      <c r="V15" s="85">
        <v>204312</v>
      </c>
      <c r="W15" s="85">
        <v>38126</v>
      </c>
      <c r="X15" s="85">
        <v>241318</v>
      </c>
      <c r="Y15" s="20">
        <v>0</v>
      </c>
      <c r="Z15" s="85">
        <v>279444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I15" s="85">
        <v>861191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P15" s="20">
        <v>0</v>
      </c>
      <c r="AQ15" s="20">
        <v>0</v>
      </c>
      <c r="AR15" s="20">
        <v>0</v>
      </c>
      <c r="AS15" s="85">
        <v>73315</v>
      </c>
      <c r="AT15" s="20">
        <v>0</v>
      </c>
      <c r="AU15" s="20">
        <v>0</v>
      </c>
      <c r="AW15" s="85">
        <v>73315</v>
      </c>
      <c r="AX15" s="20">
        <v>0</v>
      </c>
      <c r="AY15" s="20">
        <v>0</v>
      </c>
      <c r="AZ15" s="20">
        <v>0</v>
      </c>
      <c r="BA15" s="20">
        <v>0</v>
      </c>
      <c r="BC15" s="20">
        <v>0</v>
      </c>
      <c r="BD15" s="20">
        <v>0</v>
      </c>
      <c r="BF15" s="85">
        <v>73315</v>
      </c>
      <c r="BG15" s="85">
        <v>934506</v>
      </c>
    </row>
    <row r="16" spans="1:59" x14ac:dyDescent="0.2">
      <c r="A16" s="17" t="s">
        <v>67</v>
      </c>
      <c r="B16" s="85">
        <v>95920</v>
      </c>
      <c r="C16" s="85">
        <v>40567</v>
      </c>
      <c r="D16" s="20">
        <v>0</v>
      </c>
      <c r="E16" s="85">
        <v>6948036</v>
      </c>
      <c r="F16" s="20">
        <v>0</v>
      </c>
      <c r="G16" s="20">
        <v>0</v>
      </c>
      <c r="H16" s="20">
        <v>0</v>
      </c>
      <c r="I16" s="85">
        <v>26293008</v>
      </c>
      <c r="J16" s="85">
        <f t="shared" si="0"/>
        <v>1181450</v>
      </c>
      <c r="K16" s="85">
        <v>904107</v>
      </c>
      <c r="M16" s="85">
        <v>35463088</v>
      </c>
      <c r="N16" s="85">
        <v>1482207</v>
      </c>
      <c r="O16" s="85">
        <v>24810801</v>
      </c>
      <c r="P16" s="20">
        <v>0</v>
      </c>
      <c r="Q16" s="85">
        <v>26293008</v>
      </c>
      <c r="R16" s="85">
        <v>480152</v>
      </c>
      <c r="S16" s="85">
        <v>117830</v>
      </c>
      <c r="T16" s="20">
        <v>0</v>
      </c>
      <c r="U16" s="85">
        <v>559731</v>
      </c>
      <c r="V16" s="85">
        <v>1157713</v>
      </c>
      <c r="W16" s="20">
        <v>0</v>
      </c>
      <c r="X16" s="85">
        <v>365838</v>
      </c>
      <c r="Y16" s="85">
        <v>23738</v>
      </c>
      <c r="Z16" s="85">
        <v>389576</v>
      </c>
      <c r="AA16" s="85">
        <v>10962</v>
      </c>
      <c r="AB16" s="85">
        <v>24798</v>
      </c>
      <c r="AC16" s="20">
        <v>0</v>
      </c>
      <c r="AD16" s="20">
        <v>0</v>
      </c>
      <c r="AE16" s="85">
        <v>35760</v>
      </c>
      <c r="AF16" s="85">
        <v>497264</v>
      </c>
      <c r="AG16" s="85">
        <v>45813</v>
      </c>
      <c r="AI16" s="85">
        <v>28419134</v>
      </c>
      <c r="AJ16" s="20">
        <v>0</v>
      </c>
      <c r="AK16" s="85">
        <v>312887</v>
      </c>
      <c r="AL16" s="20">
        <v>0</v>
      </c>
      <c r="AM16" s="20">
        <v>0</v>
      </c>
      <c r="AN16" s="20">
        <v>0</v>
      </c>
      <c r="AP16" s="85">
        <v>312887</v>
      </c>
      <c r="AQ16" s="85">
        <v>1535702</v>
      </c>
      <c r="AR16" s="20">
        <v>0</v>
      </c>
      <c r="AS16" s="85">
        <v>44837</v>
      </c>
      <c r="AT16" s="20">
        <v>0</v>
      </c>
      <c r="AU16" s="20">
        <v>0</v>
      </c>
      <c r="AW16" s="85">
        <v>1580539</v>
      </c>
      <c r="AX16" s="20">
        <v>0</v>
      </c>
      <c r="AY16" s="85">
        <v>133662</v>
      </c>
      <c r="AZ16" s="85">
        <v>129575</v>
      </c>
      <c r="BA16" s="85">
        <v>973656</v>
      </c>
      <c r="BC16" s="85">
        <v>1236893</v>
      </c>
      <c r="BD16" s="20">
        <v>0</v>
      </c>
      <c r="BF16" s="85">
        <v>3130319</v>
      </c>
      <c r="BG16" s="85">
        <v>31549453</v>
      </c>
    </row>
    <row r="17" spans="1:59" x14ac:dyDescent="0.2">
      <c r="A17" s="17" t="s">
        <v>68</v>
      </c>
      <c r="B17" s="20">
        <v>0</v>
      </c>
      <c r="C17" s="20">
        <v>0</v>
      </c>
      <c r="D17" s="20">
        <v>0</v>
      </c>
      <c r="E17" s="85">
        <v>2298552</v>
      </c>
      <c r="F17" s="20">
        <v>0</v>
      </c>
      <c r="G17" s="85">
        <v>2649414</v>
      </c>
      <c r="H17" s="20">
        <v>0</v>
      </c>
      <c r="I17" s="20">
        <v>0</v>
      </c>
      <c r="J17" s="85">
        <f t="shared" si="0"/>
        <v>16816729</v>
      </c>
      <c r="K17" s="20">
        <v>0</v>
      </c>
      <c r="M17" s="85">
        <v>21764695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85">
        <v>4545079</v>
      </c>
      <c r="T17" s="20">
        <v>0</v>
      </c>
      <c r="U17" s="85">
        <v>12271650</v>
      </c>
      <c r="V17" s="85">
        <v>16816729</v>
      </c>
      <c r="W17" s="85">
        <v>2649414</v>
      </c>
      <c r="X17" s="20">
        <v>0</v>
      </c>
      <c r="Y17" s="20">
        <v>0</v>
      </c>
      <c r="Z17" s="85">
        <v>2649414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I17" s="85">
        <v>19466143</v>
      </c>
      <c r="AJ17" s="20">
        <v>0</v>
      </c>
      <c r="AK17" s="85">
        <v>301297</v>
      </c>
      <c r="AL17" s="20">
        <v>0</v>
      </c>
      <c r="AM17" s="20">
        <v>0</v>
      </c>
      <c r="AN17" s="20">
        <v>0</v>
      </c>
      <c r="AP17" s="85">
        <v>301297</v>
      </c>
      <c r="AQ17" s="85">
        <v>122255</v>
      </c>
      <c r="AR17" s="20">
        <v>0</v>
      </c>
      <c r="AS17" s="20">
        <v>0</v>
      </c>
      <c r="AT17" s="20">
        <v>0</v>
      </c>
      <c r="AU17" s="20">
        <v>0</v>
      </c>
      <c r="AW17" s="85">
        <v>122255</v>
      </c>
      <c r="AX17" s="20">
        <v>0</v>
      </c>
      <c r="AY17" s="20">
        <v>0</v>
      </c>
      <c r="AZ17" s="20">
        <v>0</v>
      </c>
      <c r="BA17" s="20">
        <v>0</v>
      </c>
      <c r="BC17" s="20">
        <v>0</v>
      </c>
      <c r="BD17" s="20">
        <v>0</v>
      </c>
      <c r="BF17" s="85">
        <v>423552</v>
      </c>
      <c r="BG17" s="85">
        <v>19889695</v>
      </c>
    </row>
    <row r="18" spans="1:59" x14ac:dyDescent="0.2">
      <c r="A18" s="17" t="s">
        <v>69</v>
      </c>
      <c r="B18" s="85">
        <v>2087</v>
      </c>
      <c r="C18" s="85">
        <v>3865</v>
      </c>
      <c r="D18" s="85">
        <v>90103</v>
      </c>
      <c r="E18" s="85">
        <v>729404</v>
      </c>
      <c r="F18" s="20">
        <v>0</v>
      </c>
      <c r="G18" s="85">
        <v>265789</v>
      </c>
      <c r="H18" s="20">
        <v>0</v>
      </c>
      <c r="I18" s="85">
        <v>18678</v>
      </c>
      <c r="J18" s="85">
        <f t="shared" si="0"/>
        <v>28667</v>
      </c>
      <c r="K18" s="20">
        <v>33</v>
      </c>
      <c r="M18" s="85">
        <v>1138626</v>
      </c>
      <c r="N18" s="85">
        <v>18678</v>
      </c>
      <c r="O18" s="20">
        <v>0</v>
      </c>
      <c r="P18" s="20">
        <v>0</v>
      </c>
      <c r="Q18" s="85">
        <v>18678</v>
      </c>
      <c r="R18" s="20">
        <v>0</v>
      </c>
      <c r="S18" s="20">
        <v>0</v>
      </c>
      <c r="T18" s="20">
        <v>0</v>
      </c>
      <c r="U18" s="85">
        <v>28667</v>
      </c>
      <c r="V18" s="85">
        <v>28667</v>
      </c>
      <c r="W18" s="85">
        <v>265790</v>
      </c>
      <c r="X18" s="20">
        <v>0</v>
      </c>
      <c r="Y18" s="20">
        <v>0</v>
      </c>
      <c r="Z18" s="85">
        <v>265790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85">
        <v>93969</v>
      </c>
      <c r="AG18" s="85">
        <v>2087</v>
      </c>
      <c r="AI18" s="85">
        <v>409191</v>
      </c>
      <c r="AJ18" s="20">
        <v>0</v>
      </c>
      <c r="AK18" s="85">
        <v>308031</v>
      </c>
      <c r="AL18" s="20">
        <v>0</v>
      </c>
      <c r="AM18" s="20">
        <v>0</v>
      </c>
      <c r="AN18" s="20">
        <v>0</v>
      </c>
      <c r="AP18" s="85">
        <v>308031</v>
      </c>
      <c r="AQ18" s="85">
        <v>98520</v>
      </c>
      <c r="AR18" s="20">
        <v>0</v>
      </c>
      <c r="AS18" s="85">
        <v>171571</v>
      </c>
      <c r="AT18" s="20">
        <v>0</v>
      </c>
      <c r="AU18" s="20">
        <v>0</v>
      </c>
      <c r="AW18" s="85">
        <v>270091</v>
      </c>
      <c r="AX18" s="85">
        <v>63051</v>
      </c>
      <c r="AY18" s="20">
        <v>0</v>
      </c>
      <c r="AZ18" s="85">
        <v>88228</v>
      </c>
      <c r="BA18" s="20">
        <v>0</v>
      </c>
      <c r="BC18" s="85">
        <v>151279</v>
      </c>
      <c r="BD18" s="20">
        <v>0</v>
      </c>
      <c r="BF18" s="85">
        <v>729401</v>
      </c>
      <c r="BG18" s="85">
        <v>1138592</v>
      </c>
    </row>
    <row r="19" spans="1:59" x14ac:dyDescent="0.2">
      <c r="A19" s="17" t="s">
        <v>70</v>
      </c>
      <c r="B19" s="20">
        <v>0</v>
      </c>
      <c r="C19" s="85">
        <v>24583</v>
      </c>
      <c r="D19" s="20">
        <v>0</v>
      </c>
      <c r="E19" s="85">
        <v>4893886</v>
      </c>
      <c r="F19" s="85">
        <v>150344</v>
      </c>
      <c r="G19" s="85">
        <v>750230</v>
      </c>
      <c r="H19" s="20">
        <v>0</v>
      </c>
      <c r="I19" s="85">
        <v>81258</v>
      </c>
      <c r="J19" s="85">
        <f t="shared" si="0"/>
        <v>237323</v>
      </c>
      <c r="K19" s="85">
        <v>3427</v>
      </c>
      <c r="M19" s="85">
        <v>6141051</v>
      </c>
      <c r="N19" s="85">
        <v>77458</v>
      </c>
      <c r="O19" s="20">
        <v>0</v>
      </c>
      <c r="P19" s="85">
        <v>3800</v>
      </c>
      <c r="Q19" s="85">
        <v>81258</v>
      </c>
      <c r="R19" s="85">
        <v>84413</v>
      </c>
      <c r="S19" s="85">
        <v>67601</v>
      </c>
      <c r="T19" s="85">
        <v>55266</v>
      </c>
      <c r="U19" s="20">
        <v>0</v>
      </c>
      <c r="V19" s="85">
        <v>207280</v>
      </c>
      <c r="W19" s="85">
        <v>335979</v>
      </c>
      <c r="X19" s="85">
        <v>426994</v>
      </c>
      <c r="Y19" s="20">
        <v>0</v>
      </c>
      <c r="Z19" s="85">
        <v>762973</v>
      </c>
      <c r="AA19" s="20">
        <v>0</v>
      </c>
      <c r="AB19" s="20">
        <v>0</v>
      </c>
      <c r="AC19" s="20">
        <v>0</v>
      </c>
      <c r="AD19" s="20">
        <v>720</v>
      </c>
      <c r="AE19" s="20">
        <v>720</v>
      </c>
      <c r="AF19" s="20">
        <v>0</v>
      </c>
      <c r="AG19" s="20">
        <v>0</v>
      </c>
      <c r="AI19" s="85">
        <v>1052231</v>
      </c>
      <c r="AJ19" s="20">
        <v>0</v>
      </c>
      <c r="AK19" s="85">
        <v>314994</v>
      </c>
      <c r="AL19" s="20">
        <v>0</v>
      </c>
      <c r="AM19" s="20">
        <v>0</v>
      </c>
      <c r="AN19" s="20">
        <v>0</v>
      </c>
      <c r="AP19" s="85">
        <v>314994</v>
      </c>
      <c r="AQ19" s="20">
        <v>0</v>
      </c>
      <c r="AR19" s="20">
        <v>0</v>
      </c>
      <c r="AS19" s="85">
        <v>1315013</v>
      </c>
      <c r="AT19" s="20">
        <v>0</v>
      </c>
      <c r="AU19" s="20">
        <v>0</v>
      </c>
      <c r="AW19" s="85">
        <v>1315013</v>
      </c>
      <c r="AX19" s="85">
        <v>219205</v>
      </c>
      <c r="AY19" s="20">
        <v>0</v>
      </c>
      <c r="AZ19" s="85">
        <v>50721</v>
      </c>
      <c r="BA19" s="85">
        <v>153505</v>
      </c>
      <c r="BC19" s="85">
        <v>423431</v>
      </c>
      <c r="BD19" s="85">
        <v>638163</v>
      </c>
      <c r="BF19" s="85">
        <v>2053438</v>
      </c>
      <c r="BG19" s="85">
        <v>3105669</v>
      </c>
    </row>
    <row r="20" spans="1:59" x14ac:dyDescent="0.2">
      <c r="A20" s="17" t="s">
        <v>71</v>
      </c>
      <c r="B20" s="20">
        <v>0</v>
      </c>
      <c r="C20" s="20">
        <v>0</v>
      </c>
      <c r="D20" s="20">
        <v>0</v>
      </c>
      <c r="E20" s="85">
        <v>2852252</v>
      </c>
      <c r="F20" s="20">
        <v>0</v>
      </c>
      <c r="G20" s="85">
        <v>1376139</v>
      </c>
      <c r="H20" s="20">
        <v>0</v>
      </c>
      <c r="I20" s="85">
        <v>189357</v>
      </c>
      <c r="J20" s="85">
        <f t="shared" si="0"/>
        <v>172418</v>
      </c>
      <c r="K20" s="85">
        <v>635664</v>
      </c>
      <c r="M20" s="85">
        <v>5225830</v>
      </c>
      <c r="N20" s="85">
        <v>188853</v>
      </c>
      <c r="O20" s="20">
        <v>0</v>
      </c>
      <c r="P20" s="20">
        <v>504</v>
      </c>
      <c r="Q20" s="85">
        <v>189357</v>
      </c>
      <c r="R20" s="85">
        <v>168790</v>
      </c>
      <c r="S20" s="20">
        <v>0</v>
      </c>
      <c r="T20" s="20">
        <v>0</v>
      </c>
      <c r="U20" s="85">
        <v>3628</v>
      </c>
      <c r="V20" s="85">
        <v>40418</v>
      </c>
      <c r="W20" s="85">
        <v>1246224</v>
      </c>
      <c r="X20" s="85">
        <v>132000</v>
      </c>
      <c r="Y20" s="20">
        <v>0</v>
      </c>
      <c r="Z20" s="85">
        <v>1378224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I20" s="85">
        <v>1607999</v>
      </c>
      <c r="AJ20" s="20">
        <v>0</v>
      </c>
      <c r="AK20" s="85">
        <v>300000</v>
      </c>
      <c r="AL20" s="20">
        <v>0</v>
      </c>
      <c r="AM20" s="20">
        <v>0</v>
      </c>
      <c r="AN20" s="20">
        <v>0</v>
      </c>
      <c r="AP20" s="85">
        <v>300000</v>
      </c>
      <c r="AQ20" s="85">
        <v>1743949</v>
      </c>
      <c r="AR20" s="20">
        <v>0</v>
      </c>
      <c r="AS20" s="85">
        <v>102189</v>
      </c>
      <c r="AT20" s="20">
        <v>0</v>
      </c>
      <c r="AU20" s="20">
        <v>0</v>
      </c>
      <c r="AW20" s="85">
        <v>1846138</v>
      </c>
      <c r="AX20" s="20">
        <v>0</v>
      </c>
      <c r="AY20" s="20">
        <v>0</v>
      </c>
      <c r="AZ20" s="20">
        <v>0</v>
      </c>
      <c r="BA20" s="85">
        <v>272920</v>
      </c>
      <c r="BC20" s="85">
        <v>272920</v>
      </c>
      <c r="BD20" s="20">
        <v>0</v>
      </c>
      <c r="BF20" s="85">
        <v>2419058</v>
      </c>
      <c r="BG20" s="85">
        <v>4027057</v>
      </c>
    </row>
    <row r="21" spans="1:59" x14ac:dyDescent="0.2">
      <c r="A21" s="17" t="s">
        <v>72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85">
        <v>15431</v>
      </c>
      <c r="H21" s="20">
        <v>0</v>
      </c>
      <c r="I21" s="85">
        <v>3943</v>
      </c>
      <c r="J21" s="85">
        <f t="shared" si="0"/>
        <v>0</v>
      </c>
      <c r="K21" s="20">
        <v>0</v>
      </c>
      <c r="M21" s="85">
        <v>19374</v>
      </c>
      <c r="N21" s="85">
        <v>2277</v>
      </c>
      <c r="O21" s="20">
        <v>0</v>
      </c>
      <c r="P21" s="85">
        <v>11431</v>
      </c>
      <c r="Q21" s="85">
        <v>13708</v>
      </c>
      <c r="R21" s="85">
        <v>1750</v>
      </c>
      <c r="S21" s="20">
        <v>0</v>
      </c>
      <c r="T21" s="20">
        <v>0</v>
      </c>
      <c r="U21" s="85">
        <v>1666</v>
      </c>
      <c r="V21" s="85">
        <v>3416</v>
      </c>
      <c r="W21" s="85">
        <v>2250</v>
      </c>
      <c r="X21" s="20">
        <v>0</v>
      </c>
      <c r="Y21" s="20">
        <v>0</v>
      </c>
      <c r="Z21" s="85">
        <v>2250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I21" s="85">
        <v>19374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C21" s="20">
        <v>0</v>
      </c>
      <c r="BD21" s="20">
        <v>0</v>
      </c>
      <c r="BF21" s="20">
        <v>0</v>
      </c>
      <c r="BG21" s="85">
        <v>19374</v>
      </c>
    </row>
    <row r="22" spans="1:59" x14ac:dyDescent="0.2">
      <c r="A22" s="17" t="s">
        <v>73</v>
      </c>
      <c r="B22" s="20">
        <v>0</v>
      </c>
      <c r="C22" s="85">
        <v>45136</v>
      </c>
      <c r="D22" s="20">
        <v>0</v>
      </c>
      <c r="E22" s="85">
        <v>1022979</v>
      </c>
      <c r="F22" s="20">
        <v>0</v>
      </c>
      <c r="G22" s="20">
        <v>0</v>
      </c>
      <c r="H22" s="20">
        <v>0</v>
      </c>
      <c r="I22" s="85">
        <v>11242</v>
      </c>
      <c r="J22" s="85">
        <f t="shared" si="0"/>
        <v>6855</v>
      </c>
      <c r="K22" s="20">
        <v>66</v>
      </c>
      <c r="M22" s="85">
        <v>1086278</v>
      </c>
      <c r="N22" s="85">
        <v>11242</v>
      </c>
      <c r="O22" s="20">
        <v>0</v>
      </c>
      <c r="P22" s="20">
        <v>0</v>
      </c>
      <c r="Q22" s="85">
        <v>11242</v>
      </c>
      <c r="R22" s="20">
        <v>0</v>
      </c>
      <c r="S22" s="20">
        <v>0</v>
      </c>
      <c r="T22" s="20">
        <v>0</v>
      </c>
      <c r="U22" s="85">
        <v>6855</v>
      </c>
      <c r="V22" s="85">
        <v>6855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85">
        <v>43288</v>
      </c>
      <c r="AG22" s="20">
        <v>0</v>
      </c>
      <c r="AI22" s="85">
        <v>61385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P22" s="20">
        <v>0</v>
      </c>
      <c r="AQ22" s="85">
        <v>7000</v>
      </c>
      <c r="AR22" s="20">
        <v>0</v>
      </c>
      <c r="AS22" s="85">
        <v>121728</v>
      </c>
      <c r="AT22" s="20">
        <v>0</v>
      </c>
      <c r="AU22" s="20">
        <v>0</v>
      </c>
      <c r="AW22" s="85">
        <v>128728</v>
      </c>
      <c r="AX22" s="20">
        <v>0</v>
      </c>
      <c r="AY22" s="20">
        <v>0</v>
      </c>
      <c r="AZ22" s="20">
        <v>0</v>
      </c>
      <c r="BA22" s="20">
        <v>0</v>
      </c>
      <c r="BC22" s="20">
        <v>0</v>
      </c>
      <c r="BD22" s="20">
        <v>0</v>
      </c>
      <c r="BF22" s="85">
        <v>128728</v>
      </c>
      <c r="BG22" s="85">
        <v>190113</v>
      </c>
    </row>
    <row r="23" spans="1:59" x14ac:dyDescent="0.2">
      <c r="A23" s="17" t="s">
        <v>74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85">
        <f t="shared" si="0"/>
        <v>138210</v>
      </c>
      <c r="K23" s="20">
        <v>0</v>
      </c>
      <c r="M23" s="85">
        <v>138210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85">
        <v>138210</v>
      </c>
      <c r="X23" s="20">
        <v>0</v>
      </c>
      <c r="Y23" s="20">
        <v>0</v>
      </c>
      <c r="Z23" s="85">
        <v>138210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I23" s="85">
        <v>138210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C23" s="20">
        <v>0</v>
      </c>
      <c r="BD23" s="20">
        <v>0</v>
      </c>
      <c r="BF23" s="20">
        <v>0</v>
      </c>
      <c r="BG23" s="85">
        <v>138210</v>
      </c>
    </row>
    <row r="24" spans="1:59" x14ac:dyDescent="0.2">
      <c r="A24" s="17" t="s">
        <v>75</v>
      </c>
      <c r="B24" s="20">
        <v>0</v>
      </c>
      <c r="C24" s="85">
        <v>24635</v>
      </c>
      <c r="D24" s="20">
        <v>0</v>
      </c>
      <c r="E24" s="85">
        <v>18923892</v>
      </c>
      <c r="F24" s="20">
        <v>0</v>
      </c>
      <c r="G24" s="20">
        <v>0</v>
      </c>
      <c r="H24" s="20">
        <v>0</v>
      </c>
      <c r="I24" s="20">
        <v>0</v>
      </c>
      <c r="J24" s="85">
        <f t="shared" si="0"/>
        <v>0</v>
      </c>
      <c r="K24" s="85">
        <v>47223</v>
      </c>
      <c r="M24" s="85">
        <v>18995750</v>
      </c>
      <c r="N24" s="85">
        <v>7508040</v>
      </c>
      <c r="O24" s="20">
        <v>0</v>
      </c>
      <c r="P24" s="20">
        <v>0</v>
      </c>
      <c r="Q24" s="85">
        <v>7508040</v>
      </c>
      <c r="R24" s="85">
        <v>1082789</v>
      </c>
      <c r="S24" s="20">
        <v>0</v>
      </c>
      <c r="T24" s="85">
        <v>3960764</v>
      </c>
      <c r="U24" s="20">
        <v>0</v>
      </c>
      <c r="V24" s="85">
        <v>5043553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I24" s="85">
        <v>12551593</v>
      </c>
      <c r="AJ24" s="85">
        <v>2159563</v>
      </c>
      <c r="AK24" s="85">
        <v>1282900</v>
      </c>
      <c r="AL24" s="20">
        <v>0</v>
      </c>
      <c r="AM24" s="20">
        <v>0</v>
      </c>
      <c r="AN24" s="20">
        <v>0</v>
      </c>
      <c r="AP24" s="85">
        <v>3442463</v>
      </c>
      <c r="AQ24" s="20">
        <v>0</v>
      </c>
      <c r="AR24" s="20">
        <v>0</v>
      </c>
      <c r="AS24" s="85">
        <v>3968479</v>
      </c>
      <c r="AT24" s="20">
        <v>0</v>
      </c>
      <c r="AU24" s="20">
        <v>0</v>
      </c>
      <c r="AW24" s="85">
        <v>3968479</v>
      </c>
      <c r="AX24" s="85">
        <v>1904205</v>
      </c>
      <c r="AY24" s="85">
        <v>5935131</v>
      </c>
      <c r="AZ24" s="20">
        <v>0</v>
      </c>
      <c r="BA24" s="20">
        <v>0</v>
      </c>
      <c r="BC24" s="85">
        <v>7839336</v>
      </c>
      <c r="BD24" s="20">
        <v>0</v>
      </c>
      <c r="BF24" s="85">
        <v>15250278</v>
      </c>
      <c r="BG24" s="85">
        <v>27801871</v>
      </c>
    </row>
    <row r="25" spans="1:59" x14ac:dyDescent="0.2">
      <c r="A25" s="17" t="s">
        <v>76</v>
      </c>
      <c r="B25" s="20">
        <v>0</v>
      </c>
      <c r="C25" s="20">
        <v>0</v>
      </c>
      <c r="D25" s="20">
        <v>0</v>
      </c>
      <c r="E25" s="85">
        <v>361476</v>
      </c>
      <c r="F25" s="20">
        <v>0</v>
      </c>
      <c r="G25" s="85">
        <v>252139</v>
      </c>
      <c r="H25" s="20">
        <v>0</v>
      </c>
      <c r="I25" s="85">
        <v>21006</v>
      </c>
      <c r="J25" s="85">
        <f t="shared" si="0"/>
        <v>139569</v>
      </c>
      <c r="K25" s="20">
        <v>364</v>
      </c>
      <c r="M25" s="85">
        <v>774554</v>
      </c>
      <c r="N25" s="85">
        <v>21006</v>
      </c>
      <c r="O25" s="20">
        <v>0</v>
      </c>
      <c r="P25" s="20">
        <v>0</v>
      </c>
      <c r="Q25" s="85">
        <v>21006</v>
      </c>
      <c r="R25" s="20">
        <v>0</v>
      </c>
      <c r="S25" s="20">
        <v>0</v>
      </c>
      <c r="T25" s="85">
        <v>19931</v>
      </c>
      <c r="U25" s="85">
        <v>2171</v>
      </c>
      <c r="V25" s="85">
        <v>22102</v>
      </c>
      <c r="W25" s="85">
        <v>230036</v>
      </c>
      <c r="X25" s="20">
        <v>0</v>
      </c>
      <c r="Y25" s="85">
        <v>139569</v>
      </c>
      <c r="Z25" s="85">
        <v>369605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369</v>
      </c>
      <c r="AI25" s="85">
        <v>413082</v>
      </c>
      <c r="AJ25" s="20">
        <v>0</v>
      </c>
      <c r="AK25" s="85">
        <v>99737</v>
      </c>
      <c r="AL25" s="20">
        <v>0</v>
      </c>
      <c r="AM25" s="20">
        <v>0</v>
      </c>
      <c r="AN25" s="20">
        <v>0</v>
      </c>
      <c r="AP25" s="85">
        <v>99737</v>
      </c>
      <c r="AQ25" s="85">
        <v>219062</v>
      </c>
      <c r="AR25" s="20">
        <v>0</v>
      </c>
      <c r="AS25" s="85">
        <v>31653</v>
      </c>
      <c r="AT25" s="20">
        <v>0</v>
      </c>
      <c r="AU25" s="20">
        <v>0</v>
      </c>
      <c r="AW25" s="85">
        <v>250715</v>
      </c>
      <c r="AX25" s="20">
        <v>0</v>
      </c>
      <c r="AY25" s="20">
        <v>0</v>
      </c>
      <c r="AZ25" s="20">
        <v>0</v>
      </c>
      <c r="BA25" s="85">
        <v>11020</v>
      </c>
      <c r="BC25" s="85">
        <v>11020</v>
      </c>
      <c r="BD25" s="20">
        <v>0</v>
      </c>
      <c r="BF25" s="85">
        <v>361472</v>
      </c>
      <c r="BG25" s="85">
        <v>774554</v>
      </c>
    </row>
    <row r="26" spans="1:59" x14ac:dyDescent="0.2">
      <c r="A26" s="17" t="s">
        <v>77</v>
      </c>
      <c r="B26" s="20">
        <v>0</v>
      </c>
      <c r="C26" s="20">
        <v>0</v>
      </c>
      <c r="D26" s="85">
        <v>1712</v>
      </c>
      <c r="E26" s="20">
        <v>0</v>
      </c>
      <c r="F26" s="20">
        <v>0</v>
      </c>
      <c r="G26" s="20">
        <v>0</v>
      </c>
      <c r="H26" s="20">
        <v>0</v>
      </c>
      <c r="I26" s="85">
        <v>29848</v>
      </c>
      <c r="J26" s="85">
        <f t="shared" si="0"/>
        <v>74897</v>
      </c>
      <c r="K26" s="20">
        <v>0</v>
      </c>
      <c r="M26" s="85">
        <v>106457</v>
      </c>
      <c r="N26" s="85">
        <v>29848</v>
      </c>
      <c r="O26" s="20">
        <v>0</v>
      </c>
      <c r="P26" s="20">
        <v>0</v>
      </c>
      <c r="Q26" s="85">
        <v>29848</v>
      </c>
      <c r="R26" s="20">
        <v>0</v>
      </c>
      <c r="S26" s="20">
        <v>0</v>
      </c>
      <c r="T26" s="85">
        <v>32057</v>
      </c>
      <c r="U26" s="85">
        <v>51001</v>
      </c>
      <c r="V26" s="85">
        <v>83058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I26" s="85">
        <v>112906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C26" s="20">
        <v>0</v>
      </c>
      <c r="BD26" s="20">
        <v>0</v>
      </c>
      <c r="BF26" s="20">
        <v>0</v>
      </c>
      <c r="BG26" s="85">
        <v>112906</v>
      </c>
    </row>
    <row r="27" spans="1:59" x14ac:dyDescent="0.2">
      <c r="A27" s="17" t="s">
        <v>78</v>
      </c>
      <c r="B27" s="85">
        <v>337029</v>
      </c>
      <c r="C27" s="85">
        <v>17735</v>
      </c>
      <c r="D27" s="20">
        <v>0</v>
      </c>
      <c r="E27" s="85">
        <v>437488</v>
      </c>
      <c r="F27" s="85">
        <v>937788</v>
      </c>
      <c r="G27" s="20">
        <v>0</v>
      </c>
      <c r="H27" s="20">
        <v>0</v>
      </c>
      <c r="I27" s="85">
        <v>24500238</v>
      </c>
      <c r="J27" s="85">
        <f t="shared" si="0"/>
        <v>1229059</v>
      </c>
      <c r="K27" s="85">
        <v>2726040</v>
      </c>
      <c r="M27" s="85">
        <v>30185377</v>
      </c>
      <c r="N27" s="85">
        <v>3258713</v>
      </c>
      <c r="O27" s="85">
        <v>21033388</v>
      </c>
      <c r="P27" s="85">
        <v>208137</v>
      </c>
      <c r="Q27" s="85">
        <v>24500238</v>
      </c>
      <c r="R27" s="85">
        <v>442599</v>
      </c>
      <c r="S27" s="20">
        <v>0</v>
      </c>
      <c r="T27" s="20">
        <v>0</v>
      </c>
      <c r="U27" s="85">
        <v>773059</v>
      </c>
      <c r="V27" s="85">
        <v>1215658</v>
      </c>
      <c r="W27" s="20">
        <v>0</v>
      </c>
      <c r="X27" s="85">
        <v>937788</v>
      </c>
      <c r="Y27" s="85">
        <v>5635</v>
      </c>
      <c r="Z27" s="85">
        <v>943423</v>
      </c>
      <c r="AA27" s="20">
        <v>0</v>
      </c>
      <c r="AB27" s="20">
        <v>0</v>
      </c>
      <c r="AC27" s="20">
        <v>0</v>
      </c>
      <c r="AD27" s="85">
        <v>12100</v>
      </c>
      <c r="AE27" s="85">
        <v>12100</v>
      </c>
      <c r="AF27" s="20">
        <v>0</v>
      </c>
      <c r="AG27" s="85">
        <v>350775</v>
      </c>
      <c r="AI27" s="85">
        <v>27022194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P27" s="20">
        <v>0</v>
      </c>
      <c r="AQ27" s="20">
        <v>0</v>
      </c>
      <c r="AR27" s="20">
        <v>0</v>
      </c>
      <c r="AS27" s="85">
        <v>388215</v>
      </c>
      <c r="AT27" s="85">
        <v>49273</v>
      </c>
      <c r="AU27" s="20">
        <v>0</v>
      </c>
      <c r="AW27" s="85">
        <v>437488</v>
      </c>
      <c r="AX27" s="20">
        <v>0</v>
      </c>
      <c r="AY27" s="20">
        <v>0</v>
      </c>
      <c r="AZ27" s="20">
        <v>0</v>
      </c>
      <c r="BA27" s="20">
        <v>0</v>
      </c>
      <c r="BC27" s="20">
        <v>0</v>
      </c>
      <c r="BD27" s="20">
        <v>0</v>
      </c>
      <c r="BF27" s="85">
        <v>437488</v>
      </c>
      <c r="BG27" s="85">
        <v>27459682</v>
      </c>
    </row>
    <row r="28" spans="1:59" x14ac:dyDescent="0.2">
      <c r="A28" s="17" t="s">
        <v>79</v>
      </c>
      <c r="B28" s="20">
        <v>0</v>
      </c>
      <c r="C28" s="20">
        <v>0</v>
      </c>
      <c r="D28" s="20">
        <v>0</v>
      </c>
      <c r="E28" s="85">
        <v>1042060</v>
      </c>
      <c r="F28" s="20">
        <v>0</v>
      </c>
      <c r="G28" s="20">
        <v>0</v>
      </c>
      <c r="H28" s="20">
        <v>0</v>
      </c>
      <c r="I28" s="20">
        <v>0</v>
      </c>
      <c r="J28" s="85">
        <f t="shared" si="0"/>
        <v>115872</v>
      </c>
      <c r="K28" s="85">
        <v>128985</v>
      </c>
      <c r="M28" s="85">
        <v>1286917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85">
        <v>244857</v>
      </c>
      <c r="AI28" s="85">
        <v>244857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P28" s="20">
        <v>0</v>
      </c>
      <c r="AQ28" s="297">
        <f>92467+360441</f>
        <v>452908</v>
      </c>
      <c r="AR28" s="20">
        <v>0</v>
      </c>
      <c r="AS28" s="297">
        <f>71634+17960</f>
        <v>89594</v>
      </c>
      <c r="AT28" s="20">
        <v>0</v>
      </c>
      <c r="AU28" s="20">
        <v>0</v>
      </c>
      <c r="AW28" s="85">
        <v>417455</v>
      </c>
      <c r="AX28" s="20">
        <v>0</v>
      </c>
      <c r="AY28" s="20">
        <v>0</v>
      </c>
      <c r="AZ28" s="20">
        <v>0</v>
      </c>
      <c r="BA28" s="20">
        <v>0</v>
      </c>
      <c r="BC28" s="20">
        <v>0</v>
      </c>
      <c r="BD28" s="20">
        <v>0</v>
      </c>
      <c r="BF28" s="85">
        <v>417455</v>
      </c>
      <c r="BG28" s="85">
        <v>662312</v>
      </c>
    </row>
    <row r="29" spans="1:59" x14ac:dyDescent="0.2">
      <c r="A29" s="17" t="s">
        <v>80</v>
      </c>
      <c r="B29" s="20">
        <v>0</v>
      </c>
      <c r="C29" s="85">
        <v>41654</v>
      </c>
      <c r="D29" s="20">
        <v>0</v>
      </c>
      <c r="E29" s="85">
        <v>71317</v>
      </c>
      <c r="F29" s="20">
        <v>0</v>
      </c>
      <c r="G29" s="85">
        <v>55588</v>
      </c>
      <c r="H29" s="20">
        <v>0</v>
      </c>
      <c r="I29" s="85">
        <v>74385</v>
      </c>
      <c r="J29" s="85">
        <f t="shared" si="0"/>
        <v>195303</v>
      </c>
      <c r="K29" s="20">
        <v>0</v>
      </c>
      <c r="M29" s="85">
        <v>438247</v>
      </c>
      <c r="N29" s="85">
        <v>74385</v>
      </c>
      <c r="O29" s="20">
        <v>0</v>
      </c>
      <c r="P29" s="20">
        <v>0</v>
      </c>
      <c r="Q29" s="85">
        <v>74385</v>
      </c>
      <c r="R29" s="85">
        <v>124313</v>
      </c>
      <c r="S29" s="20">
        <v>0</v>
      </c>
      <c r="T29" s="85">
        <v>9755</v>
      </c>
      <c r="U29" s="85">
        <v>43235</v>
      </c>
      <c r="V29" s="85">
        <v>177303</v>
      </c>
      <c r="W29" s="85">
        <v>55588</v>
      </c>
      <c r="X29" s="20">
        <v>0</v>
      </c>
      <c r="Y29" s="85">
        <v>18000</v>
      </c>
      <c r="Z29" s="85">
        <v>73588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85">
        <v>41654</v>
      </c>
      <c r="AG29" s="20">
        <v>0</v>
      </c>
      <c r="AI29" s="85">
        <v>366930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P29" s="20">
        <v>0</v>
      </c>
      <c r="AQ29" s="85">
        <v>71317</v>
      </c>
      <c r="AR29" s="20">
        <v>0</v>
      </c>
      <c r="AS29" s="20">
        <v>0</v>
      </c>
      <c r="AT29" s="20">
        <v>0</v>
      </c>
      <c r="AU29" s="20">
        <v>0</v>
      </c>
      <c r="AW29" s="85">
        <v>71317</v>
      </c>
      <c r="AX29" s="20">
        <v>0</v>
      </c>
      <c r="AY29" s="20">
        <v>0</v>
      </c>
      <c r="AZ29" s="20">
        <v>0</v>
      </c>
      <c r="BA29" s="20">
        <v>0</v>
      </c>
      <c r="BC29" s="20">
        <v>0</v>
      </c>
      <c r="BD29" s="20">
        <v>0</v>
      </c>
      <c r="BF29" s="85">
        <v>71317</v>
      </c>
      <c r="BG29" s="85">
        <v>438247</v>
      </c>
    </row>
    <row r="30" spans="1:59" x14ac:dyDescent="0.2">
      <c r="A30" s="17" t="s">
        <v>81</v>
      </c>
      <c r="B30" s="20">
        <v>0</v>
      </c>
      <c r="C30" s="20">
        <v>0</v>
      </c>
      <c r="D30" s="85">
        <v>1629296</v>
      </c>
      <c r="E30" s="85">
        <v>4308202</v>
      </c>
      <c r="F30" s="20">
        <v>0</v>
      </c>
      <c r="G30" s="85">
        <v>1375216</v>
      </c>
      <c r="H30" s="20">
        <v>0</v>
      </c>
      <c r="I30" s="85">
        <v>315596</v>
      </c>
      <c r="J30" s="85">
        <f t="shared" si="0"/>
        <v>139461</v>
      </c>
      <c r="K30" s="20">
        <v>605</v>
      </c>
      <c r="M30" s="85">
        <v>7768376</v>
      </c>
      <c r="N30" s="85">
        <v>315596</v>
      </c>
      <c r="O30" s="20">
        <v>0</v>
      </c>
      <c r="P30" s="20">
        <v>0</v>
      </c>
      <c r="Q30" s="85">
        <v>315596</v>
      </c>
      <c r="R30" s="20">
        <v>0</v>
      </c>
      <c r="S30" s="20">
        <v>0</v>
      </c>
      <c r="T30" s="85">
        <v>1005742</v>
      </c>
      <c r="U30" s="85">
        <v>139461</v>
      </c>
      <c r="V30" s="85">
        <v>1145203</v>
      </c>
      <c r="W30" s="20">
        <v>0</v>
      </c>
      <c r="X30" s="85">
        <v>186746</v>
      </c>
      <c r="Y30" s="20">
        <v>0</v>
      </c>
      <c r="Z30" s="85">
        <v>186746</v>
      </c>
      <c r="AA30" s="85">
        <v>1602345</v>
      </c>
      <c r="AB30" s="85">
        <v>26951</v>
      </c>
      <c r="AC30" s="20">
        <v>0</v>
      </c>
      <c r="AD30" s="20">
        <v>0</v>
      </c>
      <c r="AE30" s="85">
        <v>1629296</v>
      </c>
      <c r="AF30" s="20">
        <v>0</v>
      </c>
      <c r="AG30" s="20">
        <v>0</v>
      </c>
      <c r="AI30" s="85">
        <v>3276841</v>
      </c>
      <c r="AJ30" s="20">
        <v>0</v>
      </c>
      <c r="AK30" s="85">
        <v>447127</v>
      </c>
      <c r="AL30" s="20">
        <v>0</v>
      </c>
      <c r="AM30" s="20">
        <v>0</v>
      </c>
      <c r="AN30" s="20">
        <v>0</v>
      </c>
      <c r="AP30" s="85">
        <v>447127</v>
      </c>
      <c r="AQ30" s="85">
        <v>3640447</v>
      </c>
      <c r="AR30" s="20">
        <v>0</v>
      </c>
      <c r="AS30" s="85">
        <v>1259528</v>
      </c>
      <c r="AT30" s="20">
        <v>0</v>
      </c>
      <c r="AU30" s="20">
        <v>0</v>
      </c>
      <c r="AW30" s="85">
        <v>4899975</v>
      </c>
      <c r="AX30" s="20">
        <v>0</v>
      </c>
      <c r="AY30" s="20">
        <v>0</v>
      </c>
      <c r="AZ30" s="20">
        <v>0</v>
      </c>
      <c r="BA30" s="20">
        <v>0</v>
      </c>
      <c r="BC30" s="20">
        <v>0</v>
      </c>
      <c r="BD30" s="20">
        <v>0</v>
      </c>
      <c r="BF30" s="85">
        <v>5347102</v>
      </c>
      <c r="BG30" s="85">
        <v>8623943</v>
      </c>
    </row>
    <row r="31" spans="1:59" x14ac:dyDescent="0.2">
      <c r="A31" s="17" t="s">
        <v>82</v>
      </c>
      <c r="B31" s="20">
        <v>0</v>
      </c>
      <c r="C31" s="20">
        <v>0</v>
      </c>
      <c r="D31" s="20">
        <v>0</v>
      </c>
      <c r="E31" s="85">
        <v>320510</v>
      </c>
      <c r="F31" s="20">
        <v>0</v>
      </c>
      <c r="G31" s="20">
        <v>0</v>
      </c>
      <c r="H31" s="20">
        <v>0</v>
      </c>
      <c r="I31" s="85">
        <v>4603</v>
      </c>
      <c r="J31" s="85">
        <f t="shared" si="0"/>
        <v>21658</v>
      </c>
      <c r="K31" s="85">
        <v>10368</v>
      </c>
      <c r="M31" s="85">
        <v>357139</v>
      </c>
      <c r="N31" s="85">
        <v>4603</v>
      </c>
      <c r="O31" s="20">
        <v>0</v>
      </c>
      <c r="P31" s="20">
        <v>0</v>
      </c>
      <c r="Q31" s="85">
        <v>4603</v>
      </c>
      <c r="R31" s="20">
        <v>0</v>
      </c>
      <c r="S31" s="85">
        <v>10682</v>
      </c>
      <c r="T31" s="85">
        <v>10976</v>
      </c>
      <c r="U31" s="20">
        <v>0</v>
      </c>
      <c r="V31" s="85">
        <v>21658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85">
        <v>10368</v>
      </c>
      <c r="AI31" s="85">
        <v>36629</v>
      </c>
      <c r="AJ31" s="20">
        <v>0</v>
      </c>
      <c r="AK31" s="85">
        <v>320510</v>
      </c>
      <c r="AL31" s="20">
        <v>0</v>
      </c>
      <c r="AM31" s="20">
        <v>0</v>
      </c>
      <c r="AN31" s="20">
        <v>0</v>
      </c>
      <c r="AP31" s="85">
        <v>320510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C31" s="20">
        <v>0</v>
      </c>
      <c r="BD31" s="20">
        <v>0</v>
      </c>
      <c r="BF31" s="85">
        <v>320510</v>
      </c>
      <c r="BG31" s="85">
        <v>357139</v>
      </c>
    </row>
    <row r="32" spans="1:59" x14ac:dyDescent="0.2">
      <c r="A32" s="17" t="s">
        <v>83</v>
      </c>
      <c r="B32" s="20">
        <v>0</v>
      </c>
      <c r="C32" s="20">
        <v>0</v>
      </c>
      <c r="D32" s="85">
        <v>38905</v>
      </c>
      <c r="E32" s="85">
        <v>53567</v>
      </c>
      <c r="F32" s="20">
        <v>0</v>
      </c>
      <c r="G32" s="85">
        <v>41263</v>
      </c>
      <c r="H32" s="20">
        <v>0</v>
      </c>
      <c r="I32" s="85">
        <v>139716</v>
      </c>
      <c r="J32" s="85">
        <f t="shared" si="0"/>
        <v>329927</v>
      </c>
      <c r="K32" s="85">
        <v>4051</v>
      </c>
      <c r="M32" s="85">
        <v>607429</v>
      </c>
      <c r="N32" s="85">
        <v>139716</v>
      </c>
      <c r="O32" s="20">
        <v>0</v>
      </c>
      <c r="P32" s="20">
        <v>0</v>
      </c>
      <c r="Q32" s="85">
        <v>139716</v>
      </c>
      <c r="R32" s="85">
        <v>137400</v>
      </c>
      <c r="S32" s="85">
        <v>19062</v>
      </c>
      <c r="T32" s="85">
        <v>159530</v>
      </c>
      <c r="U32" s="85">
        <v>52839</v>
      </c>
      <c r="V32" s="85">
        <v>368831</v>
      </c>
      <c r="W32" s="85">
        <v>41263</v>
      </c>
      <c r="X32" s="20">
        <v>0</v>
      </c>
      <c r="Y32" s="20">
        <v>0</v>
      </c>
      <c r="Z32" s="85">
        <v>41263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I32" s="85">
        <v>549810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P32" s="20">
        <v>0</v>
      </c>
      <c r="AQ32" s="20">
        <v>0</v>
      </c>
      <c r="AR32" s="20">
        <v>0</v>
      </c>
      <c r="AS32" s="85">
        <v>53567</v>
      </c>
      <c r="AT32" s="20">
        <v>0</v>
      </c>
      <c r="AU32" s="20">
        <v>0</v>
      </c>
      <c r="AW32" s="85">
        <v>53567</v>
      </c>
      <c r="AX32" s="20">
        <v>0</v>
      </c>
      <c r="AY32" s="20">
        <v>0</v>
      </c>
      <c r="AZ32" s="20">
        <v>0</v>
      </c>
      <c r="BA32" s="20">
        <v>0</v>
      </c>
      <c r="BC32" s="20">
        <v>0</v>
      </c>
      <c r="BD32" s="20">
        <v>0</v>
      </c>
      <c r="BF32" s="85">
        <v>53567</v>
      </c>
      <c r="BG32" s="85">
        <v>603377</v>
      </c>
    </row>
    <row r="33" spans="1:59" x14ac:dyDescent="0.2">
      <c r="A33" s="17" t="s">
        <v>84</v>
      </c>
      <c r="B33" s="20">
        <v>0</v>
      </c>
      <c r="C33" s="85">
        <v>1040158</v>
      </c>
      <c r="D33" s="20">
        <v>0</v>
      </c>
      <c r="E33" s="85">
        <v>945328</v>
      </c>
      <c r="F33" s="20">
        <v>0</v>
      </c>
      <c r="G33" s="85">
        <v>188560</v>
      </c>
      <c r="H33" s="20">
        <v>0</v>
      </c>
      <c r="I33" s="20">
        <v>0</v>
      </c>
      <c r="J33" s="85">
        <f t="shared" si="0"/>
        <v>121699</v>
      </c>
      <c r="K33" s="85">
        <v>18340</v>
      </c>
      <c r="M33" s="85">
        <v>2314085</v>
      </c>
      <c r="N33" s="85">
        <v>76651</v>
      </c>
      <c r="O33" s="20">
        <v>0</v>
      </c>
      <c r="P33" s="20">
        <v>0</v>
      </c>
      <c r="Q33" s="85">
        <v>76651</v>
      </c>
      <c r="R33" s="20">
        <v>0</v>
      </c>
      <c r="S33" s="85">
        <v>78875</v>
      </c>
      <c r="T33" s="20">
        <v>0</v>
      </c>
      <c r="U33" s="20">
        <v>0</v>
      </c>
      <c r="V33" s="85">
        <v>78875</v>
      </c>
      <c r="W33" s="85">
        <v>445000</v>
      </c>
      <c r="X33" s="85">
        <v>75666</v>
      </c>
      <c r="Y33" s="20">
        <v>0</v>
      </c>
      <c r="Z33" s="85">
        <v>520666</v>
      </c>
      <c r="AA33" s="85">
        <v>1040158</v>
      </c>
      <c r="AB33" s="20">
        <v>0</v>
      </c>
      <c r="AC33" s="20">
        <v>0</v>
      </c>
      <c r="AD33" s="20">
        <v>0</v>
      </c>
      <c r="AE33" s="85">
        <v>1040158</v>
      </c>
      <c r="AF33" s="20">
        <v>0</v>
      </c>
      <c r="AG33" s="20">
        <v>0</v>
      </c>
      <c r="AI33" s="85">
        <v>1716350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P33" s="20">
        <v>0</v>
      </c>
      <c r="AQ33" s="85">
        <v>794504</v>
      </c>
      <c r="AR33" s="20">
        <v>0</v>
      </c>
      <c r="AS33" s="85">
        <v>784459</v>
      </c>
      <c r="AT33" s="20">
        <v>0</v>
      </c>
      <c r="AU33" s="20">
        <v>0</v>
      </c>
      <c r="AW33" s="85">
        <v>1578963</v>
      </c>
      <c r="AX33" s="20">
        <v>0</v>
      </c>
      <c r="AY33" s="20">
        <v>0</v>
      </c>
      <c r="AZ33" s="20">
        <v>0</v>
      </c>
      <c r="BA33" s="20">
        <v>0</v>
      </c>
      <c r="BC33" s="20">
        <v>0</v>
      </c>
      <c r="BD33" s="20">
        <v>0</v>
      </c>
      <c r="BF33" s="85">
        <v>1578963</v>
      </c>
      <c r="BG33" s="85">
        <v>3295313</v>
      </c>
    </row>
    <row r="34" spans="1:59" x14ac:dyDescent="0.2">
      <c r="A34" s="17" t="s">
        <v>251</v>
      </c>
      <c r="B34" s="85">
        <v>391268</v>
      </c>
      <c r="C34" s="20">
        <v>0</v>
      </c>
      <c r="D34" s="20">
        <v>0</v>
      </c>
      <c r="E34" s="85">
        <v>346148</v>
      </c>
      <c r="F34" s="20">
        <v>0</v>
      </c>
      <c r="G34" s="20">
        <v>0</v>
      </c>
      <c r="H34" s="20">
        <v>0</v>
      </c>
      <c r="I34" s="85">
        <v>7310267</v>
      </c>
      <c r="J34" s="85">
        <f t="shared" si="0"/>
        <v>1205321</v>
      </c>
      <c r="K34" s="85">
        <v>5830088</v>
      </c>
      <c r="M34" s="85">
        <v>15083092</v>
      </c>
      <c r="N34" s="85">
        <v>7023113</v>
      </c>
      <c r="O34" s="20">
        <v>0</v>
      </c>
      <c r="P34" s="85">
        <v>287154</v>
      </c>
      <c r="Q34" s="85">
        <v>7310267</v>
      </c>
      <c r="R34" s="85">
        <v>35998</v>
      </c>
      <c r="S34" s="20">
        <v>0</v>
      </c>
      <c r="T34" s="20">
        <v>0</v>
      </c>
      <c r="U34" s="85">
        <v>842526</v>
      </c>
      <c r="V34" s="85">
        <v>878524</v>
      </c>
      <c r="W34" s="85">
        <v>88000</v>
      </c>
      <c r="X34" s="20">
        <v>0</v>
      </c>
      <c r="Y34" s="20">
        <v>0</v>
      </c>
      <c r="Z34" s="85">
        <v>88000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I34" s="85">
        <v>8276791</v>
      </c>
      <c r="AJ34" s="20">
        <v>0</v>
      </c>
      <c r="AK34" s="85">
        <v>31000</v>
      </c>
      <c r="AL34" s="20">
        <v>0</v>
      </c>
      <c r="AM34" s="20">
        <v>0</v>
      </c>
      <c r="AN34" s="20">
        <v>0</v>
      </c>
      <c r="AP34" s="85">
        <v>31000</v>
      </c>
      <c r="AQ34" s="20">
        <v>0</v>
      </c>
      <c r="AR34" s="20">
        <v>0</v>
      </c>
      <c r="AS34" s="85">
        <v>227000</v>
      </c>
      <c r="AT34" s="20">
        <v>0</v>
      </c>
      <c r="AU34" s="20">
        <v>0</v>
      </c>
      <c r="AW34" s="85">
        <v>227000</v>
      </c>
      <c r="AX34" s="20">
        <v>0</v>
      </c>
      <c r="AY34" s="20">
        <v>0</v>
      </c>
      <c r="AZ34" s="20">
        <v>0</v>
      </c>
      <c r="BA34" s="20">
        <v>0</v>
      </c>
      <c r="BC34" s="20">
        <v>0</v>
      </c>
      <c r="BD34" s="20">
        <v>0</v>
      </c>
      <c r="BF34" s="85">
        <v>258000</v>
      </c>
      <c r="BG34" s="85">
        <v>8534791</v>
      </c>
    </row>
    <row r="35" spans="1:59" x14ac:dyDescent="0.2">
      <c r="A35" s="17" t="s">
        <v>85</v>
      </c>
      <c r="B35" s="20">
        <v>0</v>
      </c>
      <c r="C35" s="85">
        <v>842545</v>
      </c>
      <c r="D35" s="20">
        <v>0</v>
      </c>
      <c r="E35" s="85">
        <v>1332443</v>
      </c>
      <c r="F35" s="20">
        <v>0</v>
      </c>
      <c r="G35" s="20">
        <v>0</v>
      </c>
      <c r="H35" s="20">
        <v>0</v>
      </c>
      <c r="I35" s="85">
        <v>15367</v>
      </c>
      <c r="J35" s="85">
        <f t="shared" si="0"/>
        <v>0</v>
      </c>
      <c r="K35" s="85">
        <v>1022</v>
      </c>
      <c r="M35" s="85">
        <v>2191377</v>
      </c>
      <c r="N35" s="85">
        <v>15367</v>
      </c>
      <c r="O35" s="20">
        <v>0</v>
      </c>
      <c r="P35" s="20">
        <v>0</v>
      </c>
      <c r="Q35" s="85">
        <v>15367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85">
        <v>842545</v>
      </c>
      <c r="AG35" s="20">
        <v>0</v>
      </c>
      <c r="AI35" s="85">
        <v>857912</v>
      </c>
      <c r="AJ35" s="20">
        <v>0</v>
      </c>
      <c r="AK35" s="85">
        <v>174032</v>
      </c>
      <c r="AL35" s="20">
        <v>0</v>
      </c>
      <c r="AM35" s="20">
        <v>0</v>
      </c>
      <c r="AN35" s="20">
        <v>0</v>
      </c>
      <c r="AP35" s="85">
        <v>174032</v>
      </c>
      <c r="AQ35" s="85">
        <v>388300</v>
      </c>
      <c r="AR35" s="20">
        <v>0</v>
      </c>
      <c r="AS35" s="20">
        <v>0</v>
      </c>
      <c r="AT35" s="20">
        <v>0</v>
      </c>
      <c r="AU35" s="20">
        <v>0</v>
      </c>
      <c r="AW35" s="85">
        <v>388300</v>
      </c>
      <c r="AX35" s="85">
        <v>170532</v>
      </c>
      <c r="AY35" s="20">
        <v>0</v>
      </c>
      <c r="AZ35" s="85">
        <v>58410</v>
      </c>
      <c r="BA35" s="20">
        <v>0</v>
      </c>
      <c r="BC35" s="85">
        <v>228942</v>
      </c>
      <c r="BD35" s="20">
        <v>0</v>
      </c>
      <c r="BF35" s="85">
        <v>791274</v>
      </c>
      <c r="BG35" s="85">
        <v>1649186</v>
      </c>
    </row>
    <row r="36" spans="1:59" x14ac:dyDescent="0.2">
      <c r="A36" s="17" t="s">
        <v>252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85">
        <v>292060</v>
      </c>
      <c r="H36" s="20">
        <v>0</v>
      </c>
      <c r="I36" s="85">
        <v>29214</v>
      </c>
      <c r="J36" s="85">
        <f t="shared" si="0"/>
        <v>0</v>
      </c>
      <c r="K36" s="20">
        <v>0</v>
      </c>
      <c r="M36" s="85">
        <v>321274</v>
      </c>
      <c r="N36" s="85">
        <v>29214</v>
      </c>
      <c r="O36" s="20">
        <v>0</v>
      </c>
      <c r="P36" s="20">
        <v>0</v>
      </c>
      <c r="Q36" s="85">
        <v>29214</v>
      </c>
      <c r="R36" s="85">
        <v>292060</v>
      </c>
      <c r="S36" s="20">
        <v>0</v>
      </c>
      <c r="T36" s="20">
        <v>0</v>
      </c>
      <c r="U36" s="20">
        <v>0</v>
      </c>
      <c r="V36" s="85">
        <v>292060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I36" s="85">
        <v>321274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C36" s="20">
        <v>0</v>
      </c>
      <c r="BD36" s="20">
        <v>0</v>
      </c>
      <c r="BF36" s="20">
        <v>0</v>
      </c>
      <c r="BG36" s="85">
        <v>321274</v>
      </c>
    </row>
    <row r="37" spans="1:59" x14ac:dyDescent="0.2">
      <c r="A37" s="17" t="s">
        <v>253</v>
      </c>
      <c r="B37" s="85">
        <v>25200</v>
      </c>
      <c r="C37" s="20">
        <v>0</v>
      </c>
      <c r="D37" s="20">
        <v>0</v>
      </c>
      <c r="E37" s="85">
        <v>1743464</v>
      </c>
      <c r="F37" s="20">
        <v>0</v>
      </c>
      <c r="G37" s="20">
        <v>0</v>
      </c>
      <c r="H37" s="20">
        <v>0</v>
      </c>
      <c r="I37" s="20">
        <v>0</v>
      </c>
      <c r="J37" s="85">
        <f t="shared" si="0"/>
        <v>78705</v>
      </c>
      <c r="K37" s="85">
        <v>23632</v>
      </c>
      <c r="M37" s="85">
        <v>1871001</v>
      </c>
      <c r="N37" s="85">
        <v>4415</v>
      </c>
      <c r="O37" s="20">
        <v>0</v>
      </c>
      <c r="P37" s="20">
        <v>0</v>
      </c>
      <c r="Q37" s="85">
        <v>4415</v>
      </c>
      <c r="R37" s="20">
        <v>0</v>
      </c>
      <c r="S37" s="20">
        <v>0</v>
      </c>
      <c r="T37" s="20">
        <v>0</v>
      </c>
      <c r="U37" s="85">
        <v>30800</v>
      </c>
      <c r="V37" s="85">
        <v>30800</v>
      </c>
      <c r="W37" s="85">
        <v>43490</v>
      </c>
      <c r="X37" s="20">
        <v>0</v>
      </c>
      <c r="Y37" s="20">
        <v>0</v>
      </c>
      <c r="Z37" s="85">
        <v>43490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I37" s="85">
        <v>78705</v>
      </c>
      <c r="AJ37" s="20">
        <v>0</v>
      </c>
      <c r="AK37" s="85">
        <v>133201</v>
      </c>
      <c r="AL37" s="20">
        <v>0</v>
      </c>
      <c r="AM37" s="20">
        <v>0</v>
      </c>
      <c r="AN37" s="20">
        <v>0</v>
      </c>
      <c r="AP37" s="85">
        <v>133201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C37" s="20">
        <v>0</v>
      </c>
      <c r="BD37" s="20">
        <v>0</v>
      </c>
      <c r="BF37" s="85">
        <v>133201</v>
      </c>
      <c r="BG37" s="85">
        <v>211906</v>
      </c>
    </row>
    <row r="38" spans="1:59" x14ac:dyDescent="0.2">
      <c r="A38" s="17" t="s">
        <v>86</v>
      </c>
      <c r="B38" s="20">
        <v>0</v>
      </c>
      <c r="C38" s="20">
        <v>0</v>
      </c>
      <c r="D38" s="20">
        <v>0</v>
      </c>
      <c r="E38" s="85">
        <v>248405</v>
      </c>
      <c r="F38" s="20">
        <v>0</v>
      </c>
      <c r="G38" s="85">
        <v>75190</v>
      </c>
      <c r="H38" s="20">
        <v>0</v>
      </c>
      <c r="I38" s="85">
        <v>3040</v>
      </c>
      <c r="J38" s="85">
        <f t="shared" si="0"/>
        <v>391577</v>
      </c>
      <c r="K38" s="20">
        <v>0</v>
      </c>
      <c r="M38" s="85">
        <v>718212</v>
      </c>
      <c r="N38" s="20">
        <v>0</v>
      </c>
      <c r="O38" s="85">
        <v>3040</v>
      </c>
      <c r="P38" s="20">
        <v>0</v>
      </c>
      <c r="Q38" s="85">
        <v>3040</v>
      </c>
      <c r="R38" s="20">
        <v>0</v>
      </c>
      <c r="S38" s="20">
        <v>0</v>
      </c>
      <c r="T38" s="20">
        <v>0</v>
      </c>
      <c r="U38" s="85">
        <v>58390</v>
      </c>
      <c r="V38" s="85">
        <v>58390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I38" s="85">
        <v>61430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C38" s="20">
        <v>0</v>
      </c>
      <c r="BD38" s="20">
        <v>0</v>
      </c>
      <c r="BF38" s="20">
        <v>0</v>
      </c>
      <c r="BG38" s="85">
        <v>61430</v>
      </c>
    </row>
    <row r="39" spans="1:59" x14ac:dyDescent="0.2">
      <c r="A39" s="17" t="s">
        <v>87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85">
        <v>11035963</v>
      </c>
      <c r="H39" s="20">
        <v>0</v>
      </c>
      <c r="I39" s="85">
        <v>2649949</v>
      </c>
      <c r="J39" s="85">
        <f t="shared" si="0"/>
        <v>1419900</v>
      </c>
      <c r="K39" s="20">
        <v>0</v>
      </c>
      <c r="M39" s="85">
        <v>15105812</v>
      </c>
      <c r="N39" s="85">
        <v>3275419</v>
      </c>
      <c r="O39" s="20">
        <v>0</v>
      </c>
      <c r="P39" s="20">
        <v>0</v>
      </c>
      <c r="Q39" s="85">
        <v>3275419</v>
      </c>
      <c r="R39" s="85">
        <v>6059083</v>
      </c>
      <c r="S39" s="20">
        <v>0</v>
      </c>
      <c r="T39" s="20">
        <v>0</v>
      </c>
      <c r="U39" s="85">
        <v>2339075</v>
      </c>
      <c r="V39" s="85">
        <v>8398158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85">
        <v>74352</v>
      </c>
      <c r="AI39" s="85">
        <v>11747929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P39" s="20">
        <v>0</v>
      </c>
      <c r="AQ39" s="85">
        <v>1589150</v>
      </c>
      <c r="AR39" s="20">
        <v>0</v>
      </c>
      <c r="AS39" s="20">
        <v>0</v>
      </c>
      <c r="AT39" s="20">
        <v>0</v>
      </c>
      <c r="AU39" s="20">
        <v>0</v>
      </c>
      <c r="AW39" s="85">
        <v>1589150</v>
      </c>
      <c r="AX39" s="20">
        <v>0</v>
      </c>
      <c r="AY39" s="85">
        <v>25153</v>
      </c>
      <c r="AZ39" s="20">
        <v>0</v>
      </c>
      <c r="BA39" s="20">
        <v>0</v>
      </c>
      <c r="BC39" s="85">
        <v>25153</v>
      </c>
      <c r="BD39" s="20">
        <v>0</v>
      </c>
      <c r="BF39" s="85">
        <v>1614303</v>
      </c>
      <c r="BG39" s="85">
        <v>13362232</v>
      </c>
    </row>
    <row r="40" spans="1:59" x14ac:dyDescent="0.2">
      <c r="A40" s="17" t="s">
        <v>88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85">
        <f t="shared" si="0"/>
        <v>0</v>
      </c>
      <c r="K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C40" s="20">
        <v>0</v>
      </c>
      <c r="BD40" s="20">
        <v>0</v>
      </c>
      <c r="BF40" s="20">
        <v>0</v>
      </c>
      <c r="BG40" s="20">
        <v>0</v>
      </c>
    </row>
    <row r="41" spans="1:59" x14ac:dyDescent="0.2">
      <c r="A41" s="17" t="s">
        <v>89</v>
      </c>
      <c r="B41" s="20">
        <v>0</v>
      </c>
      <c r="C41" s="20">
        <v>0</v>
      </c>
      <c r="D41" s="20">
        <v>0</v>
      </c>
      <c r="E41" s="85">
        <v>78794</v>
      </c>
      <c r="F41" s="20">
        <v>0</v>
      </c>
      <c r="G41" s="85">
        <v>53915</v>
      </c>
      <c r="H41" s="20">
        <v>0</v>
      </c>
      <c r="I41" s="20">
        <v>0</v>
      </c>
      <c r="J41" s="85">
        <f t="shared" si="0"/>
        <v>434549</v>
      </c>
      <c r="K41" s="85">
        <v>53228</v>
      </c>
      <c r="M41" s="85">
        <v>620486</v>
      </c>
      <c r="N41" s="20">
        <v>0</v>
      </c>
      <c r="O41" s="85">
        <v>377446</v>
      </c>
      <c r="P41" s="20">
        <v>0</v>
      </c>
      <c r="Q41" s="85">
        <v>377446</v>
      </c>
      <c r="R41" s="85">
        <v>1450</v>
      </c>
      <c r="S41" s="20">
        <v>0</v>
      </c>
      <c r="T41" s="85">
        <v>4071</v>
      </c>
      <c r="U41" s="85">
        <v>81739</v>
      </c>
      <c r="V41" s="85">
        <v>87260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I41" s="85">
        <v>464706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P41" s="20">
        <v>0</v>
      </c>
      <c r="AQ41" s="20">
        <v>0</v>
      </c>
      <c r="AR41" s="20">
        <v>0</v>
      </c>
      <c r="AS41" s="85">
        <v>100812</v>
      </c>
      <c r="AT41" s="20">
        <v>0</v>
      </c>
      <c r="AU41" s="20">
        <v>0</v>
      </c>
      <c r="AW41" s="85">
        <v>100812</v>
      </c>
      <c r="AX41" s="20">
        <v>0</v>
      </c>
      <c r="AY41" s="20">
        <v>0</v>
      </c>
      <c r="AZ41" s="20">
        <v>0</v>
      </c>
      <c r="BA41" s="20">
        <v>0</v>
      </c>
      <c r="BC41" s="20">
        <v>0</v>
      </c>
      <c r="BD41" s="20">
        <v>0</v>
      </c>
      <c r="BF41" s="85">
        <v>100812</v>
      </c>
      <c r="BG41" s="85">
        <v>565518</v>
      </c>
    </row>
    <row r="42" spans="1:59" x14ac:dyDescent="0.2">
      <c r="A42" s="17" t="s">
        <v>90</v>
      </c>
      <c r="B42" s="85">
        <v>107093</v>
      </c>
      <c r="C42" s="20">
        <v>870</v>
      </c>
      <c r="D42" s="20">
        <v>0</v>
      </c>
      <c r="E42" s="85">
        <v>365844</v>
      </c>
      <c r="F42" s="20">
        <v>0</v>
      </c>
      <c r="G42" s="85">
        <v>135633</v>
      </c>
      <c r="H42" s="20">
        <v>0</v>
      </c>
      <c r="I42" s="85">
        <v>43257</v>
      </c>
      <c r="J42" s="85">
        <f t="shared" si="0"/>
        <v>210728</v>
      </c>
      <c r="K42" s="20">
        <v>162</v>
      </c>
      <c r="M42" s="85">
        <v>863587</v>
      </c>
      <c r="N42" s="85">
        <v>92739</v>
      </c>
      <c r="O42" s="20">
        <v>0</v>
      </c>
      <c r="P42" s="85">
        <v>1200</v>
      </c>
      <c r="Q42" s="85">
        <v>93939</v>
      </c>
      <c r="R42" s="85">
        <v>5862</v>
      </c>
      <c r="S42" s="20">
        <v>0</v>
      </c>
      <c r="T42" s="20">
        <v>0</v>
      </c>
      <c r="U42" s="85">
        <v>103548</v>
      </c>
      <c r="V42" s="85">
        <v>109410</v>
      </c>
      <c r="W42" s="85">
        <v>185633</v>
      </c>
      <c r="X42" s="20">
        <v>0</v>
      </c>
      <c r="Y42" s="20">
        <v>0</v>
      </c>
      <c r="Z42" s="85">
        <v>185633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I42" s="85">
        <v>388982</v>
      </c>
      <c r="AJ42" s="20">
        <v>0</v>
      </c>
      <c r="AK42" s="20">
        <v>0</v>
      </c>
      <c r="AL42" s="20">
        <v>0</v>
      </c>
      <c r="AM42" s="85">
        <v>15747</v>
      </c>
      <c r="AN42" s="20">
        <v>0</v>
      </c>
      <c r="AP42" s="85">
        <v>15747</v>
      </c>
      <c r="AQ42" s="85">
        <v>165513</v>
      </c>
      <c r="AR42" s="20">
        <v>0</v>
      </c>
      <c r="AS42" s="85">
        <v>41522</v>
      </c>
      <c r="AT42" s="20">
        <v>0</v>
      </c>
      <c r="AU42" s="20">
        <v>0</v>
      </c>
      <c r="AW42" s="85">
        <v>207035</v>
      </c>
      <c r="AX42" s="20">
        <v>0</v>
      </c>
      <c r="AY42" s="20">
        <v>0</v>
      </c>
      <c r="AZ42" s="20">
        <v>0</v>
      </c>
      <c r="BA42" s="20">
        <v>0</v>
      </c>
      <c r="BC42" s="20">
        <v>0</v>
      </c>
      <c r="BD42" s="20">
        <v>0</v>
      </c>
      <c r="BF42" s="85">
        <v>222782</v>
      </c>
      <c r="BG42" s="85">
        <v>611764</v>
      </c>
    </row>
    <row r="43" spans="1:59" x14ac:dyDescent="0.2">
      <c r="A43" s="17" t="s">
        <v>91</v>
      </c>
      <c r="B43" s="85">
        <v>92468</v>
      </c>
      <c r="C43" s="85">
        <v>452279</v>
      </c>
      <c r="D43" s="20">
        <v>0</v>
      </c>
      <c r="E43" s="85">
        <v>1011467</v>
      </c>
      <c r="F43" s="20">
        <v>0</v>
      </c>
      <c r="G43" s="20">
        <v>0</v>
      </c>
      <c r="H43" s="20">
        <v>0</v>
      </c>
      <c r="I43" s="20">
        <v>0</v>
      </c>
      <c r="J43" s="85">
        <f t="shared" si="0"/>
        <v>6000</v>
      </c>
      <c r="K43" s="85">
        <v>14217</v>
      </c>
      <c r="M43" s="85">
        <v>1576431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85">
        <v>6000</v>
      </c>
      <c r="V43" s="85">
        <v>6000</v>
      </c>
      <c r="W43" s="20">
        <v>0</v>
      </c>
      <c r="X43" s="85">
        <v>449349</v>
      </c>
      <c r="Y43" s="20">
        <v>0</v>
      </c>
      <c r="Z43" s="85">
        <v>449349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85">
        <v>2930</v>
      </c>
      <c r="AG43" s="20">
        <v>0</v>
      </c>
      <c r="AI43" s="85">
        <v>458279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P43" s="20">
        <v>0</v>
      </c>
      <c r="AQ43" s="85">
        <v>96043</v>
      </c>
      <c r="AR43" s="20">
        <v>0</v>
      </c>
      <c r="AS43" s="85">
        <v>8242</v>
      </c>
      <c r="AT43" s="20">
        <v>0</v>
      </c>
      <c r="AU43" s="85">
        <v>16314</v>
      </c>
      <c r="AW43" s="85">
        <v>120599</v>
      </c>
      <c r="AX43" s="20">
        <v>0</v>
      </c>
      <c r="AY43" s="20">
        <v>0</v>
      </c>
      <c r="AZ43" s="20">
        <v>0</v>
      </c>
      <c r="BA43" s="20">
        <v>0</v>
      </c>
      <c r="BC43" s="20">
        <v>0</v>
      </c>
      <c r="BD43" s="20">
        <v>0</v>
      </c>
      <c r="BF43" s="85">
        <v>120599</v>
      </c>
      <c r="BG43" s="85">
        <v>578878</v>
      </c>
    </row>
    <row r="44" spans="1:59" x14ac:dyDescent="0.2">
      <c r="A44" s="17" t="s">
        <v>254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85">
        <f t="shared" si="0"/>
        <v>53031</v>
      </c>
      <c r="K44" s="20">
        <v>0</v>
      </c>
      <c r="M44" s="85">
        <v>53031</v>
      </c>
      <c r="N44" s="20">
        <v>0</v>
      </c>
      <c r="O44" s="20">
        <v>0</v>
      </c>
      <c r="P44" s="20">
        <v>0</v>
      </c>
      <c r="Q44" s="20">
        <v>0</v>
      </c>
      <c r="R44" s="85">
        <v>53031</v>
      </c>
      <c r="S44" s="20">
        <v>0</v>
      </c>
      <c r="T44" s="20">
        <v>0</v>
      </c>
      <c r="U44" s="20">
        <v>0</v>
      </c>
      <c r="V44" s="85">
        <v>53031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I44" s="85">
        <v>53031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C44" s="20">
        <v>0</v>
      </c>
      <c r="BD44" s="20">
        <v>0</v>
      </c>
      <c r="BF44" s="20">
        <v>0</v>
      </c>
      <c r="BG44" s="85">
        <v>53031</v>
      </c>
    </row>
    <row r="45" spans="1:59" x14ac:dyDescent="0.2">
      <c r="A45" s="17" t="s">
        <v>92</v>
      </c>
      <c r="B45" s="20">
        <v>0</v>
      </c>
      <c r="C45" s="85">
        <v>28140</v>
      </c>
      <c r="D45" s="20">
        <v>0</v>
      </c>
      <c r="E45" s="85">
        <v>514521</v>
      </c>
      <c r="F45" s="20">
        <v>0</v>
      </c>
      <c r="G45" s="20">
        <v>0</v>
      </c>
      <c r="H45" s="20">
        <v>0</v>
      </c>
      <c r="I45" s="85">
        <v>256002</v>
      </c>
      <c r="J45" s="85">
        <f t="shared" si="0"/>
        <v>452814</v>
      </c>
      <c r="K45" s="85">
        <v>1618</v>
      </c>
      <c r="M45" s="85">
        <v>1253095</v>
      </c>
      <c r="N45" s="85">
        <v>39489</v>
      </c>
      <c r="O45" s="85">
        <v>216513</v>
      </c>
      <c r="P45" s="20">
        <v>0</v>
      </c>
      <c r="Q45" s="85">
        <v>256002</v>
      </c>
      <c r="R45" s="85">
        <v>37097</v>
      </c>
      <c r="S45" s="85">
        <v>65439</v>
      </c>
      <c r="T45" s="20">
        <v>0</v>
      </c>
      <c r="U45" s="85">
        <v>350277</v>
      </c>
      <c r="V45" s="85">
        <v>452813</v>
      </c>
      <c r="W45" s="20">
        <v>0</v>
      </c>
      <c r="X45" s="20">
        <v>0</v>
      </c>
      <c r="Y45" s="20">
        <v>0</v>
      </c>
      <c r="Z45" s="20">
        <v>0</v>
      </c>
      <c r="AA45" s="85">
        <v>28141</v>
      </c>
      <c r="AB45" s="20">
        <v>0</v>
      </c>
      <c r="AC45" s="20">
        <v>0</v>
      </c>
      <c r="AD45" s="20">
        <v>0</v>
      </c>
      <c r="AE45" s="85">
        <v>28141</v>
      </c>
      <c r="AF45" s="20">
        <v>0</v>
      </c>
      <c r="AG45" s="20">
        <v>0</v>
      </c>
      <c r="AI45" s="85">
        <v>736956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P45" s="20">
        <v>0</v>
      </c>
      <c r="AQ45" s="85">
        <v>241384</v>
      </c>
      <c r="AR45" s="20">
        <v>0</v>
      </c>
      <c r="AS45" s="85">
        <v>273137</v>
      </c>
      <c r="AT45" s="20">
        <v>0</v>
      </c>
      <c r="AU45" s="20">
        <v>0</v>
      </c>
      <c r="AW45" s="85">
        <v>514521</v>
      </c>
      <c r="AX45" s="20">
        <v>0</v>
      </c>
      <c r="AY45" s="20">
        <v>0</v>
      </c>
      <c r="AZ45" s="20">
        <v>0</v>
      </c>
      <c r="BA45" s="20">
        <v>0</v>
      </c>
      <c r="BC45" s="20">
        <v>0</v>
      </c>
      <c r="BD45" s="20">
        <v>0</v>
      </c>
      <c r="BF45" s="85">
        <v>514521</v>
      </c>
      <c r="BG45" s="85">
        <v>1251477</v>
      </c>
    </row>
    <row r="46" spans="1:59" x14ac:dyDescent="0.2">
      <c r="A46" s="17" t="s">
        <v>255</v>
      </c>
      <c r="B46" s="85">
        <v>327328</v>
      </c>
      <c r="C46" s="20">
        <v>0</v>
      </c>
      <c r="D46" s="20">
        <v>0</v>
      </c>
      <c r="E46" s="85">
        <v>2647288</v>
      </c>
      <c r="F46" s="20">
        <v>0</v>
      </c>
      <c r="G46" s="20">
        <v>0</v>
      </c>
      <c r="H46" s="20">
        <v>0</v>
      </c>
      <c r="I46" s="20">
        <v>0</v>
      </c>
      <c r="J46" s="85">
        <f t="shared" si="0"/>
        <v>2294702</v>
      </c>
      <c r="K46" s="85">
        <v>44607</v>
      </c>
      <c r="M46" s="85">
        <v>5313925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C46" s="20">
        <v>0</v>
      </c>
      <c r="BD46" s="20">
        <v>0</v>
      </c>
      <c r="BF46" s="20">
        <v>0</v>
      </c>
      <c r="BG46" s="20">
        <v>0</v>
      </c>
    </row>
    <row r="47" spans="1:59" x14ac:dyDescent="0.2">
      <c r="A47" s="17" t="s">
        <v>256</v>
      </c>
      <c r="B47" s="20">
        <v>0</v>
      </c>
      <c r="C47" s="20">
        <v>0</v>
      </c>
      <c r="D47" s="20">
        <v>0</v>
      </c>
      <c r="E47" s="85">
        <v>487240</v>
      </c>
      <c r="F47" s="20">
        <v>0</v>
      </c>
      <c r="G47" s="85">
        <v>56645</v>
      </c>
      <c r="H47" s="20">
        <v>0</v>
      </c>
      <c r="I47" s="85">
        <v>53806</v>
      </c>
      <c r="J47" s="85">
        <f t="shared" si="0"/>
        <v>537224</v>
      </c>
      <c r="K47" s="20">
        <v>71</v>
      </c>
      <c r="M47" s="85">
        <v>1134986</v>
      </c>
      <c r="N47" s="85">
        <v>53806</v>
      </c>
      <c r="O47" s="20">
        <v>0</v>
      </c>
      <c r="P47" s="20">
        <v>0</v>
      </c>
      <c r="Q47" s="85">
        <v>53806</v>
      </c>
      <c r="R47" s="85">
        <v>407555</v>
      </c>
      <c r="S47" s="20">
        <v>0</v>
      </c>
      <c r="T47" s="85">
        <v>129740</v>
      </c>
      <c r="U47" s="20">
        <v>0</v>
      </c>
      <c r="V47" s="85">
        <v>537295</v>
      </c>
      <c r="W47" s="85">
        <v>56645</v>
      </c>
      <c r="X47" s="20">
        <v>0</v>
      </c>
      <c r="Y47" s="20">
        <v>0</v>
      </c>
      <c r="Z47" s="85">
        <v>56645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I47" s="85">
        <v>647746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P47" s="20">
        <v>0</v>
      </c>
      <c r="AQ47" s="20">
        <v>0</v>
      </c>
      <c r="AR47" s="20">
        <v>0</v>
      </c>
      <c r="AS47" s="85">
        <v>260586</v>
      </c>
      <c r="AT47" s="20">
        <v>0</v>
      </c>
      <c r="AU47" s="20">
        <v>0</v>
      </c>
      <c r="AW47" s="85">
        <v>260586</v>
      </c>
      <c r="AX47" s="20">
        <v>0</v>
      </c>
      <c r="AY47" s="20">
        <v>0</v>
      </c>
      <c r="AZ47" s="20">
        <v>0</v>
      </c>
      <c r="BA47" s="20">
        <v>0</v>
      </c>
      <c r="BC47" s="20">
        <v>0</v>
      </c>
      <c r="BD47" s="20">
        <v>0</v>
      </c>
      <c r="BF47" s="85">
        <v>260586</v>
      </c>
      <c r="BG47" s="85">
        <v>908332</v>
      </c>
    </row>
    <row r="48" spans="1:59" x14ac:dyDescent="0.2">
      <c r="A48" s="17" t="s">
        <v>257</v>
      </c>
      <c r="B48" s="20">
        <v>0</v>
      </c>
      <c r="C48" s="20">
        <v>0</v>
      </c>
      <c r="D48" s="20">
        <v>0</v>
      </c>
      <c r="E48" s="85">
        <v>1484152</v>
      </c>
      <c r="F48" s="85">
        <v>769386</v>
      </c>
      <c r="G48" s="20">
        <v>0</v>
      </c>
      <c r="H48" s="20">
        <v>0</v>
      </c>
      <c r="I48" s="85">
        <v>28689</v>
      </c>
      <c r="J48" s="85">
        <f t="shared" si="0"/>
        <v>24126</v>
      </c>
      <c r="K48" s="20">
        <v>935</v>
      </c>
      <c r="M48" s="85">
        <v>2307288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I48" s="20">
        <v>0</v>
      </c>
      <c r="AJ48" s="20">
        <v>0</v>
      </c>
      <c r="AK48" s="85">
        <v>449670</v>
      </c>
      <c r="AL48" s="20">
        <v>0</v>
      </c>
      <c r="AM48" s="20">
        <v>0</v>
      </c>
      <c r="AN48" s="20">
        <v>0</v>
      </c>
      <c r="AP48" s="85">
        <v>449670</v>
      </c>
      <c r="AQ48" s="85">
        <v>278173</v>
      </c>
      <c r="AR48" s="20">
        <v>0</v>
      </c>
      <c r="AS48" s="85">
        <v>433289</v>
      </c>
      <c r="AT48" s="20">
        <v>0</v>
      </c>
      <c r="AU48" s="85">
        <v>10000</v>
      </c>
      <c r="AW48" s="85">
        <v>721462</v>
      </c>
      <c r="AX48" s="20">
        <v>0</v>
      </c>
      <c r="AY48" s="20">
        <v>0</v>
      </c>
      <c r="AZ48" s="20">
        <v>0</v>
      </c>
      <c r="BA48" s="85">
        <v>49269</v>
      </c>
      <c r="BC48" s="85">
        <v>49269</v>
      </c>
      <c r="BD48" s="85">
        <v>370000</v>
      </c>
      <c r="BF48" s="85">
        <v>1220401</v>
      </c>
      <c r="BG48" s="85">
        <v>1220401</v>
      </c>
    </row>
    <row r="49" spans="1:59" x14ac:dyDescent="0.2">
      <c r="A49" s="17" t="s">
        <v>93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85">
        <v>126459</v>
      </c>
      <c r="H49" s="20">
        <v>0</v>
      </c>
      <c r="I49" s="85">
        <v>206588</v>
      </c>
      <c r="J49" s="85">
        <f t="shared" si="0"/>
        <v>876</v>
      </c>
      <c r="K49" s="20">
        <v>0</v>
      </c>
      <c r="M49" s="85">
        <v>333923</v>
      </c>
      <c r="N49" s="85">
        <v>190122</v>
      </c>
      <c r="O49" s="20">
        <v>0</v>
      </c>
      <c r="P49" s="85">
        <v>123448</v>
      </c>
      <c r="Q49" s="85">
        <v>313570</v>
      </c>
      <c r="R49" s="20">
        <v>0</v>
      </c>
      <c r="S49" s="85">
        <v>10348</v>
      </c>
      <c r="T49" s="20">
        <v>0</v>
      </c>
      <c r="U49" s="20">
        <v>0</v>
      </c>
      <c r="V49" s="85">
        <v>10348</v>
      </c>
      <c r="W49" s="85">
        <v>70000</v>
      </c>
      <c r="X49" s="20">
        <v>0</v>
      </c>
      <c r="Y49" s="20">
        <v>0</v>
      </c>
      <c r="Z49" s="85">
        <v>70000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I49" s="85">
        <v>393918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W49" s="20">
        <v>0</v>
      </c>
      <c r="AX49" s="20">
        <v>0</v>
      </c>
      <c r="AY49" s="20">
        <v>0</v>
      </c>
      <c r="AZ49" s="20">
        <v>0</v>
      </c>
      <c r="BA49" s="85">
        <v>21389</v>
      </c>
      <c r="BC49" s="85">
        <v>21389</v>
      </c>
      <c r="BD49" s="20">
        <v>0</v>
      </c>
      <c r="BF49" s="85">
        <v>21389</v>
      </c>
      <c r="BG49" s="85">
        <v>415307</v>
      </c>
    </row>
    <row r="50" spans="1:59" x14ac:dyDescent="0.2">
      <c r="A50" s="17" t="s">
        <v>94</v>
      </c>
      <c r="B50" s="20">
        <v>0</v>
      </c>
      <c r="C50" s="85">
        <v>10224</v>
      </c>
      <c r="D50" s="20">
        <v>0</v>
      </c>
      <c r="E50" s="85">
        <v>2297988</v>
      </c>
      <c r="F50" s="20">
        <v>0</v>
      </c>
      <c r="G50" s="85">
        <v>54391</v>
      </c>
      <c r="H50" s="20">
        <v>0</v>
      </c>
      <c r="I50" s="85">
        <v>445962</v>
      </c>
      <c r="J50" s="85">
        <f t="shared" si="0"/>
        <v>500948</v>
      </c>
      <c r="K50" s="85">
        <v>10364</v>
      </c>
      <c r="M50" s="85">
        <v>3319877</v>
      </c>
      <c r="N50" s="85">
        <v>445962</v>
      </c>
      <c r="O50" s="20">
        <v>0</v>
      </c>
      <c r="P50" s="85">
        <v>52447</v>
      </c>
      <c r="Q50" s="85">
        <v>498409</v>
      </c>
      <c r="R50" s="85">
        <v>120307</v>
      </c>
      <c r="S50" s="20">
        <v>0</v>
      </c>
      <c r="T50" s="20">
        <v>0</v>
      </c>
      <c r="U50" s="85">
        <v>328194</v>
      </c>
      <c r="V50" s="85">
        <v>448501</v>
      </c>
      <c r="W50" s="85">
        <v>54391</v>
      </c>
      <c r="X50" s="20">
        <v>0</v>
      </c>
      <c r="Y50" s="20">
        <v>0</v>
      </c>
      <c r="Z50" s="85">
        <v>54391</v>
      </c>
      <c r="AA50" s="20">
        <v>0</v>
      </c>
      <c r="AB50" s="20">
        <v>0</v>
      </c>
      <c r="AC50" s="20">
        <v>0</v>
      </c>
      <c r="AD50" s="20">
        <v>48</v>
      </c>
      <c r="AE50" s="20">
        <v>48</v>
      </c>
      <c r="AF50" s="85">
        <v>10176</v>
      </c>
      <c r="AG50" s="20">
        <v>0</v>
      </c>
      <c r="AI50" s="85">
        <v>1011525</v>
      </c>
      <c r="AJ50" s="20">
        <v>0</v>
      </c>
      <c r="AK50" s="85">
        <v>266768</v>
      </c>
      <c r="AL50" s="20">
        <v>0</v>
      </c>
      <c r="AM50" s="20">
        <v>0</v>
      </c>
      <c r="AN50" s="85">
        <v>3744</v>
      </c>
      <c r="AP50" s="85">
        <v>270512</v>
      </c>
      <c r="AQ50" s="85">
        <v>1352933</v>
      </c>
      <c r="AR50" s="20">
        <v>0</v>
      </c>
      <c r="AS50" s="85">
        <v>377377</v>
      </c>
      <c r="AT50" s="20">
        <v>0</v>
      </c>
      <c r="AU50" s="20">
        <v>0</v>
      </c>
      <c r="AW50" s="85">
        <v>1730310</v>
      </c>
      <c r="AX50" s="20">
        <v>0</v>
      </c>
      <c r="AY50" s="20">
        <v>0</v>
      </c>
      <c r="AZ50" s="20">
        <v>0</v>
      </c>
      <c r="BA50" s="20">
        <v>0</v>
      </c>
      <c r="BC50" s="20">
        <v>0</v>
      </c>
      <c r="BD50" s="20">
        <v>0</v>
      </c>
      <c r="BF50" s="85">
        <v>2000822</v>
      </c>
      <c r="BG50" s="85">
        <v>3012347</v>
      </c>
    </row>
    <row r="51" spans="1:59" x14ac:dyDescent="0.2">
      <c r="A51" s="17" t="s">
        <v>95</v>
      </c>
      <c r="B51" s="20">
        <v>0</v>
      </c>
      <c r="C51" s="20">
        <v>0</v>
      </c>
      <c r="D51" s="20">
        <v>0</v>
      </c>
      <c r="E51" s="85">
        <v>222760</v>
      </c>
      <c r="F51" s="20">
        <v>0</v>
      </c>
      <c r="G51" s="85">
        <v>673897</v>
      </c>
      <c r="H51" s="20">
        <v>0</v>
      </c>
      <c r="I51" s="85">
        <v>4274</v>
      </c>
      <c r="J51" s="85">
        <f t="shared" si="0"/>
        <v>19176</v>
      </c>
      <c r="K51" s="85">
        <v>95281</v>
      </c>
      <c r="M51" s="85">
        <v>1015388</v>
      </c>
      <c r="N51" s="85">
        <v>3206</v>
      </c>
      <c r="O51" s="20">
        <v>0</v>
      </c>
      <c r="P51" s="85">
        <v>1068</v>
      </c>
      <c r="Q51" s="85">
        <v>4274</v>
      </c>
      <c r="R51" s="85">
        <v>5838</v>
      </c>
      <c r="S51" s="20">
        <v>0</v>
      </c>
      <c r="T51" s="20">
        <v>0</v>
      </c>
      <c r="U51" s="85">
        <v>1335</v>
      </c>
      <c r="V51" s="85">
        <v>7173</v>
      </c>
      <c r="W51" s="85">
        <v>500000</v>
      </c>
      <c r="X51" s="85">
        <v>1500</v>
      </c>
      <c r="Y51" s="20">
        <v>0</v>
      </c>
      <c r="Z51" s="85">
        <v>501500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I51" s="85">
        <v>512947</v>
      </c>
      <c r="AJ51" s="20">
        <v>0</v>
      </c>
      <c r="AK51" s="20">
        <v>0</v>
      </c>
      <c r="AL51" s="20">
        <v>0</v>
      </c>
      <c r="AM51" s="85">
        <v>8747</v>
      </c>
      <c r="AN51" s="20">
        <v>0</v>
      </c>
      <c r="AP51" s="85">
        <v>8747</v>
      </c>
      <c r="AQ51" s="85">
        <v>254286</v>
      </c>
      <c r="AR51" s="20">
        <v>0</v>
      </c>
      <c r="AS51" s="20">
        <v>0</v>
      </c>
      <c r="AT51" s="20">
        <v>0</v>
      </c>
      <c r="AU51" s="20">
        <v>0</v>
      </c>
      <c r="AW51" s="85">
        <v>254286</v>
      </c>
      <c r="AX51" s="20">
        <v>0</v>
      </c>
      <c r="AY51" s="20">
        <v>0</v>
      </c>
      <c r="AZ51" s="20">
        <v>0</v>
      </c>
      <c r="BA51" s="20">
        <v>0</v>
      </c>
      <c r="BC51" s="20">
        <v>0</v>
      </c>
      <c r="BD51" s="20">
        <v>0</v>
      </c>
      <c r="BF51" s="85">
        <v>263033</v>
      </c>
      <c r="BG51" s="85">
        <v>775980</v>
      </c>
    </row>
    <row r="52" spans="1:59" x14ac:dyDescent="0.2">
      <c r="A52" s="17" t="s">
        <v>96</v>
      </c>
      <c r="B52" s="20">
        <v>0</v>
      </c>
      <c r="C52" s="20">
        <v>0</v>
      </c>
      <c r="D52" s="20">
        <v>0</v>
      </c>
      <c r="E52" s="85">
        <v>1435621</v>
      </c>
      <c r="F52" s="20">
        <v>0</v>
      </c>
      <c r="G52" s="85">
        <v>799892</v>
      </c>
      <c r="H52" s="20">
        <v>0</v>
      </c>
      <c r="I52" s="297">
        <v>2481</v>
      </c>
      <c r="J52" s="85">
        <f t="shared" si="0"/>
        <v>638823</v>
      </c>
      <c r="K52" s="297">
        <f>10944+2685</f>
        <v>13629</v>
      </c>
      <c r="M52" s="85">
        <v>2890446</v>
      </c>
      <c r="N52" s="85">
        <v>2482</v>
      </c>
      <c r="O52" s="20">
        <v>0</v>
      </c>
      <c r="P52" s="85">
        <v>19200</v>
      </c>
      <c r="Q52" s="85">
        <v>21682</v>
      </c>
      <c r="R52" s="85">
        <v>328011</v>
      </c>
      <c r="S52" s="85">
        <v>124669</v>
      </c>
      <c r="T52" s="20">
        <v>0</v>
      </c>
      <c r="U52" s="85">
        <v>338956</v>
      </c>
      <c r="V52" s="85">
        <v>791636</v>
      </c>
      <c r="W52" s="85">
        <v>654933</v>
      </c>
      <c r="X52" s="20">
        <v>0</v>
      </c>
      <c r="Y52" s="20">
        <v>0</v>
      </c>
      <c r="Z52" s="85">
        <v>654933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I52" s="85">
        <v>1468251</v>
      </c>
      <c r="AJ52" s="20">
        <v>0</v>
      </c>
      <c r="AK52" s="297">
        <v>863250</v>
      </c>
      <c r="AL52" s="20">
        <v>0</v>
      </c>
      <c r="AM52" s="20">
        <v>0</v>
      </c>
      <c r="AN52" s="20">
        <v>0</v>
      </c>
      <c r="AP52" s="85">
        <v>23886</v>
      </c>
      <c r="AQ52" s="85">
        <v>36771</v>
      </c>
      <c r="AR52" s="20">
        <v>0</v>
      </c>
      <c r="AS52" s="297">
        <v>148428</v>
      </c>
      <c r="AT52" s="20">
        <v>0</v>
      </c>
      <c r="AU52" s="297">
        <v>183501</v>
      </c>
      <c r="AW52" s="85">
        <v>530879</v>
      </c>
      <c r="AX52" s="297">
        <v>0</v>
      </c>
      <c r="AY52" s="20">
        <v>0</v>
      </c>
      <c r="AZ52" s="20">
        <v>0</v>
      </c>
      <c r="BA52" s="20">
        <v>0</v>
      </c>
      <c r="BC52" s="85">
        <v>17606</v>
      </c>
      <c r="BD52" s="20">
        <v>0</v>
      </c>
      <c r="BF52" s="85">
        <v>572371</v>
      </c>
      <c r="BG52" s="85">
        <v>2040622</v>
      </c>
    </row>
    <row r="53" spans="1:59" x14ac:dyDescent="0.2">
      <c r="A53" s="17" t="s">
        <v>97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85">
        <v>2002378</v>
      </c>
      <c r="H53" s="20">
        <v>0</v>
      </c>
      <c r="I53" s="85">
        <v>27822</v>
      </c>
      <c r="J53" s="85">
        <f t="shared" si="0"/>
        <v>891</v>
      </c>
      <c r="K53" s="20">
        <v>529</v>
      </c>
      <c r="M53" s="85">
        <v>2031620</v>
      </c>
      <c r="N53" s="85">
        <v>38962</v>
      </c>
      <c r="O53" s="20">
        <v>0</v>
      </c>
      <c r="P53" s="20">
        <v>601</v>
      </c>
      <c r="Q53" s="85">
        <v>39563</v>
      </c>
      <c r="R53" s="85">
        <v>684022</v>
      </c>
      <c r="S53" s="20">
        <v>0</v>
      </c>
      <c r="T53" s="20">
        <v>0</v>
      </c>
      <c r="U53" s="85">
        <v>206780</v>
      </c>
      <c r="V53" s="85">
        <v>890802</v>
      </c>
      <c r="W53" s="85">
        <v>759344</v>
      </c>
      <c r="X53" s="20">
        <v>0</v>
      </c>
      <c r="Y53" s="20">
        <v>0</v>
      </c>
      <c r="Z53" s="85">
        <v>759344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I53" s="85">
        <v>1689709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P53" s="20">
        <v>0</v>
      </c>
      <c r="AQ53" s="85">
        <v>2650</v>
      </c>
      <c r="AR53" s="20">
        <v>0</v>
      </c>
      <c r="AS53" s="85">
        <v>21551</v>
      </c>
      <c r="AT53" s="20">
        <v>0</v>
      </c>
      <c r="AU53" s="20">
        <v>0</v>
      </c>
      <c r="AW53" s="85">
        <v>24201</v>
      </c>
      <c r="AX53" s="20">
        <v>0</v>
      </c>
      <c r="AY53" s="20">
        <v>0</v>
      </c>
      <c r="AZ53" s="20">
        <v>0</v>
      </c>
      <c r="BA53" s="20">
        <v>0</v>
      </c>
      <c r="BC53" s="20">
        <v>0</v>
      </c>
      <c r="BD53" s="20">
        <v>0</v>
      </c>
      <c r="BF53" s="85">
        <v>24201</v>
      </c>
      <c r="BG53" s="85">
        <v>1713910</v>
      </c>
    </row>
    <row r="54" spans="1:59" x14ac:dyDescent="0.2">
      <c r="A54" s="17" t="s">
        <v>98</v>
      </c>
      <c r="B54" s="85">
        <v>24698</v>
      </c>
      <c r="C54" s="20">
        <v>0</v>
      </c>
      <c r="D54" s="85">
        <v>10822</v>
      </c>
      <c r="E54" s="85">
        <v>6102052</v>
      </c>
      <c r="F54" s="20">
        <v>0</v>
      </c>
      <c r="G54" s="85">
        <v>433000</v>
      </c>
      <c r="H54" s="20">
        <v>0</v>
      </c>
      <c r="I54" s="85">
        <v>9958684</v>
      </c>
      <c r="J54" s="85">
        <f t="shared" si="0"/>
        <v>30621205</v>
      </c>
      <c r="K54" s="85">
        <v>470162</v>
      </c>
      <c r="M54" s="85">
        <v>47620623</v>
      </c>
      <c r="N54" s="85">
        <v>9843470</v>
      </c>
      <c r="O54" s="20">
        <v>0</v>
      </c>
      <c r="P54" s="85">
        <v>115214</v>
      </c>
      <c r="Q54" s="85">
        <v>9958684</v>
      </c>
      <c r="R54" s="85">
        <v>13112654</v>
      </c>
      <c r="S54" s="85">
        <v>787674</v>
      </c>
      <c r="T54" s="85">
        <v>2052038</v>
      </c>
      <c r="U54" s="85">
        <v>6935697</v>
      </c>
      <c r="V54" s="85">
        <v>22888063</v>
      </c>
      <c r="W54" s="85">
        <v>433000</v>
      </c>
      <c r="X54" s="85">
        <v>219568</v>
      </c>
      <c r="Y54" s="20">
        <v>0</v>
      </c>
      <c r="Z54" s="85">
        <v>652568</v>
      </c>
      <c r="AA54" s="20">
        <v>0</v>
      </c>
      <c r="AB54" s="20">
        <v>0</v>
      </c>
      <c r="AC54" s="20">
        <v>0</v>
      </c>
      <c r="AD54" s="85">
        <v>10822</v>
      </c>
      <c r="AE54" s="85">
        <v>10822</v>
      </c>
      <c r="AF54" s="20">
        <v>0</v>
      </c>
      <c r="AG54" s="85">
        <v>7809079</v>
      </c>
      <c r="AI54" s="85">
        <v>41319216</v>
      </c>
      <c r="AJ54" s="20">
        <v>0</v>
      </c>
      <c r="AK54" s="85">
        <v>263909</v>
      </c>
      <c r="AL54" s="20">
        <v>0</v>
      </c>
      <c r="AM54" s="20">
        <v>0</v>
      </c>
      <c r="AN54" s="20">
        <v>0</v>
      </c>
      <c r="AP54" s="85">
        <v>263909</v>
      </c>
      <c r="AQ54" s="85">
        <v>1879683</v>
      </c>
      <c r="AR54" s="20">
        <v>0</v>
      </c>
      <c r="AS54" s="85">
        <v>1545450</v>
      </c>
      <c r="AT54" s="20">
        <v>0</v>
      </c>
      <c r="AU54" s="20">
        <v>0</v>
      </c>
      <c r="AW54" s="85">
        <v>3425133</v>
      </c>
      <c r="AX54" s="85">
        <v>590000</v>
      </c>
      <c r="AY54" s="20">
        <v>0</v>
      </c>
      <c r="AZ54" s="20">
        <v>0</v>
      </c>
      <c r="BA54" s="20">
        <v>0</v>
      </c>
      <c r="BC54" s="85">
        <v>590000</v>
      </c>
      <c r="BD54" s="20">
        <v>0</v>
      </c>
      <c r="BF54" s="85">
        <v>4279042</v>
      </c>
      <c r="BG54" s="85">
        <v>45598258</v>
      </c>
    </row>
    <row r="55" spans="1:59" x14ac:dyDescent="0.2">
      <c r="A55" s="17" t="s">
        <v>99</v>
      </c>
      <c r="B55" s="20">
        <v>0</v>
      </c>
      <c r="C55" s="20">
        <v>0</v>
      </c>
      <c r="D55" s="20">
        <v>0</v>
      </c>
      <c r="E55" s="85">
        <v>7541187</v>
      </c>
      <c r="F55" s="20">
        <v>0</v>
      </c>
      <c r="G55" s="20">
        <v>0</v>
      </c>
      <c r="H55" s="20">
        <v>0</v>
      </c>
      <c r="I55" s="20">
        <v>0</v>
      </c>
      <c r="J55" s="85">
        <f t="shared" si="0"/>
        <v>429336</v>
      </c>
      <c r="K55" s="85">
        <v>19256</v>
      </c>
      <c r="M55" s="85">
        <v>7989779</v>
      </c>
      <c r="N55" s="85">
        <v>6006000</v>
      </c>
      <c r="O55" s="20">
        <v>0</v>
      </c>
      <c r="P55" s="20">
        <v>0</v>
      </c>
      <c r="Q55" s="85">
        <v>6006000</v>
      </c>
      <c r="R55" s="85">
        <v>1191000</v>
      </c>
      <c r="S55" s="85">
        <v>211000</v>
      </c>
      <c r="T55" s="85">
        <v>247000</v>
      </c>
      <c r="U55" s="20">
        <v>0</v>
      </c>
      <c r="V55" s="85">
        <v>1649000</v>
      </c>
      <c r="W55" s="85">
        <v>400000</v>
      </c>
      <c r="X55" s="85">
        <v>183000</v>
      </c>
      <c r="Y55" s="20">
        <v>0</v>
      </c>
      <c r="Z55" s="85">
        <v>583000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I55" s="85">
        <v>8238000</v>
      </c>
      <c r="AJ55" s="20">
        <v>0</v>
      </c>
      <c r="AK55" s="85">
        <v>606107</v>
      </c>
      <c r="AL55" s="20">
        <v>0</v>
      </c>
      <c r="AM55" s="20">
        <v>0</v>
      </c>
      <c r="AN55" s="20">
        <v>0</v>
      </c>
      <c r="AP55" s="85">
        <v>606107</v>
      </c>
      <c r="AQ55" s="85">
        <v>1198116</v>
      </c>
      <c r="AR55" s="20">
        <v>0</v>
      </c>
      <c r="AS55" s="85">
        <v>645258</v>
      </c>
      <c r="AT55" s="20">
        <v>0</v>
      </c>
      <c r="AU55" s="20">
        <v>0</v>
      </c>
      <c r="AW55" s="85">
        <v>1843374</v>
      </c>
      <c r="AX55" s="85">
        <v>631346</v>
      </c>
      <c r="AY55" s="85">
        <v>1434789</v>
      </c>
      <c r="AZ55" s="85">
        <v>335022</v>
      </c>
      <c r="BA55" s="85">
        <v>1149079</v>
      </c>
      <c r="BC55" s="85">
        <v>3550236</v>
      </c>
      <c r="BD55" s="20">
        <v>0</v>
      </c>
      <c r="BF55" s="85">
        <v>5999717</v>
      </c>
      <c r="BG55" s="85">
        <v>14237717</v>
      </c>
    </row>
    <row r="56" spans="1:59" x14ac:dyDescent="0.2">
      <c r="A56" s="17" t="s">
        <v>100</v>
      </c>
      <c r="B56" s="20">
        <v>0</v>
      </c>
      <c r="C56" s="85">
        <v>161945</v>
      </c>
      <c r="D56" s="85">
        <v>91210</v>
      </c>
      <c r="E56" s="85">
        <v>10230186</v>
      </c>
      <c r="F56" s="20">
        <v>0</v>
      </c>
      <c r="G56" s="85">
        <v>1186475</v>
      </c>
      <c r="H56" s="20">
        <v>0</v>
      </c>
      <c r="I56" s="85">
        <v>595182</v>
      </c>
      <c r="J56" s="85">
        <f t="shared" si="0"/>
        <v>844607</v>
      </c>
      <c r="K56" s="85">
        <v>46453</v>
      </c>
      <c r="M56" s="85">
        <v>13156058</v>
      </c>
      <c r="N56" s="85">
        <v>595182</v>
      </c>
      <c r="O56" s="20">
        <v>0</v>
      </c>
      <c r="P56" s="20">
        <v>0</v>
      </c>
      <c r="Q56" s="85">
        <v>595182</v>
      </c>
      <c r="R56" s="85">
        <v>79365</v>
      </c>
      <c r="S56" s="85">
        <v>275642</v>
      </c>
      <c r="T56" s="20">
        <v>0</v>
      </c>
      <c r="U56" s="85">
        <v>229188</v>
      </c>
      <c r="V56" s="85">
        <v>584195</v>
      </c>
      <c r="W56" s="85">
        <v>380385</v>
      </c>
      <c r="X56" s="20">
        <v>0</v>
      </c>
      <c r="Y56" s="20">
        <v>0</v>
      </c>
      <c r="Z56" s="85">
        <v>380385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85">
        <v>21257</v>
      </c>
      <c r="AG56" s="85">
        <v>542879</v>
      </c>
      <c r="AI56" s="85">
        <v>2123898</v>
      </c>
      <c r="AJ56" s="20">
        <v>0</v>
      </c>
      <c r="AK56" s="85">
        <v>553201</v>
      </c>
      <c r="AL56" s="20">
        <v>0</v>
      </c>
      <c r="AM56" s="20">
        <v>0</v>
      </c>
      <c r="AN56" s="20">
        <v>0</v>
      </c>
      <c r="AP56" s="85">
        <v>553201</v>
      </c>
      <c r="AQ56" s="85">
        <v>5121147</v>
      </c>
      <c r="AR56" s="20">
        <v>0</v>
      </c>
      <c r="AS56" s="85">
        <v>1832943</v>
      </c>
      <c r="AT56" s="20">
        <v>0</v>
      </c>
      <c r="AU56" s="20">
        <v>0</v>
      </c>
      <c r="AW56" s="85">
        <v>6954090</v>
      </c>
      <c r="AX56" s="85">
        <v>999469</v>
      </c>
      <c r="AY56" s="85">
        <v>830000</v>
      </c>
      <c r="AZ56" s="85">
        <v>112092</v>
      </c>
      <c r="BA56" s="20">
        <v>0</v>
      </c>
      <c r="BC56" s="85">
        <v>1941561</v>
      </c>
      <c r="BD56" s="20">
        <v>0</v>
      </c>
      <c r="BF56" s="85">
        <v>9448852</v>
      </c>
      <c r="BG56" s="85">
        <v>11572750</v>
      </c>
    </row>
    <row r="57" spans="1:59" x14ac:dyDescent="0.2">
      <c r="A57" s="17" t="s">
        <v>258</v>
      </c>
      <c r="B57" s="85">
        <v>15422</v>
      </c>
      <c r="C57" s="20">
        <v>0</v>
      </c>
      <c r="D57" s="20">
        <v>0</v>
      </c>
      <c r="E57" s="85">
        <v>752720</v>
      </c>
      <c r="F57" s="20">
        <v>0</v>
      </c>
      <c r="G57" s="20">
        <v>0</v>
      </c>
      <c r="H57" s="20">
        <v>0</v>
      </c>
      <c r="I57" s="20">
        <v>0</v>
      </c>
      <c r="J57" s="85">
        <f t="shared" si="0"/>
        <v>1086152</v>
      </c>
      <c r="K57" s="85">
        <v>56940</v>
      </c>
      <c r="M57" s="85">
        <v>1911234</v>
      </c>
      <c r="N57" s="20">
        <v>0</v>
      </c>
      <c r="O57" s="20">
        <v>0</v>
      </c>
      <c r="P57" s="20">
        <v>0</v>
      </c>
      <c r="Q57" s="20">
        <v>0</v>
      </c>
      <c r="R57" s="85">
        <v>830300</v>
      </c>
      <c r="S57" s="20">
        <v>0</v>
      </c>
      <c r="T57" s="20">
        <v>0</v>
      </c>
      <c r="U57" s="20">
        <v>0</v>
      </c>
      <c r="V57" s="85">
        <v>830300</v>
      </c>
      <c r="W57" s="85">
        <v>141048</v>
      </c>
      <c r="X57" s="20">
        <v>0</v>
      </c>
      <c r="Y57" s="20">
        <v>0</v>
      </c>
      <c r="Z57" s="85">
        <v>141048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I57" s="85">
        <v>971348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C57" s="20">
        <v>0</v>
      </c>
      <c r="BD57" s="20">
        <v>0</v>
      </c>
      <c r="BF57" s="20">
        <v>0</v>
      </c>
      <c r="BG57" s="85">
        <v>971348</v>
      </c>
    </row>
    <row r="58" spans="1:59" x14ac:dyDescent="0.2">
      <c r="A58" s="17" t="s">
        <v>101</v>
      </c>
      <c r="B58" s="20">
        <v>0</v>
      </c>
      <c r="C58" s="20">
        <v>0</v>
      </c>
      <c r="D58" s="20">
        <v>0</v>
      </c>
      <c r="E58" s="85">
        <v>4740784</v>
      </c>
      <c r="F58" s="85">
        <v>171200</v>
      </c>
      <c r="G58" s="85">
        <v>37215</v>
      </c>
      <c r="H58" s="20">
        <v>0</v>
      </c>
      <c r="I58" s="20">
        <v>0</v>
      </c>
      <c r="J58" s="85">
        <f t="shared" si="0"/>
        <v>138123</v>
      </c>
      <c r="K58" s="20">
        <v>0</v>
      </c>
      <c r="M58" s="85">
        <v>5087322</v>
      </c>
      <c r="N58" s="85">
        <v>13833</v>
      </c>
      <c r="O58" s="20">
        <v>0</v>
      </c>
      <c r="P58" s="20">
        <v>0</v>
      </c>
      <c r="Q58" s="85">
        <v>13833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85">
        <v>46400</v>
      </c>
      <c r="Y58" s="20">
        <v>0</v>
      </c>
      <c r="Z58" s="85">
        <v>46400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85">
        <v>28500</v>
      </c>
      <c r="AI58" s="85">
        <v>88733</v>
      </c>
      <c r="AJ58" s="20">
        <v>0</v>
      </c>
      <c r="AK58" s="85">
        <v>550000</v>
      </c>
      <c r="AL58" s="20">
        <v>0</v>
      </c>
      <c r="AM58" s="20">
        <v>0</v>
      </c>
      <c r="AN58" s="20">
        <v>0</v>
      </c>
      <c r="AP58" s="85">
        <v>550000</v>
      </c>
      <c r="AQ58" s="85">
        <v>966453</v>
      </c>
      <c r="AR58" s="20">
        <v>0</v>
      </c>
      <c r="AS58" s="85">
        <v>528561</v>
      </c>
      <c r="AT58" s="20">
        <v>0</v>
      </c>
      <c r="AU58" s="20">
        <v>0</v>
      </c>
      <c r="AW58" s="85">
        <v>1495014</v>
      </c>
      <c r="AX58" s="20">
        <v>0</v>
      </c>
      <c r="AY58" s="85">
        <v>250000</v>
      </c>
      <c r="AZ58" s="20">
        <v>0</v>
      </c>
      <c r="BA58" s="85">
        <v>570057</v>
      </c>
      <c r="BC58" s="85">
        <v>820057</v>
      </c>
      <c r="BD58" s="20">
        <v>0</v>
      </c>
      <c r="BF58" s="85">
        <v>2865071</v>
      </c>
      <c r="BG58" s="85">
        <v>2953804</v>
      </c>
    </row>
    <row r="59" spans="1:59" x14ac:dyDescent="0.2">
      <c r="A59" s="17" t="s">
        <v>102</v>
      </c>
      <c r="B59" s="20">
        <v>0</v>
      </c>
      <c r="C59" s="20">
        <v>0</v>
      </c>
      <c r="D59" s="20">
        <v>0</v>
      </c>
      <c r="E59" s="85">
        <v>1389476</v>
      </c>
      <c r="F59" s="20">
        <v>0</v>
      </c>
      <c r="G59" s="85">
        <v>223277</v>
      </c>
      <c r="H59" s="20">
        <v>0</v>
      </c>
      <c r="I59" s="20">
        <v>0</v>
      </c>
      <c r="J59" s="85">
        <f t="shared" si="0"/>
        <v>33374</v>
      </c>
      <c r="K59" s="20">
        <v>491</v>
      </c>
      <c r="M59" s="85">
        <v>1646618</v>
      </c>
      <c r="N59" s="85">
        <v>63812</v>
      </c>
      <c r="O59" s="20">
        <v>0</v>
      </c>
      <c r="P59" s="20">
        <v>0</v>
      </c>
      <c r="Q59" s="85">
        <v>63812</v>
      </c>
      <c r="R59" s="20">
        <v>0</v>
      </c>
      <c r="S59" s="20">
        <v>0</v>
      </c>
      <c r="T59" s="85">
        <v>22995</v>
      </c>
      <c r="U59" s="20">
        <v>0</v>
      </c>
      <c r="V59" s="85">
        <v>22995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85">
        <v>15891</v>
      </c>
      <c r="AG59" s="20">
        <v>0</v>
      </c>
      <c r="AI59" s="85">
        <v>102698</v>
      </c>
      <c r="AJ59" s="20">
        <v>0</v>
      </c>
      <c r="AK59" s="85">
        <v>240106</v>
      </c>
      <c r="AL59" s="20">
        <v>0</v>
      </c>
      <c r="AM59" s="85">
        <v>73500</v>
      </c>
      <c r="AN59" s="20">
        <v>0</v>
      </c>
      <c r="AP59" s="85">
        <v>313606</v>
      </c>
      <c r="AQ59" s="85">
        <v>1621225</v>
      </c>
      <c r="AR59" s="20">
        <v>0</v>
      </c>
      <c r="AS59" s="85">
        <v>249931</v>
      </c>
      <c r="AT59" s="20">
        <v>0</v>
      </c>
      <c r="AU59" s="20">
        <v>0</v>
      </c>
      <c r="AW59" s="85">
        <v>1871156</v>
      </c>
      <c r="AX59" s="20">
        <v>0</v>
      </c>
      <c r="AY59" s="20">
        <v>0</v>
      </c>
      <c r="AZ59" s="20">
        <v>0</v>
      </c>
      <c r="BA59" s="20">
        <v>0</v>
      </c>
      <c r="BC59" s="20">
        <v>0</v>
      </c>
      <c r="BD59" s="20">
        <v>0</v>
      </c>
      <c r="BF59" s="85">
        <v>2184762</v>
      </c>
      <c r="BG59" s="85">
        <v>2287460</v>
      </c>
    </row>
    <row r="60" spans="1:59" x14ac:dyDescent="0.2">
      <c r="A60" s="17" t="s">
        <v>103</v>
      </c>
      <c r="B60" s="20">
        <v>360</v>
      </c>
      <c r="C60" s="85">
        <v>10613</v>
      </c>
      <c r="D60" s="20">
        <v>0</v>
      </c>
      <c r="E60" s="85">
        <v>3583156</v>
      </c>
      <c r="F60" s="20">
        <v>0</v>
      </c>
      <c r="G60" s="85">
        <v>94755</v>
      </c>
      <c r="H60" s="20">
        <v>0</v>
      </c>
      <c r="I60" s="85">
        <v>147866</v>
      </c>
      <c r="J60" s="85">
        <f t="shared" si="0"/>
        <v>0</v>
      </c>
      <c r="K60" s="85">
        <v>3797</v>
      </c>
      <c r="M60" s="85">
        <v>3840547</v>
      </c>
      <c r="N60" s="85">
        <v>88968</v>
      </c>
      <c r="O60" s="20">
        <v>0</v>
      </c>
      <c r="P60" s="20">
        <v>0</v>
      </c>
      <c r="Q60" s="85">
        <v>88968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85">
        <v>4900</v>
      </c>
      <c r="X60" s="20">
        <v>0</v>
      </c>
      <c r="Y60" s="20">
        <v>0</v>
      </c>
      <c r="Z60" s="85">
        <v>4900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85">
        <v>10613</v>
      </c>
      <c r="AG60" s="20">
        <v>0</v>
      </c>
      <c r="AI60" s="85">
        <v>104481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P60" s="20">
        <v>0</v>
      </c>
      <c r="AQ60" s="85">
        <v>2014236</v>
      </c>
      <c r="AR60" s="20">
        <v>0</v>
      </c>
      <c r="AS60" s="85">
        <v>320127</v>
      </c>
      <c r="AT60" s="20">
        <v>0</v>
      </c>
      <c r="AU60" s="20">
        <v>0</v>
      </c>
      <c r="AW60" s="85">
        <v>2334363</v>
      </c>
      <c r="AX60" s="85">
        <v>1247448</v>
      </c>
      <c r="AY60" s="20">
        <v>0</v>
      </c>
      <c r="AZ60" s="85">
        <v>204080</v>
      </c>
      <c r="BA60" s="20">
        <v>0</v>
      </c>
      <c r="BC60" s="85">
        <v>1451528</v>
      </c>
      <c r="BD60" s="20">
        <v>0</v>
      </c>
      <c r="BF60" s="85">
        <v>3785891</v>
      </c>
      <c r="BG60" s="85">
        <v>3890372</v>
      </c>
    </row>
    <row r="61" spans="1:59" x14ac:dyDescent="0.2">
      <c r="A61" s="17" t="s">
        <v>104</v>
      </c>
      <c r="B61" s="20">
        <v>0</v>
      </c>
      <c r="C61" s="85">
        <v>1720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85">
        <v>34731</v>
      </c>
      <c r="J61" s="85">
        <f t="shared" si="0"/>
        <v>150913</v>
      </c>
      <c r="K61" s="20">
        <v>218</v>
      </c>
      <c r="M61" s="85">
        <v>187582</v>
      </c>
      <c r="N61" s="85">
        <v>75551</v>
      </c>
      <c r="O61" s="20">
        <v>0</v>
      </c>
      <c r="P61" s="20">
        <v>0</v>
      </c>
      <c r="Q61" s="85">
        <v>75551</v>
      </c>
      <c r="R61" s="85">
        <v>51340</v>
      </c>
      <c r="S61" s="20">
        <v>0</v>
      </c>
      <c r="T61" s="20">
        <v>0</v>
      </c>
      <c r="U61" s="85">
        <v>66275</v>
      </c>
      <c r="V61" s="85">
        <v>117615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85">
        <v>1720</v>
      </c>
      <c r="AG61" s="20">
        <v>0</v>
      </c>
      <c r="AI61" s="85">
        <v>194886</v>
      </c>
      <c r="AJ61" s="20">
        <v>0</v>
      </c>
      <c r="AK61" s="20">
        <v>0</v>
      </c>
      <c r="AL61" s="20">
        <v>0</v>
      </c>
      <c r="AM61" s="20">
        <v>0</v>
      </c>
      <c r="AN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C61" s="20">
        <v>0</v>
      </c>
      <c r="BD61" s="20">
        <v>0</v>
      </c>
      <c r="BF61" s="20">
        <v>0</v>
      </c>
      <c r="BG61" s="85">
        <v>194886</v>
      </c>
    </row>
    <row r="62" spans="1:59" x14ac:dyDescent="0.2">
      <c r="A62" s="17" t="s">
        <v>105</v>
      </c>
      <c r="B62" s="20">
        <v>0</v>
      </c>
      <c r="C62" s="85">
        <v>38519</v>
      </c>
      <c r="D62" s="20">
        <v>0</v>
      </c>
      <c r="E62" s="85">
        <v>2664624</v>
      </c>
      <c r="F62" s="20">
        <v>0</v>
      </c>
      <c r="G62" s="85">
        <v>316883</v>
      </c>
      <c r="H62" s="20">
        <v>0</v>
      </c>
      <c r="I62" s="85">
        <v>168786</v>
      </c>
      <c r="J62" s="85">
        <f t="shared" si="0"/>
        <v>6270</v>
      </c>
      <c r="K62" s="85">
        <v>78225</v>
      </c>
      <c r="M62" s="85">
        <v>3273307</v>
      </c>
      <c r="N62" s="85">
        <v>168786</v>
      </c>
      <c r="O62" s="20">
        <v>0</v>
      </c>
      <c r="P62" s="20">
        <v>0</v>
      </c>
      <c r="Q62" s="85">
        <v>168786</v>
      </c>
      <c r="R62" s="20">
        <v>596</v>
      </c>
      <c r="S62" s="20">
        <v>0</v>
      </c>
      <c r="T62" s="20">
        <v>955</v>
      </c>
      <c r="U62" s="85">
        <v>19257</v>
      </c>
      <c r="V62" s="85">
        <v>20808</v>
      </c>
      <c r="W62" s="85">
        <v>703945</v>
      </c>
      <c r="X62" s="85">
        <v>39200</v>
      </c>
      <c r="Y62" s="20">
        <v>0</v>
      </c>
      <c r="Z62" s="85">
        <v>743145</v>
      </c>
      <c r="AA62" s="20">
        <v>0</v>
      </c>
      <c r="AB62" s="20">
        <v>518</v>
      </c>
      <c r="AC62" s="20">
        <v>0</v>
      </c>
      <c r="AD62" s="20">
        <v>0</v>
      </c>
      <c r="AE62" s="20">
        <v>518</v>
      </c>
      <c r="AF62" s="85">
        <v>66337</v>
      </c>
      <c r="AG62" s="85">
        <v>7519</v>
      </c>
      <c r="AI62" s="85">
        <v>1007113</v>
      </c>
      <c r="AJ62" s="20">
        <v>0</v>
      </c>
      <c r="AK62" s="20">
        <v>0</v>
      </c>
      <c r="AL62" s="20">
        <v>0</v>
      </c>
      <c r="AM62" s="85">
        <v>8000</v>
      </c>
      <c r="AN62" s="20">
        <v>0</v>
      </c>
      <c r="AP62" s="85">
        <v>8000</v>
      </c>
      <c r="AQ62" s="85">
        <v>189294</v>
      </c>
      <c r="AR62" s="20">
        <v>0</v>
      </c>
      <c r="AS62" s="85">
        <v>150553</v>
      </c>
      <c r="AT62" s="20">
        <v>0</v>
      </c>
      <c r="AU62" s="20">
        <v>0</v>
      </c>
      <c r="AW62" s="85">
        <v>339847</v>
      </c>
      <c r="AX62" s="20">
        <v>0</v>
      </c>
      <c r="AY62" s="20">
        <v>0</v>
      </c>
      <c r="AZ62" s="20">
        <v>0</v>
      </c>
      <c r="BA62" s="85">
        <v>338759</v>
      </c>
      <c r="BC62" s="85">
        <v>338759</v>
      </c>
      <c r="BD62" s="20">
        <v>0</v>
      </c>
      <c r="BF62" s="85">
        <v>686606</v>
      </c>
      <c r="BG62" s="85">
        <v>1693719</v>
      </c>
    </row>
    <row r="63" spans="1:59" x14ac:dyDescent="0.2">
      <c r="A63" s="17" t="s">
        <v>106</v>
      </c>
      <c r="B63" s="85">
        <v>153518</v>
      </c>
      <c r="C63" s="85">
        <v>6376073</v>
      </c>
      <c r="D63" s="20">
        <v>0</v>
      </c>
      <c r="E63" s="85">
        <v>36769168</v>
      </c>
      <c r="F63" s="20">
        <v>0</v>
      </c>
      <c r="G63" s="85">
        <v>13718186</v>
      </c>
      <c r="H63" s="20">
        <v>0</v>
      </c>
      <c r="I63" s="85">
        <v>37364164</v>
      </c>
      <c r="J63" s="85">
        <f t="shared" si="0"/>
        <v>1367796</v>
      </c>
      <c r="K63" s="85">
        <v>6266528</v>
      </c>
      <c r="M63" s="85">
        <v>102015433</v>
      </c>
      <c r="N63" s="85">
        <v>31390639</v>
      </c>
      <c r="O63" s="20">
        <v>0</v>
      </c>
      <c r="P63" s="85">
        <v>423078</v>
      </c>
      <c r="Q63" s="85">
        <v>31813717</v>
      </c>
      <c r="R63" s="85">
        <v>1137932</v>
      </c>
      <c r="S63" s="85">
        <v>2719055</v>
      </c>
      <c r="T63" s="20">
        <v>0</v>
      </c>
      <c r="U63" s="85">
        <v>5780312</v>
      </c>
      <c r="V63" s="85">
        <v>9637299</v>
      </c>
      <c r="W63" s="85">
        <v>1686055</v>
      </c>
      <c r="X63" s="85">
        <v>943161</v>
      </c>
      <c r="Y63" s="85">
        <v>191734</v>
      </c>
      <c r="Z63" s="85">
        <v>2820950</v>
      </c>
      <c r="AA63" s="85">
        <v>5836585</v>
      </c>
      <c r="AB63" s="85">
        <v>9339</v>
      </c>
      <c r="AC63" s="85">
        <v>50352</v>
      </c>
      <c r="AD63" s="85">
        <v>388430</v>
      </c>
      <c r="AE63" s="85">
        <v>6284706</v>
      </c>
      <c r="AF63" s="85">
        <v>220921</v>
      </c>
      <c r="AG63" s="85">
        <v>24786590</v>
      </c>
      <c r="AI63" s="85">
        <v>75564183</v>
      </c>
      <c r="AJ63" s="20">
        <v>0</v>
      </c>
      <c r="AK63" s="85">
        <v>166547</v>
      </c>
      <c r="AL63" s="20">
        <v>0</v>
      </c>
      <c r="AM63" s="20">
        <v>0</v>
      </c>
      <c r="AN63" s="20">
        <v>0</v>
      </c>
      <c r="AP63" s="85">
        <v>166547</v>
      </c>
      <c r="AQ63" s="85">
        <v>1136403</v>
      </c>
      <c r="AR63" s="20">
        <v>0</v>
      </c>
      <c r="AS63" s="85">
        <v>645441</v>
      </c>
      <c r="AT63" s="20">
        <v>0</v>
      </c>
      <c r="AU63" s="85">
        <v>44658</v>
      </c>
      <c r="AW63" s="85">
        <v>1826502</v>
      </c>
      <c r="AX63" s="85">
        <v>16156958</v>
      </c>
      <c r="AY63" s="85">
        <v>21100234</v>
      </c>
      <c r="AZ63" s="85">
        <v>8964103</v>
      </c>
      <c r="BA63" s="20">
        <v>0</v>
      </c>
      <c r="BC63" s="85">
        <v>46221295</v>
      </c>
      <c r="BD63" s="20">
        <v>0</v>
      </c>
      <c r="BF63" s="85">
        <v>48214344</v>
      </c>
      <c r="BG63" s="85">
        <v>123778527</v>
      </c>
    </row>
    <row r="64" spans="1:59" x14ac:dyDescent="0.2">
      <c r="A64" s="17" t="s">
        <v>107</v>
      </c>
      <c r="B64" s="20">
        <v>0</v>
      </c>
      <c r="C64" s="85">
        <v>21086</v>
      </c>
      <c r="D64" s="20">
        <v>0</v>
      </c>
      <c r="E64" s="85">
        <v>756897</v>
      </c>
      <c r="F64" s="20">
        <v>0</v>
      </c>
      <c r="G64" s="20">
        <v>0</v>
      </c>
      <c r="H64" s="20">
        <v>0</v>
      </c>
      <c r="I64" s="85">
        <v>6262</v>
      </c>
      <c r="J64" s="85">
        <f t="shared" si="0"/>
        <v>0</v>
      </c>
      <c r="K64" s="20">
        <v>173</v>
      </c>
      <c r="M64" s="85">
        <v>784418</v>
      </c>
      <c r="N64" s="85">
        <v>6262</v>
      </c>
      <c r="O64" s="20">
        <v>0</v>
      </c>
      <c r="P64" s="20">
        <v>0</v>
      </c>
      <c r="Q64" s="85">
        <v>6262</v>
      </c>
      <c r="R64" s="20">
        <v>0</v>
      </c>
      <c r="S64" s="20">
        <v>0</v>
      </c>
      <c r="T64" s="20">
        <v>0</v>
      </c>
      <c r="U64" s="85">
        <v>8030</v>
      </c>
      <c r="V64" s="85">
        <v>8030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85">
        <v>4642</v>
      </c>
      <c r="AD64" s="20">
        <v>0</v>
      </c>
      <c r="AE64" s="85">
        <v>4642</v>
      </c>
      <c r="AF64" s="85">
        <v>16444</v>
      </c>
      <c r="AG64" s="20">
        <v>0</v>
      </c>
      <c r="AI64" s="85">
        <v>35378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P64" s="20">
        <v>0</v>
      </c>
      <c r="AQ64" s="85">
        <v>2432150</v>
      </c>
      <c r="AR64" s="20">
        <v>0</v>
      </c>
      <c r="AS64" s="85">
        <v>644162</v>
      </c>
      <c r="AT64" s="20">
        <v>0</v>
      </c>
      <c r="AU64" s="85">
        <v>59975</v>
      </c>
      <c r="AW64" s="85">
        <v>3136287</v>
      </c>
      <c r="AX64" s="20">
        <v>0</v>
      </c>
      <c r="AY64" s="20">
        <v>0</v>
      </c>
      <c r="AZ64" s="20">
        <v>0</v>
      </c>
      <c r="BA64" s="20">
        <v>0</v>
      </c>
      <c r="BC64" s="20">
        <v>0</v>
      </c>
      <c r="BD64" s="20">
        <v>0</v>
      </c>
      <c r="BF64" s="85">
        <v>3136287</v>
      </c>
      <c r="BG64" s="85">
        <v>3171665</v>
      </c>
    </row>
    <row r="65" spans="1:59" x14ac:dyDescent="0.2">
      <c r="A65" s="17" t="s">
        <v>259</v>
      </c>
      <c r="B65" s="20">
        <v>0</v>
      </c>
      <c r="C65" s="20">
        <v>0</v>
      </c>
      <c r="D65" s="20">
        <v>0</v>
      </c>
      <c r="E65" s="85">
        <v>4775924</v>
      </c>
      <c r="F65" s="20">
        <v>0</v>
      </c>
      <c r="G65" s="20">
        <v>0</v>
      </c>
      <c r="H65" s="20">
        <v>0</v>
      </c>
      <c r="I65" s="85">
        <v>13353150</v>
      </c>
      <c r="J65" s="85">
        <f t="shared" si="0"/>
        <v>0</v>
      </c>
      <c r="K65" s="85">
        <v>4941</v>
      </c>
      <c r="M65" s="85">
        <v>18134015</v>
      </c>
      <c r="N65" s="85">
        <v>3772607</v>
      </c>
      <c r="O65" s="85">
        <v>8472493</v>
      </c>
      <c r="P65" s="20">
        <v>0</v>
      </c>
      <c r="Q65" s="85">
        <v>12245100</v>
      </c>
      <c r="R65" s="85">
        <v>58180</v>
      </c>
      <c r="S65" s="85">
        <v>647757</v>
      </c>
      <c r="T65" s="85">
        <v>168040</v>
      </c>
      <c r="U65" s="85">
        <v>4000</v>
      </c>
      <c r="V65" s="85">
        <v>877977</v>
      </c>
      <c r="W65" s="85">
        <v>167384</v>
      </c>
      <c r="X65" s="20">
        <v>0</v>
      </c>
      <c r="Y65" s="20">
        <v>0</v>
      </c>
      <c r="Z65" s="85">
        <v>167384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I65" s="85">
        <v>13290461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W65" s="20">
        <v>0</v>
      </c>
      <c r="AX65" s="85">
        <v>343890</v>
      </c>
      <c r="AY65" s="85">
        <v>282715</v>
      </c>
      <c r="AZ65" s="85">
        <v>4015148</v>
      </c>
      <c r="BA65" s="20">
        <v>0</v>
      </c>
      <c r="BC65" s="85">
        <v>4641753</v>
      </c>
      <c r="BD65" s="20">
        <v>0</v>
      </c>
      <c r="BF65" s="85">
        <v>4641753</v>
      </c>
      <c r="BG65" s="85">
        <v>17932214</v>
      </c>
    </row>
    <row r="66" spans="1:59" x14ac:dyDescent="0.2">
      <c r="A66" s="17" t="s">
        <v>108</v>
      </c>
      <c r="B66" s="20">
        <v>0</v>
      </c>
      <c r="C66" s="85">
        <v>99339</v>
      </c>
      <c r="D66" s="20">
        <v>0</v>
      </c>
      <c r="E66" s="85">
        <v>497637</v>
      </c>
      <c r="F66" s="20">
        <v>0</v>
      </c>
      <c r="G66" s="85">
        <v>269314</v>
      </c>
      <c r="H66" s="20">
        <v>0</v>
      </c>
      <c r="I66" s="85">
        <v>55713</v>
      </c>
      <c r="J66" s="85">
        <f t="shared" si="0"/>
        <v>67744</v>
      </c>
      <c r="K66" s="85">
        <v>11985</v>
      </c>
      <c r="M66" s="85">
        <v>1001732</v>
      </c>
      <c r="N66" s="85">
        <v>50206</v>
      </c>
      <c r="O66" s="20">
        <v>0</v>
      </c>
      <c r="P66" s="85">
        <v>5507</v>
      </c>
      <c r="Q66" s="85">
        <v>55713</v>
      </c>
      <c r="R66" s="85">
        <v>32085</v>
      </c>
      <c r="S66" s="20">
        <v>0</v>
      </c>
      <c r="T66" s="85">
        <v>29608</v>
      </c>
      <c r="U66" s="85">
        <v>43310</v>
      </c>
      <c r="V66" s="85">
        <v>105003</v>
      </c>
      <c r="W66" s="85">
        <v>490122</v>
      </c>
      <c r="X66" s="20">
        <v>0</v>
      </c>
      <c r="Y66" s="20">
        <v>0</v>
      </c>
      <c r="Z66" s="85">
        <v>490122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85">
        <v>99282</v>
      </c>
      <c r="AG66" s="20">
        <v>0</v>
      </c>
      <c r="AI66" s="85">
        <v>750120</v>
      </c>
      <c r="AJ66" s="20">
        <v>0</v>
      </c>
      <c r="AK66" s="85">
        <v>613929</v>
      </c>
      <c r="AL66" s="20">
        <v>0</v>
      </c>
      <c r="AM66" s="20">
        <v>0</v>
      </c>
      <c r="AN66" s="20">
        <v>0</v>
      </c>
      <c r="AP66" s="85">
        <v>613929</v>
      </c>
      <c r="AQ66" s="20">
        <v>0</v>
      </c>
      <c r="AR66" s="20">
        <v>0</v>
      </c>
      <c r="AS66" s="85">
        <v>212076</v>
      </c>
      <c r="AT66" s="20">
        <v>0</v>
      </c>
      <c r="AU66" s="20">
        <v>0</v>
      </c>
      <c r="AW66" s="85">
        <v>212076</v>
      </c>
      <c r="AX66" s="20">
        <v>0</v>
      </c>
      <c r="AY66" s="20">
        <v>0</v>
      </c>
      <c r="AZ66" s="20">
        <v>0</v>
      </c>
      <c r="BA66" s="20">
        <v>0</v>
      </c>
      <c r="BC66" s="20">
        <v>0</v>
      </c>
      <c r="BD66" s="20">
        <v>0</v>
      </c>
      <c r="BF66" s="85">
        <v>826005</v>
      </c>
      <c r="BG66" s="85">
        <v>1576125</v>
      </c>
    </row>
    <row r="67" spans="1:59" x14ac:dyDescent="0.2">
      <c r="A67" s="17" t="s">
        <v>109</v>
      </c>
      <c r="B67" s="20">
        <v>0</v>
      </c>
      <c r="C67" s="85">
        <v>101853</v>
      </c>
      <c r="D67" s="20">
        <v>0</v>
      </c>
      <c r="E67" s="85">
        <v>458439</v>
      </c>
      <c r="F67" s="20">
        <v>0</v>
      </c>
      <c r="G67" s="85">
        <v>1766203</v>
      </c>
      <c r="H67" s="20">
        <v>0</v>
      </c>
      <c r="I67" s="85">
        <v>185387</v>
      </c>
      <c r="J67" s="85">
        <f t="shared" ref="J67:J75" si="1">M67-B67-C67-D67-E67-F67-G67-H67-I67-K67</f>
        <v>325673</v>
      </c>
      <c r="K67" s="85">
        <v>68779</v>
      </c>
      <c r="M67" s="85">
        <v>2906334</v>
      </c>
      <c r="N67" s="85">
        <v>185387</v>
      </c>
      <c r="O67" s="20">
        <v>0</v>
      </c>
      <c r="P67" s="20">
        <v>0</v>
      </c>
      <c r="Q67" s="85">
        <v>185387</v>
      </c>
      <c r="R67" s="85">
        <v>970002</v>
      </c>
      <c r="S67" s="85">
        <v>309312</v>
      </c>
      <c r="T67" s="85">
        <v>325673</v>
      </c>
      <c r="U67" s="85">
        <v>490631</v>
      </c>
      <c r="V67" s="85">
        <v>2095618</v>
      </c>
      <c r="W67" s="20">
        <v>0</v>
      </c>
      <c r="X67" s="20">
        <v>0</v>
      </c>
      <c r="Y67" s="20">
        <v>0</v>
      </c>
      <c r="Z67" s="20">
        <v>0</v>
      </c>
      <c r="AA67" s="85">
        <v>101753</v>
      </c>
      <c r="AB67" s="20">
        <v>0</v>
      </c>
      <c r="AC67" s="20">
        <v>0</v>
      </c>
      <c r="AD67" s="20">
        <v>0</v>
      </c>
      <c r="AE67" s="85">
        <v>101753</v>
      </c>
      <c r="AF67" s="20">
        <v>100</v>
      </c>
      <c r="AG67" s="85">
        <v>66660</v>
      </c>
      <c r="AI67" s="85">
        <v>2449518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P67" s="20">
        <v>0</v>
      </c>
      <c r="AQ67" s="85">
        <v>194293</v>
      </c>
      <c r="AR67" s="20">
        <v>0</v>
      </c>
      <c r="AS67" s="85">
        <v>163521</v>
      </c>
      <c r="AT67" s="20">
        <v>0</v>
      </c>
      <c r="AU67" s="20">
        <v>0</v>
      </c>
      <c r="AW67" s="85">
        <v>357814</v>
      </c>
      <c r="AX67" s="20">
        <v>0</v>
      </c>
      <c r="AY67" s="20">
        <v>0</v>
      </c>
      <c r="AZ67" s="20">
        <v>0</v>
      </c>
      <c r="BA67" s="20">
        <v>0</v>
      </c>
      <c r="BC67" s="20">
        <v>0</v>
      </c>
      <c r="BD67" s="20">
        <v>0</v>
      </c>
      <c r="BF67" s="85">
        <v>357814</v>
      </c>
      <c r="BG67" s="85">
        <v>2807332</v>
      </c>
    </row>
    <row r="68" spans="1:59" x14ac:dyDescent="0.2">
      <c r="A68" s="17" t="s">
        <v>110</v>
      </c>
      <c r="B68" s="20">
        <v>0</v>
      </c>
      <c r="C68" s="20">
        <v>0</v>
      </c>
      <c r="D68" s="20">
        <v>0</v>
      </c>
      <c r="E68" s="85">
        <v>1155966</v>
      </c>
      <c r="F68" s="20">
        <v>0</v>
      </c>
      <c r="G68" s="20">
        <v>0</v>
      </c>
      <c r="H68" s="20">
        <v>0</v>
      </c>
      <c r="I68" s="85">
        <v>5735</v>
      </c>
      <c r="J68" s="85">
        <f t="shared" si="1"/>
        <v>0</v>
      </c>
      <c r="K68" s="85">
        <v>1439</v>
      </c>
      <c r="M68" s="85">
        <v>1163140</v>
      </c>
      <c r="N68" s="85">
        <v>5735</v>
      </c>
      <c r="O68" s="20">
        <v>0</v>
      </c>
      <c r="P68" s="20">
        <v>0</v>
      </c>
      <c r="Q68" s="85">
        <v>5735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I68" s="85">
        <v>5735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P68" s="20">
        <v>0</v>
      </c>
      <c r="AQ68" s="85">
        <v>502325</v>
      </c>
      <c r="AR68" s="20">
        <v>0</v>
      </c>
      <c r="AS68" s="85">
        <v>47416</v>
      </c>
      <c r="AT68" s="20">
        <v>0</v>
      </c>
      <c r="AU68" s="20">
        <v>0</v>
      </c>
      <c r="AW68" s="85">
        <v>549741</v>
      </c>
      <c r="AX68" s="20">
        <v>0</v>
      </c>
      <c r="AY68" s="20">
        <v>0</v>
      </c>
      <c r="AZ68" s="20">
        <v>0</v>
      </c>
      <c r="BA68" s="20">
        <v>0</v>
      </c>
      <c r="BC68" s="20">
        <v>0</v>
      </c>
      <c r="BD68" s="20">
        <v>0</v>
      </c>
      <c r="BF68" s="85">
        <v>549741</v>
      </c>
      <c r="BG68" s="85">
        <v>555476</v>
      </c>
    </row>
    <row r="69" spans="1:59" x14ac:dyDescent="0.2">
      <c r="A69" s="17" t="s">
        <v>260</v>
      </c>
      <c r="B69" s="85">
        <v>9600</v>
      </c>
      <c r="C69" s="85">
        <v>1363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85">
        <v>81460</v>
      </c>
      <c r="J69" s="85">
        <f t="shared" si="1"/>
        <v>120103</v>
      </c>
      <c r="K69" s="20">
        <v>0</v>
      </c>
      <c r="M69" s="85">
        <v>212526</v>
      </c>
      <c r="N69" s="85">
        <v>81460</v>
      </c>
      <c r="O69" s="20">
        <v>0</v>
      </c>
      <c r="P69" s="20">
        <v>0</v>
      </c>
      <c r="Q69" s="85">
        <v>81460</v>
      </c>
      <c r="R69" s="20">
        <v>0</v>
      </c>
      <c r="S69" s="20">
        <v>0</v>
      </c>
      <c r="T69" s="85">
        <v>88428</v>
      </c>
      <c r="U69" s="85">
        <v>32838</v>
      </c>
      <c r="V69" s="85">
        <v>121266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I69" s="85">
        <v>202726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C69" s="20">
        <v>0</v>
      </c>
      <c r="BD69" s="20">
        <v>0</v>
      </c>
      <c r="BF69" s="20">
        <v>0</v>
      </c>
      <c r="BG69" s="85">
        <v>202726</v>
      </c>
    </row>
    <row r="70" spans="1:59" x14ac:dyDescent="0.2">
      <c r="A70" s="17" t="s">
        <v>261</v>
      </c>
      <c r="B70" s="20">
        <v>827</v>
      </c>
      <c r="C70" s="85">
        <v>3615</v>
      </c>
      <c r="D70" s="20">
        <v>0</v>
      </c>
      <c r="E70" s="85">
        <v>1003904</v>
      </c>
      <c r="F70" s="20">
        <v>0</v>
      </c>
      <c r="G70" s="85">
        <v>40572</v>
      </c>
      <c r="H70" s="20">
        <v>0</v>
      </c>
      <c r="I70" s="85">
        <v>10015</v>
      </c>
      <c r="J70" s="85">
        <f t="shared" si="1"/>
        <v>11248</v>
      </c>
      <c r="K70" s="20">
        <v>0</v>
      </c>
      <c r="M70" s="85">
        <v>1070181</v>
      </c>
      <c r="N70" s="85">
        <v>17900</v>
      </c>
      <c r="O70" s="20">
        <v>0</v>
      </c>
      <c r="P70" s="20">
        <v>0</v>
      </c>
      <c r="Q70" s="85">
        <v>17900</v>
      </c>
      <c r="R70" s="85">
        <v>10000</v>
      </c>
      <c r="S70" s="20">
        <v>0</v>
      </c>
      <c r="T70" s="20">
        <v>0</v>
      </c>
      <c r="U70" s="20">
        <v>0</v>
      </c>
      <c r="V70" s="85">
        <v>10000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I70" s="85">
        <v>27900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W70" s="20">
        <v>0</v>
      </c>
      <c r="AX70" s="20">
        <v>0</v>
      </c>
      <c r="AY70" s="20">
        <v>0</v>
      </c>
      <c r="AZ70" s="85">
        <v>1222628</v>
      </c>
      <c r="BA70" s="20">
        <v>0</v>
      </c>
      <c r="BC70" s="85">
        <v>1222628</v>
      </c>
      <c r="BD70" s="20">
        <v>0</v>
      </c>
      <c r="BF70" s="85">
        <v>1222628</v>
      </c>
      <c r="BG70" s="85">
        <v>1250528</v>
      </c>
    </row>
    <row r="71" spans="1:59" x14ac:dyDescent="0.2">
      <c r="A71" s="17" t="s">
        <v>111</v>
      </c>
      <c r="B71" s="20">
        <v>0</v>
      </c>
      <c r="C71" s="20">
        <v>0</v>
      </c>
      <c r="D71" s="85">
        <v>35024</v>
      </c>
      <c r="E71" s="85">
        <v>10928225</v>
      </c>
      <c r="F71" s="20">
        <v>0</v>
      </c>
      <c r="G71" s="85">
        <v>2301523</v>
      </c>
      <c r="H71" s="20">
        <v>0</v>
      </c>
      <c r="I71" s="85">
        <v>13327783</v>
      </c>
      <c r="J71" s="85">
        <f t="shared" si="1"/>
        <v>3923082</v>
      </c>
      <c r="K71" s="85">
        <v>51862</v>
      </c>
      <c r="M71" s="85">
        <v>30567499</v>
      </c>
      <c r="N71" s="85">
        <v>12389000</v>
      </c>
      <c r="O71" s="20">
        <v>0</v>
      </c>
      <c r="P71" s="20">
        <v>0</v>
      </c>
      <c r="Q71" s="85">
        <v>12389000</v>
      </c>
      <c r="R71" s="85">
        <v>5156000</v>
      </c>
      <c r="S71" s="85">
        <v>303000</v>
      </c>
      <c r="T71" s="20">
        <v>0</v>
      </c>
      <c r="U71" s="85">
        <v>1038000</v>
      </c>
      <c r="V71" s="85">
        <v>6497000</v>
      </c>
      <c r="W71" s="20">
        <v>0</v>
      </c>
      <c r="X71" s="85">
        <v>2275000</v>
      </c>
      <c r="Y71" s="20">
        <v>0</v>
      </c>
      <c r="Z71" s="85">
        <v>2275000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I71" s="85">
        <v>21161000</v>
      </c>
      <c r="AJ71" s="20">
        <v>0</v>
      </c>
      <c r="AK71" s="85">
        <v>300000</v>
      </c>
      <c r="AL71" s="20">
        <v>0</v>
      </c>
      <c r="AM71" s="85">
        <v>136000</v>
      </c>
      <c r="AN71" s="20">
        <v>0</v>
      </c>
      <c r="AP71" s="85">
        <v>436000</v>
      </c>
      <c r="AQ71" s="85">
        <v>94486</v>
      </c>
      <c r="AR71" s="20">
        <v>0</v>
      </c>
      <c r="AS71" s="85">
        <v>409781</v>
      </c>
      <c r="AT71" s="20">
        <v>0</v>
      </c>
      <c r="AU71" s="20">
        <v>0</v>
      </c>
      <c r="AW71" s="85">
        <v>504267</v>
      </c>
      <c r="AX71" s="85">
        <v>5956980</v>
      </c>
      <c r="AY71" s="85">
        <v>2682255</v>
      </c>
      <c r="AZ71" s="85">
        <v>779737</v>
      </c>
      <c r="BA71" s="20">
        <v>0</v>
      </c>
      <c r="BC71" s="85">
        <v>9418972</v>
      </c>
      <c r="BD71" s="20">
        <v>0</v>
      </c>
      <c r="BF71" s="85">
        <v>10359239</v>
      </c>
      <c r="BG71" s="85">
        <v>31520239</v>
      </c>
    </row>
    <row r="72" spans="1:59" x14ac:dyDescent="0.2">
      <c r="A72" s="17" t="s">
        <v>112</v>
      </c>
      <c r="B72" s="20">
        <v>0</v>
      </c>
      <c r="C72" s="85">
        <v>1124</v>
      </c>
      <c r="D72" s="20">
        <v>0</v>
      </c>
      <c r="E72" s="85">
        <v>393432</v>
      </c>
      <c r="F72" s="20">
        <v>0</v>
      </c>
      <c r="G72" s="85">
        <v>142046</v>
      </c>
      <c r="H72" s="20">
        <v>0</v>
      </c>
      <c r="I72" s="85">
        <v>437129</v>
      </c>
      <c r="J72" s="85">
        <f t="shared" si="1"/>
        <v>707788</v>
      </c>
      <c r="K72" s="85">
        <v>18157</v>
      </c>
      <c r="M72" s="85">
        <v>1699676</v>
      </c>
      <c r="N72" s="85">
        <v>437129</v>
      </c>
      <c r="O72" s="20">
        <v>0</v>
      </c>
      <c r="P72" s="20">
        <v>0</v>
      </c>
      <c r="Q72" s="85">
        <v>437129</v>
      </c>
      <c r="R72" s="85">
        <v>36343</v>
      </c>
      <c r="S72" s="85">
        <v>132167</v>
      </c>
      <c r="T72" s="85">
        <v>531566</v>
      </c>
      <c r="U72" s="85">
        <v>3296</v>
      </c>
      <c r="V72" s="85">
        <v>703372</v>
      </c>
      <c r="W72" s="85">
        <v>146257</v>
      </c>
      <c r="X72" s="20">
        <v>0</v>
      </c>
      <c r="Y72" s="20">
        <v>0</v>
      </c>
      <c r="Z72" s="85">
        <v>146257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85">
        <v>1124</v>
      </c>
      <c r="AG72" s="85">
        <v>16355</v>
      </c>
      <c r="AI72" s="85">
        <v>1304237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P72" s="20">
        <v>0</v>
      </c>
      <c r="AQ72" s="85">
        <v>354826</v>
      </c>
      <c r="AR72" s="20">
        <v>0</v>
      </c>
      <c r="AS72" s="85">
        <v>334386</v>
      </c>
      <c r="AT72" s="20">
        <v>0</v>
      </c>
      <c r="AU72" s="20">
        <v>0</v>
      </c>
      <c r="AW72" s="85">
        <v>689212</v>
      </c>
      <c r="AX72" s="20">
        <v>0</v>
      </c>
      <c r="AY72" s="20">
        <v>0</v>
      </c>
      <c r="AZ72" s="20">
        <v>0</v>
      </c>
      <c r="BA72" s="20">
        <v>0</v>
      </c>
      <c r="BC72" s="20">
        <v>0</v>
      </c>
      <c r="BD72" s="20">
        <v>0</v>
      </c>
      <c r="BF72" s="85">
        <v>689212</v>
      </c>
      <c r="BG72" s="85">
        <v>1993449</v>
      </c>
    </row>
    <row r="73" spans="1:59" x14ac:dyDescent="0.2">
      <c r="A73" s="17" t="s">
        <v>113</v>
      </c>
      <c r="B73" s="20">
        <v>0</v>
      </c>
      <c r="C73" s="85">
        <v>340027</v>
      </c>
      <c r="D73" s="85">
        <v>11954</v>
      </c>
      <c r="E73" s="85">
        <v>1781667</v>
      </c>
      <c r="F73" s="20">
        <v>0</v>
      </c>
      <c r="G73" s="85">
        <v>19134</v>
      </c>
      <c r="H73" s="20">
        <v>0</v>
      </c>
      <c r="I73" s="85">
        <v>220214</v>
      </c>
      <c r="J73" s="85">
        <f t="shared" si="1"/>
        <v>27605</v>
      </c>
      <c r="K73" s="85">
        <v>1358</v>
      </c>
      <c r="M73" s="85">
        <v>2401959</v>
      </c>
      <c r="N73" s="85">
        <v>220214</v>
      </c>
      <c r="O73" s="20">
        <v>0</v>
      </c>
      <c r="P73" s="20">
        <v>0</v>
      </c>
      <c r="Q73" s="85">
        <v>220214</v>
      </c>
      <c r="R73" s="20">
        <v>842</v>
      </c>
      <c r="S73" s="20">
        <v>0</v>
      </c>
      <c r="T73" s="85">
        <v>9308</v>
      </c>
      <c r="U73" s="85">
        <v>17455</v>
      </c>
      <c r="V73" s="85">
        <v>27605</v>
      </c>
      <c r="W73" s="20">
        <v>0</v>
      </c>
      <c r="X73" s="85">
        <v>11303</v>
      </c>
      <c r="Y73" s="20">
        <v>0</v>
      </c>
      <c r="Z73" s="85">
        <v>11303</v>
      </c>
      <c r="AA73" s="85">
        <v>243192</v>
      </c>
      <c r="AB73" s="85">
        <v>7954</v>
      </c>
      <c r="AC73" s="20">
        <v>0</v>
      </c>
      <c r="AD73" s="85">
        <v>1127</v>
      </c>
      <c r="AE73" s="85">
        <v>252273</v>
      </c>
      <c r="AF73" s="85">
        <v>96835</v>
      </c>
      <c r="AG73" s="85">
        <v>12061</v>
      </c>
      <c r="AI73" s="85">
        <v>620291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P73" s="20">
        <v>0</v>
      </c>
      <c r="AQ73" s="85">
        <v>1240978</v>
      </c>
      <c r="AR73" s="20">
        <v>0</v>
      </c>
      <c r="AS73" s="85">
        <v>458358</v>
      </c>
      <c r="AT73" s="20">
        <v>0</v>
      </c>
      <c r="AU73" s="20">
        <v>0</v>
      </c>
      <c r="AW73" s="85">
        <v>1699336</v>
      </c>
      <c r="AX73" s="85">
        <v>82331</v>
      </c>
      <c r="AY73" s="20">
        <v>0</v>
      </c>
      <c r="AZ73" s="20">
        <v>0</v>
      </c>
      <c r="BA73" s="20">
        <v>0</v>
      </c>
      <c r="BC73" s="85">
        <v>82331</v>
      </c>
      <c r="BD73" s="20">
        <v>0</v>
      </c>
      <c r="BF73" s="85">
        <v>1781667</v>
      </c>
      <c r="BG73" s="85">
        <v>2401958</v>
      </c>
    </row>
    <row r="74" spans="1:59" x14ac:dyDescent="0.2">
      <c r="A74" s="17" t="s">
        <v>114</v>
      </c>
      <c r="B74" s="20">
        <v>0</v>
      </c>
      <c r="C74" s="20">
        <v>0</v>
      </c>
      <c r="D74" s="85">
        <v>3451</v>
      </c>
      <c r="E74" s="20">
        <v>0</v>
      </c>
      <c r="F74" s="20">
        <v>0</v>
      </c>
      <c r="G74" s="85">
        <v>25000</v>
      </c>
      <c r="H74" s="20">
        <v>0</v>
      </c>
      <c r="I74" s="85">
        <v>13069</v>
      </c>
      <c r="J74" s="85">
        <f t="shared" si="1"/>
        <v>0</v>
      </c>
      <c r="K74" s="20">
        <v>1</v>
      </c>
      <c r="M74" s="85">
        <v>41521</v>
      </c>
      <c r="N74" s="85">
        <v>13069</v>
      </c>
      <c r="O74" s="20">
        <v>0</v>
      </c>
      <c r="P74" s="20">
        <v>0</v>
      </c>
      <c r="Q74" s="85">
        <v>13069</v>
      </c>
      <c r="R74" s="85">
        <v>25000</v>
      </c>
      <c r="S74" s="20">
        <v>0</v>
      </c>
      <c r="T74" s="20">
        <v>0</v>
      </c>
      <c r="U74" s="85">
        <v>124502</v>
      </c>
      <c r="V74" s="85">
        <v>149502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I74" s="85">
        <v>162571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P74" s="20">
        <v>0</v>
      </c>
      <c r="AQ74" s="20">
        <v>0</v>
      </c>
      <c r="AR74" s="20">
        <v>0</v>
      </c>
      <c r="AS74" s="85">
        <v>20000</v>
      </c>
      <c r="AT74" s="20">
        <v>0</v>
      </c>
      <c r="AU74" s="20">
        <v>0</v>
      </c>
      <c r="AW74" s="85">
        <v>20000</v>
      </c>
      <c r="AX74" s="20">
        <v>0</v>
      </c>
      <c r="AY74" s="20">
        <v>0</v>
      </c>
      <c r="AZ74" s="20">
        <v>0</v>
      </c>
      <c r="BA74" s="20">
        <v>0</v>
      </c>
      <c r="BC74" s="20">
        <v>0</v>
      </c>
      <c r="BD74" s="20">
        <v>0</v>
      </c>
      <c r="BF74" s="85">
        <v>20000</v>
      </c>
      <c r="BG74" s="85">
        <v>182571</v>
      </c>
    </row>
    <row r="75" spans="1:59" x14ac:dyDescent="0.2">
      <c r="A75" s="17" t="s">
        <v>262</v>
      </c>
      <c r="B75" s="20">
        <v>0</v>
      </c>
      <c r="C75" s="85">
        <v>3730</v>
      </c>
      <c r="D75" s="85">
        <v>5231</v>
      </c>
      <c r="E75" s="85">
        <v>2178678</v>
      </c>
      <c r="F75" s="20">
        <v>0</v>
      </c>
      <c r="G75" s="20">
        <v>0</v>
      </c>
      <c r="H75" s="20">
        <v>0</v>
      </c>
      <c r="I75" s="85">
        <v>122605</v>
      </c>
      <c r="J75" s="85">
        <f t="shared" si="1"/>
        <v>21095</v>
      </c>
      <c r="K75" s="20">
        <v>0</v>
      </c>
      <c r="M75" s="85">
        <v>2331339</v>
      </c>
      <c r="N75" s="85">
        <v>122605</v>
      </c>
      <c r="O75" s="20">
        <v>0</v>
      </c>
      <c r="P75" s="20">
        <v>0</v>
      </c>
      <c r="Q75" s="85">
        <v>122605</v>
      </c>
      <c r="R75" s="85">
        <v>21095</v>
      </c>
      <c r="S75" s="20">
        <v>0</v>
      </c>
      <c r="T75" s="20">
        <v>0</v>
      </c>
      <c r="U75" s="20">
        <v>0</v>
      </c>
      <c r="V75" s="85">
        <v>21095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I75" s="85">
        <v>143700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P75" s="20">
        <v>0</v>
      </c>
      <c r="AQ75" s="85">
        <v>189997</v>
      </c>
      <c r="AR75" s="20">
        <v>0</v>
      </c>
      <c r="AS75" s="85">
        <v>18453</v>
      </c>
      <c r="AT75" s="20">
        <v>0</v>
      </c>
      <c r="AU75" s="20">
        <v>0</v>
      </c>
      <c r="AW75" s="85">
        <v>208450</v>
      </c>
      <c r="AX75" s="20">
        <v>0</v>
      </c>
      <c r="AY75" s="20">
        <v>0</v>
      </c>
      <c r="AZ75" s="20">
        <v>0</v>
      </c>
      <c r="BA75" s="20">
        <v>0</v>
      </c>
      <c r="BC75" s="20">
        <v>0</v>
      </c>
      <c r="BD75" s="20">
        <v>0</v>
      </c>
      <c r="BF75" s="85">
        <v>208450</v>
      </c>
      <c r="BG75" s="85">
        <v>352150</v>
      </c>
    </row>
    <row r="78" spans="1:59" x14ac:dyDescent="0.2">
      <c r="A78" s="279">
        <v>1</v>
      </c>
      <c r="B78" s="279">
        <v>2</v>
      </c>
      <c r="C78" s="279">
        <v>3</v>
      </c>
      <c r="D78" s="279">
        <v>4</v>
      </c>
      <c r="E78" s="279">
        <v>5</v>
      </c>
      <c r="F78" s="279">
        <v>6</v>
      </c>
      <c r="G78" s="279">
        <v>7</v>
      </c>
      <c r="H78" s="279">
        <v>8</v>
      </c>
      <c r="I78" s="279">
        <v>9</v>
      </c>
      <c r="J78" s="279">
        <v>10</v>
      </c>
      <c r="K78" s="279">
        <v>11</v>
      </c>
      <c r="L78" s="279">
        <v>12</v>
      </c>
      <c r="M78" s="279">
        <v>13</v>
      </c>
      <c r="N78" s="279">
        <v>14</v>
      </c>
      <c r="O78" s="279">
        <v>15</v>
      </c>
      <c r="P78" s="279">
        <v>16</v>
      </c>
      <c r="Q78" s="279">
        <v>17</v>
      </c>
      <c r="R78" s="279">
        <v>18</v>
      </c>
      <c r="S78" s="279">
        <v>19</v>
      </c>
      <c r="T78" s="279">
        <v>20</v>
      </c>
      <c r="U78" s="279">
        <v>21</v>
      </c>
      <c r="V78" s="279">
        <v>22</v>
      </c>
      <c r="W78" s="279">
        <v>23</v>
      </c>
      <c r="X78" s="279">
        <v>24</v>
      </c>
      <c r="Y78" s="279">
        <v>25</v>
      </c>
      <c r="Z78" s="279">
        <v>26</v>
      </c>
      <c r="AA78" s="279">
        <v>27</v>
      </c>
      <c r="AB78" s="279">
        <v>28</v>
      </c>
      <c r="AC78" s="279">
        <v>29</v>
      </c>
      <c r="AD78" s="279">
        <v>30</v>
      </c>
      <c r="AE78" s="279">
        <v>31</v>
      </c>
      <c r="AF78" s="279">
        <v>32</v>
      </c>
      <c r="AG78" s="279">
        <v>33</v>
      </c>
      <c r="AH78" s="279">
        <v>34</v>
      </c>
      <c r="AI78" s="279">
        <v>35</v>
      </c>
      <c r="AJ78" s="279">
        <v>36</v>
      </c>
      <c r="AK78" s="279">
        <v>37</v>
      </c>
      <c r="AL78" s="279">
        <v>38</v>
      </c>
      <c r="AM78" s="279">
        <v>39</v>
      </c>
      <c r="AN78" s="279">
        <v>40</v>
      </c>
      <c r="AO78" s="279">
        <v>41</v>
      </c>
      <c r="AP78" s="279">
        <v>42</v>
      </c>
      <c r="AQ78" s="279">
        <v>43</v>
      </c>
      <c r="AR78" s="279">
        <v>44</v>
      </c>
      <c r="AS78" s="279">
        <v>45</v>
      </c>
      <c r="AT78" s="279">
        <v>46</v>
      </c>
      <c r="AU78" s="279">
        <v>47</v>
      </c>
      <c r="AV78" s="279">
        <v>48</v>
      </c>
      <c r="AW78" s="279">
        <v>49</v>
      </c>
      <c r="AX78" s="279">
        <v>50</v>
      </c>
      <c r="AY78" s="279">
        <v>51</v>
      </c>
      <c r="AZ78" s="279">
        <v>52</v>
      </c>
      <c r="BA78" s="279">
        <v>53</v>
      </c>
      <c r="BB78" s="279">
        <v>54</v>
      </c>
      <c r="BC78" s="279">
        <v>55</v>
      </c>
      <c r="BD78" s="279">
        <v>56</v>
      </c>
      <c r="BE78" s="279">
        <v>57</v>
      </c>
      <c r="BF78" s="279">
        <v>58</v>
      </c>
      <c r="BG78" s="279">
        <v>59</v>
      </c>
    </row>
  </sheetData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39" sqref="A39"/>
    </sheetView>
  </sheetViews>
  <sheetFormatPr baseColWidth="10" defaultColWidth="11.42578125" defaultRowHeight="12.75" x14ac:dyDescent="0.2"/>
  <cols>
    <col min="1" max="1" width="44.85546875" style="12" customWidth="1"/>
    <col min="2" max="3" width="11.28515625" style="12" bestFit="1" customWidth="1"/>
    <col min="4" max="4" width="14.28515625" style="12" customWidth="1"/>
    <col min="5" max="5" width="14.7109375" style="12" customWidth="1"/>
    <col min="6" max="6" width="12" style="12" customWidth="1"/>
    <col min="7" max="16384" width="11.42578125" style="219"/>
  </cols>
  <sheetData>
    <row r="1" spans="1:6" ht="13.5" thickBot="1" x14ac:dyDescent="0.25">
      <c r="A1" s="221" t="s">
        <v>276</v>
      </c>
      <c r="B1" s="222"/>
      <c r="C1" s="222"/>
      <c r="D1" s="222"/>
      <c r="E1" s="222"/>
      <c r="F1" s="222"/>
    </row>
    <row r="2" spans="1:6" x14ac:dyDescent="0.2">
      <c r="B2" s="378" t="s">
        <v>146</v>
      </c>
      <c r="C2" s="378"/>
      <c r="D2" s="378"/>
      <c r="E2" s="378"/>
      <c r="F2" s="379"/>
    </row>
    <row r="3" spans="1:6" ht="38.25" x14ac:dyDescent="0.2">
      <c r="A3" s="95" t="s">
        <v>125</v>
      </c>
      <c r="B3" s="103" t="s">
        <v>173</v>
      </c>
      <c r="C3" s="103" t="s">
        <v>174</v>
      </c>
      <c r="D3" s="103" t="s">
        <v>175</v>
      </c>
      <c r="E3" s="104" t="s">
        <v>176</v>
      </c>
      <c r="F3" s="100" t="s">
        <v>151</v>
      </c>
    </row>
    <row r="4" spans="1:6" x14ac:dyDescent="0.2">
      <c r="A4" s="17" t="s">
        <v>58</v>
      </c>
      <c r="B4" s="107">
        <v>3940789</v>
      </c>
      <c r="C4" s="107">
        <v>23241726</v>
      </c>
      <c r="D4" s="107">
        <v>20848232</v>
      </c>
      <c r="E4" s="107">
        <v>18258136</v>
      </c>
      <c r="F4" s="293">
        <f t="shared" ref="F4:F29" si="0">SUM(B4:E4)</f>
        <v>66288883</v>
      </c>
    </row>
    <row r="5" spans="1:6" x14ac:dyDescent="0.2">
      <c r="A5" s="17" t="s">
        <v>106</v>
      </c>
      <c r="B5" s="107">
        <v>16156958</v>
      </c>
      <c r="C5" s="107">
        <v>21100234</v>
      </c>
      <c r="D5" s="107">
        <v>8964103</v>
      </c>
      <c r="E5" s="107">
        <v>0</v>
      </c>
      <c r="F5" s="294">
        <f t="shared" si="0"/>
        <v>46221295</v>
      </c>
    </row>
    <row r="6" spans="1:6" x14ac:dyDescent="0.2">
      <c r="A6" s="17" t="s">
        <v>111</v>
      </c>
      <c r="B6" s="107">
        <v>5956980</v>
      </c>
      <c r="C6" s="107">
        <v>2682255</v>
      </c>
      <c r="D6" s="107">
        <v>779737</v>
      </c>
      <c r="E6" s="107">
        <v>0</v>
      </c>
      <c r="F6" s="294">
        <f t="shared" si="0"/>
        <v>9418972</v>
      </c>
    </row>
    <row r="7" spans="1:6" x14ac:dyDescent="0.2">
      <c r="A7" s="17" t="s">
        <v>75</v>
      </c>
      <c r="B7" s="107">
        <v>1904205</v>
      </c>
      <c r="C7" s="107">
        <v>5935131</v>
      </c>
      <c r="D7" s="107">
        <v>0</v>
      </c>
      <c r="E7" s="107">
        <v>0</v>
      </c>
      <c r="F7" s="294">
        <f t="shared" si="0"/>
        <v>7839336</v>
      </c>
    </row>
    <row r="8" spans="1:6" x14ac:dyDescent="0.2">
      <c r="A8" s="17" t="s">
        <v>259</v>
      </c>
      <c r="B8" s="107">
        <v>343890</v>
      </c>
      <c r="C8" s="107">
        <v>282715</v>
      </c>
      <c r="D8" s="107">
        <v>4015148</v>
      </c>
      <c r="E8" s="107">
        <v>0</v>
      </c>
      <c r="F8" s="294">
        <f t="shared" si="0"/>
        <v>4641753</v>
      </c>
    </row>
    <row r="9" spans="1:6" x14ac:dyDescent="0.2">
      <c r="A9" s="17" t="s">
        <v>99</v>
      </c>
      <c r="B9" s="107">
        <v>631346</v>
      </c>
      <c r="C9" s="107">
        <v>1434789</v>
      </c>
      <c r="D9" s="107">
        <v>335022</v>
      </c>
      <c r="E9" s="107">
        <v>1149079</v>
      </c>
      <c r="F9" s="294">
        <f t="shared" si="0"/>
        <v>3550236</v>
      </c>
    </row>
    <row r="10" spans="1:6" x14ac:dyDescent="0.2">
      <c r="A10" s="17" t="s">
        <v>64</v>
      </c>
      <c r="B10" s="107">
        <v>1562261</v>
      </c>
      <c r="C10" s="107">
        <v>741804</v>
      </c>
      <c r="D10" s="107">
        <v>0</v>
      </c>
      <c r="E10" s="107">
        <v>0</v>
      </c>
      <c r="F10" s="294">
        <f t="shared" si="0"/>
        <v>2304065</v>
      </c>
    </row>
    <row r="11" spans="1:6" x14ac:dyDescent="0.2">
      <c r="A11" s="17" t="s">
        <v>100</v>
      </c>
      <c r="B11" s="107">
        <v>999469</v>
      </c>
      <c r="C11" s="107">
        <v>830000</v>
      </c>
      <c r="D11" s="107">
        <v>112092</v>
      </c>
      <c r="E11" s="107">
        <v>0</v>
      </c>
      <c r="F11" s="294">
        <f t="shared" si="0"/>
        <v>1941561</v>
      </c>
    </row>
    <row r="12" spans="1:6" x14ac:dyDescent="0.2">
      <c r="A12" s="17" t="s">
        <v>103</v>
      </c>
      <c r="B12" s="107">
        <v>1247448</v>
      </c>
      <c r="C12" s="107">
        <v>0</v>
      </c>
      <c r="D12" s="107">
        <v>204080</v>
      </c>
      <c r="E12" s="107">
        <v>0</v>
      </c>
      <c r="F12" s="294">
        <f t="shared" si="0"/>
        <v>1451528</v>
      </c>
    </row>
    <row r="13" spans="1:6" x14ac:dyDescent="0.2">
      <c r="A13" s="17" t="s">
        <v>245</v>
      </c>
      <c r="B13" s="107">
        <v>0</v>
      </c>
      <c r="C13" s="107">
        <v>0</v>
      </c>
      <c r="D13" s="107">
        <v>0</v>
      </c>
      <c r="E13" s="107">
        <v>1425000</v>
      </c>
      <c r="F13" s="294">
        <f t="shared" si="0"/>
        <v>1425000</v>
      </c>
    </row>
    <row r="14" spans="1:6" x14ac:dyDescent="0.2">
      <c r="A14" s="17" t="s">
        <v>67</v>
      </c>
      <c r="B14" s="107">
        <v>0</v>
      </c>
      <c r="C14" s="107">
        <v>133662</v>
      </c>
      <c r="D14" s="107">
        <v>129575</v>
      </c>
      <c r="E14" s="107">
        <v>973656</v>
      </c>
      <c r="F14" s="294">
        <f t="shared" si="0"/>
        <v>1236893</v>
      </c>
    </row>
    <row r="15" spans="1:6" x14ac:dyDescent="0.2">
      <c r="A15" s="17" t="s">
        <v>261</v>
      </c>
      <c r="B15" s="107">
        <v>0</v>
      </c>
      <c r="C15" s="107">
        <v>0</v>
      </c>
      <c r="D15" s="107">
        <v>1222628</v>
      </c>
      <c r="E15" s="107">
        <v>0</v>
      </c>
      <c r="F15" s="294">
        <f t="shared" si="0"/>
        <v>1222628</v>
      </c>
    </row>
    <row r="16" spans="1:6" x14ac:dyDescent="0.2">
      <c r="A16" s="17" t="s">
        <v>101</v>
      </c>
      <c r="B16" s="107">
        <v>0</v>
      </c>
      <c r="C16" s="107">
        <v>250000</v>
      </c>
      <c r="D16" s="107">
        <v>0</v>
      </c>
      <c r="E16" s="107">
        <v>570057</v>
      </c>
      <c r="F16" s="294">
        <f t="shared" si="0"/>
        <v>820057</v>
      </c>
    </row>
    <row r="17" spans="1:6" x14ac:dyDescent="0.2">
      <c r="A17" s="17" t="s">
        <v>98</v>
      </c>
      <c r="B17" s="107">
        <v>590000</v>
      </c>
      <c r="C17" s="107">
        <v>0</v>
      </c>
      <c r="D17" s="107">
        <v>0</v>
      </c>
      <c r="E17" s="107">
        <v>0</v>
      </c>
      <c r="F17" s="294">
        <f t="shared" si="0"/>
        <v>590000</v>
      </c>
    </row>
    <row r="18" spans="1:6" x14ac:dyDescent="0.2">
      <c r="A18" s="17" t="s">
        <v>70</v>
      </c>
      <c r="B18" s="107">
        <v>219205</v>
      </c>
      <c r="C18" s="107">
        <v>0</v>
      </c>
      <c r="D18" s="107">
        <v>50721</v>
      </c>
      <c r="E18" s="107">
        <v>153505</v>
      </c>
      <c r="F18" s="294">
        <f t="shared" si="0"/>
        <v>423431</v>
      </c>
    </row>
    <row r="19" spans="1:6" x14ac:dyDescent="0.2">
      <c r="A19" s="17" t="s">
        <v>105</v>
      </c>
      <c r="B19" s="107">
        <v>0</v>
      </c>
      <c r="C19" s="107">
        <v>0</v>
      </c>
      <c r="D19" s="107">
        <v>0</v>
      </c>
      <c r="E19" s="107">
        <v>338759</v>
      </c>
      <c r="F19" s="294">
        <f t="shared" si="0"/>
        <v>338759</v>
      </c>
    </row>
    <row r="20" spans="1:6" x14ac:dyDescent="0.2">
      <c r="A20" s="17" t="s">
        <v>61</v>
      </c>
      <c r="B20" s="107">
        <v>330000</v>
      </c>
      <c r="C20" s="107">
        <v>0</v>
      </c>
      <c r="D20" s="107">
        <v>0</v>
      </c>
      <c r="E20" s="107">
        <v>0</v>
      </c>
      <c r="F20" s="294">
        <f t="shared" si="0"/>
        <v>330000</v>
      </c>
    </row>
    <row r="21" spans="1:6" x14ac:dyDescent="0.2">
      <c r="A21" s="17" t="s">
        <v>71</v>
      </c>
      <c r="B21" s="107">
        <v>0</v>
      </c>
      <c r="C21" s="107">
        <v>0</v>
      </c>
      <c r="D21" s="107">
        <v>0</v>
      </c>
      <c r="E21" s="107">
        <v>272920</v>
      </c>
      <c r="F21" s="294">
        <f t="shared" si="0"/>
        <v>272920</v>
      </c>
    </row>
    <row r="22" spans="1:6" x14ac:dyDescent="0.2">
      <c r="A22" s="17" t="s">
        <v>85</v>
      </c>
      <c r="B22" s="107">
        <v>170532</v>
      </c>
      <c r="C22" s="107">
        <v>0</v>
      </c>
      <c r="D22" s="107">
        <v>58410</v>
      </c>
      <c r="E22" s="107">
        <v>0</v>
      </c>
      <c r="F22" s="294">
        <f t="shared" si="0"/>
        <v>228942</v>
      </c>
    </row>
    <row r="23" spans="1:6" x14ac:dyDescent="0.2">
      <c r="A23" s="17" t="s">
        <v>69</v>
      </c>
      <c r="B23" s="107">
        <v>63051</v>
      </c>
      <c r="C23" s="107">
        <v>0</v>
      </c>
      <c r="D23" s="107">
        <v>88228</v>
      </c>
      <c r="E23" s="107">
        <v>0</v>
      </c>
      <c r="F23" s="294">
        <f t="shared" si="0"/>
        <v>151279</v>
      </c>
    </row>
    <row r="24" spans="1:6" x14ac:dyDescent="0.2">
      <c r="A24" s="17" t="s">
        <v>113</v>
      </c>
      <c r="B24" s="107">
        <v>82331</v>
      </c>
      <c r="C24" s="107">
        <v>0</v>
      </c>
      <c r="D24" s="107">
        <v>0</v>
      </c>
      <c r="E24" s="107">
        <v>0</v>
      </c>
      <c r="F24" s="294">
        <f t="shared" si="0"/>
        <v>82331</v>
      </c>
    </row>
    <row r="25" spans="1:6" x14ac:dyDescent="0.2">
      <c r="A25" s="17" t="s">
        <v>257</v>
      </c>
      <c r="B25" s="107">
        <v>0</v>
      </c>
      <c r="C25" s="107">
        <v>0</v>
      </c>
      <c r="D25" s="107">
        <v>0</v>
      </c>
      <c r="E25" s="107">
        <v>49269</v>
      </c>
      <c r="F25" s="294">
        <f t="shared" si="0"/>
        <v>49269</v>
      </c>
    </row>
    <row r="26" spans="1:6" x14ac:dyDescent="0.2">
      <c r="A26" s="17" t="s">
        <v>87</v>
      </c>
      <c r="B26" s="107">
        <v>0</v>
      </c>
      <c r="C26" s="107">
        <v>25153</v>
      </c>
      <c r="D26" s="107">
        <v>0</v>
      </c>
      <c r="E26" s="107">
        <v>0</v>
      </c>
      <c r="F26" s="294">
        <f t="shared" si="0"/>
        <v>25153</v>
      </c>
    </row>
    <row r="27" spans="1:6" x14ac:dyDescent="0.2">
      <c r="A27" s="17" t="s">
        <v>93</v>
      </c>
      <c r="B27" s="107">
        <v>0</v>
      </c>
      <c r="C27" s="107">
        <v>0</v>
      </c>
      <c r="D27" s="107">
        <v>0</v>
      </c>
      <c r="E27" s="107">
        <v>21389</v>
      </c>
      <c r="F27" s="294">
        <f t="shared" si="0"/>
        <v>21389</v>
      </c>
    </row>
    <row r="28" spans="1:6" x14ac:dyDescent="0.2">
      <c r="A28" s="17" t="s">
        <v>96</v>
      </c>
      <c r="B28" s="107">
        <v>17606</v>
      </c>
      <c r="C28" s="107">
        <v>0</v>
      </c>
      <c r="D28" s="107">
        <v>0</v>
      </c>
      <c r="E28" s="107">
        <v>0</v>
      </c>
      <c r="F28" s="294">
        <f t="shared" si="0"/>
        <v>17606</v>
      </c>
    </row>
    <row r="29" spans="1:6" x14ac:dyDescent="0.2">
      <c r="A29" s="223" t="s">
        <v>76</v>
      </c>
      <c r="B29" s="220">
        <v>0</v>
      </c>
      <c r="C29" s="220">
        <v>0</v>
      </c>
      <c r="D29" s="220">
        <v>0</v>
      </c>
      <c r="E29" s="220">
        <v>11020</v>
      </c>
      <c r="F29" s="295">
        <f t="shared" si="0"/>
        <v>11020</v>
      </c>
    </row>
    <row r="30" spans="1:6" x14ac:dyDescent="0.2">
      <c r="B30" s="12">
        <f>SUM(B4:B29)</f>
        <v>34216071</v>
      </c>
      <c r="C30" s="12">
        <f t="shared" ref="C30:F30" si="1">SUM(C4:C29)</f>
        <v>56657469</v>
      </c>
      <c r="D30" s="12">
        <f t="shared" si="1"/>
        <v>36807976</v>
      </c>
      <c r="E30" s="12">
        <f t="shared" si="1"/>
        <v>23222790</v>
      </c>
      <c r="F30" s="12">
        <f t="shared" si="1"/>
        <v>150904306</v>
      </c>
    </row>
  </sheetData>
  <sortState ref="A4:F77">
    <sortCondition descending="1" ref="F4:F77"/>
  </sortState>
  <mergeCells count="1">
    <mergeCell ref="B2:F2"/>
  </mergeCells>
  <phoneticPr fontId="2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showZeros="0" topLeftCell="A2" workbookViewId="0">
      <pane xSplit="8" ySplit="24" topLeftCell="O76" activePane="bottomRight" state="frozen"/>
      <selection activeCell="A2" sqref="A2"/>
      <selection pane="topRight" activeCell="I2" sqref="I2"/>
      <selection pane="bottomLeft" activeCell="A26" sqref="A26"/>
      <selection pane="bottomRight" activeCell="M79" sqref="M79"/>
    </sheetView>
  </sheetViews>
  <sheetFormatPr baseColWidth="10" defaultColWidth="11.42578125" defaultRowHeight="12.75" x14ac:dyDescent="0.2"/>
  <cols>
    <col min="1" max="1" width="36.85546875" style="3" customWidth="1"/>
    <col min="2" max="2" width="2.42578125" style="11" customWidth="1"/>
    <col min="3" max="3" width="15.42578125" style="23" customWidth="1"/>
    <col min="4" max="4" width="15.7109375" style="10" customWidth="1"/>
    <col min="5" max="5" width="16" style="10" customWidth="1"/>
    <col min="6" max="6" width="19.42578125" style="10" customWidth="1"/>
    <col min="7" max="7" width="17.140625" style="10" customWidth="1"/>
    <col min="8" max="9" width="15" style="10" customWidth="1"/>
    <col min="10" max="11" width="16" style="10" customWidth="1"/>
    <col min="12" max="12" width="15.140625" style="10" customWidth="1"/>
    <col min="13" max="13" width="13.7109375" style="10" customWidth="1"/>
    <col min="14" max="14" width="4.140625" style="3" customWidth="1"/>
    <col min="15" max="15" width="13.7109375" style="10" customWidth="1"/>
    <col min="16" max="16384" width="11.42578125" style="3"/>
  </cols>
  <sheetData>
    <row r="1" spans="1:15" hidden="1" x14ac:dyDescent="0.2">
      <c r="A1" s="1">
        <v>1</v>
      </c>
      <c r="B1" s="2">
        <v>2</v>
      </c>
      <c r="C1" s="21">
        <v>3</v>
      </c>
      <c r="D1" s="1"/>
      <c r="E1" s="1"/>
      <c r="F1" s="1"/>
      <c r="G1" s="1"/>
      <c r="H1" s="1"/>
      <c r="I1" s="1"/>
      <c r="J1" s="79"/>
      <c r="K1" s="79"/>
      <c r="L1" s="1"/>
      <c r="M1" s="1">
        <v>9</v>
      </c>
      <c r="O1" s="1">
        <v>9</v>
      </c>
    </row>
    <row r="2" spans="1:15" s="7" customFormat="1" ht="15" thickBot="1" x14ac:dyDescent="0.25">
      <c r="A2" s="4" t="s">
        <v>269</v>
      </c>
      <c r="B2" s="5"/>
      <c r="C2" s="22"/>
      <c r="D2" s="6"/>
      <c r="E2" s="6"/>
      <c r="F2" s="6"/>
      <c r="G2" s="6"/>
      <c r="H2" s="6"/>
      <c r="I2" s="6"/>
      <c r="J2" s="80"/>
      <c r="K2" s="80"/>
      <c r="L2" s="6"/>
      <c r="M2" s="6"/>
      <c r="O2" s="6"/>
    </row>
    <row r="3" spans="1:15" s="8" customFormat="1" x14ac:dyDescent="0.2">
      <c r="B3" s="9"/>
      <c r="C3" s="23"/>
      <c r="D3" s="10"/>
      <c r="E3" s="10"/>
      <c r="F3" s="10"/>
      <c r="G3" s="10"/>
      <c r="H3" s="10"/>
      <c r="I3" s="10"/>
      <c r="J3" s="10"/>
      <c r="K3" s="10"/>
      <c r="L3" s="10"/>
      <c r="M3" s="10"/>
      <c r="O3" s="10"/>
    </row>
    <row r="4" spans="1:15" ht="57.75" customHeight="1" x14ac:dyDescent="0.2">
      <c r="C4" s="334" t="s">
        <v>115</v>
      </c>
      <c r="D4" s="329" t="s">
        <v>116</v>
      </c>
      <c r="E4" s="329" t="s">
        <v>117</v>
      </c>
      <c r="F4" s="329" t="s">
        <v>118</v>
      </c>
      <c r="G4" s="329" t="s">
        <v>119</v>
      </c>
      <c r="H4" s="329" t="s">
        <v>120</v>
      </c>
      <c r="I4" s="329" t="s">
        <v>121</v>
      </c>
      <c r="J4" s="331" t="s">
        <v>122</v>
      </c>
      <c r="K4" s="300" t="s">
        <v>278</v>
      </c>
      <c r="L4" s="329" t="s">
        <v>123</v>
      </c>
      <c r="M4" s="329" t="s">
        <v>277</v>
      </c>
      <c r="O4" s="329" t="s">
        <v>284</v>
      </c>
    </row>
    <row r="5" spans="1:15" x14ac:dyDescent="0.2">
      <c r="A5" s="13" t="s">
        <v>125</v>
      </c>
      <c r="B5" s="14"/>
      <c r="C5" s="335"/>
      <c r="D5" s="333"/>
      <c r="E5" s="333"/>
      <c r="F5" s="333"/>
      <c r="G5" s="333"/>
      <c r="H5" s="333"/>
      <c r="I5" s="333"/>
      <c r="J5" s="332"/>
      <c r="K5" s="301"/>
      <c r="L5" s="333"/>
      <c r="M5" s="330"/>
      <c r="O5" s="330"/>
    </row>
    <row r="6" spans="1:15" s="16" customFormat="1" hidden="1" x14ac:dyDescent="0.2">
      <c r="A6" s="15">
        <v>1</v>
      </c>
      <c r="B6" s="15">
        <v>2</v>
      </c>
      <c r="C6" s="24">
        <v>3</v>
      </c>
      <c r="D6" s="15"/>
      <c r="E6" s="15"/>
      <c r="F6" s="15"/>
      <c r="G6" s="15"/>
      <c r="H6" s="15"/>
      <c r="I6" s="15"/>
      <c r="J6" s="81"/>
      <c r="K6" s="81"/>
      <c r="L6" s="15"/>
      <c r="M6" s="15">
        <v>9</v>
      </c>
      <c r="O6" s="15">
        <v>9</v>
      </c>
    </row>
    <row r="7" spans="1:15" x14ac:dyDescent="0.2">
      <c r="A7" s="17" t="s">
        <v>58</v>
      </c>
      <c r="B7" s="18"/>
      <c r="C7" s="27">
        <f>+VLOOKUP($A7,datos9!$A$2:$BG$78,2,FALSE)</f>
        <v>2126764</v>
      </c>
      <c r="D7" s="27">
        <f>+VLOOKUP($A7,datos9!$A$2:$BG$78,3,FALSE)</f>
        <v>0</v>
      </c>
      <c r="E7" s="27">
        <f>+VLOOKUP($A7,datos9!$A$2:$BG$78,4,FALSE)</f>
        <v>0</v>
      </c>
      <c r="F7" s="27">
        <f>+VLOOKUP($A7,datos9!$A$2:$BG$78,5,FALSE)</f>
        <v>71521034</v>
      </c>
      <c r="G7" s="27">
        <f>+VLOOKUP($A7,datos9!$A$2:$BG$78,6,FALSE)</f>
        <v>0</v>
      </c>
      <c r="H7" s="27">
        <f>+VLOOKUP($A7,datos9!$A$2:$BG$78,7,FALSE)</f>
        <v>1897004</v>
      </c>
      <c r="I7" s="27">
        <f>+VLOOKUP($A7,datos9!$A$2:$BG$78,8,FALSE)</f>
        <v>0</v>
      </c>
      <c r="J7" s="82">
        <f>+VLOOKUP($A7,datos9!$A$2:$BG$78,9,FALSE)</f>
        <v>9537702</v>
      </c>
      <c r="K7" s="82">
        <f>+VLOOKUP($A7,datos9!$A$2:$BG$78,10,FALSE)</f>
        <v>2779951</v>
      </c>
      <c r="L7" s="27">
        <f>+VLOOKUP($A7,datos9!$A$2:$BG$78,11,FALSE)</f>
        <v>7783</v>
      </c>
      <c r="M7" s="19">
        <f>SUM(C7:L7)</f>
        <v>87870238</v>
      </c>
      <c r="O7" s="19">
        <f>F7+G7</f>
        <v>71521034</v>
      </c>
    </row>
    <row r="8" spans="1:15" x14ac:dyDescent="0.2">
      <c r="A8" s="17" t="s">
        <v>59</v>
      </c>
      <c r="B8" s="18"/>
      <c r="C8" s="27">
        <f>+VLOOKUP($A8,datos9!$A$2:$BG$78,2,FALSE)</f>
        <v>0</v>
      </c>
      <c r="D8" s="27">
        <f>+VLOOKUP($A8,datos9!$A$2:$BG$78,3,FALSE)</f>
        <v>0</v>
      </c>
      <c r="E8" s="27">
        <f>+VLOOKUP($A8,datos9!$A$2:$BG$78,4,FALSE)</f>
        <v>300</v>
      </c>
      <c r="F8" s="27">
        <f>+VLOOKUP($A8,datos9!$A$2:$BG$78,5,FALSE)</f>
        <v>12198</v>
      </c>
      <c r="G8" s="27">
        <f>+VLOOKUP($A8,datos9!$A$2:$BG$78,6,FALSE)</f>
        <v>0</v>
      </c>
      <c r="H8" s="27">
        <f>+VLOOKUP($A8,datos9!$A$2:$BG$78,7,FALSE)</f>
        <v>0</v>
      </c>
      <c r="I8" s="27">
        <f>+VLOOKUP($A8,datos9!$A$2:$BG$78,8,FALSE)</f>
        <v>0</v>
      </c>
      <c r="J8" s="82">
        <f>+VLOOKUP($A8,datos9!$A$2:$BG$78,9,FALSE)</f>
        <v>85632</v>
      </c>
      <c r="K8" s="82">
        <f>+VLOOKUP($A8,datos9!$A$2:$BG$78,10,FALSE)</f>
        <v>449474</v>
      </c>
      <c r="L8" s="27">
        <f>+VLOOKUP($A8,datos9!$A$2:$BG$78,11,FALSE)</f>
        <v>434</v>
      </c>
      <c r="M8" s="19">
        <f t="shared" ref="M8:M71" si="0">SUM(C8:L8)</f>
        <v>548038</v>
      </c>
      <c r="O8" s="19">
        <f t="shared" ref="O8:O71" si="1">F8+G8</f>
        <v>12198</v>
      </c>
    </row>
    <row r="9" spans="1:15" x14ac:dyDescent="0.2">
      <c r="A9" s="17" t="s">
        <v>60</v>
      </c>
      <c r="B9" s="18"/>
      <c r="C9" s="27">
        <f>+VLOOKUP($A9,datos9!$A$2:$BG$78,2,FALSE)</f>
        <v>0</v>
      </c>
      <c r="D9" s="27">
        <f>+VLOOKUP($A9,datos9!$A$2:$BG$78,3,FALSE)</f>
        <v>0</v>
      </c>
      <c r="E9" s="27">
        <f>+VLOOKUP($A9,datos9!$A$2:$BG$78,4,FALSE)</f>
        <v>0</v>
      </c>
      <c r="F9" s="307">
        <v>849194</v>
      </c>
      <c r="G9" s="27">
        <f>+VLOOKUP($A9,datos9!$A$2:$BG$78,6,FALSE)</f>
        <v>0</v>
      </c>
      <c r="I9" s="27">
        <f>+VLOOKUP($A9,datos9!$A$2:$BG$78,8,FALSE)</f>
        <v>0</v>
      </c>
      <c r="J9" s="82">
        <f>+VLOOKUP($A9,datos9!$A$2:$BG$78,9,FALSE)</f>
        <v>0</v>
      </c>
      <c r="K9" s="82">
        <f>+VLOOKUP($A9,datos9!$A$2:$BG$78,10,FALSE)</f>
        <v>0</v>
      </c>
      <c r="L9" s="27">
        <f>+VLOOKUP($A9,datos9!$A$2:$BG$78,11,FALSE)</f>
        <v>0</v>
      </c>
      <c r="M9" s="306">
        <f>1415323*0.6</f>
        <v>849193.79999999993</v>
      </c>
      <c r="O9" s="19">
        <f t="shared" si="1"/>
        <v>849194</v>
      </c>
    </row>
    <row r="10" spans="1:15" x14ac:dyDescent="0.2">
      <c r="A10" s="17" t="s">
        <v>61</v>
      </c>
      <c r="B10" s="18"/>
      <c r="C10" s="27">
        <f>+VLOOKUP($A10,datos9!$A$2:$BG$78,2,FALSE)</f>
        <v>0</v>
      </c>
      <c r="D10" s="27">
        <f>+VLOOKUP($A10,datos9!$A$2:$BG$78,3,FALSE)</f>
        <v>347409</v>
      </c>
      <c r="E10" s="27">
        <f>+VLOOKUP($A10,datos9!$A$2:$BG$78,4,FALSE)</f>
        <v>0</v>
      </c>
      <c r="F10" s="27">
        <f>+VLOOKUP($A10,datos9!$A$2:$BG$78,5,FALSE)</f>
        <v>981471</v>
      </c>
      <c r="G10" s="27">
        <f>+VLOOKUP($A10,datos9!$A$2:$BG$78,6,FALSE)</f>
        <v>0</v>
      </c>
      <c r="H10" s="27">
        <f>+VLOOKUP($A10,datos9!$A$2:$BG$78,7,FALSE)</f>
        <v>95266</v>
      </c>
      <c r="I10" s="27">
        <f>+VLOOKUP($A10,datos9!$A$2:$BG$78,8,FALSE)</f>
        <v>0</v>
      </c>
      <c r="J10" s="82">
        <f>+VLOOKUP($A10,datos9!$A$2:$BG$78,9,FALSE)</f>
        <v>0</v>
      </c>
      <c r="K10" s="82">
        <f>+VLOOKUP($A10,datos9!$A$2:$BG$78,10,FALSE)</f>
        <v>199280</v>
      </c>
      <c r="L10" s="27">
        <f>+VLOOKUP($A10,datos9!$A$2:$BG$78,11,FALSE)</f>
        <v>188</v>
      </c>
      <c r="M10" s="19">
        <f t="shared" si="0"/>
        <v>1623614</v>
      </c>
      <c r="O10" s="19">
        <f t="shared" si="1"/>
        <v>981471</v>
      </c>
    </row>
    <row r="11" spans="1:15" x14ac:dyDescent="0.2">
      <c r="A11" s="17" t="s">
        <v>62</v>
      </c>
      <c r="B11" s="18"/>
      <c r="C11" s="27">
        <f>+VLOOKUP($A11,datos9!$A$2:$BG$78,2,FALSE)</f>
        <v>2008</v>
      </c>
      <c r="D11" s="27">
        <f>+VLOOKUP($A11,datos9!$A$2:$BG$78,3,FALSE)</f>
        <v>7567</v>
      </c>
      <c r="E11" s="27">
        <f>+VLOOKUP($A11,datos9!$A$2:$BG$78,4,FALSE)</f>
        <v>0</v>
      </c>
      <c r="F11" s="27">
        <f>+VLOOKUP($A11,datos9!$A$2:$BG$78,5,FALSE)</f>
        <v>740774</v>
      </c>
      <c r="G11" s="27">
        <f>+VLOOKUP($A11,datos9!$A$2:$BG$78,6,FALSE)</f>
        <v>0</v>
      </c>
      <c r="H11" s="27">
        <f>+VLOOKUP($A11,datos9!$A$2:$BG$78,7,FALSE)</f>
        <v>2104</v>
      </c>
      <c r="I11" s="27">
        <f>+VLOOKUP($A11,datos9!$A$2:$BG$78,8,FALSE)</f>
        <v>0</v>
      </c>
      <c r="J11" s="82">
        <f>+VLOOKUP($A11,datos9!$A$2:$BG$78,9,FALSE)</f>
        <v>0</v>
      </c>
      <c r="K11" s="82">
        <f>+VLOOKUP($A11,datos9!$A$2:$BG$78,10,FALSE)</f>
        <v>12632</v>
      </c>
      <c r="L11" s="27">
        <f>+VLOOKUP($A11,datos9!$A$2:$BG$78,11,FALSE)</f>
        <v>1930</v>
      </c>
      <c r="M11" s="19">
        <f t="shared" si="0"/>
        <v>767015</v>
      </c>
      <c r="O11" s="19">
        <f t="shared" si="1"/>
        <v>740774</v>
      </c>
    </row>
    <row r="12" spans="1:15" x14ac:dyDescent="0.2">
      <c r="A12" s="17" t="s">
        <v>63</v>
      </c>
      <c r="B12" s="18"/>
      <c r="C12" s="27">
        <f>+VLOOKUP($A12,datos9!$A$2:$BG$78,2,FALSE)</f>
        <v>0</v>
      </c>
      <c r="D12" s="27">
        <f>+VLOOKUP($A12,datos9!$A$2:$BG$78,3,FALSE)</f>
        <v>79245</v>
      </c>
      <c r="E12" s="27">
        <f>+VLOOKUP($A12,datos9!$A$2:$BG$78,4,FALSE)</f>
        <v>0</v>
      </c>
      <c r="F12" s="27">
        <f>+VLOOKUP($A12,datos9!$A$2:$BG$78,5,FALSE)</f>
        <v>4149878</v>
      </c>
      <c r="G12" s="27">
        <f>+VLOOKUP($A12,datos9!$A$2:$BG$78,6,FALSE)</f>
        <v>0</v>
      </c>
      <c r="H12" s="27">
        <f>+VLOOKUP($A12,datos9!$A$2:$BG$78,7,FALSE)</f>
        <v>783392</v>
      </c>
      <c r="I12" s="27">
        <f>+VLOOKUP($A12,datos9!$A$2:$BG$78,8,FALSE)</f>
        <v>0</v>
      </c>
      <c r="J12" s="82">
        <f>+VLOOKUP($A12,datos9!$A$2:$BG$78,9,FALSE)</f>
        <v>2205630</v>
      </c>
      <c r="K12" s="82">
        <f>+VLOOKUP($A12,datos9!$A$2:$BG$78,10,FALSE)</f>
        <v>1966440</v>
      </c>
      <c r="L12" s="27">
        <f>+VLOOKUP($A12,datos9!$A$2:$BG$78,11,FALSE)</f>
        <v>391097</v>
      </c>
      <c r="M12" s="19">
        <f t="shared" si="0"/>
        <v>9575682</v>
      </c>
      <c r="O12" s="19">
        <f t="shared" si="1"/>
        <v>4149878</v>
      </c>
    </row>
    <row r="13" spans="1:15" x14ac:dyDescent="0.2">
      <c r="A13" s="17" t="s">
        <v>64</v>
      </c>
      <c r="B13" s="18"/>
      <c r="C13" s="27">
        <f>+VLOOKUP($A13,datos9!$A$2:$BG$78,2,FALSE)</f>
        <v>0</v>
      </c>
      <c r="D13" s="27">
        <f>+VLOOKUP($A13,datos9!$A$2:$BG$78,3,FALSE)</f>
        <v>124523</v>
      </c>
      <c r="E13" s="27">
        <f>+VLOOKUP($A13,datos9!$A$2:$BG$78,4,FALSE)</f>
        <v>0</v>
      </c>
      <c r="F13" s="27">
        <f>+VLOOKUP($A13,datos9!$A$2:$BG$78,5,FALSE)</f>
        <v>7479299</v>
      </c>
      <c r="G13" s="27">
        <f>+VLOOKUP($A13,datos9!$A$2:$BG$78,6,FALSE)</f>
        <v>0</v>
      </c>
      <c r="H13" s="27">
        <f>+VLOOKUP($A13,datos9!$A$2:$BG$78,7,FALSE)</f>
        <v>110376</v>
      </c>
      <c r="I13" s="27">
        <f>+VLOOKUP($A13,datos9!$A$2:$BG$78,8,FALSE)</f>
        <v>0</v>
      </c>
      <c r="J13" s="82">
        <f>+VLOOKUP($A13,datos9!$A$2:$BG$78,9,FALSE)</f>
        <v>0</v>
      </c>
      <c r="K13" s="82">
        <f>+VLOOKUP($A13,datos9!$A$2:$BG$78,10,FALSE)</f>
        <v>988822</v>
      </c>
      <c r="L13" s="27">
        <f>+VLOOKUP($A13,datos9!$A$2:$BG$78,11,FALSE)</f>
        <v>8177</v>
      </c>
      <c r="M13" s="19">
        <f t="shared" si="0"/>
        <v>8711197</v>
      </c>
      <c r="O13" s="19">
        <f t="shared" si="1"/>
        <v>7479299</v>
      </c>
    </row>
    <row r="14" spans="1:15" x14ac:dyDescent="0.2">
      <c r="A14" s="17" t="s">
        <v>245</v>
      </c>
      <c r="B14" s="18"/>
      <c r="C14" s="27">
        <f>+VLOOKUP($A14,datos9!$A$2:$BG$78,2,FALSE)</f>
        <v>0</v>
      </c>
      <c r="D14" s="27">
        <f>+VLOOKUP($A14,datos9!$A$2:$BG$78,3,FALSE)</f>
        <v>0</v>
      </c>
      <c r="E14" s="27">
        <f>+VLOOKUP($A14,datos9!$A$2:$BG$78,4,FALSE)</f>
        <v>0</v>
      </c>
      <c r="F14" s="27">
        <f>+VLOOKUP($A14,datos9!$A$2:$BG$78,5,FALSE)</f>
        <v>548201</v>
      </c>
      <c r="G14" s="27">
        <f>+VLOOKUP($A14,datos9!$A$2:$BG$78,6,FALSE)</f>
        <v>0</v>
      </c>
      <c r="H14" s="27">
        <f>+VLOOKUP($A14,datos9!$A$2:$BG$78,7,FALSE)</f>
        <v>6692</v>
      </c>
      <c r="I14" s="27">
        <f>+VLOOKUP($A14,datos9!$A$2:$BG$78,8,FALSE)</f>
        <v>0</v>
      </c>
      <c r="J14" s="82">
        <f>+VLOOKUP($A14,datos9!$A$2:$BG$78,9,FALSE)</f>
        <v>3940</v>
      </c>
      <c r="K14" s="82">
        <f>+VLOOKUP($A14,datos9!$A$2:$BG$78,10,FALSE)</f>
        <v>0</v>
      </c>
      <c r="L14" s="27">
        <f>+VLOOKUP($A14,datos9!$A$2:$BG$78,11,FALSE)</f>
        <v>547</v>
      </c>
      <c r="M14" s="19">
        <f t="shared" si="0"/>
        <v>559380</v>
      </c>
      <c r="O14" s="19">
        <f t="shared" si="1"/>
        <v>548201</v>
      </c>
    </row>
    <row r="15" spans="1:15" x14ac:dyDescent="0.2">
      <c r="A15" s="17" t="s">
        <v>246</v>
      </c>
      <c r="B15" s="18"/>
      <c r="C15" s="27">
        <f>+VLOOKUP($A15,datos9!$A$2:$BG$78,2,FALSE)</f>
        <v>0</v>
      </c>
      <c r="D15" s="27">
        <f>+VLOOKUP($A15,datos9!$A$2:$BG$78,3,FALSE)</f>
        <v>0</v>
      </c>
      <c r="E15" s="27">
        <f>+VLOOKUP($A15,datos9!$A$2:$BG$78,4,FALSE)</f>
        <v>0</v>
      </c>
      <c r="F15" s="27">
        <f>+VLOOKUP($A15,datos9!$A$2:$BG$78,5,FALSE)</f>
        <v>461169</v>
      </c>
      <c r="G15" s="27">
        <f>+VLOOKUP($A15,datos9!$A$2:$BG$78,6,FALSE)</f>
        <v>0</v>
      </c>
      <c r="H15" s="27">
        <f>+VLOOKUP($A15,datos9!$A$2:$BG$78,7,FALSE)</f>
        <v>247192</v>
      </c>
      <c r="I15" s="27">
        <f>+VLOOKUP($A15,datos9!$A$2:$BG$78,8,FALSE)</f>
        <v>0</v>
      </c>
      <c r="J15" s="82">
        <f>+VLOOKUP($A15,datos9!$A$2:$BG$78,9,FALSE)</f>
        <v>45139</v>
      </c>
      <c r="K15" s="82">
        <f>+VLOOKUP($A15,datos9!$A$2:$BG$78,10,FALSE)</f>
        <v>70662</v>
      </c>
      <c r="L15" s="27">
        <f>+VLOOKUP($A15,datos9!$A$2:$BG$78,11,FALSE)</f>
        <v>1470</v>
      </c>
      <c r="M15" s="19">
        <f t="shared" si="0"/>
        <v>825632</v>
      </c>
      <c r="O15" s="19">
        <f t="shared" si="1"/>
        <v>461169</v>
      </c>
    </row>
    <row r="16" spans="1:15" x14ac:dyDescent="0.2">
      <c r="A16" s="17" t="s">
        <v>247</v>
      </c>
      <c r="B16" s="18"/>
      <c r="C16" s="27">
        <f>+VLOOKUP($A16,datos9!$A$2:$BG$78,2,FALSE)</f>
        <v>0</v>
      </c>
      <c r="D16" s="27">
        <f>+VLOOKUP($A16,datos9!$A$2:$BG$78,3,FALSE)</f>
        <v>61213</v>
      </c>
      <c r="E16" s="27">
        <f>+VLOOKUP($A16,datos9!$A$2:$BG$78,4,FALSE)</f>
        <v>0</v>
      </c>
      <c r="F16" s="27">
        <f>+VLOOKUP($A16,datos9!$A$2:$BG$78,5,FALSE)</f>
        <v>1063996</v>
      </c>
      <c r="G16" s="27">
        <f>+VLOOKUP($A16,datos9!$A$2:$BG$78,6,FALSE)</f>
        <v>0</v>
      </c>
      <c r="H16" s="27">
        <f>+VLOOKUP($A16,datos9!$A$2:$BG$78,7,FALSE)</f>
        <v>0</v>
      </c>
      <c r="I16" s="27">
        <f>+VLOOKUP($A16,datos9!$A$2:$BG$78,8,FALSE)</f>
        <v>0</v>
      </c>
      <c r="J16" s="82">
        <f>+VLOOKUP($A16,datos9!$A$2:$BG$78,9,FALSE)</f>
        <v>84415</v>
      </c>
      <c r="K16" s="82">
        <f>+VLOOKUP($A16,datos9!$A$2:$BG$78,10,FALSE)</f>
        <v>36959</v>
      </c>
      <c r="L16" s="27">
        <f>+VLOOKUP($A16,datos9!$A$2:$BG$78,11,FALSE)</f>
        <v>32</v>
      </c>
      <c r="M16" s="19">
        <f t="shared" si="0"/>
        <v>1246615</v>
      </c>
      <c r="O16" s="19">
        <f t="shared" si="1"/>
        <v>1063996</v>
      </c>
    </row>
    <row r="17" spans="1:15" x14ac:dyDescent="0.2">
      <c r="A17" s="17" t="s">
        <v>248</v>
      </c>
      <c r="B17" s="18"/>
      <c r="C17" s="27">
        <f>+VLOOKUP($A17,datos9!$A$2:$BG$78,2,FALSE)</f>
        <v>0</v>
      </c>
      <c r="D17" s="27">
        <f>+VLOOKUP($A17,datos9!$A$2:$BG$78,3,FALSE)</f>
        <v>0</v>
      </c>
      <c r="E17" s="27">
        <f>+VLOOKUP($A17,datos9!$A$2:$BG$78,4,FALSE)</f>
        <v>0</v>
      </c>
      <c r="F17" s="27">
        <f>+VLOOKUP($A17,datos9!$A$2:$BG$78,5,FALSE)</f>
        <v>5948038</v>
      </c>
      <c r="G17" s="27">
        <f>+VLOOKUP($A17,datos9!$A$2:$BG$78,6,FALSE)</f>
        <v>0</v>
      </c>
      <c r="H17" s="27">
        <f>+VLOOKUP($A17,datos9!$A$2:$BG$78,7,FALSE)</f>
        <v>3582</v>
      </c>
      <c r="I17" s="27">
        <f>+VLOOKUP($A17,datos9!$A$2:$BG$78,8,FALSE)</f>
        <v>0</v>
      </c>
      <c r="J17" s="82">
        <f>+VLOOKUP($A17,datos9!$A$2:$BG$78,9,FALSE)</f>
        <v>130414</v>
      </c>
      <c r="K17" s="82">
        <f>+VLOOKUP($A17,datos9!$A$2:$BG$78,10,FALSE)</f>
        <v>0</v>
      </c>
      <c r="L17" s="27">
        <f>+VLOOKUP($A17,datos9!$A$2:$BG$78,11,FALSE)</f>
        <v>36372</v>
      </c>
      <c r="M17" s="19">
        <f t="shared" si="0"/>
        <v>6118406</v>
      </c>
      <c r="O17" s="19">
        <f t="shared" si="1"/>
        <v>5948038</v>
      </c>
    </row>
    <row r="18" spans="1:15" x14ac:dyDescent="0.2">
      <c r="A18" s="17" t="s">
        <v>66</v>
      </c>
      <c r="B18" s="18"/>
      <c r="C18" s="27">
        <f>+VLOOKUP($A18,datos9!$A$2:$BG$78,2,FALSE)</f>
        <v>0</v>
      </c>
      <c r="D18" s="27">
        <f>+VLOOKUP($A18,datos9!$A$2:$BG$78,3,FALSE)</f>
        <v>0</v>
      </c>
      <c r="E18" s="27">
        <f>+VLOOKUP($A18,datos9!$A$2:$BG$78,4,FALSE)</f>
        <v>0</v>
      </c>
      <c r="F18" s="27">
        <f>+VLOOKUP($A18,datos9!$A$2:$BG$78,5,FALSE)</f>
        <v>2362940</v>
      </c>
      <c r="G18" s="27">
        <f>+VLOOKUP($A18,datos9!$A$2:$BG$78,6,FALSE)</f>
        <v>0</v>
      </c>
      <c r="H18" s="27">
        <f>+VLOOKUP($A18,datos9!$A$2:$BG$78,7,FALSE)</f>
        <v>0</v>
      </c>
      <c r="I18" s="27">
        <f>+VLOOKUP($A18,datos9!$A$2:$BG$78,8,FALSE)</f>
        <v>0</v>
      </c>
      <c r="J18" s="82">
        <f>+VLOOKUP($A18,datos9!$A$2:$BG$78,9,FALSE)</f>
        <v>84099</v>
      </c>
      <c r="K18" s="82">
        <f>+VLOOKUP($A18,datos9!$A$2:$BG$78,10,FALSE)</f>
        <v>18767</v>
      </c>
      <c r="L18" s="27">
        <f>+VLOOKUP($A18,datos9!$A$2:$BG$78,11,FALSE)</f>
        <v>3515</v>
      </c>
      <c r="M18" s="19">
        <f t="shared" si="0"/>
        <v>2469321</v>
      </c>
      <c r="O18" s="19">
        <f t="shared" si="1"/>
        <v>2362940</v>
      </c>
    </row>
    <row r="19" spans="1:15" x14ac:dyDescent="0.2">
      <c r="A19" s="17" t="s">
        <v>249</v>
      </c>
      <c r="B19" s="18"/>
      <c r="C19" s="27">
        <f>+VLOOKUP($A19,datos9!$A$2:$BG$78,2,FALSE)</f>
        <v>0</v>
      </c>
      <c r="D19" s="27">
        <f>+VLOOKUP($A19,datos9!$A$2:$BG$78,3,FALSE)</f>
        <v>0</v>
      </c>
      <c r="E19" s="27">
        <f>+VLOOKUP($A19,datos9!$A$2:$BG$78,4,FALSE)</f>
        <v>0</v>
      </c>
      <c r="F19" s="27">
        <f>+VLOOKUP($A19,datos9!$A$2:$BG$78,5,FALSE)</f>
        <v>139931</v>
      </c>
      <c r="G19" s="27">
        <f>+VLOOKUP($A19,datos9!$A$2:$BG$78,6,FALSE)</f>
        <v>0</v>
      </c>
      <c r="H19" s="27">
        <f>+VLOOKUP($A19,datos9!$A$2:$BG$78,7,FALSE)</f>
        <v>113115</v>
      </c>
      <c r="I19" s="27">
        <f>+VLOOKUP($A19,datos9!$A$2:$BG$78,8,FALSE)</f>
        <v>0</v>
      </c>
      <c r="J19" s="82">
        <f>+VLOOKUP($A19,datos9!$A$2:$BG$78,9,FALSE)</f>
        <v>162924</v>
      </c>
      <c r="K19" s="82">
        <f>+VLOOKUP($A19,datos9!$A$2:$BG$78,10,FALSE)</f>
        <v>347409</v>
      </c>
      <c r="L19" s="27">
        <f>+VLOOKUP($A19,datos9!$A$2:$BG$78,11,FALSE)</f>
        <v>0</v>
      </c>
      <c r="M19" s="19">
        <f t="shared" si="0"/>
        <v>763379</v>
      </c>
      <c r="O19" s="19">
        <f t="shared" si="1"/>
        <v>139931</v>
      </c>
    </row>
    <row r="20" spans="1:15" x14ac:dyDescent="0.2">
      <c r="A20" s="17" t="s">
        <v>250</v>
      </c>
      <c r="B20" s="18"/>
      <c r="C20" s="27">
        <f>+VLOOKUP($A20,datos9!$A$2:$BG$78,2,FALSE)</f>
        <v>0</v>
      </c>
      <c r="D20" s="27">
        <f>+VLOOKUP($A20,datos9!$A$2:$BG$78,3,FALSE)</f>
        <v>0</v>
      </c>
      <c r="E20" s="27">
        <f>+VLOOKUP($A20,datos9!$A$2:$BG$78,4,FALSE)</f>
        <v>0</v>
      </c>
      <c r="F20" s="27">
        <f>+VLOOKUP($A20,datos9!$A$2:$BG$78,5,FALSE)</f>
        <v>103233</v>
      </c>
      <c r="G20" s="27">
        <f>+VLOOKUP($A20,datos9!$A$2:$BG$78,6,FALSE)</f>
        <v>0</v>
      </c>
      <c r="H20" s="27">
        <f>+VLOOKUP($A20,datos9!$A$2:$BG$78,7,FALSE)</f>
        <v>147144</v>
      </c>
      <c r="I20" s="27">
        <f>+VLOOKUP($A20,datos9!$A$2:$BG$78,8,FALSE)</f>
        <v>0</v>
      </c>
      <c r="J20" s="82">
        <f>+VLOOKUP($A20,datos9!$A$2:$BG$78,9,FALSE)</f>
        <v>377435</v>
      </c>
      <c r="K20" s="82">
        <f>+VLOOKUP($A20,datos9!$A$2:$BG$78,10,FALSE)</f>
        <v>204312</v>
      </c>
      <c r="L20" s="27">
        <f>+VLOOKUP($A20,datos9!$A$2:$BG$78,11,FALSE)</f>
        <v>23845</v>
      </c>
      <c r="M20" s="19">
        <f t="shared" si="0"/>
        <v>855969</v>
      </c>
      <c r="O20" s="19">
        <f t="shared" si="1"/>
        <v>103233</v>
      </c>
    </row>
    <row r="21" spans="1:15" x14ac:dyDescent="0.2">
      <c r="A21" s="17" t="s">
        <v>67</v>
      </c>
      <c r="B21" s="18"/>
      <c r="C21" s="27">
        <f>+VLOOKUP($A21,datos9!$A$2:$BG$78,2,FALSE)</f>
        <v>95920</v>
      </c>
      <c r="D21" s="27">
        <f>+VLOOKUP($A21,datos9!$A$2:$BG$78,3,FALSE)</f>
        <v>40567</v>
      </c>
      <c r="E21" s="27">
        <f>+VLOOKUP($A21,datos9!$A$2:$BG$78,4,FALSE)</f>
        <v>0</v>
      </c>
      <c r="F21" s="27">
        <f>+VLOOKUP($A21,datos9!$A$2:$BG$78,5,FALSE)</f>
        <v>6948036</v>
      </c>
      <c r="G21" s="27">
        <f>+VLOOKUP($A21,datos9!$A$2:$BG$78,6,FALSE)</f>
        <v>0</v>
      </c>
      <c r="H21" s="27">
        <f>+VLOOKUP($A21,datos9!$A$2:$BG$78,7,FALSE)</f>
        <v>0</v>
      </c>
      <c r="I21" s="27">
        <f>+VLOOKUP($A21,datos9!$A$2:$BG$78,8,FALSE)</f>
        <v>0</v>
      </c>
      <c r="J21" s="82">
        <f>+VLOOKUP($A21,datos9!$A$2:$BG$78,9,FALSE)</f>
        <v>26293008</v>
      </c>
      <c r="K21" s="82">
        <f>+VLOOKUP($A21,datos9!$A$2:$BG$78,10,FALSE)</f>
        <v>1181450</v>
      </c>
      <c r="L21" s="27">
        <f>+VLOOKUP($A21,datos9!$A$2:$BG$78,11,FALSE)</f>
        <v>904107</v>
      </c>
      <c r="M21" s="19">
        <f t="shared" si="0"/>
        <v>35463088</v>
      </c>
      <c r="O21" s="19">
        <f t="shared" si="1"/>
        <v>6948036</v>
      </c>
    </row>
    <row r="22" spans="1:15" x14ac:dyDescent="0.2">
      <c r="A22" s="17" t="s">
        <v>68</v>
      </c>
      <c r="B22" s="18"/>
      <c r="C22" s="27">
        <f>+VLOOKUP($A22,datos9!$A$2:$BG$78,2,FALSE)</f>
        <v>0</v>
      </c>
      <c r="D22" s="27">
        <f>+VLOOKUP($A22,datos9!$A$2:$BG$78,3,FALSE)</f>
        <v>0</v>
      </c>
      <c r="E22" s="27">
        <f>+VLOOKUP($A22,datos9!$A$2:$BG$78,4,FALSE)</f>
        <v>0</v>
      </c>
      <c r="F22" s="27">
        <f>+VLOOKUP($A22,datos9!$A$2:$BG$78,5,FALSE)</f>
        <v>2298552</v>
      </c>
      <c r="G22" s="27">
        <f>+VLOOKUP($A22,datos9!$A$2:$BG$78,6,FALSE)</f>
        <v>0</v>
      </c>
      <c r="H22" s="27">
        <f>+VLOOKUP($A22,datos9!$A$2:$BG$78,7,FALSE)</f>
        <v>2649414</v>
      </c>
      <c r="I22" s="27">
        <f>+VLOOKUP($A22,datos9!$A$2:$BG$78,8,FALSE)</f>
        <v>0</v>
      </c>
      <c r="J22" s="82">
        <f>+VLOOKUP($A22,datos9!$A$2:$BG$78,9,FALSE)</f>
        <v>0</v>
      </c>
      <c r="K22" s="82">
        <f>+VLOOKUP($A22,datos9!$A$2:$BG$78,10,FALSE)</f>
        <v>16816729</v>
      </c>
      <c r="L22" s="27">
        <f>+VLOOKUP($A22,datos9!$A$2:$BG$78,11,FALSE)</f>
        <v>0</v>
      </c>
      <c r="M22" s="19">
        <f t="shared" si="0"/>
        <v>21764695</v>
      </c>
      <c r="O22" s="19">
        <f t="shared" si="1"/>
        <v>2298552</v>
      </c>
    </row>
    <row r="23" spans="1:15" x14ac:dyDescent="0.2">
      <c r="A23" s="17" t="s">
        <v>69</v>
      </c>
      <c r="B23" s="18"/>
      <c r="C23" s="27">
        <f>+VLOOKUP($A23,datos9!$A$2:$BG$78,2,FALSE)</f>
        <v>2087</v>
      </c>
      <c r="D23" s="27">
        <f>+VLOOKUP($A23,datos9!$A$2:$BG$78,3,FALSE)</f>
        <v>3865</v>
      </c>
      <c r="E23" s="27">
        <f>+VLOOKUP($A23,datos9!$A$2:$BG$78,4,FALSE)</f>
        <v>90103</v>
      </c>
      <c r="F23" s="27">
        <f>+VLOOKUP($A23,datos9!$A$2:$BG$78,5,FALSE)</f>
        <v>729404</v>
      </c>
      <c r="G23" s="27">
        <f>+VLOOKUP($A23,datos9!$A$2:$BG$78,6,FALSE)</f>
        <v>0</v>
      </c>
      <c r="H23" s="27">
        <f>+VLOOKUP($A23,datos9!$A$2:$BG$78,7,FALSE)</f>
        <v>265789</v>
      </c>
      <c r="I23" s="27">
        <f>+VLOOKUP($A23,datos9!$A$2:$BG$78,8,FALSE)</f>
        <v>0</v>
      </c>
      <c r="J23" s="82">
        <f>+VLOOKUP($A23,datos9!$A$2:$BG$78,9,FALSE)</f>
        <v>18678</v>
      </c>
      <c r="K23" s="82">
        <f>+VLOOKUP($A23,datos9!$A$2:$BG$78,10,FALSE)</f>
        <v>28667</v>
      </c>
      <c r="L23" s="27">
        <f>+VLOOKUP($A23,datos9!$A$2:$BG$78,11,FALSE)</f>
        <v>33</v>
      </c>
      <c r="M23" s="19">
        <f t="shared" si="0"/>
        <v>1138626</v>
      </c>
      <c r="O23" s="19">
        <f t="shared" si="1"/>
        <v>729404</v>
      </c>
    </row>
    <row r="24" spans="1:15" x14ac:dyDescent="0.2">
      <c r="A24" s="17" t="s">
        <v>70</v>
      </c>
      <c r="B24" s="18"/>
      <c r="C24" s="27">
        <f>+VLOOKUP($A24,datos9!$A$2:$BG$78,2,FALSE)</f>
        <v>0</v>
      </c>
      <c r="D24" s="27">
        <f>+VLOOKUP($A24,datos9!$A$2:$BG$78,3,FALSE)</f>
        <v>24583</v>
      </c>
      <c r="E24" s="27">
        <f>+VLOOKUP($A24,datos9!$A$2:$BG$78,4,FALSE)</f>
        <v>0</v>
      </c>
      <c r="F24" s="27">
        <f>+VLOOKUP($A24,datos9!$A$2:$BG$78,5,FALSE)</f>
        <v>4893886</v>
      </c>
      <c r="G24" s="27">
        <f>+VLOOKUP($A24,datos9!$A$2:$BG$78,6,FALSE)</f>
        <v>150344</v>
      </c>
      <c r="H24" s="27">
        <f>+VLOOKUP($A24,datos9!$A$2:$BG$78,7,FALSE)</f>
        <v>750230</v>
      </c>
      <c r="I24" s="27">
        <f>+VLOOKUP($A24,datos9!$A$2:$BG$78,8,FALSE)</f>
        <v>0</v>
      </c>
      <c r="J24" s="82">
        <f>+VLOOKUP($A24,datos9!$A$2:$BG$78,9,FALSE)</f>
        <v>81258</v>
      </c>
      <c r="K24" s="82">
        <f>+VLOOKUP($A24,datos9!$A$2:$BG$78,10,FALSE)</f>
        <v>237323</v>
      </c>
      <c r="L24" s="27">
        <f>+VLOOKUP($A24,datos9!$A$2:$BG$78,11,FALSE)</f>
        <v>3427</v>
      </c>
      <c r="M24" s="19">
        <f t="shared" si="0"/>
        <v>6141051</v>
      </c>
      <c r="O24" s="19">
        <f t="shared" si="1"/>
        <v>5044230</v>
      </c>
    </row>
    <row r="25" spans="1:15" x14ac:dyDescent="0.2">
      <c r="A25" s="17" t="s">
        <v>71</v>
      </c>
      <c r="B25" s="18"/>
      <c r="C25" s="27">
        <f>+VLOOKUP($A25,datos9!$A$2:$BG$78,2,FALSE)</f>
        <v>0</v>
      </c>
      <c r="D25" s="27">
        <f>+VLOOKUP($A25,datos9!$A$2:$BG$78,3,FALSE)</f>
        <v>0</v>
      </c>
      <c r="E25" s="27">
        <f>+VLOOKUP($A25,datos9!$A$2:$BG$78,4,FALSE)</f>
        <v>0</v>
      </c>
      <c r="F25" s="27">
        <f>+VLOOKUP($A25,datos9!$A$2:$BG$78,5,FALSE)</f>
        <v>2852252</v>
      </c>
      <c r="G25" s="27">
        <f>+VLOOKUP($A25,datos9!$A$2:$BG$78,6,FALSE)</f>
        <v>0</v>
      </c>
      <c r="H25" s="27">
        <f>+VLOOKUP($A25,datos9!$A$2:$BG$78,7,FALSE)</f>
        <v>1376139</v>
      </c>
      <c r="I25" s="27">
        <f>+VLOOKUP($A25,datos9!$A$2:$BG$78,8,FALSE)</f>
        <v>0</v>
      </c>
      <c r="J25" s="82">
        <f>+VLOOKUP($A25,datos9!$A$2:$BG$78,9,FALSE)</f>
        <v>189357</v>
      </c>
      <c r="K25" s="82">
        <f>+VLOOKUP($A25,datos9!$A$2:$BG$78,10,FALSE)</f>
        <v>172418</v>
      </c>
      <c r="L25" s="27">
        <f>+VLOOKUP($A25,datos9!$A$2:$BG$78,11,FALSE)</f>
        <v>635664</v>
      </c>
      <c r="M25" s="19">
        <f t="shared" si="0"/>
        <v>5225830</v>
      </c>
      <c r="O25" s="19">
        <f t="shared" si="1"/>
        <v>2852252</v>
      </c>
    </row>
    <row r="26" spans="1:15" x14ac:dyDescent="0.2">
      <c r="A26" s="17" t="s">
        <v>72</v>
      </c>
      <c r="B26" s="18"/>
      <c r="C26" s="27">
        <f>+VLOOKUP($A26,datos9!$A$2:$BG$78,2,FALSE)</f>
        <v>0</v>
      </c>
      <c r="D26" s="27">
        <f>+VLOOKUP($A26,datos9!$A$2:$BG$78,3,FALSE)</f>
        <v>0</v>
      </c>
      <c r="E26" s="27">
        <f>+VLOOKUP($A26,datos9!$A$2:$BG$78,4,FALSE)</f>
        <v>0</v>
      </c>
      <c r="F26" s="27">
        <f>+VLOOKUP($A26,datos9!$A$2:$BG$78,5,FALSE)</f>
        <v>0</v>
      </c>
      <c r="G26" s="27">
        <f>+VLOOKUP($A26,datos9!$A$2:$BG$78,6,FALSE)</f>
        <v>0</v>
      </c>
      <c r="H26" s="27">
        <f>+VLOOKUP($A26,datos9!$A$2:$BG$78,7,FALSE)</f>
        <v>15431</v>
      </c>
      <c r="I26" s="27">
        <f>+VLOOKUP($A26,datos9!$A$2:$BG$78,8,FALSE)</f>
        <v>0</v>
      </c>
      <c r="J26" s="82">
        <f>+VLOOKUP($A26,datos9!$A$2:$BG$78,9,FALSE)</f>
        <v>3943</v>
      </c>
      <c r="K26" s="82">
        <f>+VLOOKUP($A26,datos9!$A$2:$BG$78,10,FALSE)</f>
        <v>0</v>
      </c>
      <c r="L26" s="27">
        <f>+VLOOKUP($A26,datos9!$A$2:$BG$78,11,FALSE)</f>
        <v>0</v>
      </c>
      <c r="M26" s="19">
        <f t="shared" si="0"/>
        <v>19374</v>
      </c>
      <c r="O26" s="19">
        <f t="shared" si="1"/>
        <v>0</v>
      </c>
    </row>
    <row r="27" spans="1:15" x14ac:dyDescent="0.2">
      <c r="A27" s="17" t="s">
        <v>73</v>
      </c>
      <c r="B27" s="18"/>
      <c r="C27" s="27">
        <f>+VLOOKUP($A27,datos9!$A$2:$BG$78,2,FALSE)</f>
        <v>0</v>
      </c>
      <c r="D27" s="27">
        <f>+VLOOKUP($A27,datos9!$A$2:$BG$78,3,FALSE)</f>
        <v>45136</v>
      </c>
      <c r="E27" s="27">
        <f>+VLOOKUP($A27,datos9!$A$2:$BG$78,4,FALSE)</f>
        <v>0</v>
      </c>
      <c r="F27" s="27">
        <f>+VLOOKUP($A27,datos9!$A$2:$BG$78,5,FALSE)</f>
        <v>1022979</v>
      </c>
      <c r="G27" s="27">
        <f>+VLOOKUP($A27,datos9!$A$2:$BG$78,6,FALSE)</f>
        <v>0</v>
      </c>
      <c r="H27" s="27">
        <f>+VLOOKUP($A27,datos9!$A$2:$BG$78,7,FALSE)</f>
        <v>0</v>
      </c>
      <c r="I27" s="27">
        <f>+VLOOKUP($A27,datos9!$A$2:$BG$78,8,FALSE)</f>
        <v>0</v>
      </c>
      <c r="J27" s="82">
        <f>+VLOOKUP($A27,datos9!$A$2:$BG$78,9,FALSE)</f>
        <v>11242</v>
      </c>
      <c r="K27" s="82">
        <f>+VLOOKUP($A27,datos9!$A$2:$BG$78,10,FALSE)</f>
        <v>6855</v>
      </c>
      <c r="L27" s="27">
        <f>+VLOOKUP($A27,datos9!$A$2:$BG$78,11,FALSE)</f>
        <v>66</v>
      </c>
      <c r="M27" s="19">
        <f t="shared" si="0"/>
        <v>1086278</v>
      </c>
      <c r="O27" s="19">
        <f t="shared" si="1"/>
        <v>1022979</v>
      </c>
    </row>
    <row r="28" spans="1:15" x14ac:dyDescent="0.2">
      <c r="A28" s="17" t="s">
        <v>74</v>
      </c>
      <c r="B28" s="18"/>
      <c r="C28" s="27">
        <f>+VLOOKUP($A28,datos9!$A$2:$BG$78,2,FALSE)</f>
        <v>0</v>
      </c>
      <c r="D28" s="27">
        <f>+VLOOKUP($A28,datos9!$A$2:$BG$78,3,FALSE)</f>
        <v>0</v>
      </c>
      <c r="E28" s="27">
        <f>+VLOOKUP($A28,datos9!$A$2:$BG$78,4,FALSE)</f>
        <v>0</v>
      </c>
      <c r="F28" s="27">
        <f>+VLOOKUP($A28,datos9!$A$2:$BG$78,5,FALSE)</f>
        <v>0</v>
      </c>
      <c r="G28" s="27">
        <f>+VLOOKUP($A28,datos9!$A$2:$BG$78,6,FALSE)</f>
        <v>0</v>
      </c>
      <c r="H28" s="27">
        <f>+VLOOKUP($A28,datos9!$A$2:$BG$78,7,FALSE)</f>
        <v>0</v>
      </c>
      <c r="I28" s="27">
        <f>+VLOOKUP($A28,datos9!$A$2:$BG$78,8,FALSE)</f>
        <v>0</v>
      </c>
      <c r="J28" s="82">
        <f>+VLOOKUP($A28,datos9!$A$2:$BG$78,9,FALSE)</f>
        <v>0</v>
      </c>
      <c r="K28" s="82">
        <f>+VLOOKUP($A28,datos9!$A$2:$BG$78,10,FALSE)</f>
        <v>138210</v>
      </c>
      <c r="L28" s="27">
        <f>+VLOOKUP($A28,datos9!$A$2:$BG$78,11,FALSE)</f>
        <v>0</v>
      </c>
      <c r="M28" s="19">
        <f t="shared" si="0"/>
        <v>138210</v>
      </c>
      <c r="O28" s="19">
        <f t="shared" si="1"/>
        <v>0</v>
      </c>
    </row>
    <row r="29" spans="1:15" x14ac:dyDescent="0.2">
      <c r="A29" s="17" t="s">
        <v>75</v>
      </c>
      <c r="B29" s="18"/>
      <c r="C29" s="27">
        <f>+VLOOKUP($A29,datos9!$A$2:$BG$78,2,FALSE)</f>
        <v>0</v>
      </c>
      <c r="D29" s="27">
        <f>+VLOOKUP($A29,datos9!$A$2:$BG$78,3,FALSE)</f>
        <v>24635</v>
      </c>
      <c r="E29" s="27">
        <f>+VLOOKUP($A29,datos9!$A$2:$BG$78,4,FALSE)</f>
        <v>0</v>
      </c>
      <c r="F29" s="27">
        <f>+VLOOKUP($A29,datos9!$A$2:$BG$78,5,FALSE)</f>
        <v>18923892</v>
      </c>
      <c r="G29" s="27">
        <f>+VLOOKUP($A29,datos9!$A$2:$BG$78,6,FALSE)</f>
        <v>0</v>
      </c>
      <c r="H29" s="27">
        <f>+VLOOKUP($A29,datos9!$A$2:$BG$78,7,FALSE)</f>
        <v>0</v>
      </c>
      <c r="I29" s="27">
        <f>+VLOOKUP($A29,datos9!$A$2:$BG$78,8,FALSE)</f>
        <v>0</v>
      </c>
      <c r="J29" s="82">
        <f>+VLOOKUP($A29,datos9!$A$2:$BG$78,9,FALSE)</f>
        <v>0</v>
      </c>
      <c r="K29" s="82">
        <f>+VLOOKUP($A29,datos9!$A$2:$BG$78,10,FALSE)</f>
        <v>0</v>
      </c>
      <c r="L29" s="27">
        <f>+VLOOKUP($A29,datos9!$A$2:$BG$78,11,FALSE)</f>
        <v>47223</v>
      </c>
      <c r="M29" s="19">
        <f t="shared" si="0"/>
        <v>18995750</v>
      </c>
      <c r="O29" s="19">
        <f t="shared" si="1"/>
        <v>18923892</v>
      </c>
    </row>
    <row r="30" spans="1:15" x14ac:dyDescent="0.2">
      <c r="A30" s="17" t="s">
        <v>76</v>
      </c>
      <c r="B30" s="18"/>
      <c r="C30" s="27">
        <f>+VLOOKUP($A30,datos9!$A$2:$BG$78,2,FALSE)</f>
        <v>0</v>
      </c>
      <c r="D30" s="27">
        <f>+VLOOKUP($A30,datos9!$A$2:$BG$78,3,FALSE)</f>
        <v>0</v>
      </c>
      <c r="E30" s="27">
        <f>+VLOOKUP($A30,datos9!$A$2:$BG$78,4,FALSE)</f>
        <v>0</v>
      </c>
      <c r="F30" s="27">
        <f>+VLOOKUP($A30,datos9!$A$2:$BG$78,5,FALSE)</f>
        <v>361476</v>
      </c>
      <c r="G30" s="27">
        <f>+VLOOKUP($A30,datos9!$A$2:$BG$78,6,FALSE)</f>
        <v>0</v>
      </c>
      <c r="H30" s="27">
        <f>+VLOOKUP($A30,datos9!$A$2:$BG$78,7,FALSE)</f>
        <v>252139</v>
      </c>
      <c r="I30" s="27">
        <f>+VLOOKUP($A30,datos9!$A$2:$BG$78,8,FALSE)</f>
        <v>0</v>
      </c>
      <c r="J30" s="82">
        <f>+VLOOKUP($A30,datos9!$A$2:$BG$78,9,FALSE)</f>
        <v>21006</v>
      </c>
      <c r="K30" s="82">
        <f>+VLOOKUP($A30,datos9!$A$2:$BG$78,10,FALSE)</f>
        <v>139569</v>
      </c>
      <c r="L30" s="27">
        <f>+VLOOKUP($A30,datos9!$A$2:$BG$78,11,FALSE)</f>
        <v>364</v>
      </c>
      <c r="M30" s="19">
        <f t="shared" si="0"/>
        <v>774554</v>
      </c>
      <c r="O30" s="19">
        <f t="shared" si="1"/>
        <v>361476</v>
      </c>
    </row>
    <row r="31" spans="1:15" x14ac:dyDescent="0.2">
      <c r="A31" s="17" t="s">
        <v>77</v>
      </c>
      <c r="B31" s="18"/>
      <c r="C31" s="27">
        <f>+VLOOKUP($A31,datos9!$A$2:$BG$78,2,FALSE)</f>
        <v>0</v>
      </c>
      <c r="D31" s="27">
        <f>+VLOOKUP($A31,datos9!$A$2:$BG$78,3,FALSE)</f>
        <v>0</v>
      </c>
      <c r="E31" s="27">
        <f>+VLOOKUP($A31,datos9!$A$2:$BG$78,4,FALSE)</f>
        <v>1712</v>
      </c>
      <c r="F31" s="27">
        <f>+VLOOKUP($A31,datos9!$A$2:$BG$78,5,FALSE)</f>
        <v>0</v>
      </c>
      <c r="G31" s="27">
        <f>+VLOOKUP($A31,datos9!$A$2:$BG$78,6,FALSE)</f>
        <v>0</v>
      </c>
      <c r="H31" s="27">
        <f>+VLOOKUP($A31,datos9!$A$2:$BG$78,7,FALSE)</f>
        <v>0</v>
      </c>
      <c r="I31" s="27">
        <f>+VLOOKUP($A31,datos9!$A$2:$BG$78,8,FALSE)</f>
        <v>0</v>
      </c>
      <c r="J31" s="82">
        <f>+VLOOKUP($A31,datos9!$A$2:$BG$78,9,FALSE)</f>
        <v>29848</v>
      </c>
      <c r="K31" s="82">
        <f>+VLOOKUP($A31,datos9!$A$2:$BG$78,10,FALSE)</f>
        <v>74897</v>
      </c>
      <c r="L31" s="27">
        <f>+VLOOKUP($A31,datos9!$A$2:$BG$78,11,FALSE)</f>
        <v>0</v>
      </c>
      <c r="M31" s="19">
        <f t="shared" si="0"/>
        <v>106457</v>
      </c>
      <c r="O31" s="19">
        <f t="shared" si="1"/>
        <v>0</v>
      </c>
    </row>
    <row r="32" spans="1:15" x14ac:dyDescent="0.2">
      <c r="A32" s="17" t="s">
        <v>78</v>
      </c>
      <c r="B32" s="18"/>
      <c r="C32" s="27">
        <f>+VLOOKUP($A32,datos9!$A$2:$BG$78,2,FALSE)</f>
        <v>337029</v>
      </c>
      <c r="D32" s="27">
        <f>+VLOOKUP($A32,datos9!$A$2:$BG$78,3,FALSE)</f>
        <v>17735</v>
      </c>
      <c r="E32" s="27">
        <f>+VLOOKUP($A32,datos9!$A$2:$BG$78,4,FALSE)</f>
        <v>0</v>
      </c>
      <c r="F32" s="27">
        <f>+VLOOKUP($A32,datos9!$A$2:$BG$78,5,FALSE)</f>
        <v>437488</v>
      </c>
      <c r="G32" s="27">
        <f>+VLOOKUP($A32,datos9!$A$2:$BG$78,6,FALSE)</f>
        <v>937788</v>
      </c>
      <c r="H32" s="27">
        <f>+VLOOKUP($A32,datos9!$A$2:$BG$78,7,FALSE)</f>
        <v>0</v>
      </c>
      <c r="I32" s="27">
        <f>+VLOOKUP($A32,datos9!$A$2:$BG$78,8,FALSE)</f>
        <v>0</v>
      </c>
      <c r="J32" s="82">
        <f>+VLOOKUP($A32,datos9!$A$2:$BG$78,9,FALSE)</f>
        <v>24500238</v>
      </c>
      <c r="K32" s="82">
        <f>+VLOOKUP($A32,datos9!$A$2:$BG$78,10,FALSE)</f>
        <v>1229059</v>
      </c>
      <c r="L32" s="27">
        <f>+VLOOKUP($A32,datos9!$A$2:$BG$78,11,FALSE)</f>
        <v>2726040</v>
      </c>
      <c r="M32" s="19">
        <f t="shared" si="0"/>
        <v>30185377</v>
      </c>
      <c r="O32" s="19">
        <f t="shared" si="1"/>
        <v>1375276</v>
      </c>
    </row>
    <row r="33" spans="1:15" x14ac:dyDescent="0.2">
      <c r="A33" s="17" t="s">
        <v>79</v>
      </c>
      <c r="B33" s="18"/>
      <c r="C33" s="27">
        <f>+VLOOKUP($A33,datos9!$A$2:$BG$78,2,FALSE)</f>
        <v>0</v>
      </c>
      <c r="D33" s="27">
        <f>+VLOOKUP($A33,datos9!$A$2:$BG$78,3,FALSE)</f>
        <v>0</v>
      </c>
      <c r="E33" s="27">
        <f>+VLOOKUP($A33,datos9!$A$2:$BG$78,4,FALSE)</f>
        <v>0</v>
      </c>
      <c r="F33" s="27">
        <f>+VLOOKUP($A33,datos9!$A$2:$BG$78,5,FALSE)</f>
        <v>1042060</v>
      </c>
      <c r="G33" s="27">
        <f>+VLOOKUP($A33,datos9!$A$2:$BG$78,6,FALSE)</f>
        <v>0</v>
      </c>
      <c r="H33" s="27">
        <f>+VLOOKUP($A33,datos9!$A$2:$BG$78,7,FALSE)</f>
        <v>0</v>
      </c>
      <c r="I33" s="27">
        <f>+VLOOKUP($A33,datos9!$A$2:$BG$78,8,FALSE)</f>
        <v>0</v>
      </c>
      <c r="J33" s="82">
        <f>+VLOOKUP($A33,datos9!$A$2:$BG$78,9,FALSE)</f>
        <v>0</v>
      </c>
      <c r="K33" s="82">
        <f>+VLOOKUP($A33,datos9!$A$2:$BG$78,10,FALSE)</f>
        <v>115872</v>
      </c>
      <c r="L33" s="27">
        <f>+VLOOKUP($A33,datos9!$A$2:$BG$78,11,FALSE)</f>
        <v>128985</v>
      </c>
      <c r="M33" s="19">
        <f t="shared" si="0"/>
        <v>1286917</v>
      </c>
      <c r="O33" s="19">
        <f t="shared" si="1"/>
        <v>1042060</v>
      </c>
    </row>
    <row r="34" spans="1:15" x14ac:dyDescent="0.2">
      <c r="A34" s="17" t="s">
        <v>80</v>
      </c>
      <c r="B34" s="18"/>
      <c r="C34" s="27">
        <f>+VLOOKUP($A34,datos9!$A$2:$BG$78,2,FALSE)</f>
        <v>0</v>
      </c>
      <c r="D34" s="27">
        <f>+VLOOKUP($A34,datos9!$A$2:$BG$78,3,FALSE)</f>
        <v>41654</v>
      </c>
      <c r="E34" s="27">
        <f>+VLOOKUP($A34,datos9!$A$2:$BG$78,4,FALSE)</f>
        <v>0</v>
      </c>
      <c r="F34" s="27">
        <f>+VLOOKUP($A34,datos9!$A$2:$BG$78,5,FALSE)</f>
        <v>71317</v>
      </c>
      <c r="G34" s="27">
        <f>+VLOOKUP($A34,datos9!$A$2:$BG$78,6,FALSE)</f>
        <v>0</v>
      </c>
      <c r="H34" s="27">
        <f>+VLOOKUP($A34,datos9!$A$2:$BG$78,7,FALSE)</f>
        <v>55588</v>
      </c>
      <c r="I34" s="27">
        <f>+VLOOKUP($A34,datos9!$A$2:$BG$78,8,FALSE)</f>
        <v>0</v>
      </c>
      <c r="J34" s="82">
        <f>+VLOOKUP($A34,datos9!$A$2:$BG$78,9,FALSE)</f>
        <v>74385</v>
      </c>
      <c r="K34" s="82">
        <f>+VLOOKUP($A34,datos9!$A$2:$BG$78,10,FALSE)</f>
        <v>195303</v>
      </c>
      <c r="L34" s="27">
        <f>+VLOOKUP($A34,datos9!$A$2:$BG$78,11,FALSE)</f>
        <v>0</v>
      </c>
      <c r="M34" s="19">
        <f t="shared" si="0"/>
        <v>438247</v>
      </c>
      <c r="O34" s="19">
        <f t="shared" si="1"/>
        <v>71317</v>
      </c>
    </row>
    <row r="35" spans="1:15" x14ac:dyDescent="0.2">
      <c r="A35" s="17" t="s">
        <v>81</v>
      </c>
      <c r="B35" s="18"/>
      <c r="C35" s="27">
        <f>+VLOOKUP($A35,datos9!$A$2:$BG$78,2,FALSE)</f>
        <v>0</v>
      </c>
      <c r="D35" s="27">
        <f>+VLOOKUP($A35,datos9!$A$2:$BG$78,3,FALSE)</f>
        <v>0</v>
      </c>
      <c r="E35" s="27">
        <f>+VLOOKUP($A35,datos9!$A$2:$BG$78,4,FALSE)</f>
        <v>1629296</v>
      </c>
      <c r="F35" s="27">
        <f>+VLOOKUP($A35,datos9!$A$2:$BG$78,5,FALSE)</f>
        <v>4308202</v>
      </c>
      <c r="G35" s="27">
        <f>+VLOOKUP($A35,datos9!$A$2:$BG$78,6,FALSE)</f>
        <v>0</v>
      </c>
      <c r="H35" s="27">
        <f>+VLOOKUP($A35,datos9!$A$2:$BG$78,7,FALSE)</f>
        <v>1375216</v>
      </c>
      <c r="I35" s="27">
        <f>+VLOOKUP($A35,datos9!$A$2:$BG$78,8,FALSE)</f>
        <v>0</v>
      </c>
      <c r="J35" s="82">
        <f>+VLOOKUP($A35,datos9!$A$2:$BG$78,9,FALSE)</f>
        <v>315596</v>
      </c>
      <c r="K35" s="82">
        <f>+VLOOKUP($A35,datos9!$A$2:$BG$78,10,FALSE)</f>
        <v>139461</v>
      </c>
      <c r="L35" s="27">
        <f>+VLOOKUP($A35,datos9!$A$2:$BG$78,11,FALSE)</f>
        <v>605</v>
      </c>
      <c r="M35" s="19">
        <f t="shared" si="0"/>
        <v>7768376</v>
      </c>
      <c r="O35" s="19">
        <f t="shared" si="1"/>
        <v>4308202</v>
      </c>
    </row>
    <row r="36" spans="1:15" x14ac:dyDescent="0.2">
      <c r="A36" s="17" t="s">
        <v>82</v>
      </c>
      <c r="B36" s="18"/>
      <c r="C36" s="27">
        <f>+VLOOKUP($A36,datos9!$A$2:$BG$78,2,FALSE)</f>
        <v>0</v>
      </c>
      <c r="D36" s="27">
        <f>+VLOOKUP($A36,datos9!$A$2:$BG$78,3,FALSE)</f>
        <v>0</v>
      </c>
      <c r="E36" s="27">
        <f>+VLOOKUP($A36,datos9!$A$2:$BG$78,4,FALSE)</f>
        <v>0</v>
      </c>
      <c r="F36" s="27">
        <f>+VLOOKUP($A36,datos9!$A$2:$BG$78,5,FALSE)</f>
        <v>320510</v>
      </c>
      <c r="G36" s="27">
        <f>+VLOOKUP($A36,datos9!$A$2:$BG$78,6,FALSE)</f>
        <v>0</v>
      </c>
      <c r="H36" s="27">
        <f>+VLOOKUP($A36,datos9!$A$2:$BG$78,7,FALSE)</f>
        <v>0</v>
      </c>
      <c r="I36" s="27">
        <f>+VLOOKUP($A36,datos9!$A$2:$BG$78,8,FALSE)</f>
        <v>0</v>
      </c>
      <c r="J36" s="82">
        <f>+VLOOKUP($A36,datos9!$A$2:$BG$78,9,FALSE)</f>
        <v>4603</v>
      </c>
      <c r="K36" s="82">
        <f>+VLOOKUP($A36,datos9!$A$2:$BG$78,10,FALSE)</f>
        <v>21658</v>
      </c>
      <c r="L36" s="27">
        <f>+VLOOKUP($A36,datos9!$A$2:$BG$78,11,FALSE)</f>
        <v>10368</v>
      </c>
      <c r="M36" s="19">
        <f t="shared" si="0"/>
        <v>357139</v>
      </c>
      <c r="O36" s="19">
        <f t="shared" si="1"/>
        <v>320510</v>
      </c>
    </row>
    <row r="37" spans="1:15" x14ac:dyDescent="0.2">
      <c r="A37" s="17" t="s">
        <v>83</v>
      </c>
      <c r="B37" s="18"/>
      <c r="C37" s="27">
        <f>+VLOOKUP($A37,datos9!$A$2:$BG$78,2,FALSE)</f>
        <v>0</v>
      </c>
      <c r="D37" s="27">
        <f>+VLOOKUP($A37,datos9!$A$2:$BG$78,3,FALSE)</f>
        <v>0</v>
      </c>
      <c r="E37" s="27">
        <f>+VLOOKUP($A37,datos9!$A$2:$BG$78,4,FALSE)</f>
        <v>38905</v>
      </c>
      <c r="F37" s="27">
        <f>+VLOOKUP($A37,datos9!$A$2:$BG$78,5,FALSE)</f>
        <v>53567</v>
      </c>
      <c r="G37" s="27">
        <f>+VLOOKUP($A37,datos9!$A$2:$BG$78,6,FALSE)</f>
        <v>0</v>
      </c>
      <c r="H37" s="27">
        <f>+VLOOKUP($A37,datos9!$A$2:$BG$78,7,FALSE)</f>
        <v>41263</v>
      </c>
      <c r="I37" s="27">
        <f>+VLOOKUP($A37,datos9!$A$2:$BG$78,8,FALSE)</f>
        <v>0</v>
      </c>
      <c r="J37" s="82">
        <f>+VLOOKUP($A37,datos9!$A$2:$BG$78,9,FALSE)</f>
        <v>139716</v>
      </c>
      <c r="K37" s="82">
        <f>+VLOOKUP($A37,datos9!$A$2:$BG$78,10,FALSE)</f>
        <v>329927</v>
      </c>
      <c r="L37" s="27">
        <f>+VLOOKUP($A37,datos9!$A$2:$BG$78,11,FALSE)</f>
        <v>4051</v>
      </c>
      <c r="M37" s="19">
        <f t="shared" si="0"/>
        <v>607429</v>
      </c>
      <c r="O37" s="19">
        <f t="shared" si="1"/>
        <v>53567</v>
      </c>
    </row>
    <row r="38" spans="1:15" x14ac:dyDescent="0.2">
      <c r="A38" s="17" t="s">
        <v>84</v>
      </c>
      <c r="B38" s="18"/>
      <c r="C38" s="27">
        <f>+VLOOKUP($A38,datos9!$A$2:$BG$78,2,FALSE)</f>
        <v>0</v>
      </c>
      <c r="D38" s="27">
        <f>+VLOOKUP($A38,datos9!$A$2:$BG$78,3,FALSE)</f>
        <v>1040158</v>
      </c>
      <c r="E38" s="27">
        <f>+VLOOKUP($A38,datos9!$A$2:$BG$78,4,FALSE)</f>
        <v>0</v>
      </c>
      <c r="F38" s="27">
        <f>+VLOOKUP($A38,datos9!$A$2:$BG$78,5,FALSE)</f>
        <v>945328</v>
      </c>
      <c r="G38" s="27">
        <f>+VLOOKUP($A38,datos9!$A$2:$BG$78,6,FALSE)</f>
        <v>0</v>
      </c>
      <c r="H38" s="27">
        <f>+VLOOKUP($A38,datos9!$A$2:$BG$78,7,FALSE)</f>
        <v>188560</v>
      </c>
      <c r="I38" s="27">
        <f>+VLOOKUP($A38,datos9!$A$2:$BG$78,8,FALSE)</f>
        <v>0</v>
      </c>
      <c r="J38" s="82">
        <f>+VLOOKUP($A38,datos9!$A$2:$BG$78,9,FALSE)</f>
        <v>0</v>
      </c>
      <c r="K38" s="82">
        <f>+VLOOKUP($A38,datos9!$A$2:$BG$78,10,FALSE)</f>
        <v>121699</v>
      </c>
      <c r="L38" s="27">
        <f>+VLOOKUP($A38,datos9!$A$2:$BG$78,11,FALSE)</f>
        <v>18340</v>
      </c>
      <c r="M38" s="19">
        <f t="shared" si="0"/>
        <v>2314085</v>
      </c>
      <c r="O38" s="19">
        <f t="shared" si="1"/>
        <v>945328</v>
      </c>
    </row>
    <row r="39" spans="1:15" x14ac:dyDescent="0.2">
      <c r="A39" s="17" t="s">
        <v>251</v>
      </c>
      <c r="B39" s="18"/>
      <c r="C39" s="27">
        <f>+VLOOKUP($A39,datos9!$A$2:$BG$78,2,FALSE)</f>
        <v>391268</v>
      </c>
      <c r="D39" s="27">
        <f>+VLOOKUP($A39,datos9!$A$2:$BG$78,3,FALSE)</f>
        <v>0</v>
      </c>
      <c r="E39" s="27">
        <f>+VLOOKUP($A39,datos9!$A$2:$BG$78,4,FALSE)</f>
        <v>0</v>
      </c>
      <c r="F39" s="27">
        <f>+VLOOKUP($A39,datos9!$A$2:$BG$78,5,FALSE)</f>
        <v>346148</v>
      </c>
      <c r="G39" s="27">
        <f>+VLOOKUP($A39,datos9!$A$2:$BG$78,6,FALSE)</f>
        <v>0</v>
      </c>
      <c r="H39" s="27">
        <f>+VLOOKUP($A39,datos9!$A$2:$BG$78,7,FALSE)</f>
        <v>0</v>
      </c>
      <c r="I39" s="27">
        <f>+VLOOKUP($A39,datos9!$A$2:$BG$78,8,FALSE)</f>
        <v>0</v>
      </c>
      <c r="J39" s="82">
        <f>+VLOOKUP($A39,datos9!$A$2:$BG$78,9,FALSE)</f>
        <v>7310267</v>
      </c>
      <c r="K39" s="82">
        <f>+VLOOKUP($A39,datos9!$A$2:$BG$78,10,FALSE)</f>
        <v>1205321</v>
      </c>
      <c r="L39" s="27">
        <f>+VLOOKUP($A39,datos9!$A$2:$BG$78,11,FALSE)</f>
        <v>5830088</v>
      </c>
      <c r="M39" s="19">
        <f t="shared" si="0"/>
        <v>15083092</v>
      </c>
      <c r="O39" s="19">
        <f t="shared" si="1"/>
        <v>346148</v>
      </c>
    </row>
    <row r="40" spans="1:15" x14ac:dyDescent="0.2">
      <c r="A40" s="17" t="s">
        <v>85</v>
      </c>
      <c r="B40" s="18"/>
      <c r="C40" s="27">
        <f>+VLOOKUP($A40,datos9!$A$2:$BG$78,2,FALSE)</f>
        <v>0</v>
      </c>
      <c r="D40" s="27">
        <f>+VLOOKUP($A40,datos9!$A$2:$BG$78,3,FALSE)</f>
        <v>842545</v>
      </c>
      <c r="E40" s="27">
        <f>+VLOOKUP($A40,datos9!$A$2:$BG$78,4,FALSE)</f>
        <v>0</v>
      </c>
      <c r="F40" s="27">
        <f>+VLOOKUP($A40,datos9!$A$2:$BG$78,5,FALSE)</f>
        <v>1332443</v>
      </c>
      <c r="G40" s="27">
        <f>+VLOOKUP($A40,datos9!$A$2:$BG$78,6,FALSE)</f>
        <v>0</v>
      </c>
      <c r="H40" s="27">
        <f>+VLOOKUP($A40,datos9!$A$2:$BG$78,7,FALSE)</f>
        <v>0</v>
      </c>
      <c r="I40" s="27">
        <f>+VLOOKUP($A40,datos9!$A$2:$BG$78,8,FALSE)</f>
        <v>0</v>
      </c>
      <c r="J40" s="82">
        <f>+VLOOKUP($A40,datos9!$A$2:$BG$78,9,FALSE)</f>
        <v>15367</v>
      </c>
      <c r="K40" s="82">
        <f>+VLOOKUP($A40,datos9!$A$2:$BG$78,10,FALSE)</f>
        <v>0</v>
      </c>
      <c r="L40" s="27">
        <f>+VLOOKUP($A40,datos9!$A$2:$BG$78,11,FALSE)</f>
        <v>1022</v>
      </c>
      <c r="M40" s="19">
        <f t="shared" si="0"/>
        <v>2191377</v>
      </c>
      <c r="O40" s="19">
        <f t="shared" si="1"/>
        <v>1332443</v>
      </c>
    </row>
    <row r="41" spans="1:15" x14ac:dyDescent="0.2">
      <c r="A41" s="17" t="s">
        <v>252</v>
      </c>
      <c r="B41" s="18"/>
      <c r="C41" s="27">
        <f>+VLOOKUP($A41,datos9!$A$2:$BG$78,2,FALSE)</f>
        <v>0</v>
      </c>
      <c r="D41" s="27">
        <f>+VLOOKUP($A41,datos9!$A$2:$BG$78,3,FALSE)</f>
        <v>0</v>
      </c>
      <c r="E41" s="27">
        <f>+VLOOKUP($A41,datos9!$A$2:$BG$78,4,FALSE)</f>
        <v>0</v>
      </c>
      <c r="F41" s="27">
        <f>+VLOOKUP($A41,datos9!$A$2:$BG$78,5,FALSE)</f>
        <v>0</v>
      </c>
      <c r="G41" s="27">
        <f>+VLOOKUP($A41,datos9!$A$2:$BG$78,6,FALSE)</f>
        <v>0</v>
      </c>
      <c r="H41" s="27">
        <f>+VLOOKUP($A41,datos9!$A$2:$BG$78,7,FALSE)</f>
        <v>292060</v>
      </c>
      <c r="I41" s="27">
        <f>+VLOOKUP($A41,datos9!$A$2:$BG$78,8,FALSE)</f>
        <v>0</v>
      </c>
      <c r="J41" s="82">
        <f>+VLOOKUP($A41,datos9!$A$2:$BG$78,9,FALSE)</f>
        <v>29214</v>
      </c>
      <c r="K41" s="82">
        <f>+VLOOKUP($A41,datos9!$A$2:$BG$78,10,FALSE)</f>
        <v>0</v>
      </c>
      <c r="L41" s="27">
        <f>+VLOOKUP($A41,datos9!$A$2:$BG$78,11,FALSE)</f>
        <v>0</v>
      </c>
      <c r="M41" s="19">
        <f t="shared" si="0"/>
        <v>321274</v>
      </c>
      <c r="O41" s="19">
        <f t="shared" si="1"/>
        <v>0</v>
      </c>
    </row>
    <row r="42" spans="1:15" x14ac:dyDescent="0.2">
      <c r="A42" s="17" t="s">
        <v>253</v>
      </c>
      <c r="B42" s="18"/>
      <c r="C42" s="27">
        <f>+VLOOKUP($A42,datos9!$A$2:$BG$78,2,FALSE)</f>
        <v>25200</v>
      </c>
      <c r="D42" s="27">
        <f>+VLOOKUP($A42,datos9!$A$2:$BG$78,3,FALSE)</f>
        <v>0</v>
      </c>
      <c r="E42" s="27">
        <f>+VLOOKUP($A42,datos9!$A$2:$BG$78,4,FALSE)</f>
        <v>0</v>
      </c>
      <c r="F42" s="27">
        <f>+VLOOKUP($A42,datos9!$A$2:$BG$78,5,FALSE)</f>
        <v>1743464</v>
      </c>
      <c r="G42" s="27">
        <f>+VLOOKUP($A42,datos9!$A$2:$BG$78,6,FALSE)</f>
        <v>0</v>
      </c>
      <c r="H42" s="27">
        <f>+VLOOKUP($A42,datos9!$A$2:$BG$78,7,FALSE)</f>
        <v>0</v>
      </c>
      <c r="I42" s="27">
        <f>+VLOOKUP($A42,datos9!$A$2:$BG$78,8,FALSE)</f>
        <v>0</v>
      </c>
      <c r="J42" s="82">
        <f>+VLOOKUP($A42,datos9!$A$2:$BG$78,9,FALSE)</f>
        <v>0</v>
      </c>
      <c r="K42" s="82">
        <f>+VLOOKUP($A42,datos9!$A$2:$BG$78,10,FALSE)</f>
        <v>78705</v>
      </c>
      <c r="L42" s="27">
        <f>+VLOOKUP($A42,datos9!$A$2:$BG$78,11,FALSE)</f>
        <v>23632</v>
      </c>
      <c r="M42" s="19">
        <f t="shared" si="0"/>
        <v>1871001</v>
      </c>
      <c r="O42" s="19">
        <f t="shared" si="1"/>
        <v>1743464</v>
      </c>
    </row>
    <row r="43" spans="1:15" x14ac:dyDescent="0.2">
      <c r="A43" s="17" t="s">
        <v>86</v>
      </c>
      <c r="B43" s="18"/>
      <c r="C43" s="27">
        <f>+VLOOKUP($A43,datos9!$A$2:$BG$78,2,FALSE)</f>
        <v>0</v>
      </c>
      <c r="D43" s="27">
        <f>+VLOOKUP($A43,datos9!$A$2:$BG$78,3,FALSE)</f>
        <v>0</v>
      </c>
      <c r="E43" s="27">
        <f>+VLOOKUP($A43,datos9!$A$2:$BG$78,4,FALSE)</f>
        <v>0</v>
      </c>
      <c r="F43" s="27">
        <f>+VLOOKUP($A43,datos9!$A$2:$BG$78,5,FALSE)</f>
        <v>248405</v>
      </c>
      <c r="G43" s="27">
        <f>+VLOOKUP($A43,datos9!$A$2:$BG$78,6,FALSE)</f>
        <v>0</v>
      </c>
      <c r="H43" s="27">
        <f>+VLOOKUP($A43,datos9!$A$2:$BG$78,7,FALSE)</f>
        <v>75190</v>
      </c>
      <c r="I43" s="27">
        <f>+VLOOKUP($A43,datos9!$A$2:$BG$78,8,FALSE)</f>
        <v>0</v>
      </c>
      <c r="J43" s="82">
        <f>+VLOOKUP($A43,datos9!$A$2:$BG$78,9,FALSE)</f>
        <v>3040</v>
      </c>
      <c r="K43" s="82">
        <f>+VLOOKUP($A43,datos9!$A$2:$BG$78,10,FALSE)</f>
        <v>391577</v>
      </c>
      <c r="L43" s="27">
        <f>+VLOOKUP($A43,datos9!$A$2:$BG$78,11,FALSE)</f>
        <v>0</v>
      </c>
      <c r="M43" s="19">
        <f t="shared" si="0"/>
        <v>718212</v>
      </c>
      <c r="O43" s="19">
        <f t="shared" si="1"/>
        <v>248405</v>
      </c>
    </row>
    <row r="44" spans="1:15" x14ac:dyDescent="0.2">
      <c r="A44" s="17" t="s">
        <v>87</v>
      </c>
      <c r="B44" s="18"/>
      <c r="C44" s="27">
        <f>+VLOOKUP($A44,datos9!$A$2:$BG$78,2,FALSE)</f>
        <v>0</v>
      </c>
      <c r="D44" s="27">
        <f>+VLOOKUP($A44,datos9!$A$2:$BG$78,3,FALSE)</f>
        <v>0</v>
      </c>
      <c r="E44" s="27">
        <f>+VLOOKUP($A44,datos9!$A$2:$BG$78,4,FALSE)</f>
        <v>0</v>
      </c>
      <c r="F44" s="27">
        <f>+VLOOKUP($A44,datos9!$A$2:$BG$78,5,FALSE)</f>
        <v>0</v>
      </c>
      <c r="G44" s="27">
        <f>+VLOOKUP($A44,datos9!$A$2:$BG$78,6,FALSE)</f>
        <v>0</v>
      </c>
      <c r="H44" s="27">
        <f>+VLOOKUP($A44,datos9!$A$2:$BG$78,7,FALSE)</f>
        <v>11035963</v>
      </c>
      <c r="I44" s="27">
        <f>+VLOOKUP($A44,datos9!$A$2:$BG$78,8,FALSE)</f>
        <v>0</v>
      </c>
      <c r="J44" s="82">
        <f>+VLOOKUP($A44,datos9!$A$2:$BG$78,9,FALSE)</f>
        <v>2649949</v>
      </c>
      <c r="K44" s="82">
        <f>+VLOOKUP($A44,datos9!$A$2:$BG$78,10,FALSE)</f>
        <v>1419900</v>
      </c>
      <c r="L44" s="27">
        <f>+VLOOKUP($A44,datos9!$A$2:$BG$78,11,FALSE)</f>
        <v>0</v>
      </c>
      <c r="M44" s="19">
        <f t="shared" si="0"/>
        <v>15105812</v>
      </c>
      <c r="O44" s="19">
        <f t="shared" si="1"/>
        <v>0</v>
      </c>
    </row>
    <row r="45" spans="1:15" x14ac:dyDescent="0.2">
      <c r="A45" s="17" t="s">
        <v>88</v>
      </c>
      <c r="B45" s="18"/>
      <c r="C45" s="27">
        <f>+VLOOKUP($A45,datos9!$A$2:$BG$78,2,FALSE)</f>
        <v>0</v>
      </c>
      <c r="D45" s="27">
        <f>+VLOOKUP($A45,datos9!$A$2:$BG$78,3,FALSE)</f>
        <v>0</v>
      </c>
      <c r="E45" s="27">
        <f>+VLOOKUP($A45,datos9!$A$2:$BG$78,4,FALSE)</f>
        <v>0</v>
      </c>
      <c r="F45" s="307">
        <v>154284</v>
      </c>
      <c r="G45" s="27">
        <f>+VLOOKUP($A45,datos9!$A$2:$BG$78,6,FALSE)</f>
        <v>0</v>
      </c>
      <c r="I45" s="27">
        <f>+VLOOKUP($A45,datos9!$A$2:$BG$78,8,FALSE)</f>
        <v>0</v>
      </c>
      <c r="J45" s="82">
        <f>+VLOOKUP($A45,datos9!$A$2:$BG$78,9,FALSE)</f>
        <v>0</v>
      </c>
      <c r="K45" s="82">
        <f>+VLOOKUP($A45,datos9!$A$2:$BG$78,10,FALSE)</f>
        <v>0</v>
      </c>
      <c r="L45" s="27">
        <f>+VLOOKUP($A45,datos9!$A$2:$BG$78,11,FALSE)</f>
        <v>0</v>
      </c>
      <c r="M45" s="306">
        <f>771418*0.2</f>
        <v>154283.6</v>
      </c>
      <c r="O45" s="19">
        <f t="shared" si="1"/>
        <v>154284</v>
      </c>
    </row>
    <row r="46" spans="1:15" x14ac:dyDescent="0.2">
      <c r="A46" s="17" t="s">
        <v>89</v>
      </c>
      <c r="B46" s="18"/>
      <c r="C46" s="27">
        <f>+VLOOKUP($A46,datos9!$A$2:$BG$78,2,FALSE)</f>
        <v>0</v>
      </c>
      <c r="D46" s="27">
        <f>+VLOOKUP($A46,datos9!$A$2:$BG$78,3,FALSE)</f>
        <v>0</v>
      </c>
      <c r="E46" s="27">
        <f>+VLOOKUP($A46,datos9!$A$2:$BG$78,4,FALSE)</f>
        <v>0</v>
      </c>
      <c r="F46" s="27">
        <f>+VLOOKUP($A46,datos9!$A$2:$BG$78,5,FALSE)</f>
        <v>78794</v>
      </c>
      <c r="G46" s="27">
        <f>+VLOOKUP($A46,datos9!$A$2:$BG$78,6,FALSE)</f>
        <v>0</v>
      </c>
      <c r="H46" s="27">
        <f>+VLOOKUP($A46,datos9!$A$2:$BG$78,7,FALSE)</f>
        <v>53915</v>
      </c>
      <c r="I46" s="27">
        <f>+VLOOKUP($A46,datos9!$A$2:$BG$78,8,FALSE)</f>
        <v>0</v>
      </c>
      <c r="J46" s="82">
        <f>+VLOOKUP($A46,datos9!$A$2:$BG$78,9,FALSE)</f>
        <v>0</v>
      </c>
      <c r="K46" s="82">
        <f>+VLOOKUP($A46,datos9!$A$2:$BG$78,10,FALSE)</f>
        <v>434549</v>
      </c>
      <c r="L46" s="27">
        <f>+VLOOKUP($A46,datos9!$A$2:$BG$78,11,FALSE)</f>
        <v>53228</v>
      </c>
      <c r="M46" s="19">
        <f t="shared" si="0"/>
        <v>620486</v>
      </c>
      <c r="O46" s="19">
        <f t="shared" si="1"/>
        <v>78794</v>
      </c>
    </row>
    <row r="47" spans="1:15" x14ac:dyDescent="0.2">
      <c r="A47" s="17" t="s">
        <v>90</v>
      </c>
      <c r="B47" s="18"/>
      <c r="C47" s="27">
        <f>+VLOOKUP($A47,datos9!$A$2:$BG$78,2,FALSE)</f>
        <v>107093</v>
      </c>
      <c r="D47" s="27">
        <f>+VLOOKUP($A47,datos9!$A$2:$BG$78,3,FALSE)</f>
        <v>870</v>
      </c>
      <c r="E47" s="27">
        <f>+VLOOKUP($A47,datos9!$A$2:$BG$78,4,FALSE)</f>
        <v>0</v>
      </c>
      <c r="F47" s="27">
        <f>+VLOOKUP($A47,datos9!$A$2:$BG$78,5,FALSE)</f>
        <v>365844</v>
      </c>
      <c r="G47" s="27">
        <f>+VLOOKUP($A47,datos9!$A$2:$BG$78,6,FALSE)</f>
        <v>0</v>
      </c>
      <c r="H47" s="27">
        <f>+VLOOKUP($A47,datos9!$A$2:$BG$78,7,FALSE)</f>
        <v>135633</v>
      </c>
      <c r="I47" s="27">
        <f>+VLOOKUP($A47,datos9!$A$2:$BG$78,8,FALSE)</f>
        <v>0</v>
      </c>
      <c r="J47" s="82">
        <f>+VLOOKUP($A47,datos9!$A$2:$BG$78,9,FALSE)</f>
        <v>43257</v>
      </c>
      <c r="K47" s="82">
        <f>+VLOOKUP($A47,datos9!$A$2:$BG$78,10,FALSE)</f>
        <v>210728</v>
      </c>
      <c r="L47" s="27">
        <f>+VLOOKUP($A47,datos9!$A$2:$BG$78,11,FALSE)</f>
        <v>162</v>
      </c>
      <c r="M47" s="19">
        <f t="shared" si="0"/>
        <v>863587</v>
      </c>
      <c r="O47" s="19">
        <f t="shared" si="1"/>
        <v>365844</v>
      </c>
    </row>
    <row r="48" spans="1:15" x14ac:dyDescent="0.2">
      <c r="A48" s="17" t="s">
        <v>91</v>
      </c>
      <c r="B48" s="18"/>
      <c r="C48" s="27">
        <f>+VLOOKUP($A48,datos9!$A$2:$BG$78,2,FALSE)</f>
        <v>92468</v>
      </c>
      <c r="D48" s="27">
        <f>+VLOOKUP($A48,datos9!$A$2:$BG$78,3,FALSE)</f>
        <v>452279</v>
      </c>
      <c r="E48" s="27">
        <f>+VLOOKUP($A48,datos9!$A$2:$BG$78,4,FALSE)</f>
        <v>0</v>
      </c>
      <c r="F48" s="27">
        <f>+VLOOKUP($A48,datos9!$A$2:$BG$78,5,FALSE)</f>
        <v>1011467</v>
      </c>
      <c r="G48" s="27">
        <f>+VLOOKUP($A48,datos9!$A$2:$BG$78,6,FALSE)</f>
        <v>0</v>
      </c>
      <c r="H48" s="27">
        <f>+VLOOKUP($A48,datos9!$A$2:$BG$78,7,FALSE)</f>
        <v>0</v>
      </c>
      <c r="I48" s="27">
        <f>+VLOOKUP($A48,datos9!$A$2:$BG$78,8,FALSE)</f>
        <v>0</v>
      </c>
      <c r="J48" s="82">
        <f>+VLOOKUP($A48,datos9!$A$2:$BG$78,9,FALSE)</f>
        <v>0</v>
      </c>
      <c r="K48" s="82">
        <f>+VLOOKUP($A48,datos9!$A$2:$BG$78,10,FALSE)</f>
        <v>6000</v>
      </c>
      <c r="L48" s="27">
        <f>+VLOOKUP($A48,datos9!$A$2:$BG$78,11,FALSE)</f>
        <v>14217</v>
      </c>
      <c r="M48" s="19">
        <f t="shared" si="0"/>
        <v>1576431</v>
      </c>
      <c r="O48" s="19">
        <f t="shared" si="1"/>
        <v>1011467</v>
      </c>
    </row>
    <row r="49" spans="1:15" x14ac:dyDescent="0.2">
      <c r="A49" s="17" t="s">
        <v>254</v>
      </c>
      <c r="B49" s="18"/>
      <c r="C49" s="27">
        <f>+VLOOKUP($A49,datos9!$A$2:$BG$78,2,FALSE)</f>
        <v>0</v>
      </c>
      <c r="D49" s="27">
        <f>+VLOOKUP($A49,datos9!$A$2:$BG$78,3,FALSE)</f>
        <v>0</v>
      </c>
      <c r="E49" s="27">
        <f>+VLOOKUP($A49,datos9!$A$2:$BG$78,4,FALSE)</f>
        <v>0</v>
      </c>
      <c r="F49" s="27">
        <f>+VLOOKUP($A49,datos9!$A$2:$BG$78,5,FALSE)</f>
        <v>0</v>
      </c>
      <c r="G49" s="27">
        <f>+VLOOKUP($A49,datos9!$A$2:$BG$78,6,FALSE)</f>
        <v>0</v>
      </c>
      <c r="H49" s="27">
        <f>+VLOOKUP($A49,datos9!$A$2:$BG$78,7,FALSE)</f>
        <v>0</v>
      </c>
      <c r="I49" s="27">
        <f>+VLOOKUP($A49,datos9!$A$2:$BG$78,8,FALSE)</f>
        <v>0</v>
      </c>
      <c r="J49" s="82">
        <f>+VLOOKUP($A49,datos9!$A$2:$BG$78,9,FALSE)</f>
        <v>0</v>
      </c>
      <c r="K49" s="82">
        <f>+VLOOKUP($A49,datos9!$A$2:$BG$78,10,FALSE)</f>
        <v>53031</v>
      </c>
      <c r="L49" s="27">
        <f>+VLOOKUP($A49,datos9!$A$2:$BG$78,11,FALSE)</f>
        <v>0</v>
      </c>
      <c r="M49" s="19">
        <f t="shared" si="0"/>
        <v>53031</v>
      </c>
      <c r="O49" s="19">
        <f t="shared" si="1"/>
        <v>0</v>
      </c>
    </row>
    <row r="50" spans="1:15" x14ac:dyDescent="0.2">
      <c r="A50" s="17" t="s">
        <v>92</v>
      </c>
      <c r="B50" s="18"/>
      <c r="C50" s="27">
        <f>+VLOOKUP($A50,datos9!$A$2:$BG$78,2,FALSE)</f>
        <v>0</v>
      </c>
      <c r="D50" s="27">
        <f>+VLOOKUP($A50,datos9!$A$2:$BG$78,3,FALSE)</f>
        <v>28140</v>
      </c>
      <c r="E50" s="27">
        <f>+VLOOKUP($A50,datos9!$A$2:$BG$78,4,FALSE)</f>
        <v>0</v>
      </c>
      <c r="F50" s="27">
        <f>+VLOOKUP($A50,datos9!$A$2:$BG$78,5,FALSE)</f>
        <v>514521</v>
      </c>
      <c r="G50" s="27">
        <f>+VLOOKUP($A50,datos9!$A$2:$BG$78,6,FALSE)</f>
        <v>0</v>
      </c>
      <c r="H50" s="27">
        <f>+VLOOKUP($A50,datos9!$A$2:$BG$78,7,FALSE)</f>
        <v>0</v>
      </c>
      <c r="I50" s="27">
        <f>+VLOOKUP($A50,datos9!$A$2:$BG$78,8,FALSE)</f>
        <v>0</v>
      </c>
      <c r="J50" s="82">
        <f>+VLOOKUP($A50,datos9!$A$2:$BG$78,9,FALSE)</f>
        <v>256002</v>
      </c>
      <c r="K50" s="82">
        <f>+VLOOKUP($A50,datos9!$A$2:$BG$78,10,FALSE)</f>
        <v>452814</v>
      </c>
      <c r="L50" s="27">
        <f>+VLOOKUP($A50,datos9!$A$2:$BG$78,11,FALSE)</f>
        <v>1618</v>
      </c>
      <c r="M50" s="19">
        <f t="shared" si="0"/>
        <v>1253095</v>
      </c>
      <c r="O50" s="19">
        <f t="shared" si="1"/>
        <v>514521</v>
      </c>
    </row>
    <row r="51" spans="1:15" x14ac:dyDescent="0.2">
      <c r="A51" s="17" t="s">
        <v>255</v>
      </c>
      <c r="B51" s="18"/>
      <c r="C51" s="27">
        <f>+VLOOKUP($A51,datos9!$A$2:$BG$78,2,FALSE)</f>
        <v>327328</v>
      </c>
      <c r="D51" s="27">
        <f>+VLOOKUP($A51,datos9!$A$2:$BG$78,3,FALSE)</f>
        <v>0</v>
      </c>
      <c r="E51" s="27">
        <f>+VLOOKUP($A51,datos9!$A$2:$BG$78,4,FALSE)</f>
        <v>0</v>
      </c>
      <c r="F51" s="27">
        <f>+VLOOKUP($A51,datos9!$A$2:$BG$78,5,FALSE)</f>
        <v>2647288</v>
      </c>
      <c r="G51" s="27">
        <f>+VLOOKUP($A51,datos9!$A$2:$BG$78,6,FALSE)</f>
        <v>0</v>
      </c>
      <c r="H51" s="27">
        <f>+VLOOKUP($A51,datos9!$A$2:$BG$78,7,FALSE)</f>
        <v>0</v>
      </c>
      <c r="I51" s="27">
        <f>+VLOOKUP($A51,datos9!$A$2:$BG$78,8,FALSE)</f>
        <v>0</v>
      </c>
      <c r="J51" s="82">
        <f>+VLOOKUP($A51,datos9!$A$2:$BG$78,9,FALSE)</f>
        <v>0</v>
      </c>
      <c r="K51" s="82">
        <f>+VLOOKUP($A51,datos9!$A$2:$BG$78,10,FALSE)</f>
        <v>2294702</v>
      </c>
      <c r="L51" s="27">
        <f>+VLOOKUP($A51,datos9!$A$2:$BG$78,11,FALSE)</f>
        <v>44607</v>
      </c>
      <c r="M51" s="19">
        <f t="shared" si="0"/>
        <v>5313925</v>
      </c>
      <c r="O51" s="19">
        <f t="shared" si="1"/>
        <v>2647288</v>
      </c>
    </row>
    <row r="52" spans="1:15" x14ac:dyDescent="0.2">
      <c r="A52" s="17" t="s">
        <v>256</v>
      </c>
      <c r="B52" s="18"/>
      <c r="C52" s="27">
        <f>+VLOOKUP($A52,datos9!$A$2:$BG$78,2,FALSE)</f>
        <v>0</v>
      </c>
      <c r="D52" s="27">
        <f>+VLOOKUP($A52,datos9!$A$2:$BG$78,3,FALSE)</f>
        <v>0</v>
      </c>
      <c r="E52" s="27">
        <f>+VLOOKUP($A52,datos9!$A$2:$BG$78,4,FALSE)</f>
        <v>0</v>
      </c>
      <c r="F52" s="27">
        <f>+VLOOKUP($A52,datos9!$A$2:$BG$78,5,FALSE)</f>
        <v>487240</v>
      </c>
      <c r="G52" s="27">
        <f>+VLOOKUP($A52,datos9!$A$2:$BG$78,6,FALSE)</f>
        <v>0</v>
      </c>
      <c r="H52" s="27">
        <f>+VLOOKUP($A52,datos9!$A$2:$BG$78,7,FALSE)</f>
        <v>56645</v>
      </c>
      <c r="I52" s="27">
        <f>+VLOOKUP($A52,datos9!$A$2:$BG$78,8,FALSE)</f>
        <v>0</v>
      </c>
      <c r="J52" s="82">
        <f>+VLOOKUP($A52,datos9!$A$2:$BG$78,9,FALSE)</f>
        <v>53806</v>
      </c>
      <c r="K52" s="82">
        <f>+VLOOKUP($A52,datos9!$A$2:$BG$78,10,FALSE)</f>
        <v>537224</v>
      </c>
      <c r="L52" s="27">
        <f>+VLOOKUP($A52,datos9!$A$2:$BG$78,11,FALSE)</f>
        <v>71</v>
      </c>
      <c r="M52" s="19">
        <f t="shared" si="0"/>
        <v>1134986</v>
      </c>
      <c r="O52" s="19">
        <f t="shared" si="1"/>
        <v>487240</v>
      </c>
    </row>
    <row r="53" spans="1:15" x14ac:dyDescent="0.2">
      <c r="A53" s="17" t="s">
        <v>257</v>
      </c>
      <c r="B53" s="18"/>
      <c r="C53" s="27">
        <f>+VLOOKUP($A53,datos9!$A$2:$BG$78,2,FALSE)</f>
        <v>0</v>
      </c>
      <c r="D53" s="27">
        <f>+VLOOKUP($A53,datos9!$A$2:$BG$78,3,FALSE)</f>
        <v>0</v>
      </c>
      <c r="E53" s="27">
        <f>+VLOOKUP($A53,datos9!$A$2:$BG$78,4,FALSE)</f>
        <v>0</v>
      </c>
      <c r="F53" s="27">
        <f>+VLOOKUP($A53,datos9!$A$2:$BG$78,5,FALSE)</f>
        <v>1484152</v>
      </c>
      <c r="G53" s="27">
        <f>+VLOOKUP($A53,datos9!$A$2:$BG$78,6,FALSE)</f>
        <v>769386</v>
      </c>
      <c r="H53" s="27">
        <f>+VLOOKUP($A53,datos9!$A$2:$BG$78,7,FALSE)</f>
        <v>0</v>
      </c>
      <c r="I53" s="27">
        <f>+VLOOKUP($A53,datos9!$A$2:$BG$78,8,FALSE)</f>
        <v>0</v>
      </c>
      <c r="J53" s="82">
        <f>+VLOOKUP($A53,datos9!$A$2:$BG$78,9,FALSE)</f>
        <v>28689</v>
      </c>
      <c r="K53" s="82">
        <f>+VLOOKUP($A53,datos9!$A$2:$BG$78,10,FALSE)</f>
        <v>24126</v>
      </c>
      <c r="L53" s="27">
        <f>+VLOOKUP($A53,datos9!$A$2:$BG$78,11,FALSE)</f>
        <v>935</v>
      </c>
      <c r="M53" s="19">
        <f t="shared" si="0"/>
        <v>2307288</v>
      </c>
      <c r="O53" s="19">
        <f t="shared" si="1"/>
        <v>2253538</v>
      </c>
    </row>
    <row r="54" spans="1:15" x14ac:dyDescent="0.2">
      <c r="A54" s="17" t="s">
        <v>93</v>
      </c>
      <c r="B54" s="18"/>
      <c r="C54" s="27">
        <f>+VLOOKUP($A54,datos9!$A$2:$BG$78,2,FALSE)</f>
        <v>0</v>
      </c>
      <c r="D54" s="27">
        <f>+VLOOKUP($A54,datos9!$A$2:$BG$78,3,FALSE)</f>
        <v>0</v>
      </c>
      <c r="E54" s="27">
        <f>+VLOOKUP($A54,datos9!$A$2:$BG$78,4,FALSE)</f>
        <v>0</v>
      </c>
      <c r="F54" s="27">
        <f>+VLOOKUP($A54,datos9!$A$2:$BG$78,5,FALSE)</f>
        <v>0</v>
      </c>
      <c r="G54" s="27">
        <f>+VLOOKUP($A54,datos9!$A$2:$BG$78,6,FALSE)</f>
        <v>0</v>
      </c>
      <c r="H54" s="27">
        <f>+VLOOKUP($A54,datos9!$A$2:$BG$78,7,FALSE)</f>
        <v>126459</v>
      </c>
      <c r="I54" s="27">
        <f>+VLOOKUP($A54,datos9!$A$2:$BG$78,8,FALSE)</f>
        <v>0</v>
      </c>
      <c r="J54" s="82">
        <f>+VLOOKUP($A54,datos9!$A$2:$BG$78,9,FALSE)</f>
        <v>206588</v>
      </c>
      <c r="K54" s="82">
        <f>+VLOOKUP($A54,datos9!$A$2:$BG$78,10,FALSE)</f>
        <v>876</v>
      </c>
      <c r="L54" s="27">
        <f>+VLOOKUP($A54,datos9!$A$2:$BG$78,11,FALSE)</f>
        <v>0</v>
      </c>
      <c r="M54" s="19">
        <f t="shared" si="0"/>
        <v>333923</v>
      </c>
      <c r="O54" s="19">
        <f t="shared" si="1"/>
        <v>0</v>
      </c>
    </row>
    <row r="55" spans="1:15" x14ac:dyDescent="0.2">
      <c r="A55" s="17" t="s">
        <v>94</v>
      </c>
      <c r="B55" s="18"/>
      <c r="C55" s="27">
        <f>+VLOOKUP($A55,datos9!$A$2:$BG$78,2,FALSE)</f>
        <v>0</v>
      </c>
      <c r="D55" s="27">
        <f>+VLOOKUP($A55,datos9!$A$2:$BG$78,3,FALSE)</f>
        <v>10224</v>
      </c>
      <c r="E55" s="27">
        <f>+VLOOKUP($A55,datos9!$A$2:$BG$78,4,FALSE)</f>
        <v>0</v>
      </c>
      <c r="F55" s="27">
        <f>+VLOOKUP($A55,datos9!$A$2:$BG$78,5,FALSE)</f>
        <v>2297988</v>
      </c>
      <c r="G55" s="27">
        <f>+VLOOKUP($A55,datos9!$A$2:$BG$78,6,FALSE)</f>
        <v>0</v>
      </c>
      <c r="H55" s="27">
        <f>+VLOOKUP($A55,datos9!$A$2:$BG$78,7,FALSE)</f>
        <v>54391</v>
      </c>
      <c r="I55" s="27">
        <f>+VLOOKUP($A55,datos9!$A$2:$BG$78,8,FALSE)</f>
        <v>0</v>
      </c>
      <c r="J55" s="82">
        <f>+VLOOKUP($A55,datos9!$A$2:$BG$78,9,FALSE)</f>
        <v>445962</v>
      </c>
      <c r="K55" s="82">
        <f>+VLOOKUP($A55,datos9!$A$2:$BG$78,10,FALSE)</f>
        <v>500948</v>
      </c>
      <c r="L55" s="27">
        <f>+VLOOKUP($A55,datos9!$A$2:$BG$78,11,FALSE)</f>
        <v>10364</v>
      </c>
      <c r="M55" s="19">
        <f t="shared" si="0"/>
        <v>3319877</v>
      </c>
      <c r="O55" s="19">
        <f t="shared" si="1"/>
        <v>2297988</v>
      </c>
    </row>
    <row r="56" spans="1:15" x14ac:dyDescent="0.2">
      <c r="A56" s="17" t="s">
        <v>95</v>
      </c>
      <c r="B56" s="18"/>
      <c r="C56" s="27">
        <f>+VLOOKUP($A56,datos9!$A$2:$BG$78,2,FALSE)</f>
        <v>0</v>
      </c>
      <c r="D56" s="27">
        <f>+VLOOKUP($A56,datos9!$A$2:$BG$78,3,FALSE)</f>
        <v>0</v>
      </c>
      <c r="E56" s="27">
        <f>+VLOOKUP($A56,datos9!$A$2:$BG$78,4,FALSE)</f>
        <v>0</v>
      </c>
      <c r="F56" s="27">
        <f>+VLOOKUP($A56,datos9!$A$2:$BG$78,5,FALSE)</f>
        <v>222760</v>
      </c>
      <c r="G56" s="27">
        <f>+VLOOKUP($A56,datos9!$A$2:$BG$78,6,FALSE)</f>
        <v>0</v>
      </c>
      <c r="H56" s="27">
        <f>+VLOOKUP($A56,datos9!$A$2:$BG$78,7,FALSE)</f>
        <v>673897</v>
      </c>
      <c r="I56" s="27">
        <f>+VLOOKUP($A56,datos9!$A$2:$BG$78,8,FALSE)</f>
        <v>0</v>
      </c>
      <c r="J56" s="82">
        <f>+VLOOKUP($A56,datos9!$A$2:$BG$78,9,FALSE)</f>
        <v>4274</v>
      </c>
      <c r="K56" s="82">
        <f>+VLOOKUP($A56,datos9!$A$2:$BG$78,10,FALSE)</f>
        <v>19176</v>
      </c>
      <c r="L56" s="27">
        <f>+VLOOKUP($A56,datos9!$A$2:$BG$78,11,FALSE)</f>
        <v>95281</v>
      </c>
      <c r="M56" s="19">
        <f t="shared" si="0"/>
        <v>1015388</v>
      </c>
      <c r="O56" s="19">
        <f t="shared" si="1"/>
        <v>222760</v>
      </c>
    </row>
    <row r="57" spans="1:15" x14ac:dyDescent="0.2">
      <c r="A57" s="17" t="s">
        <v>96</v>
      </c>
      <c r="B57" s="18"/>
      <c r="C57" s="27">
        <f>+VLOOKUP($A57,datos9!$A$2:$BG$78,2,FALSE)</f>
        <v>0</v>
      </c>
      <c r="D57" s="27">
        <f>+VLOOKUP($A57,datos9!$A$2:$BG$78,3,FALSE)</f>
        <v>0</v>
      </c>
      <c r="E57" s="27">
        <f>+VLOOKUP($A57,datos9!$A$2:$BG$78,4,FALSE)</f>
        <v>0</v>
      </c>
      <c r="F57" s="27">
        <f>+VLOOKUP($A57,datos9!$A$2:$BG$78,5,FALSE)</f>
        <v>1435621</v>
      </c>
      <c r="G57" s="27">
        <f>+VLOOKUP($A57,datos9!$A$2:$BG$78,6,FALSE)</f>
        <v>0</v>
      </c>
      <c r="H57" s="27">
        <f>+VLOOKUP($A57,datos9!$A$2:$BG$78,7,FALSE)</f>
        <v>799892</v>
      </c>
      <c r="I57" s="27">
        <f>+VLOOKUP($A57,datos9!$A$2:$BG$78,8,FALSE)</f>
        <v>0</v>
      </c>
      <c r="J57" s="82">
        <f>+VLOOKUP($A57,datos9!$A$2:$BG$78,9,FALSE)</f>
        <v>2481</v>
      </c>
      <c r="K57" s="82">
        <f>+VLOOKUP($A57,datos9!$A$2:$BG$78,10,FALSE)</f>
        <v>638823</v>
      </c>
      <c r="L57" s="27">
        <f>+VLOOKUP($A57,datos9!$A$2:$BG$78,11,FALSE)</f>
        <v>13629</v>
      </c>
      <c r="M57" s="19">
        <f t="shared" si="0"/>
        <v>2890446</v>
      </c>
      <c r="O57" s="19">
        <f t="shared" si="1"/>
        <v>1435621</v>
      </c>
    </row>
    <row r="58" spans="1:15" x14ac:dyDescent="0.2">
      <c r="A58" s="17" t="s">
        <v>97</v>
      </c>
      <c r="B58" s="18"/>
      <c r="C58" s="27">
        <f>+VLOOKUP($A58,datos9!$A$2:$BG$78,2,FALSE)</f>
        <v>0</v>
      </c>
      <c r="D58" s="27">
        <f>+VLOOKUP($A58,datos9!$A$2:$BG$78,3,FALSE)</f>
        <v>0</v>
      </c>
      <c r="E58" s="27">
        <f>+VLOOKUP($A58,datos9!$A$2:$BG$78,4,FALSE)</f>
        <v>0</v>
      </c>
      <c r="F58" s="27">
        <f>+VLOOKUP($A58,datos9!$A$2:$BG$78,5,FALSE)</f>
        <v>0</v>
      </c>
      <c r="G58" s="27">
        <f>+VLOOKUP($A58,datos9!$A$2:$BG$78,6,FALSE)</f>
        <v>0</v>
      </c>
      <c r="H58" s="27">
        <f>+VLOOKUP($A58,datos9!$A$2:$BG$78,7,FALSE)</f>
        <v>2002378</v>
      </c>
      <c r="I58" s="27">
        <f>+VLOOKUP($A58,datos9!$A$2:$BG$78,8,FALSE)</f>
        <v>0</v>
      </c>
      <c r="J58" s="82">
        <f>+VLOOKUP($A58,datos9!$A$2:$BG$78,9,FALSE)</f>
        <v>27822</v>
      </c>
      <c r="K58" s="82">
        <f>+VLOOKUP($A58,datos9!$A$2:$BG$78,10,FALSE)</f>
        <v>891</v>
      </c>
      <c r="L58" s="27">
        <f>+VLOOKUP($A58,datos9!$A$2:$BG$78,11,FALSE)</f>
        <v>529</v>
      </c>
      <c r="M58" s="19">
        <f t="shared" si="0"/>
        <v>2031620</v>
      </c>
      <c r="O58" s="19">
        <f t="shared" si="1"/>
        <v>0</v>
      </c>
    </row>
    <row r="59" spans="1:15" x14ac:dyDescent="0.2">
      <c r="A59" s="17" t="s">
        <v>98</v>
      </c>
      <c r="B59" s="18"/>
      <c r="C59" s="27">
        <f>+VLOOKUP($A59,datos9!$A$2:$BG$78,2,FALSE)</f>
        <v>24698</v>
      </c>
      <c r="D59" s="27">
        <f>+VLOOKUP($A59,datos9!$A$2:$BG$78,3,FALSE)</f>
        <v>0</v>
      </c>
      <c r="E59" s="27">
        <f>+VLOOKUP($A59,datos9!$A$2:$BG$78,4,FALSE)</f>
        <v>10822</v>
      </c>
      <c r="F59" s="27">
        <f>+VLOOKUP($A59,datos9!$A$2:$BG$78,5,FALSE)</f>
        <v>6102052</v>
      </c>
      <c r="G59" s="27">
        <f>+VLOOKUP($A59,datos9!$A$2:$BG$78,6,FALSE)</f>
        <v>0</v>
      </c>
      <c r="H59" s="27">
        <f>+VLOOKUP($A59,datos9!$A$2:$BG$78,7,FALSE)</f>
        <v>433000</v>
      </c>
      <c r="I59" s="27">
        <f>+VLOOKUP($A59,datos9!$A$2:$BG$78,8,FALSE)</f>
        <v>0</v>
      </c>
      <c r="J59" s="82">
        <f>+VLOOKUP($A59,datos9!$A$2:$BG$78,9,FALSE)</f>
        <v>9958684</v>
      </c>
      <c r="K59" s="82">
        <f>+VLOOKUP($A59,datos9!$A$2:$BG$78,10,FALSE)</f>
        <v>30621205</v>
      </c>
      <c r="L59" s="27">
        <f>+VLOOKUP($A59,datos9!$A$2:$BG$78,11,FALSE)</f>
        <v>470162</v>
      </c>
      <c r="M59" s="19">
        <f t="shared" si="0"/>
        <v>47620623</v>
      </c>
      <c r="O59" s="19">
        <f t="shared" si="1"/>
        <v>6102052</v>
      </c>
    </row>
    <row r="60" spans="1:15" x14ac:dyDescent="0.2">
      <c r="A60" s="17" t="s">
        <v>99</v>
      </c>
      <c r="B60" s="18"/>
      <c r="C60" s="27">
        <f>+VLOOKUP($A60,datos9!$A$2:$BG$78,2,FALSE)</f>
        <v>0</v>
      </c>
      <c r="D60" s="27">
        <f>+VLOOKUP($A60,datos9!$A$2:$BG$78,3,FALSE)</f>
        <v>0</v>
      </c>
      <c r="E60" s="27">
        <f>+VLOOKUP($A60,datos9!$A$2:$BG$78,4,FALSE)</f>
        <v>0</v>
      </c>
      <c r="F60" s="27">
        <f>+VLOOKUP($A60,datos9!$A$2:$BG$78,5,FALSE)</f>
        <v>7541187</v>
      </c>
      <c r="G60" s="27">
        <f>+VLOOKUP($A60,datos9!$A$2:$BG$78,6,FALSE)</f>
        <v>0</v>
      </c>
      <c r="H60" s="27">
        <f>+VLOOKUP($A60,datos9!$A$2:$BG$78,7,FALSE)</f>
        <v>0</v>
      </c>
      <c r="I60" s="27">
        <f>+VLOOKUP($A60,datos9!$A$2:$BG$78,8,FALSE)</f>
        <v>0</v>
      </c>
      <c r="J60" s="82">
        <f>+VLOOKUP($A60,datos9!$A$2:$BG$78,9,FALSE)</f>
        <v>0</v>
      </c>
      <c r="K60" s="82">
        <f>+VLOOKUP($A60,datos9!$A$2:$BG$78,10,FALSE)</f>
        <v>429336</v>
      </c>
      <c r="L60" s="27">
        <f>+VLOOKUP($A60,datos9!$A$2:$BG$78,11,FALSE)</f>
        <v>19256</v>
      </c>
      <c r="M60" s="19">
        <f t="shared" si="0"/>
        <v>7989779</v>
      </c>
      <c r="O60" s="19">
        <f t="shared" si="1"/>
        <v>7541187</v>
      </c>
    </row>
    <row r="61" spans="1:15" x14ac:dyDescent="0.2">
      <c r="A61" s="17" t="s">
        <v>100</v>
      </c>
      <c r="B61" s="18"/>
      <c r="C61" s="27">
        <f>+VLOOKUP($A61,datos9!$A$2:$BG$78,2,FALSE)</f>
        <v>0</v>
      </c>
      <c r="D61" s="27">
        <f>+VLOOKUP($A61,datos9!$A$2:$BG$78,3,FALSE)</f>
        <v>161945</v>
      </c>
      <c r="E61" s="27">
        <f>+VLOOKUP($A61,datos9!$A$2:$BG$78,4,FALSE)</f>
        <v>91210</v>
      </c>
      <c r="F61" s="27">
        <f>+VLOOKUP($A61,datos9!$A$2:$BG$78,5,FALSE)</f>
        <v>10230186</v>
      </c>
      <c r="G61" s="27">
        <f>+VLOOKUP($A61,datos9!$A$2:$BG$78,6,FALSE)</f>
        <v>0</v>
      </c>
      <c r="H61" s="27">
        <f>+VLOOKUP($A61,datos9!$A$2:$BG$78,7,FALSE)</f>
        <v>1186475</v>
      </c>
      <c r="I61" s="27">
        <f>+VLOOKUP($A61,datos9!$A$2:$BG$78,8,FALSE)</f>
        <v>0</v>
      </c>
      <c r="J61" s="82">
        <f>+VLOOKUP($A61,datos9!$A$2:$BG$78,9,FALSE)</f>
        <v>595182</v>
      </c>
      <c r="K61" s="82">
        <f>+VLOOKUP($A61,datos9!$A$2:$BG$78,10,FALSE)</f>
        <v>844607</v>
      </c>
      <c r="L61" s="27">
        <f>+VLOOKUP($A61,datos9!$A$2:$BG$78,11,FALSE)</f>
        <v>46453</v>
      </c>
      <c r="M61" s="19">
        <f t="shared" si="0"/>
        <v>13156058</v>
      </c>
      <c r="O61" s="19">
        <f t="shared" si="1"/>
        <v>10230186</v>
      </c>
    </row>
    <row r="62" spans="1:15" x14ac:dyDescent="0.2">
      <c r="A62" s="17" t="s">
        <v>258</v>
      </c>
      <c r="B62" s="18"/>
      <c r="C62" s="27">
        <f>+VLOOKUP($A62,datos9!$A$2:$BG$78,2,FALSE)</f>
        <v>15422</v>
      </c>
      <c r="D62" s="27">
        <f>+VLOOKUP($A62,datos9!$A$2:$BG$78,3,FALSE)</f>
        <v>0</v>
      </c>
      <c r="E62" s="27">
        <f>+VLOOKUP($A62,datos9!$A$2:$BG$78,4,FALSE)</f>
        <v>0</v>
      </c>
      <c r="F62" s="27">
        <f>+VLOOKUP($A62,datos9!$A$2:$BG$78,5,FALSE)</f>
        <v>752720</v>
      </c>
      <c r="G62" s="27">
        <f>+VLOOKUP($A62,datos9!$A$2:$BG$78,6,FALSE)</f>
        <v>0</v>
      </c>
      <c r="H62" s="27">
        <f>+VLOOKUP($A62,datos9!$A$2:$BG$78,7,FALSE)</f>
        <v>0</v>
      </c>
      <c r="I62" s="27">
        <f>+VLOOKUP($A62,datos9!$A$2:$BG$78,8,FALSE)</f>
        <v>0</v>
      </c>
      <c r="J62" s="82">
        <f>+VLOOKUP($A62,datos9!$A$2:$BG$78,9,FALSE)</f>
        <v>0</v>
      </c>
      <c r="K62" s="82">
        <f>+VLOOKUP($A62,datos9!$A$2:$BG$78,10,FALSE)</f>
        <v>1086152</v>
      </c>
      <c r="L62" s="27">
        <f>+VLOOKUP($A62,datos9!$A$2:$BG$78,11,FALSE)</f>
        <v>56940</v>
      </c>
      <c r="M62" s="19">
        <f t="shared" si="0"/>
        <v>1911234</v>
      </c>
      <c r="O62" s="19">
        <f t="shared" si="1"/>
        <v>752720</v>
      </c>
    </row>
    <row r="63" spans="1:15" x14ac:dyDescent="0.2">
      <c r="A63" s="17" t="s">
        <v>101</v>
      </c>
      <c r="B63" s="18"/>
      <c r="C63" s="27">
        <f>+VLOOKUP($A63,datos9!$A$2:$BG$78,2,FALSE)</f>
        <v>0</v>
      </c>
      <c r="D63" s="27">
        <f>+VLOOKUP($A63,datos9!$A$2:$BG$78,3,FALSE)</f>
        <v>0</v>
      </c>
      <c r="E63" s="27">
        <f>+VLOOKUP($A63,datos9!$A$2:$BG$78,4,FALSE)</f>
        <v>0</v>
      </c>
      <c r="F63" s="27">
        <f>+VLOOKUP($A63,datos9!$A$2:$BG$78,5,FALSE)</f>
        <v>4740784</v>
      </c>
      <c r="G63" s="27">
        <f>+VLOOKUP($A63,datos9!$A$2:$BG$78,6,FALSE)</f>
        <v>171200</v>
      </c>
      <c r="H63" s="27">
        <f>+VLOOKUP($A63,datos9!$A$2:$BG$78,7,FALSE)</f>
        <v>37215</v>
      </c>
      <c r="I63" s="27">
        <f>+VLOOKUP($A63,datos9!$A$2:$BG$78,8,FALSE)</f>
        <v>0</v>
      </c>
      <c r="J63" s="82">
        <f>+VLOOKUP($A63,datos9!$A$2:$BG$78,9,FALSE)</f>
        <v>0</v>
      </c>
      <c r="K63" s="82">
        <f>+VLOOKUP($A63,datos9!$A$2:$BG$78,10,FALSE)</f>
        <v>138123</v>
      </c>
      <c r="L63" s="27">
        <f>+VLOOKUP($A63,datos9!$A$2:$BG$78,11,FALSE)</f>
        <v>0</v>
      </c>
      <c r="M63" s="19">
        <f t="shared" si="0"/>
        <v>5087322</v>
      </c>
      <c r="O63" s="19">
        <f t="shared" si="1"/>
        <v>4911984</v>
      </c>
    </row>
    <row r="64" spans="1:15" x14ac:dyDescent="0.2">
      <c r="A64" s="17" t="s">
        <v>102</v>
      </c>
      <c r="B64" s="18"/>
      <c r="C64" s="27">
        <f>+VLOOKUP($A64,datos9!$A$2:$BG$78,2,FALSE)</f>
        <v>0</v>
      </c>
      <c r="D64" s="27">
        <f>+VLOOKUP($A64,datos9!$A$2:$BG$78,3,FALSE)</f>
        <v>0</v>
      </c>
      <c r="E64" s="27">
        <f>+VLOOKUP($A64,datos9!$A$2:$BG$78,4,FALSE)</f>
        <v>0</v>
      </c>
      <c r="F64" s="27">
        <f>+VLOOKUP($A64,datos9!$A$2:$BG$78,5,FALSE)</f>
        <v>1389476</v>
      </c>
      <c r="G64" s="27">
        <f>+VLOOKUP($A64,datos9!$A$2:$BG$78,6,FALSE)</f>
        <v>0</v>
      </c>
      <c r="H64" s="27">
        <f>+VLOOKUP($A64,datos9!$A$2:$BG$78,7,FALSE)</f>
        <v>223277</v>
      </c>
      <c r="I64" s="27">
        <f>+VLOOKUP($A64,datos9!$A$2:$BG$78,8,FALSE)</f>
        <v>0</v>
      </c>
      <c r="J64" s="82">
        <f>+VLOOKUP($A64,datos9!$A$2:$BG$78,9,FALSE)</f>
        <v>0</v>
      </c>
      <c r="K64" s="82">
        <f>+VLOOKUP($A64,datos9!$A$2:$BG$78,10,FALSE)</f>
        <v>33374</v>
      </c>
      <c r="L64" s="27">
        <f>+VLOOKUP($A64,datos9!$A$2:$BG$78,11,FALSE)</f>
        <v>491</v>
      </c>
      <c r="M64" s="19">
        <f t="shared" si="0"/>
        <v>1646618</v>
      </c>
      <c r="O64" s="19">
        <f t="shared" si="1"/>
        <v>1389476</v>
      </c>
    </row>
    <row r="65" spans="1:15" x14ac:dyDescent="0.2">
      <c r="A65" s="17" t="s">
        <v>103</v>
      </c>
      <c r="B65" s="18"/>
      <c r="C65" s="27">
        <f>+VLOOKUP($A65,datos9!$A$2:$BG$78,2,FALSE)</f>
        <v>360</v>
      </c>
      <c r="D65" s="27">
        <f>+VLOOKUP($A65,datos9!$A$2:$BG$78,3,FALSE)</f>
        <v>10613</v>
      </c>
      <c r="E65" s="27">
        <f>+VLOOKUP($A65,datos9!$A$2:$BG$78,4,FALSE)</f>
        <v>0</v>
      </c>
      <c r="F65" s="27">
        <f>+VLOOKUP($A65,datos9!$A$2:$BG$78,5,FALSE)</f>
        <v>3583156</v>
      </c>
      <c r="G65" s="27">
        <f>+VLOOKUP($A65,datos9!$A$2:$BG$78,6,FALSE)</f>
        <v>0</v>
      </c>
      <c r="H65" s="27">
        <f>+VLOOKUP($A65,datos9!$A$2:$BG$78,7,FALSE)</f>
        <v>94755</v>
      </c>
      <c r="I65" s="27">
        <f>+VLOOKUP($A65,datos9!$A$2:$BG$78,8,FALSE)</f>
        <v>0</v>
      </c>
      <c r="J65" s="82">
        <f>+VLOOKUP($A65,datos9!$A$2:$BG$78,9,FALSE)</f>
        <v>147866</v>
      </c>
      <c r="K65" s="82">
        <f>+VLOOKUP($A65,datos9!$A$2:$BG$78,10,FALSE)</f>
        <v>0</v>
      </c>
      <c r="L65" s="27">
        <f>+VLOOKUP($A65,datos9!$A$2:$BG$78,11,FALSE)</f>
        <v>3797</v>
      </c>
      <c r="M65" s="19">
        <f t="shared" si="0"/>
        <v>3840547</v>
      </c>
      <c r="O65" s="19">
        <f t="shared" si="1"/>
        <v>3583156</v>
      </c>
    </row>
    <row r="66" spans="1:15" x14ac:dyDescent="0.2">
      <c r="A66" s="17" t="s">
        <v>104</v>
      </c>
      <c r="B66" s="18"/>
      <c r="C66" s="27">
        <f>+VLOOKUP($A66,datos9!$A$2:$BG$78,2,FALSE)</f>
        <v>0</v>
      </c>
      <c r="D66" s="27">
        <f>+VLOOKUP($A66,datos9!$A$2:$BG$78,3,FALSE)</f>
        <v>1720</v>
      </c>
      <c r="E66" s="27">
        <f>+VLOOKUP($A66,datos9!$A$2:$BG$78,4,FALSE)</f>
        <v>0</v>
      </c>
      <c r="F66" s="27">
        <f>+VLOOKUP($A66,datos9!$A$2:$BG$78,5,FALSE)</f>
        <v>0</v>
      </c>
      <c r="G66" s="27">
        <f>+VLOOKUP($A66,datos9!$A$2:$BG$78,6,FALSE)</f>
        <v>0</v>
      </c>
      <c r="H66" s="27">
        <f>+VLOOKUP($A66,datos9!$A$2:$BG$78,7,FALSE)</f>
        <v>0</v>
      </c>
      <c r="I66" s="27">
        <f>+VLOOKUP($A66,datos9!$A$2:$BG$78,8,FALSE)</f>
        <v>0</v>
      </c>
      <c r="J66" s="82">
        <f>+VLOOKUP($A66,datos9!$A$2:$BG$78,9,FALSE)</f>
        <v>34731</v>
      </c>
      <c r="K66" s="82">
        <f>+VLOOKUP($A66,datos9!$A$2:$BG$78,10,FALSE)</f>
        <v>150913</v>
      </c>
      <c r="L66" s="27">
        <f>+VLOOKUP($A66,datos9!$A$2:$BG$78,11,FALSE)</f>
        <v>218</v>
      </c>
      <c r="M66" s="19">
        <f t="shared" si="0"/>
        <v>187582</v>
      </c>
      <c r="O66" s="19">
        <f t="shared" si="1"/>
        <v>0</v>
      </c>
    </row>
    <row r="67" spans="1:15" x14ac:dyDescent="0.2">
      <c r="A67" s="17" t="s">
        <v>105</v>
      </c>
      <c r="B67" s="18"/>
      <c r="C67" s="27">
        <f>+VLOOKUP($A67,datos9!$A$2:$BG$78,2,FALSE)</f>
        <v>0</v>
      </c>
      <c r="D67" s="27">
        <f>+VLOOKUP($A67,datos9!$A$2:$BG$78,3,FALSE)</f>
        <v>38519</v>
      </c>
      <c r="E67" s="27">
        <f>+VLOOKUP($A67,datos9!$A$2:$BG$78,4,FALSE)</f>
        <v>0</v>
      </c>
      <c r="F67" s="27">
        <f>+VLOOKUP($A67,datos9!$A$2:$BG$78,5,FALSE)</f>
        <v>2664624</v>
      </c>
      <c r="G67" s="27">
        <f>+VLOOKUP($A67,datos9!$A$2:$BG$78,6,FALSE)</f>
        <v>0</v>
      </c>
      <c r="H67" s="27">
        <f>+VLOOKUP($A67,datos9!$A$2:$BG$78,7,FALSE)</f>
        <v>316883</v>
      </c>
      <c r="I67" s="27">
        <f>+VLOOKUP($A67,datos9!$A$2:$BG$78,8,FALSE)</f>
        <v>0</v>
      </c>
      <c r="J67" s="82">
        <f>+VLOOKUP($A67,datos9!$A$2:$BG$78,9,FALSE)</f>
        <v>168786</v>
      </c>
      <c r="K67" s="82">
        <f>+VLOOKUP($A67,datos9!$A$2:$BG$78,10,FALSE)</f>
        <v>6270</v>
      </c>
      <c r="L67" s="27">
        <f>+VLOOKUP($A67,datos9!$A$2:$BG$78,11,FALSE)</f>
        <v>78225</v>
      </c>
      <c r="M67" s="19">
        <f t="shared" si="0"/>
        <v>3273307</v>
      </c>
      <c r="O67" s="19">
        <f t="shared" si="1"/>
        <v>2664624</v>
      </c>
    </row>
    <row r="68" spans="1:15" x14ac:dyDescent="0.2">
      <c r="A68" s="17" t="s">
        <v>106</v>
      </c>
      <c r="B68" s="18"/>
      <c r="C68" s="27">
        <f>+VLOOKUP($A68,datos9!$A$2:$BG$78,2,FALSE)</f>
        <v>153518</v>
      </c>
      <c r="D68" s="27">
        <f>+VLOOKUP($A68,datos9!$A$2:$BG$78,3,FALSE)</f>
        <v>6376073</v>
      </c>
      <c r="E68" s="27">
        <f>+VLOOKUP($A68,datos9!$A$2:$BG$78,4,FALSE)</f>
        <v>0</v>
      </c>
      <c r="F68" s="27">
        <f>+VLOOKUP($A68,datos9!$A$2:$BG$78,5,FALSE)</f>
        <v>36769168</v>
      </c>
      <c r="G68" s="27">
        <f>+VLOOKUP($A68,datos9!$A$2:$BG$78,6,FALSE)</f>
        <v>0</v>
      </c>
      <c r="H68" s="27">
        <f>+VLOOKUP($A68,datos9!$A$2:$BG$78,7,FALSE)</f>
        <v>13718186</v>
      </c>
      <c r="I68" s="27">
        <f>+VLOOKUP($A68,datos9!$A$2:$BG$78,8,FALSE)</f>
        <v>0</v>
      </c>
      <c r="J68" s="82">
        <f>+VLOOKUP($A68,datos9!$A$2:$BG$78,9,FALSE)</f>
        <v>37364164</v>
      </c>
      <c r="K68" s="82">
        <f>+VLOOKUP($A68,datos9!$A$2:$BG$78,10,FALSE)</f>
        <v>1367796</v>
      </c>
      <c r="L68" s="27">
        <f>+VLOOKUP($A68,datos9!$A$2:$BG$78,11,FALSE)</f>
        <v>6266528</v>
      </c>
      <c r="M68" s="19">
        <f t="shared" si="0"/>
        <v>102015433</v>
      </c>
      <c r="O68" s="19">
        <f t="shared" si="1"/>
        <v>36769168</v>
      </c>
    </row>
    <row r="69" spans="1:15" x14ac:dyDescent="0.2">
      <c r="A69" s="17" t="s">
        <v>107</v>
      </c>
      <c r="B69" s="18"/>
      <c r="C69" s="27">
        <f>+VLOOKUP($A69,datos9!$A$2:$BG$78,2,FALSE)</f>
        <v>0</v>
      </c>
      <c r="D69" s="27">
        <f>+VLOOKUP($A69,datos9!$A$2:$BG$78,3,FALSE)</f>
        <v>21086</v>
      </c>
      <c r="E69" s="27">
        <f>+VLOOKUP($A69,datos9!$A$2:$BG$78,4,FALSE)</f>
        <v>0</v>
      </c>
      <c r="F69" s="27">
        <f>+VLOOKUP($A69,datos9!$A$2:$BG$78,5,FALSE)</f>
        <v>756897</v>
      </c>
      <c r="G69" s="27">
        <f>+VLOOKUP($A69,datos9!$A$2:$BG$78,6,FALSE)</f>
        <v>0</v>
      </c>
      <c r="H69" s="27">
        <f>+VLOOKUP($A69,datos9!$A$2:$BG$78,7,FALSE)</f>
        <v>0</v>
      </c>
      <c r="I69" s="27">
        <f>+VLOOKUP($A69,datos9!$A$2:$BG$78,8,FALSE)</f>
        <v>0</v>
      </c>
      <c r="J69" s="82">
        <f>+VLOOKUP($A69,datos9!$A$2:$BG$78,9,FALSE)</f>
        <v>6262</v>
      </c>
      <c r="K69" s="82">
        <f>+VLOOKUP($A69,datos9!$A$2:$BG$78,10,FALSE)</f>
        <v>0</v>
      </c>
      <c r="L69" s="27">
        <f>+VLOOKUP($A69,datos9!$A$2:$BG$78,11,FALSE)</f>
        <v>173</v>
      </c>
      <c r="M69" s="19">
        <f t="shared" si="0"/>
        <v>784418</v>
      </c>
      <c r="O69" s="19">
        <f t="shared" si="1"/>
        <v>756897</v>
      </c>
    </row>
    <row r="70" spans="1:15" x14ac:dyDescent="0.2">
      <c r="A70" s="17" t="s">
        <v>259</v>
      </c>
      <c r="B70" s="18"/>
      <c r="C70" s="27">
        <f>+VLOOKUP($A70,datos9!$A$2:$BG$78,2,FALSE)</f>
        <v>0</v>
      </c>
      <c r="D70" s="27">
        <f>+VLOOKUP($A70,datos9!$A$2:$BG$78,3,FALSE)</f>
        <v>0</v>
      </c>
      <c r="E70" s="27">
        <f>+VLOOKUP($A70,datos9!$A$2:$BG$78,4,FALSE)</f>
        <v>0</v>
      </c>
      <c r="F70" s="27">
        <f>+VLOOKUP($A70,datos9!$A$2:$BG$78,5,FALSE)</f>
        <v>4775924</v>
      </c>
      <c r="G70" s="27">
        <f>+VLOOKUP($A70,datos9!$A$2:$BG$78,6,FALSE)</f>
        <v>0</v>
      </c>
      <c r="H70" s="27">
        <f>+VLOOKUP($A70,datos9!$A$2:$BG$78,7,FALSE)</f>
        <v>0</v>
      </c>
      <c r="I70" s="27">
        <f>+VLOOKUP($A70,datos9!$A$2:$BG$78,8,FALSE)</f>
        <v>0</v>
      </c>
      <c r="J70" s="82">
        <f>+VLOOKUP($A70,datos9!$A$2:$BG$78,9,FALSE)</f>
        <v>13353150</v>
      </c>
      <c r="K70" s="82">
        <f>+VLOOKUP($A70,datos9!$A$2:$BG$78,10,FALSE)</f>
        <v>0</v>
      </c>
      <c r="L70" s="27">
        <f>+VLOOKUP($A70,datos9!$A$2:$BG$78,11,FALSE)</f>
        <v>4941</v>
      </c>
      <c r="M70" s="19">
        <f t="shared" si="0"/>
        <v>18134015</v>
      </c>
      <c r="O70" s="19">
        <f t="shared" si="1"/>
        <v>4775924</v>
      </c>
    </row>
    <row r="71" spans="1:15" x14ac:dyDescent="0.2">
      <c r="A71" s="17" t="s">
        <v>108</v>
      </c>
      <c r="B71" s="18"/>
      <c r="C71" s="27">
        <f>+VLOOKUP($A71,datos9!$A$2:$BG$78,2,FALSE)</f>
        <v>0</v>
      </c>
      <c r="D71" s="27">
        <f>+VLOOKUP($A71,datos9!$A$2:$BG$78,3,FALSE)</f>
        <v>99339</v>
      </c>
      <c r="E71" s="27">
        <f>+VLOOKUP($A71,datos9!$A$2:$BG$78,4,FALSE)</f>
        <v>0</v>
      </c>
      <c r="F71" s="27">
        <f>+VLOOKUP($A71,datos9!$A$2:$BG$78,5,FALSE)</f>
        <v>497637</v>
      </c>
      <c r="G71" s="27">
        <f>+VLOOKUP($A71,datos9!$A$2:$BG$78,6,FALSE)</f>
        <v>0</v>
      </c>
      <c r="H71" s="27">
        <f>+VLOOKUP($A71,datos9!$A$2:$BG$78,7,FALSE)</f>
        <v>269314</v>
      </c>
      <c r="I71" s="27">
        <f>+VLOOKUP($A71,datos9!$A$2:$BG$78,8,FALSE)</f>
        <v>0</v>
      </c>
      <c r="J71" s="82">
        <f>+VLOOKUP($A71,datos9!$A$2:$BG$78,9,FALSE)</f>
        <v>55713</v>
      </c>
      <c r="K71" s="82">
        <f>+VLOOKUP($A71,datos9!$A$2:$BG$78,10,FALSE)</f>
        <v>67744</v>
      </c>
      <c r="L71" s="27">
        <f>+VLOOKUP($A71,datos9!$A$2:$BG$78,11,FALSE)</f>
        <v>11985</v>
      </c>
      <c r="M71" s="19">
        <f t="shared" si="0"/>
        <v>1001732</v>
      </c>
      <c r="O71" s="19">
        <f t="shared" si="1"/>
        <v>497637</v>
      </c>
    </row>
    <row r="72" spans="1:15" x14ac:dyDescent="0.2">
      <c r="A72" s="17" t="s">
        <v>109</v>
      </c>
      <c r="B72" s="18"/>
      <c r="C72" s="27">
        <f>+VLOOKUP($A72,datos9!$A$2:$BG$78,2,FALSE)</f>
        <v>0</v>
      </c>
      <c r="D72" s="27">
        <f>+VLOOKUP($A72,datos9!$A$2:$BG$78,3,FALSE)</f>
        <v>101853</v>
      </c>
      <c r="E72" s="27">
        <f>+VLOOKUP($A72,datos9!$A$2:$BG$78,4,FALSE)</f>
        <v>0</v>
      </c>
      <c r="F72" s="27">
        <f>+VLOOKUP($A72,datos9!$A$2:$BG$78,5,FALSE)</f>
        <v>458439</v>
      </c>
      <c r="G72" s="27">
        <f>+VLOOKUP($A72,datos9!$A$2:$BG$78,6,FALSE)</f>
        <v>0</v>
      </c>
      <c r="H72" s="27">
        <f>+VLOOKUP($A72,datos9!$A$2:$BG$78,7,FALSE)</f>
        <v>1766203</v>
      </c>
      <c r="I72" s="27">
        <f>+VLOOKUP($A72,datos9!$A$2:$BG$78,8,FALSE)</f>
        <v>0</v>
      </c>
      <c r="J72" s="82">
        <f>+VLOOKUP($A72,datos9!$A$2:$BG$78,9,FALSE)</f>
        <v>185387</v>
      </c>
      <c r="K72" s="82">
        <f>+VLOOKUP($A72,datos9!$A$2:$BG$78,10,FALSE)</f>
        <v>325673</v>
      </c>
      <c r="L72" s="27">
        <f>+VLOOKUP($A72,datos9!$A$2:$BG$78,11,FALSE)</f>
        <v>68779</v>
      </c>
      <c r="M72" s="19">
        <f t="shared" ref="M72:M80" si="2">SUM(C72:L72)</f>
        <v>2906334</v>
      </c>
      <c r="O72" s="19">
        <f t="shared" ref="O72:O80" si="3">F72+G72</f>
        <v>458439</v>
      </c>
    </row>
    <row r="73" spans="1:15" x14ac:dyDescent="0.2">
      <c r="A73" s="17" t="s">
        <v>110</v>
      </c>
      <c r="B73" s="18"/>
      <c r="C73" s="27">
        <f>+VLOOKUP($A73,datos9!$A$2:$BG$78,2,FALSE)</f>
        <v>0</v>
      </c>
      <c r="D73" s="27">
        <f>+VLOOKUP($A73,datos9!$A$2:$BG$78,3,FALSE)</f>
        <v>0</v>
      </c>
      <c r="E73" s="27">
        <f>+VLOOKUP($A73,datos9!$A$2:$BG$78,4,FALSE)</f>
        <v>0</v>
      </c>
      <c r="F73" s="27">
        <f>+VLOOKUP($A73,datos9!$A$2:$BG$78,5,FALSE)</f>
        <v>1155966</v>
      </c>
      <c r="G73" s="27">
        <f>+VLOOKUP($A73,datos9!$A$2:$BG$78,6,FALSE)</f>
        <v>0</v>
      </c>
      <c r="H73" s="27">
        <f>+VLOOKUP($A73,datos9!$A$2:$BG$78,7,FALSE)</f>
        <v>0</v>
      </c>
      <c r="I73" s="27">
        <f>+VLOOKUP($A73,datos9!$A$2:$BG$78,8,FALSE)</f>
        <v>0</v>
      </c>
      <c r="J73" s="82">
        <f>+VLOOKUP($A73,datos9!$A$2:$BG$78,9,FALSE)</f>
        <v>5735</v>
      </c>
      <c r="K73" s="82">
        <f>+VLOOKUP($A73,datos9!$A$2:$BG$78,10,FALSE)</f>
        <v>0</v>
      </c>
      <c r="L73" s="27">
        <f>+VLOOKUP($A73,datos9!$A$2:$BG$78,11,FALSE)</f>
        <v>1439</v>
      </c>
      <c r="M73" s="19">
        <f t="shared" si="2"/>
        <v>1163140</v>
      </c>
      <c r="O73" s="19">
        <f t="shared" si="3"/>
        <v>1155966</v>
      </c>
    </row>
    <row r="74" spans="1:15" x14ac:dyDescent="0.2">
      <c r="A74" s="17" t="s">
        <v>260</v>
      </c>
      <c r="B74" s="18"/>
      <c r="C74" s="27">
        <f>+VLOOKUP($A74,datos9!$A$2:$BG$78,2,FALSE)</f>
        <v>9600</v>
      </c>
      <c r="D74" s="27">
        <f>+VLOOKUP($A74,datos9!$A$2:$BG$78,3,FALSE)</f>
        <v>1363</v>
      </c>
      <c r="E74" s="27">
        <f>+VLOOKUP($A74,datos9!$A$2:$BG$78,4,FALSE)</f>
        <v>0</v>
      </c>
      <c r="F74" s="27">
        <f>+VLOOKUP($A74,datos9!$A$2:$BG$78,5,FALSE)</f>
        <v>0</v>
      </c>
      <c r="G74" s="27">
        <f>+VLOOKUP($A74,datos9!$A$2:$BG$78,6,FALSE)</f>
        <v>0</v>
      </c>
      <c r="H74" s="27">
        <f>+VLOOKUP($A74,datos9!$A$2:$BG$78,7,FALSE)</f>
        <v>0</v>
      </c>
      <c r="I74" s="27">
        <f>+VLOOKUP($A74,datos9!$A$2:$BG$78,8,FALSE)</f>
        <v>0</v>
      </c>
      <c r="J74" s="82">
        <f>+VLOOKUP($A74,datos9!$A$2:$BG$78,9,FALSE)</f>
        <v>81460</v>
      </c>
      <c r="K74" s="82">
        <f>+VLOOKUP($A74,datos9!$A$2:$BG$78,10,FALSE)</f>
        <v>120103</v>
      </c>
      <c r="L74" s="27">
        <f>+VLOOKUP($A74,datos9!$A$2:$BG$78,11,FALSE)</f>
        <v>0</v>
      </c>
      <c r="M74" s="19">
        <f t="shared" si="2"/>
        <v>212526</v>
      </c>
      <c r="O74" s="19">
        <f t="shared" si="3"/>
        <v>0</v>
      </c>
    </row>
    <row r="75" spans="1:15" x14ac:dyDescent="0.2">
      <c r="A75" s="17" t="s">
        <v>261</v>
      </c>
      <c r="B75" s="18"/>
      <c r="C75" s="27">
        <f>+VLOOKUP($A75,datos9!$A$2:$BG$78,2,FALSE)</f>
        <v>827</v>
      </c>
      <c r="D75" s="27">
        <f>+VLOOKUP($A75,datos9!$A$2:$BG$78,3,FALSE)</f>
        <v>3615</v>
      </c>
      <c r="E75" s="27">
        <f>+VLOOKUP($A75,datos9!$A$2:$BG$78,4,FALSE)</f>
        <v>0</v>
      </c>
      <c r="F75" s="27">
        <f>+VLOOKUP($A75,datos9!$A$2:$BG$78,5,FALSE)</f>
        <v>1003904</v>
      </c>
      <c r="G75" s="27">
        <f>+VLOOKUP($A75,datos9!$A$2:$BG$78,6,FALSE)</f>
        <v>0</v>
      </c>
      <c r="H75" s="27">
        <f>+VLOOKUP($A75,datos9!$A$2:$BG$78,7,FALSE)</f>
        <v>40572</v>
      </c>
      <c r="I75" s="27">
        <f>+VLOOKUP($A75,datos9!$A$2:$BG$78,8,FALSE)</f>
        <v>0</v>
      </c>
      <c r="J75" s="82">
        <f>+VLOOKUP($A75,datos9!$A$2:$BG$78,9,FALSE)</f>
        <v>10015</v>
      </c>
      <c r="K75" s="82">
        <f>+VLOOKUP($A75,datos9!$A$2:$BG$78,10,FALSE)</f>
        <v>11248</v>
      </c>
      <c r="L75" s="27">
        <f>+VLOOKUP($A75,datos9!$A$2:$BG$78,11,FALSE)</f>
        <v>0</v>
      </c>
      <c r="M75" s="19">
        <f t="shared" si="2"/>
        <v>1070181</v>
      </c>
      <c r="O75" s="19">
        <f t="shared" si="3"/>
        <v>1003904</v>
      </c>
    </row>
    <row r="76" spans="1:15" x14ac:dyDescent="0.2">
      <c r="A76" s="17" t="s">
        <v>111</v>
      </c>
      <c r="B76" s="18"/>
      <c r="C76" s="27">
        <f>+VLOOKUP($A76,datos9!$A$2:$BG$78,2,FALSE)</f>
        <v>0</v>
      </c>
      <c r="D76" s="27">
        <f>+VLOOKUP($A76,datos9!$A$2:$BG$78,3,FALSE)</f>
        <v>0</v>
      </c>
      <c r="E76" s="27">
        <f>+VLOOKUP($A76,datos9!$A$2:$BG$78,4,FALSE)</f>
        <v>35024</v>
      </c>
      <c r="F76" s="27">
        <f>+VLOOKUP($A76,datos9!$A$2:$BG$78,5,FALSE)</f>
        <v>10928225</v>
      </c>
      <c r="G76" s="27">
        <f>+VLOOKUP($A76,datos9!$A$2:$BG$78,6,FALSE)</f>
        <v>0</v>
      </c>
      <c r="H76" s="27">
        <f>+VLOOKUP($A76,datos9!$A$2:$BG$78,7,FALSE)</f>
        <v>2301523</v>
      </c>
      <c r="I76" s="27">
        <f>+VLOOKUP($A76,datos9!$A$2:$BG$78,8,FALSE)</f>
        <v>0</v>
      </c>
      <c r="J76" s="82">
        <f>+VLOOKUP($A76,datos9!$A$2:$BG$78,9,FALSE)</f>
        <v>13327783</v>
      </c>
      <c r="K76" s="82">
        <f>+VLOOKUP($A76,datos9!$A$2:$BG$78,10,FALSE)</f>
        <v>3923082</v>
      </c>
      <c r="L76" s="27">
        <f>+VLOOKUP($A76,datos9!$A$2:$BG$78,11,FALSE)</f>
        <v>51862</v>
      </c>
      <c r="M76" s="19">
        <f t="shared" si="2"/>
        <v>30567499</v>
      </c>
      <c r="O76" s="19">
        <f t="shared" si="3"/>
        <v>10928225</v>
      </c>
    </row>
    <row r="77" spans="1:15" x14ac:dyDescent="0.2">
      <c r="A77" s="17" t="s">
        <v>112</v>
      </c>
      <c r="B77" s="18"/>
      <c r="C77" s="27">
        <f>+VLOOKUP($A77,datos9!$A$2:$BG$78,2,FALSE)</f>
        <v>0</v>
      </c>
      <c r="D77" s="27">
        <f>+VLOOKUP($A77,datos9!$A$2:$BG$78,3,FALSE)</f>
        <v>1124</v>
      </c>
      <c r="E77" s="27">
        <f>+VLOOKUP($A77,datos9!$A$2:$BG$78,4,FALSE)</f>
        <v>0</v>
      </c>
      <c r="F77" s="27">
        <f>+VLOOKUP($A77,datos9!$A$2:$BG$78,5,FALSE)</f>
        <v>393432</v>
      </c>
      <c r="G77" s="27">
        <f>+VLOOKUP($A77,datos9!$A$2:$BG$78,6,FALSE)</f>
        <v>0</v>
      </c>
      <c r="H77" s="27">
        <f>+VLOOKUP($A77,datos9!$A$2:$BG$78,7,FALSE)</f>
        <v>142046</v>
      </c>
      <c r="I77" s="27">
        <f>+VLOOKUP($A77,datos9!$A$2:$BG$78,8,FALSE)</f>
        <v>0</v>
      </c>
      <c r="J77" s="82">
        <f>+VLOOKUP($A77,datos9!$A$2:$BG$78,9,FALSE)</f>
        <v>437129</v>
      </c>
      <c r="K77" s="82">
        <f>+VLOOKUP($A77,datos9!$A$2:$BG$78,10,FALSE)</f>
        <v>707788</v>
      </c>
      <c r="L77" s="27">
        <f>+VLOOKUP($A77,datos9!$A$2:$BG$78,11,FALSE)</f>
        <v>18157</v>
      </c>
      <c r="M77" s="19">
        <f t="shared" si="2"/>
        <v>1699676</v>
      </c>
      <c r="O77" s="19">
        <f t="shared" si="3"/>
        <v>393432</v>
      </c>
    </row>
    <row r="78" spans="1:15" x14ac:dyDescent="0.2">
      <c r="A78" s="17" t="s">
        <v>113</v>
      </c>
      <c r="B78" s="18"/>
      <c r="C78" s="27">
        <f>+VLOOKUP($A78,datos9!$A$2:$BG$78,2,FALSE)</f>
        <v>0</v>
      </c>
      <c r="D78" s="27">
        <f>+VLOOKUP($A78,datos9!$A$2:$BG$78,3,FALSE)</f>
        <v>340027</v>
      </c>
      <c r="E78" s="27">
        <f>+VLOOKUP($A78,datos9!$A$2:$BG$78,4,FALSE)</f>
        <v>11954</v>
      </c>
      <c r="F78" s="27">
        <f>+VLOOKUP($A78,datos9!$A$2:$BG$78,5,FALSE)</f>
        <v>1781667</v>
      </c>
      <c r="G78" s="27">
        <f>+VLOOKUP($A78,datos9!$A$2:$BG$78,6,FALSE)</f>
        <v>0</v>
      </c>
      <c r="H78" s="27">
        <f>+VLOOKUP($A78,datos9!$A$2:$BG$78,7,FALSE)</f>
        <v>19134</v>
      </c>
      <c r="I78" s="27">
        <f>+VLOOKUP($A78,datos9!$A$2:$BG$78,8,FALSE)</f>
        <v>0</v>
      </c>
      <c r="J78" s="82">
        <f>+VLOOKUP($A78,datos9!$A$2:$BG$78,9,FALSE)</f>
        <v>220214</v>
      </c>
      <c r="K78" s="82">
        <f>+VLOOKUP($A78,datos9!$A$2:$BG$78,10,FALSE)</f>
        <v>27605</v>
      </c>
      <c r="L78" s="27">
        <f>+VLOOKUP($A78,datos9!$A$2:$BG$78,11,FALSE)</f>
        <v>1358</v>
      </c>
      <c r="M78" s="19">
        <f t="shared" si="2"/>
        <v>2401959</v>
      </c>
      <c r="O78" s="19">
        <f t="shared" si="3"/>
        <v>1781667</v>
      </c>
    </row>
    <row r="79" spans="1:15" x14ac:dyDescent="0.2">
      <c r="A79" s="17" t="s">
        <v>114</v>
      </c>
      <c r="B79" s="18"/>
      <c r="C79" s="27">
        <f>+VLOOKUP($A79,datos9!$A$2:$BG$78,2,FALSE)</f>
        <v>0</v>
      </c>
      <c r="D79" s="27">
        <f>+VLOOKUP($A79,datos9!$A$2:$BG$78,3,FALSE)</f>
        <v>0</v>
      </c>
      <c r="E79" s="307">
        <v>124503</v>
      </c>
      <c r="F79" s="27">
        <f>+VLOOKUP($A79,datos9!$A$2:$BG$78,5,FALSE)</f>
        <v>0</v>
      </c>
      <c r="G79" s="27">
        <f>+VLOOKUP($A79,datos9!$A$2:$BG$78,6,FALSE)</f>
        <v>0</v>
      </c>
      <c r="H79" s="27">
        <f>+VLOOKUP($A79,datos9!$A$2:$BG$78,7,FALSE)</f>
        <v>25000</v>
      </c>
      <c r="I79" s="27">
        <f>+VLOOKUP($A79,datos9!$A$2:$BG$78,8,FALSE)</f>
        <v>0</v>
      </c>
      <c r="J79" s="82">
        <f>+VLOOKUP($A79,datos9!$A$2:$BG$78,9,FALSE)</f>
        <v>13069</v>
      </c>
      <c r="K79" s="82">
        <f>+VLOOKUP($A79,datos9!$A$2:$BG$78,10,FALSE)</f>
        <v>0</v>
      </c>
      <c r="L79" s="27">
        <f>+VLOOKUP($A79,datos9!$A$2:$BG$78,11,FALSE)</f>
        <v>1</v>
      </c>
      <c r="M79" s="19">
        <f t="shared" si="2"/>
        <v>162573</v>
      </c>
      <c r="O79" s="19">
        <f t="shared" si="3"/>
        <v>0</v>
      </c>
    </row>
    <row r="80" spans="1:15" x14ac:dyDescent="0.2">
      <c r="A80" s="17" t="s">
        <v>262</v>
      </c>
      <c r="B80" s="18"/>
      <c r="C80" s="27">
        <f>+VLOOKUP($A80,datos9!$A$2:$BG$78,2,FALSE)</f>
        <v>0</v>
      </c>
      <c r="D80" s="27">
        <f>+VLOOKUP($A80,datos9!$A$2:$BG$78,3,FALSE)</f>
        <v>3730</v>
      </c>
      <c r="E80" s="27">
        <f>+VLOOKUP($A80,datos9!$A$2:$BG$78,4,FALSE)</f>
        <v>5231</v>
      </c>
      <c r="F80" s="27">
        <f>+VLOOKUP($A80,datos9!$A$2:$BG$78,5,FALSE)</f>
        <v>2178678</v>
      </c>
      <c r="G80" s="27">
        <f>+VLOOKUP($A80,datos9!$A$2:$BG$78,6,FALSE)</f>
        <v>0</v>
      </c>
      <c r="H80" s="27">
        <f>+VLOOKUP($A80,datos9!$A$2:$BG$78,7,FALSE)</f>
        <v>0</v>
      </c>
      <c r="I80" s="27">
        <f>+VLOOKUP($A80,datos9!$A$2:$BG$78,8,FALSE)</f>
        <v>0</v>
      </c>
      <c r="J80" s="82">
        <f>+VLOOKUP($A80,datos9!$A$2:$BG$78,9,FALSE)</f>
        <v>122605</v>
      </c>
      <c r="K80" s="82">
        <f>+VLOOKUP($A80,datos9!$A$2:$BG$78,10,FALSE)</f>
        <v>21095</v>
      </c>
      <c r="L80" s="27">
        <f>+VLOOKUP($A80,datos9!$A$2:$BG$78,11,FALSE)</f>
        <v>0</v>
      </c>
      <c r="M80" s="19">
        <f t="shared" si="2"/>
        <v>2331339</v>
      </c>
      <c r="O80" s="19">
        <f t="shared" si="3"/>
        <v>2178678</v>
      </c>
    </row>
    <row r="82" spans="1:15" x14ac:dyDescent="0.2">
      <c r="C82" s="25">
        <f t="shared" ref="C82:M82" si="4">SUM(C7:C80)</f>
        <v>3711590</v>
      </c>
      <c r="D82" s="25">
        <f t="shared" si="4"/>
        <v>10353355</v>
      </c>
      <c r="E82" s="25">
        <f t="shared" si="4"/>
        <v>2039060</v>
      </c>
      <c r="F82" s="25">
        <f t="shared" si="4"/>
        <v>253644846</v>
      </c>
      <c r="G82" s="25">
        <f t="shared" si="4"/>
        <v>2028718</v>
      </c>
      <c r="H82" s="25">
        <f t="shared" si="4"/>
        <v>46255642</v>
      </c>
      <c r="I82" s="25">
        <v>0</v>
      </c>
      <c r="J82" s="25">
        <f t="shared" si="4"/>
        <v>151564861</v>
      </c>
      <c r="K82" s="25">
        <f t="shared" si="4"/>
        <v>76175310</v>
      </c>
      <c r="L82" s="25">
        <f t="shared" si="4"/>
        <v>18144811</v>
      </c>
      <c r="M82" s="26">
        <f t="shared" si="4"/>
        <v>563918192.4000001</v>
      </c>
      <c r="O82" s="26">
        <f t="shared" ref="O82" si="5">SUM(O7:O80)</f>
        <v>255673564</v>
      </c>
    </row>
    <row r="84" spans="1:15" x14ac:dyDescent="0.2">
      <c r="A84" s="83"/>
      <c r="B84" s="84"/>
      <c r="C84" s="83"/>
      <c r="D84" s="84"/>
      <c r="E84" s="83"/>
      <c r="F84" s="84"/>
      <c r="G84" s="83"/>
      <c r="H84" s="84"/>
      <c r="I84" s="83"/>
      <c r="J84" s="84"/>
      <c r="K84" s="84"/>
      <c r="L84" s="83"/>
      <c r="M84" s="84"/>
      <c r="O84" s="84"/>
    </row>
    <row r="85" spans="1:15" x14ac:dyDescent="0.2">
      <c r="A85" s="298">
        <v>1</v>
      </c>
      <c r="B85" s="299">
        <v>2</v>
      </c>
      <c r="C85" s="298">
        <v>3</v>
      </c>
      <c r="D85" s="299">
        <v>4</v>
      </c>
      <c r="E85" s="298">
        <v>5</v>
      </c>
      <c r="F85" s="299">
        <v>6</v>
      </c>
      <c r="G85" s="298">
        <v>7</v>
      </c>
      <c r="H85" s="299">
        <v>8</v>
      </c>
      <c r="I85" s="298">
        <v>9</v>
      </c>
      <c r="J85" s="299">
        <v>10</v>
      </c>
      <c r="K85" s="298">
        <v>11</v>
      </c>
      <c r="L85" s="299">
        <v>12</v>
      </c>
      <c r="M85" s="298">
        <v>13</v>
      </c>
      <c r="N85" s="298">
        <v>14</v>
      </c>
      <c r="O85" s="298">
        <v>15</v>
      </c>
    </row>
    <row r="90" spans="1:15" x14ac:dyDescent="0.2">
      <c r="A90" s="308" t="s">
        <v>282</v>
      </c>
    </row>
    <row r="91" spans="1:15" x14ac:dyDescent="0.2">
      <c r="A91" s="308" t="s">
        <v>286</v>
      </c>
    </row>
  </sheetData>
  <mergeCells count="11">
    <mergeCell ref="O4:O5"/>
    <mergeCell ref="J4:J5"/>
    <mergeCell ref="L4:L5"/>
    <mergeCell ref="C4:C5"/>
    <mergeCell ref="I4:I5"/>
    <mergeCell ref="M4:M5"/>
    <mergeCell ref="D4:D5"/>
    <mergeCell ref="E4:E5"/>
    <mergeCell ref="F4:F5"/>
    <mergeCell ref="G4:G5"/>
    <mergeCell ref="H4:H5"/>
  </mergeCells>
  <phoneticPr fontId="0" type="noConversion"/>
  <printOptions horizontalCentered="1"/>
  <pageMargins left="0.75" right="0.75" top="0.19685039370078741" bottom="0.19685039370078741" header="0" footer="0"/>
  <pageSetup paperSize="9" scale="8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showGridLines="0" workbookViewId="0">
      <selection activeCell="M45" sqref="M45"/>
    </sheetView>
  </sheetViews>
  <sheetFormatPr baseColWidth="10" defaultColWidth="11.42578125" defaultRowHeight="12.75" x14ac:dyDescent="0.2"/>
  <cols>
    <col min="1" max="1" width="1.42578125" style="32" customWidth="1"/>
    <col min="2" max="2" width="27" style="43" customWidth="1"/>
    <col min="3" max="4" width="12.7109375" style="92" customWidth="1"/>
    <col min="5" max="5" width="10.5703125" style="32" customWidth="1"/>
    <col min="6" max="6" width="9.85546875" style="32" bestFit="1" customWidth="1"/>
    <col min="7" max="7" width="10.7109375" style="32" customWidth="1"/>
    <col min="8" max="8" width="10.28515625" style="32" bestFit="1" customWidth="1"/>
    <col min="9" max="16384" width="11.42578125" style="32"/>
  </cols>
  <sheetData>
    <row r="1" spans="2:9" ht="6" customHeight="1" x14ac:dyDescent="0.2">
      <c r="B1" s="30"/>
      <c r="C1" s="86"/>
      <c r="D1" s="86"/>
      <c r="E1" s="30"/>
      <c r="F1" s="30"/>
      <c r="G1" s="30"/>
      <c r="H1" s="30"/>
      <c r="I1" s="30"/>
    </row>
    <row r="2" spans="2:9" ht="37.5" customHeight="1" x14ac:dyDescent="0.2">
      <c r="B2" s="338" t="s">
        <v>126</v>
      </c>
      <c r="C2" s="339"/>
      <c r="D2" s="339"/>
      <c r="E2" s="339"/>
      <c r="F2" s="339"/>
      <c r="G2" s="339"/>
      <c r="H2" s="30"/>
      <c r="I2" s="30"/>
    </row>
    <row r="3" spans="2:9" ht="37.5" customHeight="1" x14ac:dyDescent="0.2">
      <c r="B3" s="266"/>
      <c r="C3" s="339">
        <v>2016</v>
      </c>
      <c r="D3" s="339"/>
      <c r="E3" s="339"/>
      <c r="F3" s="339"/>
      <c r="G3" s="339"/>
      <c r="H3" s="87"/>
      <c r="I3" s="30"/>
    </row>
    <row r="4" spans="2:9" x14ac:dyDescent="0.2">
      <c r="B4" s="57"/>
      <c r="C4" s="32"/>
      <c r="D4" s="45" t="s">
        <v>127</v>
      </c>
      <c r="E4" s="46" t="s">
        <v>128</v>
      </c>
      <c r="F4" s="45"/>
      <c r="G4" s="46"/>
      <c r="H4" s="30"/>
      <c r="I4" s="30"/>
    </row>
    <row r="5" spans="2:9" ht="21" customHeight="1" x14ac:dyDescent="0.2">
      <c r="B5" s="340" t="s">
        <v>115</v>
      </c>
      <c r="C5" s="340"/>
      <c r="D5" s="28">
        <f>Ingresos!$C$82/1000000</f>
        <v>3.7115900000000002</v>
      </c>
      <c r="E5" s="88">
        <f t="shared" ref="E5:E15" si="0">D5/$D$15</f>
        <v>6.5817880146829605E-3</v>
      </c>
      <c r="F5" s="28"/>
      <c r="G5" s="88"/>
      <c r="H5" s="89"/>
      <c r="I5" s="30"/>
    </row>
    <row r="6" spans="2:9" ht="21" customHeight="1" x14ac:dyDescent="0.2">
      <c r="B6" s="336" t="s">
        <v>116</v>
      </c>
      <c r="C6" s="336"/>
      <c r="D6" s="28">
        <f>Ingresos!$D$82/1000000</f>
        <v>10.353355000000001</v>
      </c>
      <c r="E6" s="88">
        <f t="shared" si="0"/>
        <v>1.8359675462741816E-2</v>
      </c>
      <c r="F6" s="28"/>
      <c r="G6" s="88"/>
      <c r="H6" s="89"/>
      <c r="I6" s="30"/>
    </row>
    <row r="7" spans="2:9" ht="21" customHeight="1" x14ac:dyDescent="0.2">
      <c r="B7" s="337" t="s">
        <v>117</v>
      </c>
      <c r="C7" s="337"/>
      <c r="D7" s="304">
        <f>Ingresos!$E$82/1000000</f>
        <v>2.0390600000000001</v>
      </c>
      <c r="E7" s="305">
        <f t="shared" si="0"/>
        <v>3.6158790893443074E-3</v>
      </c>
      <c r="F7" s="28"/>
      <c r="G7" s="88"/>
      <c r="H7" s="89"/>
      <c r="I7" s="30"/>
    </row>
    <row r="8" spans="2:9" ht="21" customHeight="1" x14ac:dyDescent="0.2">
      <c r="B8" s="336" t="s">
        <v>118</v>
      </c>
      <c r="C8" s="336"/>
      <c r="D8" s="28">
        <f>Ingresos!$F$82/1000000</f>
        <v>253.644846</v>
      </c>
      <c r="E8" s="88">
        <f t="shared" si="0"/>
        <v>0.44979014583747268</v>
      </c>
      <c r="F8" s="28"/>
      <c r="G8" s="88"/>
      <c r="H8" s="89"/>
      <c r="I8" s="30"/>
    </row>
    <row r="9" spans="2:9" ht="21" customHeight="1" x14ac:dyDescent="0.2">
      <c r="B9" s="337" t="s">
        <v>119</v>
      </c>
      <c r="C9" s="337"/>
      <c r="D9" s="304">
        <f>Ingresos!$G$82/1000000</f>
        <v>2.028718</v>
      </c>
      <c r="E9" s="305">
        <f t="shared" si="0"/>
        <v>3.5975395497809797E-3</v>
      </c>
      <c r="F9" s="28"/>
      <c r="G9" s="88"/>
      <c r="H9" s="89"/>
      <c r="I9" s="30"/>
    </row>
    <row r="10" spans="2:9" ht="21" customHeight="1" x14ac:dyDescent="0.2">
      <c r="B10" s="336" t="s">
        <v>120</v>
      </c>
      <c r="C10" s="336"/>
      <c r="D10" s="28">
        <f>Ingresos!$H$82/1000000</f>
        <v>46.255642000000002</v>
      </c>
      <c r="E10" s="88">
        <f t="shared" si="0"/>
        <v>8.2025447349266964E-2</v>
      </c>
      <c r="F10" s="28"/>
      <c r="G10" s="88"/>
      <c r="H10" s="89"/>
      <c r="I10" s="30"/>
    </row>
    <row r="11" spans="2:9" ht="21" customHeight="1" x14ac:dyDescent="0.2">
      <c r="B11" s="336" t="s">
        <v>121</v>
      </c>
      <c r="C11" s="336"/>
      <c r="D11" s="28">
        <f>Ingresos!$I$82/1000000</f>
        <v>0</v>
      </c>
      <c r="E11" s="88">
        <f t="shared" si="0"/>
        <v>0</v>
      </c>
      <c r="F11" s="28"/>
      <c r="G11" s="88"/>
      <c r="H11" s="89"/>
      <c r="I11" s="30"/>
    </row>
    <row r="12" spans="2:9" ht="21" customHeight="1" x14ac:dyDescent="0.2">
      <c r="B12" s="336" t="s">
        <v>122</v>
      </c>
      <c r="C12" s="336"/>
      <c r="D12" s="28">
        <f>Ingresos!$J$82/1000000</f>
        <v>151.56486100000001</v>
      </c>
      <c r="E12" s="88">
        <f t="shared" si="0"/>
        <v>0.26877100799842896</v>
      </c>
      <c r="F12" s="28"/>
      <c r="G12" s="88"/>
      <c r="H12" s="89"/>
      <c r="I12" s="30"/>
    </row>
    <row r="13" spans="2:9" ht="28.5" customHeight="1" x14ac:dyDescent="0.2">
      <c r="B13" s="302" t="s">
        <v>279</v>
      </c>
      <c r="C13" s="302"/>
      <c r="D13" s="28">
        <f>Ingresos!$K$82/1000000</f>
        <v>76.175309999999996</v>
      </c>
      <c r="E13" s="88">
        <f t="shared" si="0"/>
        <v>0.13508219991237153</v>
      </c>
      <c r="F13" s="28"/>
      <c r="G13" s="88"/>
      <c r="H13" s="89"/>
      <c r="I13" s="30"/>
    </row>
    <row r="14" spans="2:9" ht="21" customHeight="1" x14ac:dyDescent="0.2">
      <c r="B14" s="336" t="s">
        <v>123</v>
      </c>
      <c r="C14" s="336"/>
      <c r="D14" s="28">
        <f>Ingresos!$L$82/1000000</f>
        <v>18.144811000000001</v>
      </c>
      <c r="E14" s="88">
        <f t="shared" si="0"/>
        <v>3.217631784989386E-2</v>
      </c>
      <c r="F14" s="28"/>
      <c r="G14" s="88"/>
      <c r="H14" s="89"/>
      <c r="I14" s="30"/>
    </row>
    <row r="15" spans="2:9" ht="21" customHeight="1" x14ac:dyDescent="0.2">
      <c r="B15" s="33" t="s">
        <v>129</v>
      </c>
      <c r="C15" s="29"/>
      <c r="D15" s="29">
        <f>Ingresos!M82/1000000</f>
        <v>563.91819240000007</v>
      </c>
      <c r="E15" s="90">
        <f t="shared" si="0"/>
        <v>1</v>
      </c>
      <c r="F15" s="29"/>
      <c r="G15" s="90"/>
      <c r="H15" s="89"/>
      <c r="I15" s="30"/>
    </row>
    <row r="16" spans="2:9" ht="21" customHeight="1" x14ac:dyDescent="0.2">
      <c r="B16" s="33"/>
      <c r="C16" s="29"/>
      <c r="D16" s="29"/>
      <c r="E16" s="88"/>
      <c r="F16" s="48" t="s">
        <v>65</v>
      </c>
      <c r="G16" s="272"/>
      <c r="H16" s="89"/>
      <c r="I16" s="30"/>
    </row>
    <row r="17" spans="2:9" ht="21" customHeight="1" x14ac:dyDescent="0.2">
      <c r="B17" s="33" t="s">
        <v>130</v>
      </c>
      <c r="C17" s="29"/>
      <c r="D17" s="29">
        <f>D8+D9</f>
        <v>255.673564</v>
      </c>
      <c r="E17" s="88">
        <f>D17/D19</f>
        <v>0.45338768538725366</v>
      </c>
      <c r="F17" s="29" t="s">
        <v>65</v>
      </c>
      <c r="G17" s="272"/>
      <c r="H17" s="89" t="s">
        <v>65</v>
      </c>
      <c r="I17" s="30"/>
    </row>
    <row r="18" spans="2:9" ht="21" customHeight="1" x14ac:dyDescent="0.2">
      <c r="B18" s="33" t="s">
        <v>131</v>
      </c>
      <c r="C18" s="29"/>
      <c r="D18" s="29">
        <f>D19-D17</f>
        <v>308.24462840000007</v>
      </c>
      <c r="E18" s="88">
        <f>D18/D19</f>
        <v>0.5466123146127464</v>
      </c>
      <c r="F18" s="29" t="s">
        <v>65</v>
      </c>
      <c r="G18" s="272"/>
      <c r="H18" s="89" t="s">
        <v>65</v>
      </c>
      <c r="I18" s="30"/>
    </row>
    <row r="19" spans="2:9" ht="14.25" customHeight="1" x14ac:dyDescent="0.2">
      <c r="B19" s="36"/>
      <c r="C19" s="28"/>
      <c r="D19" s="29">
        <f>D15</f>
        <v>563.91819240000007</v>
      </c>
      <c r="E19" s="29"/>
      <c r="F19" s="29" t="s">
        <v>65</v>
      </c>
      <c r="G19" s="272"/>
      <c r="H19" s="89" t="s">
        <v>65</v>
      </c>
      <c r="I19" s="30"/>
    </row>
    <row r="20" spans="2:9" ht="44.25" customHeight="1" x14ac:dyDescent="0.2">
      <c r="B20" s="40"/>
      <c r="C20" s="28"/>
      <c r="D20" s="28"/>
      <c r="E20" s="88"/>
      <c r="F20" s="272"/>
      <c r="G20" s="272"/>
      <c r="H20" s="30"/>
      <c r="I20" s="30"/>
    </row>
    <row r="21" spans="2:9" ht="28.5" customHeight="1" x14ac:dyDescent="0.2">
      <c r="B21" s="264"/>
      <c r="C21" s="48"/>
      <c r="D21" s="48"/>
      <c r="E21" s="91"/>
      <c r="F21" s="272"/>
      <c r="G21" s="272"/>
      <c r="H21" s="30"/>
      <c r="I21" s="30"/>
    </row>
    <row r="22" spans="2:9" ht="33" customHeight="1" x14ac:dyDescent="0.2">
      <c r="B22" s="33" t="s">
        <v>126</v>
      </c>
      <c r="C22" s="29"/>
      <c r="D22" s="29"/>
      <c r="E22" s="88"/>
      <c r="F22" s="272"/>
      <c r="G22" s="272"/>
      <c r="H22" s="30"/>
      <c r="I22" s="30"/>
    </row>
    <row r="23" spans="2:9" ht="24" customHeight="1" x14ac:dyDescent="0.2">
      <c r="B23" s="58"/>
      <c r="C23" s="226">
        <v>2016</v>
      </c>
      <c r="D23" s="226">
        <v>2015</v>
      </c>
      <c r="E23" s="266">
        <v>2014</v>
      </c>
      <c r="F23" s="266">
        <v>2013</v>
      </c>
      <c r="G23" s="226">
        <v>2012</v>
      </c>
    </row>
    <row r="24" spans="2:9" x14ac:dyDescent="0.2">
      <c r="B24" s="57"/>
      <c r="C24" s="45" t="s">
        <v>127</v>
      </c>
      <c r="D24" s="45" t="s">
        <v>127</v>
      </c>
      <c r="E24" s="45" t="s">
        <v>127</v>
      </c>
      <c r="F24" s="45" t="s">
        <v>127</v>
      </c>
      <c r="G24" s="45" t="s">
        <v>127</v>
      </c>
    </row>
    <row r="25" spans="2:9" ht="14.25" customHeight="1" x14ac:dyDescent="0.2">
      <c r="B25" s="267" t="s">
        <v>115</v>
      </c>
      <c r="C25" s="28">
        <v>3.7115900000000002</v>
      </c>
      <c r="D25" s="28">
        <v>2.9375247899999999</v>
      </c>
      <c r="E25" s="28">
        <v>3.25863433</v>
      </c>
      <c r="F25" s="28">
        <v>1.3358461699999999</v>
      </c>
      <c r="G25" s="28">
        <v>1.3913516800000001</v>
      </c>
    </row>
    <row r="26" spans="2:9" x14ac:dyDescent="0.2">
      <c r="B26" s="264" t="s">
        <v>116</v>
      </c>
      <c r="C26" s="28">
        <v>10.353355000000001</v>
      </c>
      <c r="D26" s="28">
        <v>10.465635809999998</v>
      </c>
      <c r="E26" s="28">
        <v>8.8578371300000001</v>
      </c>
      <c r="F26" s="28">
        <v>10.038581039999999</v>
      </c>
      <c r="G26" s="28">
        <v>11.907693890000003</v>
      </c>
    </row>
    <row r="27" spans="2:9" x14ac:dyDescent="0.2">
      <c r="B27" s="264" t="s">
        <v>117</v>
      </c>
      <c r="C27" s="28">
        <v>1.9180079999999999</v>
      </c>
      <c r="D27" s="28">
        <v>2.46413803</v>
      </c>
      <c r="E27" s="28">
        <v>2.2580389799999998</v>
      </c>
      <c r="F27" s="28">
        <v>1.95643199</v>
      </c>
      <c r="G27" s="28">
        <v>1.7976466299999998</v>
      </c>
    </row>
    <row r="28" spans="2:9" ht="12" customHeight="1" x14ac:dyDescent="0.2">
      <c r="B28" s="264" t="s">
        <v>118</v>
      </c>
      <c r="C28" s="28">
        <v>253.644846</v>
      </c>
      <c r="D28" s="28">
        <v>256.98029567000003</v>
      </c>
      <c r="E28" s="28">
        <v>296.66193496637999</v>
      </c>
      <c r="F28" s="28">
        <v>277.72891828999991</v>
      </c>
      <c r="G28" s="28">
        <v>303.09229163000003</v>
      </c>
    </row>
    <row r="29" spans="2:9" x14ac:dyDescent="0.2">
      <c r="B29" s="264" t="s">
        <v>119</v>
      </c>
      <c r="C29" s="28">
        <v>2.028718</v>
      </c>
      <c r="D29" s="28">
        <v>0.59034861999999999</v>
      </c>
      <c r="E29" s="28">
        <v>0.18000841000000001</v>
      </c>
      <c r="F29" s="28">
        <v>0.50622412999999999</v>
      </c>
      <c r="G29" s="28">
        <v>9.4359342399999999</v>
      </c>
    </row>
    <row r="30" spans="2:9" x14ac:dyDescent="0.2">
      <c r="B30" s="264" t="s">
        <v>120</v>
      </c>
      <c r="C30" s="28">
        <v>46.255642000000002</v>
      </c>
      <c r="D30" s="28">
        <v>32.206977860000009</v>
      </c>
      <c r="E30" s="28">
        <v>30.049800353619997</v>
      </c>
      <c r="F30" s="28">
        <v>21.961067530000001</v>
      </c>
      <c r="G30" s="28">
        <v>26.790077199999999</v>
      </c>
    </row>
    <row r="31" spans="2:9" x14ac:dyDescent="0.2">
      <c r="B31" s="264" t="s">
        <v>121</v>
      </c>
      <c r="C31" s="28">
        <v>0</v>
      </c>
      <c r="D31" s="28">
        <v>89.0717906</v>
      </c>
      <c r="E31" s="28">
        <v>79.474565430000027</v>
      </c>
      <c r="F31" s="28">
        <v>86.343717889999979</v>
      </c>
      <c r="G31" s="28">
        <v>99.110399010000009</v>
      </c>
    </row>
    <row r="32" spans="2:9" x14ac:dyDescent="0.2">
      <c r="B32" s="264" t="s">
        <v>122</v>
      </c>
      <c r="C32" s="28">
        <v>151.56486100000001</v>
      </c>
      <c r="D32" s="28">
        <v>141.65863706000005</v>
      </c>
      <c r="E32" s="28">
        <v>133.69124387999997</v>
      </c>
      <c r="F32" s="28">
        <v>99.097545619999977</v>
      </c>
      <c r="G32" s="28">
        <v>85.706217759999987</v>
      </c>
    </row>
    <row r="33" spans="2:12" x14ac:dyDescent="0.2">
      <c r="B33" s="303" t="s">
        <v>281</v>
      </c>
      <c r="C33" s="28">
        <v>76.175309999999996</v>
      </c>
      <c r="D33" s="28"/>
      <c r="E33" s="28"/>
      <c r="F33" s="28"/>
      <c r="G33" s="28"/>
    </row>
    <row r="34" spans="2:12" x14ac:dyDescent="0.2">
      <c r="B34" s="264" t="s">
        <v>123</v>
      </c>
      <c r="C34" s="28">
        <v>18.144811000000001</v>
      </c>
      <c r="D34" s="28">
        <v>17.379116000000007</v>
      </c>
      <c r="E34" s="28">
        <v>20.36545614000001</v>
      </c>
      <c r="F34" s="28">
        <v>4.9790655199999989</v>
      </c>
      <c r="G34" s="28">
        <v>6.5201537499999986</v>
      </c>
    </row>
    <row r="35" spans="2:12" x14ac:dyDescent="0.2">
      <c r="B35" s="33" t="s">
        <v>129</v>
      </c>
      <c r="C35" s="29">
        <f>SUM(C25:C34)</f>
        <v>563.79714100000001</v>
      </c>
      <c r="D35" s="29">
        <v>553.75446444000011</v>
      </c>
      <c r="E35" s="29">
        <v>574.79751961999989</v>
      </c>
      <c r="F35" s="29">
        <v>503.94739817999977</v>
      </c>
      <c r="G35" s="29">
        <v>545.75176578999992</v>
      </c>
    </row>
    <row r="36" spans="2:12" x14ac:dyDescent="0.2">
      <c r="B36" s="33"/>
      <c r="D36" s="29"/>
      <c r="E36" s="48" t="s">
        <v>65</v>
      </c>
      <c r="F36" s="48" t="s">
        <v>65</v>
      </c>
      <c r="G36" s="48"/>
    </row>
    <row r="37" spans="2:12" x14ac:dyDescent="0.2">
      <c r="B37" s="33" t="s">
        <v>130</v>
      </c>
      <c r="C37" s="29">
        <f>C28+C29</f>
        <v>255.673564</v>
      </c>
      <c r="D37" s="29">
        <v>257.57064429000002</v>
      </c>
      <c r="E37" s="29">
        <v>296.84194337638002</v>
      </c>
      <c r="F37" s="29">
        <v>225.71225575999995</v>
      </c>
      <c r="G37" s="29">
        <v>233.22353991999998</v>
      </c>
    </row>
    <row r="38" spans="2:12" x14ac:dyDescent="0.2">
      <c r="B38" s="33" t="s">
        <v>131</v>
      </c>
      <c r="C38" s="29">
        <f>C25+C26+C27+C30+C31+C32+C33+C34</f>
        <v>308.12357700000001</v>
      </c>
      <c r="D38" s="29">
        <v>296.18382015000003</v>
      </c>
      <c r="E38" s="29">
        <v>277.95557624361999</v>
      </c>
      <c r="F38" s="29">
        <v>278.23514241999993</v>
      </c>
      <c r="G38" s="29">
        <v>312.52822587000003</v>
      </c>
    </row>
    <row r="39" spans="2:12" x14ac:dyDescent="0.2">
      <c r="B39" s="36"/>
      <c r="C39" s="29">
        <f>SUM(C37:C38)</f>
        <v>563.79714100000001</v>
      </c>
      <c r="D39" s="29">
        <v>553.75446443999999</v>
      </c>
      <c r="E39" s="29">
        <v>574.79751962</v>
      </c>
      <c r="F39" s="29">
        <v>503.94739817999988</v>
      </c>
      <c r="G39" s="29">
        <v>545.75176579000004</v>
      </c>
    </row>
    <row r="43" spans="2:12" ht="25.5" x14ac:dyDescent="0.2">
      <c r="I43" s="168"/>
      <c r="J43" s="168"/>
      <c r="K43" s="131" t="s">
        <v>287</v>
      </c>
    </row>
    <row r="44" spans="2:12" x14ac:dyDescent="0.2">
      <c r="B44" s="132"/>
      <c r="C44" s="135">
        <v>2009</v>
      </c>
      <c r="D44" s="135">
        <v>2010</v>
      </c>
      <c r="E44" s="135">
        <v>2011</v>
      </c>
      <c r="F44" s="135">
        <v>2012</v>
      </c>
      <c r="G44" s="135">
        <v>2013</v>
      </c>
      <c r="H44" s="135">
        <v>2014</v>
      </c>
      <c r="I44" s="286">
        <v>2015</v>
      </c>
      <c r="J44" s="136">
        <v>2016</v>
      </c>
    </row>
    <row r="45" spans="2:12" x14ac:dyDescent="0.2">
      <c r="B45" s="287" t="s">
        <v>206</v>
      </c>
      <c r="C45" s="48">
        <v>404.21496599999995</v>
      </c>
      <c r="D45" s="48">
        <v>411.8</v>
      </c>
      <c r="E45" s="48">
        <v>373.59837199999998</v>
      </c>
      <c r="F45" s="48">
        <v>312.52822587000003</v>
      </c>
      <c r="G45" s="48">
        <v>278.23514241999993</v>
      </c>
      <c r="H45" s="48">
        <v>296.84194337638002</v>
      </c>
      <c r="I45" s="48">
        <v>257.57064429000002</v>
      </c>
      <c r="J45" s="290">
        <f>C37</f>
        <v>255.673564</v>
      </c>
      <c r="K45" s="93">
        <f>+J45-G45</f>
        <v>-22.561578419999933</v>
      </c>
      <c r="L45" s="312">
        <f>+K45/G45</f>
        <v>-8.1088169609944194E-2</v>
      </c>
    </row>
    <row r="46" spans="2:12" x14ac:dyDescent="0.2">
      <c r="B46" s="148" t="s">
        <v>207</v>
      </c>
      <c r="C46" s="48">
        <v>270.25202899999999</v>
      </c>
      <c r="D46" s="48">
        <v>311.562029</v>
      </c>
      <c r="E46" s="48">
        <v>344.48292099999998</v>
      </c>
      <c r="F46" s="48">
        <v>233.22353991999998</v>
      </c>
      <c r="G46" s="48">
        <v>225.71225575999995</v>
      </c>
      <c r="H46" s="48">
        <v>277.95557624361999</v>
      </c>
      <c r="I46" s="48">
        <v>296.18382015000003</v>
      </c>
      <c r="J46" s="290">
        <f>C38</f>
        <v>308.12357700000001</v>
      </c>
      <c r="K46" s="93">
        <f>+J46-G46</f>
        <v>82.411321240000063</v>
      </c>
      <c r="L46" s="312">
        <f>+K46/G46</f>
        <v>0.36511673219742263</v>
      </c>
    </row>
    <row r="47" spans="2:12" x14ac:dyDescent="0.2">
      <c r="B47" s="288" t="s">
        <v>208</v>
      </c>
      <c r="C47" s="289">
        <v>688.36316299999999</v>
      </c>
      <c r="D47" s="289">
        <v>723.36202900000001</v>
      </c>
      <c r="E47" s="289">
        <v>732.10098799999992</v>
      </c>
      <c r="F47" s="289">
        <v>545.75176579000004</v>
      </c>
      <c r="G47" s="289">
        <v>503.94739817999988</v>
      </c>
      <c r="H47" s="289">
        <v>574.79751962</v>
      </c>
      <c r="I47" s="289">
        <v>553.75446443999999</v>
      </c>
      <c r="J47" s="291">
        <f>SUM(J45:J46)</f>
        <v>563.79714100000001</v>
      </c>
      <c r="K47" s="93">
        <f>+J47-G47</f>
        <v>59.849742820000131</v>
      </c>
      <c r="L47" s="312">
        <f>+K47/G47</f>
        <v>0.11876188474461179</v>
      </c>
    </row>
    <row r="48" spans="2:12" x14ac:dyDescent="0.2">
      <c r="B48" s="32"/>
      <c r="C48" s="32"/>
      <c r="D48" s="32"/>
    </row>
    <row r="49" spans="2:4" x14ac:dyDescent="0.2">
      <c r="B49" s="32"/>
      <c r="C49" s="32"/>
      <c r="D49" s="32"/>
    </row>
    <row r="50" spans="2:4" x14ac:dyDescent="0.2">
      <c r="B50" s="32"/>
      <c r="C50" s="32"/>
      <c r="D50" s="32"/>
    </row>
    <row r="51" spans="2:4" x14ac:dyDescent="0.2">
      <c r="B51" s="32"/>
      <c r="C51" s="32"/>
      <c r="D51" s="32"/>
    </row>
    <row r="52" spans="2:4" x14ac:dyDescent="0.2">
      <c r="B52" s="32"/>
      <c r="C52" s="32"/>
      <c r="D52" s="32"/>
    </row>
    <row r="53" spans="2:4" x14ac:dyDescent="0.2">
      <c r="B53" s="32"/>
      <c r="C53" s="32"/>
      <c r="D53" s="32"/>
    </row>
    <row r="54" spans="2:4" x14ac:dyDescent="0.2">
      <c r="B54" s="32"/>
      <c r="C54" s="32"/>
      <c r="D54" s="32"/>
    </row>
    <row r="55" spans="2:4" x14ac:dyDescent="0.2">
      <c r="B55" s="32"/>
      <c r="C55" s="32"/>
      <c r="D55" s="32"/>
    </row>
    <row r="56" spans="2:4" x14ac:dyDescent="0.2">
      <c r="B56" s="32"/>
      <c r="C56" s="32"/>
      <c r="D56" s="32"/>
    </row>
    <row r="57" spans="2:4" x14ac:dyDescent="0.2">
      <c r="B57" s="32"/>
      <c r="C57" s="32"/>
      <c r="D57" s="32"/>
    </row>
    <row r="58" spans="2:4" x14ac:dyDescent="0.2">
      <c r="B58" s="32"/>
      <c r="C58" s="32"/>
      <c r="D58" s="32"/>
    </row>
    <row r="59" spans="2:4" x14ac:dyDescent="0.2">
      <c r="B59" s="32"/>
      <c r="C59" s="32"/>
      <c r="D59" s="32"/>
    </row>
    <row r="60" spans="2:4" x14ac:dyDescent="0.2">
      <c r="B60" s="32"/>
      <c r="C60" s="32"/>
      <c r="D60" s="32"/>
    </row>
    <row r="61" spans="2:4" x14ac:dyDescent="0.2">
      <c r="B61" s="32"/>
      <c r="C61" s="32"/>
      <c r="D61" s="32"/>
    </row>
    <row r="62" spans="2:4" x14ac:dyDescent="0.2">
      <c r="B62" s="32"/>
      <c r="C62" s="32"/>
      <c r="D62" s="32"/>
    </row>
    <row r="63" spans="2:4" x14ac:dyDescent="0.2">
      <c r="B63" s="32"/>
      <c r="C63" s="32"/>
      <c r="D63" s="32"/>
    </row>
    <row r="64" spans="2:4" x14ac:dyDescent="0.2">
      <c r="B64" s="32"/>
      <c r="C64" s="32"/>
      <c r="D64" s="32"/>
    </row>
    <row r="65" spans="2:4" x14ac:dyDescent="0.2">
      <c r="B65" s="32"/>
      <c r="C65" s="32"/>
      <c r="D65" s="32"/>
    </row>
    <row r="66" spans="2:4" x14ac:dyDescent="0.2">
      <c r="B66" s="32"/>
      <c r="C66" s="32"/>
      <c r="D66" s="32"/>
    </row>
    <row r="67" spans="2:4" x14ac:dyDescent="0.2">
      <c r="B67" s="32"/>
      <c r="C67" s="32"/>
      <c r="D67" s="32"/>
    </row>
    <row r="68" spans="2:4" x14ac:dyDescent="0.2">
      <c r="C68" s="44"/>
      <c r="D68" s="32"/>
    </row>
    <row r="69" spans="2:4" x14ac:dyDescent="0.2">
      <c r="C69" s="44"/>
      <c r="D69" s="32"/>
    </row>
    <row r="70" spans="2:4" x14ac:dyDescent="0.2">
      <c r="C70" s="44"/>
      <c r="D70" s="32"/>
    </row>
    <row r="71" spans="2:4" x14ac:dyDescent="0.2">
      <c r="C71" s="44"/>
      <c r="D71" s="32"/>
    </row>
    <row r="72" spans="2:4" x14ac:dyDescent="0.2">
      <c r="C72" s="44"/>
      <c r="D72" s="32"/>
    </row>
    <row r="73" spans="2:4" x14ac:dyDescent="0.2">
      <c r="C73" s="44"/>
      <c r="D73" s="32"/>
    </row>
  </sheetData>
  <mergeCells count="12">
    <mergeCell ref="B2:G2"/>
    <mergeCell ref="C3:E3"/>
    <mergeCell ref="F3:G3"/>
    <mergeCell ref="B5:C5"/>
    <mergeCell ref="B6:C6"/>
    <mergeCell ref="B14:C14"/>
    <mergeCell ref="B7:C7"/>
    <mergeCell ref="B8:C8"/>
    <mergeCell ref="B9:C9"/>
    <mergeCell ref="B10:C10"/>
    <mergeCell ref="B11:C11"/>
    <mergeCell ref="B12:C12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1"/>
  <sheetViews>
    <sheetView tabSelected="1" topLeftCell="A2" workbookViewId="0">
      <pane xSplit="7" ySplit="6" topLeftCell="AM8" activePane="bottomRight" state="frozen"/>
      <selection activeCell="A2" sqref="A2"/>
      <selection pane="topRight" activeCell="H2" sqref="H2"/>
      <selection pane="bottomLeft" activeCell="A8" sqref="A8"/>
      <selection pane="bottomRight" activeCell="AW6" sqref="AW6"/>
    </sheetView>
  </sheetViews>
  <sheetFormatPr baseColWidth="10" defaultColWidth="11.42578125" defaultRowHeight="12.75" x14ac:dyDescent="0.2"/>
  <cols>
    <col min="1" max="1" width="2.28515625" style="3" customWidth="1"/>
    <col min="2" max="2" width="44.85546875" style="3" customWidth="1"/>
    <col min="3" max="3" width="2.140625" style="11" bestFit="1" customWidth="1"/>
    <col min="4" max="5" width="13" style="12" bestFit="1" customWidth="1"/>
    <col min="6" max="6" width="11.85546875" style="10" bestFit="1" customWidth="1"/>
    <col min="7" max="7" width="13" style="383" bestFit="1" customWidth="1"/>
    <col min="8" max="8" width="13" style="10" bestFit="1" customWidth="1"/>
    <col min="9" max="9" width="12.7109375" style="12" bestFit="1" customWidth="1"/>
    <col min="10" max="10" width="13.28515625" style="12" bestFit="1" customWidth="1"/>
    <col min="11" max="11" width="11.42578125" style="10" bestFit="1" customWidth="1"/>
    <col min="12" max="12" width="13" style="383" bestFit="1" customWidth="1"/>
    <col min="13" max="13" width="13.7109375" style="12" bestFit="1" customWidth="1"/>
    <col min="14" max="14" width="11.85546875" style="12" bestFit="1" customWidth="1"/>
    <col min="15" max="15" width="11.28515625" style="12" bestFit="1" customWidth="1"/>
    <col min="16" max="16" width="13" style="398" bestFit="1" customWidth="1"/>
    <col min="17" max="17" width="11.85546875" style="10" bestFit="1" customWidth="1"/>
    <col min="18" max="18" width="10.7109375" style="12" bestFit="1" customWidth="1"/>
    <col min="19" max="19" width="10" style="12" bestFit="1" customWidth="1"/>
    <col min="20" max="20" width="9.42578125" style="10" customWidth="1"/>
    <col min="21" max="21" width="11.85546875" style="383" bestFit="1" customWidth="1"/>
    <col min="22" max="22" width="10.7109375" style="10" bestFit="1" customWidth="1"/>
    <col min="23" max="23" width="12.140625" style="117" customWidth="1"/>
    <col min="24" max="24" width="11.85546875" style="400" bestFit="1" customWidth="1"/>
    <col min="25" max="25" width="24.7109375" style="10" bestFit="1" customWidth="1"/>
    <col min="26" max="26" width="13" style="12" bestFit="1" customWidth="1"/>
    <col min="27" max="28" width="12.42578125" style="12" customWidth="1"/>
    <col min="29" max="29" width="10.7109375" style="12" customWidth="1"/>
    <col min="30" max="30" width="12.28515625" style="10" bestFit="1" customWidth="1"/>
    <col min="31" max="31" width="13.42578125" style="383" customWidth="1"/>
    <col min="32" max="32" width="12.5703125" style="12" customWidth="1"/>
    <col min="33" max="33" width="11.5703125" style="12" customWidth="1"/>
    <col min="34" max="34" width="12" style="12" customWidth="1"/>
    <col min="35" max="35" width="11.28515625" style="12" customWidth="1"/>
    <col min="36" max="36" width="12.7109375" style="398" customWidth="1"/>
    <col min="37" max="39" width="11.85546875" style="12" customWidth="1"/>
    <col min="40" max="40" width="12.7109375" style="12" customWidth="1"/>
    <col min="41" max="41" width="14.42578125" style="398" customWidth="1"/>
    <col min="42" max="42" width="12.85546875" style="12" customWidth="1"/>
    <col min="43" max="43" width="14.5703125" style="10" customWidth="1"/>
    <col min="44" max="44" width="1.28515625" style="12" customWidth="1"/>
    <col min="45" max="45" width="15.7109375" style="10" customWidth="1"/>
    <col min="46" max="46" width="5.140625" style="3" customWidth="1"/>
    <col min="47" max="48" width="3" style="3" bestFit="1" customWidth="1"/>
    <col min="49" max="49" width="13" style="12" bestFit="1" customWidth="1"/>
    <col min="50" max="16384" width="11.42578125" style="3"/>
  </cols>
  <sheetData>
    <row r="1" spans="1:49" s="74" customFormat="1" hidden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381">
        <v>6</v>
      </c>
      <c r="H1" s="1">
        <v>7</v>
      </c>
      <c r="I1" s="1">
        <v>8</v>
      </c>
      <c r="J1" s="1">
        <v>9</v>
      </c>
      <c r="K1" s="1">
        <v>10</v>
      </c>
      <c r="L1" s="381">
        <v>11</v>
      </c>
      <c r="M1" s="1">
        <v>12</v>
      </c>
      <c r="N1" s="1">
        <v>13</v>
      </c>
      <c r="O1" s="1">
        <v>14</v>
      </c>
      <c r="P1" s="381">
        <v>15</v>
      </c>
      <c r="Q1" s="1">
        <v>16</v>
      </c>
      <c r="R1" s="1">
        <v>17</v>
      </c>
      <c r="S1" s="1">
        <v>18</v>
      </c>
      <c r="T1" s="1">
        <v>19</v>
      </c>
      <c r="U1" s="381">
        <v>20</v>
      </c>
      <c r="V1" s="1">
        <v>21</v>
      </c>
      <c r="W1" s="1">
        <v>22</v>
      </c>
      <c r="X1" s="381">
        <v>23</v>
      </c>
      <c r="Y1" s="1">
        <v>24</v>
      </c>
      <c r="Z1" s="1">
        <v>25</v>
      </c>
      <c r="AA1" s="1"/>
      <c r="AB1" s="1"/>
      <c r="AC1" s="1">
        <v>26</v>
      </c>
      <c r="AD1" s="1">
        <v>27</v>
      </c>
      <c r="AE1" s="381">
        <v>28</v>
      </c>
      <c r="AF1" s="1">
        <v>29</v>
      </c>
      <c r="AG1" s="1">
        <v>30</v>
      </c>
      <c r="AH1" s="1">
        <v>31</v>
      </c>
      <c r="AI1" s="1">
        <v>32</v>
      </c>
      <c r="AJ1" s="381">
        <v>33</v>
      </c>
      <c r="AK1" s="1">
        <v>34</v>
      </c>
      <c r="AL1" s="1">
        <v>35</v>
      </c>
      <c r="AM1" s="1">
        <v>36</v>
      </c>
      <c r="AN1" s="1">
        <v>37</v>
      </c>
      <c r="AO1" s="381">
        <v>38</v>
      </c>
      <c r="AP1" s="1">
        <v>39</v>
      </c>
      <c r="AQ1" s="1">
        <v>40</v>
      </c>
      <c r="AR1" s="1">
        <v>41</v>
      </c>
      <c r="AS1" s="1">
        <v>42</v>
      </c>
      <c r="AW1" s="1"/>
    </row>
    <row r="2" spans="1:49" ht="58.5" customHeight="1" thickBot="1" x14ac:dyDescent="0.25">
      <c r="B2" s="119" t="s">
        <v>263</v>
      </c>
      <c r="C2" s="120"/>
      <c r="D2" s="121"/>
      <c r="E2" s="121"/>
      <c r="F2" s="94"/>
      <c r="G2" s="382"/>
      <c r="H2" s="94"/>
      <c r="I2" s="121"/>
      <c r="J2" s="121"/>
      <c r="K2" s="94"/>
      <c r="L2" s="382"/>
      <c r="M2" s="121"/>
      <c r="N2" s="121"/>
      <c r="O2" s="121"/>
      <c r="P2" s="394"/>
      <c r="Q2" s="94"/>
      <c r="R2" s="121"/>
      <c r="S2" s="121"/>
      <c r="T2" s="94"/>
      <c r="U2" s="382"/>
      <c r="V2" s="94"/>
      <c r="W2" s="122"/>
      <c r="X2" s="399"/>
      <c r="Y2" s="94"/>
      <c r="Z2" s="121"/>
      <c r="AA2" s="121"/>
      <c r="AB2" s="121"/>
      <c r="AC2" s="121"/>
      <c r="AD2" s="94"/>
      <c r="AE2" s="382"/>
      <c r="AF2" s="121"/>
      <c r="AG2" s="121"/>
      <c r="AH2" s="121"/>
      <c r="AI2" s="121"/>
      <c r="AJ2" s="394"/>
      <c r="AK2" s="121"/>
      <c r="AL2" s="121"/>
      <c r="AM2" s="121"/>
      <c r="AN2" s="121"/>
      <c r="AO2" s="394"/>
      <c r="AP2" s="121"/>
      <c r="AQ2" s="94"/>
      <c r="AR2" s="121"/>
      <c r="AS2" s="94"/>
      <c r="AW2" s="121"/>
    </row>
    <row r="3" spans="1:49" s="8" customFormat="1" ht="13.5" thickBot="1" x14ac:dyDescent="0.25">
      <c r="C3" s="9"/>
      <c r="D3" s="10"/>
      <c r="E3" s="10"/>
      <c r="F3" s="10"/>
      <c r="G3" s="383"/>
      <c r="H3" s="10"/>
      <c r="I3" s="10"/>
      <c r="J3" s="10"/>
      <c r="K3" s="10"/>
      <c r="L3" s="383"/>
      <c r="M3" s="10"/>
      <c r="N3" s="10"/>
      <c r="O3" s="10"/>
      <c r="P3" s="383"/>
      <c r="Q3" s="10"/>
      <c r="R3" s="10"/>
      <c r="S3" s="10"/>
      <c r="T3" s="10"/>
      <c r="U3" s="383"/>
      <c r="V3" s="10"/>
      <c r="W3" s="117"/>
      <c r="X3" s="400"/>
      <c r="Y3" s="10"/>
      <c r="Z3" s="12"/>
      <c r="AA3" s="12"/>
      <c r="AB3" s="12"/>
      <c r="AC3" s="12"/>
      <c r="AD3" s="10"/>
      <c r="AE3" s="383"/>
      <c r="AF3" s="10"/>
      <c r="AG3" s="10"/>
      <c r="AH3" s="10"/>
      <c r="AI3" s="10"/>
      <c r="AJ3" s="383"/>
      <c r="AK3" s="10"/>
      <c r="AL3" s="10"/>
      <c r="AM3" s="10"/>
      <c r="AN3" s="10"/>
      <c r="AO3" s="383"/>
      <c r="AP3" s="10"/>
      <c r="AQ3" s="10"/>
      <c r="AR3" s="10"/>
      <c r="AS3" s="10"/>
      <c r="AW3" s="10"/>
    </row>
    <row r="4" spans="1:49" ht="15" customHeight="1" x14ac:dyDescent="0.2">
      <c r="D4" s="352" t="s">
        <v>135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401"/>
      <c r="Y4" s="354" t="s">
        <v>136</v>
      </c>
      <c r="Z4" s="357" t="s">
        <v>137</v>
      </c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269"/>
      <c r="AQ4" s="341" t="s">
        <v>138</v>
      </c>
      <c r="AR4" s="78"/>
      <c r="AW4" s="3"/>
    </row>
    <row r="5" spans="1:49" ht="30" customHeight="1" thickBot="1" x14ac:dyDescent="0.25">
      <c r="D5" s="344" t="s">
        <v>139</v>
      </c>
      <c r="E5" s="345"/>
      <c r="F5" s="345"/>
      <c r="G5" s="346"/>
      <c r="H5" s="344" t="s">
        <v>140</v>
      </c>
      <c r="I5" s="347"/>
      <c r="J5" s="347"/>
      <c r="K5" s="347"/>
      <c r="L5" s="348"/>
      <c r="M5" s="344" t="s">
        <v>141</v>
      </c>
      <c r="N5" s="345"/>
      <c r="O5" s="345"/>
      <c r="P5" s="346"/>
      <c r="Q5" s="344" t="s">
        <v>142</v>
      </c>
      <c r="R5" s="345"/>
      <c r="S5" s="345"/>
      <c r="T5" s="345"/>
      <c r="U5" s="346"/>
      <c r="V5" s="344" t="s">
        <v>143</v>
      </c>
      <c r="W5" s="345"/>
      <c r="X5" s="345"/>
      <c r="Y5" s="355"/>
      <c r="Z5" s="349" t="s">
        <v>144</v>
      </c>
      <c r="AA5" s="345"/>
      <c r="AB5" s="345"/>
      <c r="AC5" s="345"/>
      <c r="AD5" s="345"/>
      <c r="AE5" s="346"/>
      <c r="AF5" s="344" t="s">
        <v>145</v>
      </c>
      <c r="AG5" s="345"/>
      <c r="AH5" s="345"/>
      <c r="AI5" s="345"/>
      <c r="AJ5" s="346"/>
      <c r="AK5" s="344" t="s">
        <v>146</v>
      </c>
      <c r="AL5" s="350"/>
      <c r="AM5" s="350"/>
      <c r="AN5" s="350"/>
      <c r="AO5" s="351"/>
      <c r="AP5" s="268" t="s">
        <v>147</v>
      </c>
      <c r="AQ5" s="342"/>
      <c r="AW5" s="3"/>
    </row>
    <row r="6" spans="1:49" ht="53.25" customHeight="1" thickBot="1" x14ac:dyDescent="0.25">
      <c r="B6" s="95" t="s">
        <v>125</v>
      </c>
      <c r="C6" s="96"/>
      <c r="D6" s="263" t="s">
        <v>148</v>
      </c>
      <c r="E6" s="97" t="s">
        <v>149</v>
      </c>
      <c r="F6" s="97" t="s">
        <v>150</v>
      </c>
      <c r="G6" s="380" t="s">
        <v>290</v>
      </c>
      <c r="H6" s="98" t="s">
        <v>152</v>
      </c>
      <c r="I6" s="263" t="s">
        <v>153</v>
      </c>
      <c r="J6" s="263" t="s">
        <v>154</v>
      </c>
      <c r="K6" s="99" t="s">
        <v>155</v>
      </c>
      <c r="L6" s="380" t="s">
        <v>291</v>
      </c>
      <c r="M6" s="97" t="s">
        <v>156</v>
      </c>
      <c r="N6" s="98" t="s">
        <v>157</v>
      </c>
      <c r="O6" s="98" t="s">
        <v>158</v>
      </c>
      <c r="P6" s="395" t="s">
        <v>292</v>
      </c>
      <c r="Q6" s="100" t="s">
        <v>159</v>
      </c>
      <c r="R6" s="100" t="s">
        <v>160</v>
      </c>
      <c r="S6" s="100" t="s">
        <v>161</v>
      </c>
      <c r="T6" s="100" t="s">
        <v>162</v>
      </c>
      <c r="U6" s="395" t="s">
        <v>293</v>
      </c>
      <c r="V6" s="100" t="s">
        <v>143</v>
      </c>
      <c r="W6" s="100" t="s">
        <v>163</v>
      </c>
      <c r="X6" s="402" t="s">
        <v>294</v>
      </c>
      <c r="Y6" s="356"/>
      <c r="Z6" s="101" t="s">
        <v>164</v>
      </c>
      <c r="AA6" s="101" t="s">
        <v>165</v>
      </c>
      <c r="AB6" s="101" t="s">
        <v>166</v>
      </c>
      <c r="AC6" s="100" t="s">
        <v>167</v>
      </c>
      <c r="AD6" s="100" t="s">
        <v>168</v>
      </c>
      <c r="AE6" s="395" t="s">
        <v>295</v>
      </c>
      <c r="AF6" s="97" t="s">
        <v>169</v>
      </c>
      <c r="AG6" s="100" t="s">
        <v>170</v>
      </c>
      <c r="AH6" s="100" t="s">
        <v>171</v>
      </c>
      <c r="AI6" s="102" t="s">
        <v>172</v>
      </c>
      <c r="AJ6" s="395" t="s">
        <v>296</v>
      </c>
      <c r="AK6" s="103" t="s">
        <v>173</v>
      </c>
      <c r="AL6" s="103" t="s">
        <v>174</v>
      </c>
      <c r="AM6" s="103" t="s">
        <v>175</v>
      </c>
      <c r="AN6" s="104" t="s">
        <v>176</v>
      </c>
      <c r="AO6" s="402" t="s">
        <v>297</v>
      </c>
      <c r="AP6" s="104" t="s">
        <v>177</v>
      </c>
      <c r="AQ6" s="343"/>
      <c r="AS6" s="105" t="s">
        <v>178</v>
      </c>
      <c r="AU6" s="12">
        <f>+COUNTA(B8:B81)-COUNTBLANK(T8:T81)-COUNTIF(T8:T81,0)+3</f>
        <v>11</v>
      </c>
      <c r="AV6" s="12">
        <f>+COUNTA(B8:B81)-COUNTBLANK(AS8:AS81)-COUNTIF(AS8:AS81,0)</f>
        <v>74</v>
      </c>
      <c r="AW6" s="97" t="s">
        <v>285</v>
      </c>
    </row>
    <row r="7" spans="1:49" hidden="1" x14ac:dyDescent="0.2">
      <c r="B7" s="15">
        <v>1</v>
      </c>
      <c r="C7" s="15">
        <v>2</v>
      </c>
      <c r="D7" s="124">
        <v>3</v>
      </c>
      <c r="E7" s="124">
        <v>4</v>
      </c>
      <c r="F7" s="125">
        <v>5</v>
      </c>
      <c r="G7" s="384">
        <v>6</v>
      </c>
      <c r="H7" s="125">
        <v>13</v>
      </c>
      <c r="I7" s="125">
        <v>7</v>
      </c>
      <c r="J7" s="124">
        <v>8</v>
      </c>
      <c r="K7" s="125">
        <v>9</v>
      </c>
      <c r="L7" s="384">
        <v>10</v>
      </c>
      <c r="M7" s="125">
        <v>11</v>
      </c>
      <c r="N7" s="124">
        <v>12</v>
      </c>
      <c r="O7" s="124">
        <v>14</v>
      </c>
      <c r="P7" s="396">
        <v>15</v>
      </c>
      <c r="Q7" s="124">
        <v>16</v>
      </c>
      <c r="R7" s="125">
        <v>17</v>
      </c>
      <c r="S7" s="125"/>
      <c r="T7" s="124">
        <v>18</v>
      </c>
      <c r="U7" s="396">
        <v>19</v>
      </c>
      <c r="V7" s="125"/>
      <c r="W7" s="124">
        <v>20</v>
      </c>
      <c r="X7" s="403"/>
      <c r="Y7" s="124">
        <v>22</v>
      </c>
      <c r="Z7" s="125">
        <v>23</v>
      </c>
      <c r="AA7" s="125"/>
      <c r="AB7" s="125"/>
      <c r="AC7" s="124">
        <v>24</v>
      </c>
      <c r="AD7" s="125">
        <v>25</v>
      </c>
      <c r="AE7" s="384">
        <v>26</v>
      </c>
      <c r="AF7" s="125">
        <v>27</v>
      </c>
      <c r="AG7" s="124">
        <v>28</v>
      </c>
      <c r="AH7" s="125">
        <v>29</v>
      </c>
      <c r="AI7" s="124">
        <v>30</v>
      </c>
      <c r="AJ7" s="384">
        <v>32</v>
      </c>
      <c r="AK7" s="125">
        <v>33</v>
      </c>
      <c r="AL7" s="124">
        <v>34</v>
      </c>
      <c r="AM7" s="125">
        <v>35</v>
      </c>
      <c r="AN7" s="124">
        <v>36</v>
      </c>
      <c r="AO7" s="384">
        <v>38</v>
      </c>
      <c r="AP7" s="124"/>
      <c r="AQ7" s="125">
        <v>39</v>
      </c>
      <c r="AR7" s="124">
        <v>40</v>
      </c>
      <c r="AS7" s="125">
        <v>41</v>
      </c>
      <c r="AW7" s="124"/>
    </row>
    <row r="8" spans="1:49" x14ac:dyDescent="0.2">
      <c r="B8" s="17" t="s">
        <v>58</v>
      </c>
      <c r="C8" s="106"/>
      <c r="D8" s="107">
        <f>+VLOOKUP($B8,datos9!$A$2:$BG$78,14,FALSE)</f>
        <v>9537702</v>
      </c>
      <c r="E8" s="107">
        <f>+VLOOKUP($B8,datos9!$A$2:$BG$78,15,FALSE)</f>
        <v>0</v>
      </c>
      <c r="F8" s="107">
        <f>+VLOOKUP($B8,datos9!$A$2:$BG$78,16,FALSE)</f>
        <v>0</v>
      </c>
      <c r="G8" s="385">
        <f t="shared" ref="G8:G39" si="0">SUM(D8:F8)</f>
        <v>9537702</v>
      </c>
      <c r="H8" s="107">
        <f>+VLOOKUP($B8,datos9!$A$2:$BG$78,18,FALSE)</f>
        <v>0</v>
      </c>
      <c r="I8" s="107">
        <f>+VLOOKUP($B8,datos9!$A$2:$BG$78,19,FALSE)</f>
        <v>0</v>
      </c>
      <c r="J8" s="107">
        <f>+VLOOKUP($B8,datos9!$A$2:$BG$78,20,FALSE)</f>
        <v>0</v>
      </c>
      <c r="K8" s="107">
        <f>+VLOOKUP($B8,datos9!$A$2:$BG$78,21,FALSE)</f>
        <v>0</v>
      </c>
      <c r="L8" s="385">
        <f t="shared" ref="L8:L39" si="1">SUM(H8:K8)</f>
        <v>0</v>
      </c>
      <c r="M8" s="107">
        <f>+VLOOKUP($B8,datos9!$A$2:$BG$78,23,FALSE)</f>
        <v>2012747</v>
      </c>
      <c r="N8" s="107">
        <f>+VLOOKUP($B8,datos9!$A$2:$BG$78,24,FALSE)</f>
        <v>0</v>
      </c>
      <c r="O8" s="107">
        <f>+VLOOKUP($B8,datos9!$A$2:$BG$78,25,FALSE)</f>
        <v>2779951</v>
      </c>
      <c r="P8" s="385">
        <f t="shared" ref="P8:P39" si="2">SUM(M8:O8)</f>
        <v>4792698</v>
      </c>
      <c r="Q8" s="107">
        <f>+VLOOKUP($B8,datos9!$A$2:$BG$78,27,FALSE)</f>
        <v>0</v>
      </c>
      <c r="R8" s="107">
        <f>+VLOOKUP($B8,datos9!$A$2:$BG$78,28,FALSE)</f>
        <v>0</v>
      </c>
      <c r="S8" s="107">
        <f>+VLOOKUP($B8,datos9!$A$2:$BG$78,29,FALSE)</f>
        <v>0</v>
      </c>
      <c r="T8" s="107">
        <f>+VLOOKUP($B8,datos9!$A$2:$BG$78,30,FALSE)</f>
        <v>0</v>
      </c>
      <c r="U8" s="385">
        <f t="shared" ref="U8:U39" si="3">SUM(Q8:T8)</f>
        <v>0</v>
      </c>
      <c r="V8" s="107">
        <f>+VLOOKUP($B8,datos9!$A$2:$BG$78,32,FALSE)</f>
        <v>0</v>
      </c>
      <c r="W8" s="107">
        <f>+VLOOKUP($B8,datos9!$A$2:$BG$78,33,FALSE)</f>
        <v>2126764</v>
      </c>
      <c r="X8" s="404">
        <f t="shared" ref="X8:X39" si="4">SUM(V8:W8)</f>
        <v>2126764</v>
      </c>
      <c r="Y8" s="108">
        <f t="shared" ref="Y8:Y39" si="5">+U8+P8+L8+G8+X8</f>
        <v>16457164</v>
      </c>
      <c r="Z8" s="107">
        <f>+VLOOKUP($B8,datos9!$A$2:$BG$78,36,FALSE)</f>
        <v>0</v>
      </c>
      <c r="AA8" s="107">
        <f>+VLOOKUP($B8,datos9!$A$2:$BG$78,37,FALSE)</f>
        <v>0</v>
      </c>
      <c r="AB8" s="107">
        <f>+VLOOKUP($B8,datos9!$A$2:$BG$78,38,FALSE)</f>
        <v>0</v>
      </c>
      <c r="AC8" s="107">
        <f>+VLOOKUP($B8,datos9!$A$2:$BG$78,39,FALSE)</f>
        <v>1223784</v>
      </c>
      <c r="AD8" s="107">
        <f>+VLOOKUP($B8,datos9!$A$2:$BG$78,40,FALSE)</f>
        <v>1739518</v>
      </c>
      <c r="AE8" s="385">
        <f t="shared" ref="AE8:AE39" si="6">SUM(Z8:AD8)</f>
        <v>2963302</v>
      </c>
      <c r="AF8" s="107">
        <f>+VLOOKUP($B8,datos9!$A$2:$BG$78,43,FALSE)</f>
        <v>0</v>
      </c>
      <c r="AG8" s="107">
        <f>+VLOOKUP($B8,datos9!$A$2:$BG$78,45,FALSE)</f>
        <v>0</v>
      </c>
      <c r="AH8" s="107">
        <f>+VLOOKUP($B8,datos9!$A$2:$BG$78,46,FALSE)</f>
        <v>0</v>
      </c>
      <c r="AI8" s="107">
        <f>+VLOOKUP($B8,datos9!$A$2:$BG$78,47,FALSE)</f>
        <v>0</v>
      </c>
      <c r="AJ8" s="385">
        <f t="shared" ref="AJ8:AJ39" si="7">SUM(AF8:AI8)</f>
        <v>0</v>
      </c>
      <c r="AK8" s="107">
        <f>+VLOOKUP($B8,datos9!$A$2:$BG$78,50,FALSE)</f>
        <v>3940789</v>
      </c>
      <c r="AL8" s="107">
        <f>+VLOOKUP($B8,datos9!$A$2:$BG$78,51,FALSE)</f>
        <v>23241726</v>
      </c>
      <c r="AM8" s="107">
        <f>+VLOOKUP($B8,datos9!$A$2:$BG$78,52,FALSE)</f>
        <v>20848232</v>
      </c>
      <c r="AN8" s="107">
        <f>+VLOOKUP($B8,datos9!$A$2:$BG$78,53,FALSE)</f>
        <v>18258136</v>
      </c>
      <c r="AO8" s="407">
        <f t="shared" ref="AO8:AO39" si="8">SUM(AK8:AN8)</f>
        <v>66288883</v>
      </c>
      <c r="AP8" s="107">
        <f>+VLOOKUP($B8,datos9!$A$2:$BG$78,56,FALSE)</f>
        <v>0</v>
      </c>
      <c r="AQ8" s="108">
        <f t="shared" ref="AQ8:AQ39" si="9">AO8+AJ8+AE8+AP8</f>
        <v>69252185</v>
      </c>
      <c r="AS8" s="109">
        <f t="shared" ref="AS8:AS39" si="10">+AQ8+Y8</f>
        <v>85709349</v>
      </c>
      <c r="AU8" s="12"/>
      <c r="AW8" s="107">
        <f t="shared" ref="AW8:AW39" si="11">D8+F8</f>
        <v>9537702</v>
      </c>
    </row>
    <row r="9" spans="1:49" x14ac:dyDescent="0.2">
      <c r="B9" s="17" t="s">
        <v>59</v>
      </c>
      <c r="C9" s="106"/>
      <c r="D9" s="107">
        <f>+VLOOKUP($B9,datos9!$A$2:$BG$78,14,FALSE)</f>
        <v>85632</v>
      </c>
      <c r="E9" s="107">
        <f>+VLOOKUP($B9,datos9!$A$2:$BG$78,15,FALSE)</f>
        <v>19245</v>
      </c>
      <c r="F9" s="107">
        <f>+VLOOKUP($B9,datos9!$A$2:$BG$78,16,FALSE)</f>
        <v>0</v>
      </c>
      <c r="G9" s="385">
        <f t="shared" si="0"/>
        <v>104877</v>
      </c>
      <c r="H9" s="107">
        <f>+VLOOKUP($B9,datos9!$A$2:$BG$78,18,FALSE)</f>
        <v>0</v>
      </c>
      <c r="I9" s="107">
        <f>+VLOOKUP($B9,datos9!$A$2:$BG$78,19,FALSE)</f>
        <v>167307</v>
      </c>
      <c r="J9" s="107">
        <f>+VLOOKUP($B9,datos9!$A$2:$BG$78,20,FALSE)</f>
        <v>247019</v>
      </c>
      <c r="K9" s="107">
        <f>+VLOOKUP($B9,datos9!$A$2:$BG$78,21,FALSE)</f>
        <v>15903</v>
      </c>
      <c r="L9" s="385">
        <f t="shared" si="1"/>
        <v>430229</v>
      </c>
      <c r="M9" s="107">
        <f>+VLOOKUP($B9,datos9!$A$2:$BG$78,23,FALSE)</f>
        <v>0</v>
      </c>
      <c r="N9" s="107">
        <f>+VLOOKUP($B9,datos9!$A$2:$BG$78,24,FALSE)</f>
        <v>0</v>
      </c>
      <c r="O9" s="107">
        <f>+VLOOKUP($B9,datos9!$A$2:$BG$78,25,FALSE)</f>
        <v>0</v>
      </c>
      <c r="P9" s="385">
        <f t="shared" si="2"/>
        <v>0</v>
      </c>
      <c r="Q9" s="107">
        <f>+VLOOKUP($B9,datos9!$A$2:$BG$78,27,FALSE)</f>
        <v>0</v>
      </c>
      <c r="R9" s="107">
        <f>+VLOOKUP($B9,datos9!$A$2:$BG$78,28,FALSE)</f>
        <v>0</v>
      </c>
      <c r="S9" s="107">
        <f>+VLOOKUP($B9,datos9!$A$2:$BG$78,29,FALSE)</f>
        <v>0</v>
      </c>
      <c r="T9" s="107">
        <f>+VLOOKUP($B9,datos9!$A$2:$BG$78,30,FALSE)</f>
        <v>0</v>
      </c>
      <c r="U9" s="385">
        <f t="shared" si="3"/>
        <v>0</v>
      </c>
      <c r="V9" s="107">
        <f>+VLOOKUP($B9,datos9!$A$2:$BG$78,32,FALSE)</f>
        <v>0</v>
      </c>
      <c r="W9" s="107">
        <f>+VLOOKUP($B9,datos9!$A$2:$BG$78,33,FALSE)</f>
        <v>0</v>
      </c>
      <c r="X9" s="404">
        <f t="shared" si="4"/>
        <v>0</v>
      </c>
      <c r="Y9" s="108">
        <f t="shared" si="5"/>
        <v>535106</v>
      </c>
      <c r="Z9" s="107">
        <f>+VLOOKUP($B9,datos9!$A$2:$BG$78,36,FALSE)</f>
        <v>0</v>
      </c>
      <c r="AA9" s="107">
        <f>+VLOOKUP($B9,datos9!$A$2:$BG$78,37,FALSE)</f>
        <v>0</v>
      </c>
      <c r="AB9" s="107">
        <f>+VLOOKUP($B9,datos9!$A$2:$BG$78,38,FALSE)</f>
        <v>0</v>
      </c>
      <c r="AC9" s="107">
        <f>+VLOOKUP($B9,datos9!$A$2:$BG$78,39,FALSE)</f>
        <v>0</v>
      </c>
      <c r="AD9" s="107">
        <f>+VLOOKUP($B9,datos9!$A$2:$BG$78,40,FALSE)</f>
        <v>0</v>
      </c>
      <c r="AE9" s="385">
        <f t="shared" si="6"/>
        <v>0</v>
      </c>
      <c r="AF9" s="107">
        <f>+VLOOKUP($B9,datos9!$A$2:$BG$78,43,FALSE)</f>
        <v>0</v>
      </c>
      <c r="AG9" s="107">
        <f>+VLOOKUP($B9,datos9!$A$2:$BG$78,45,FALSE)</f>
        <v>12198</v>
      </c>
      <c r="AH9" s="107">
        <f>+VLOOKUP($B9,datos9!$A$2:$BG$78,46,FALSE)</f>
        <v>0</v>
      </c>
      <c r="AI9" s="107">
        <f>+VLOOKUP($B9,datos9!$A$2:$BG$78,47,FALSE)</f>
        <v>0</v>
      </c>
      <c r="AJ9" s="385">
        <f t="shared" si="7"/>
        <v>12198</v>
      </c>
      <c r="AK9" s="107">
        <f>+VLOOKUP($B9,datos9!$A$2:$BG$78,50,FALSE)</f>
        <v>0</v>
      </c>
      <c r="AL9" s="107">
        <f>+VLOOKUP($B9,datos9!$A$2:$BG$78,51,FALSE)</f>
        <v>0</v>
      </c>
      <c r="AM9" s="107">
        <f>+VLOOKUP($B9,datos9!$A$2:$BG$78,52,FALSE)</f>
        <v>0</v>
      </c>
      <c r="AN9" s="107">
        <f>+VLOOKUP($B9,datos9!$A$2:$BG$78,53,FALSE)</f>
        <v>0</v>
      </c>
      <c r="AO9" s="407">
        <f t="shared" si="8"/>
        <v>0</v>
      </c>
      <c r="AP9" s="107">
        <f>+VLOOKUP($B9,datos9!$A$2:$BG$78,56,FALSE)</f>
        <v>0</v>
      </c>
      <c r="AQ9" s="108">
        <f t="shared" si="9"/>
        <v>12198</v>
      </c>
      <c r="AS9" s="109">
        <f t="shared" si="10"/>
        <v>547304</v>
      </c>
      <c r="AW9" s="107">
        <f t="shared" si="11"/>
        <v>85632</v>
      </c>
    </row>
    <row r="10" spans="1:49" x14ac:dyDescent="0.2">
      <c r="B10" s="17" t="s">
        <v>60</v>
      </c>
      <c r="C10" s="106"/>
      <c r="D10" s="107">
        <v>0</v>
      </c>
      <c r="E10" s="107" t="s">
        <v>65</v>
      </c>
      <c r="F10" s="107">
        <v>0</v>
      </c>
      <c r="G10" s="385">
        <v>0</v>
      </c>
      <c r="H10" s="107">
        <f>+VLOOKUP($B10,datos9!$A$2:$BG$78,18,FALSE)</f>
        <v>0</v>
      </c>
      <c r="I10" s="107">
        <f>+VLOOKUP($B10,datos9!$A$2:$BG$78,19,FALSE)</f>
        <v>0</v>
      </c>
      <c r="J10" s="107">
        <f>+VLOOKUP($B10,datos9!$A$2:$BG$78,20,FALSE)</f>
        <v>0</v>
      </c>
      <c r="K10" s="107">
        <f>+VLOOKUP($B10,datos9!$A$2:$BG$78,21,FALSE)</f>
        <v>0</v>
      </c>
      <c r="L10" s="385">
        <f t="shared" si="1"/>
        <v>0</v>
      </c>
      <c r="M10" s="107">
        <f>+VLOOKUP($B10,datos9!$A$2:$BG$78,23,FALSE)</f>
        <v>0</v>
      </c>
      <c r="N10" s="107">
        <f>+VLOOKUP($B10,datos9!$A$2:$BG$78,24,FALSE)</f>
        <v>0</v>
      </c>
      <c r="O10" s="107">
        <f>+VLOOKUP($B10,datos9!$A$2:$BG$78,25,FALSE)</f>
        <v>0</v>
      </c>
      <c r="P10" s="385">
        <f t="shared" si="2"/>
        <v>0</v>
      </c>
      <c r="Q10" s="107">
        <f>+VLOOKUP($B10,datos9!$A$2:$BG$78,27,FALSE)</f>
        <v>0</v>
      </c>
      <c r="R10" s="107">
        <f>+VLOOKUP($B10,datos9!$A$2:$BG$78,28,FALSE)</f>
        <v>0</v>
      </c>
      <c r="S10" s="107">
        <f>+VLOOKUP($B10,datos9!$A$2:$BG$78,29,FALSE)</f>
        <v>0</v>
      </c>
      <c r="T10" s="107">
        <f>+VLOOKUP($B10,datos9!$A$2:$BG$78,30,FALSE)</f>
        <v>0</v>
      </c>
      <c r="U10" s="385">
        <f t="shared" si="3"/>
        <v>0</v>
      </c>
      <c r="V10" s="107">
        <f>+VLOOKUP($B10,datos9!$A$2:$BG$78,32,FALSE)</f>
        <v>0</v>
      </c>
      <c r="W10" s="107">
        <f>+VLOOKUP($B10,datos9!$A$2:$BG$78,33,FALSE)</f>
        <v>0</v>
      </c>
      <c r="X10" s="404">
        <f t="shared" si="4"/>
        <v>0</v>
      </c>
      <c r="Y10" s="309" t="s">
        <v>283</v>
      </c>
      <c r="Z10" s="107">
        <f>+VLOOKUP($B10,datos9!$A$2:$BG$78,36,FALSE)</f>
        <v>0</v>
      </c>
      <c r="AA10" s="107">
        <f>+VLOOKUP($B10,datos9!$A$2:$BG$78,37,FALSE)</f>
        <v>0</v>
      </c>
      <c r="AB10" s="107">
        <f>+VLOOKUP($B10,datos9!$A$2:$BG$78,38,FALSE)</f>
        <v>0</v>
      </c>
      <c r="AC10" s="107">
        <f>+VLOOKUP($B10,datos9!$A$2:$BG$78,39,FALSE)</f>
        <v>0</v>
      </c>
      <c r="AD10" s="107">
        <f>+VLOOKUP($B10,datos9!$A$2:$BG$78,40,FALSE)</f>
        <v>0</v>
      </c>
      <c r="AE10" s="385">
        <f t="shared" si="6"/>
        <v>0</v>
      </c>
      <c r="AF10" s="107">
        <f>+VLOOKUP($B10,datos9!$A$2:$BG$78,43,FALSE)</f>
        <v>0</v>
      </c>
      <c r="AG10" s="107">
        <f>+VLOOKUP($B10,datos9!$A$2:$BG$78,45,FALSE)</f>
        <v>0</v>
      </c>
      <c r="AH10" s="107">
        <f>+VLOOKUP($B10,datos9!$A$2:$BG$78,46,FALSE)</f>
        <v>0</v>
      </c>
      <c r="AI10" s="107">
        <f>+VLOOKUP($B10,datos9!$A$2:$BG$78,47,FALSE)</f>
        <v>0</v>
      </c>
      <c r="AJ10" s="385">
        <f t="shared" si="7"/>
        <v>0</v>
      </c>
      <c r="AK10" s="107">
        <f>+VLOOKUP($B10,datos9!$A$2:$BG$78,50,FALSE)</f>
        <v>0</v>
      </c>
      <c r="AL10" s="107">
        <f>+VLOOKUP($B10,datos9!$A$2:$BG$78,51,FALSE)</f>
        <v>0</v>
      </c>
      <c r="AM10" s="107">
        <f>+VLOOKUP($B10,datos9!$A$2:$BG$78,52,FALSE)</f>
        <v>0</v>
      </c>
      <c r="AN10" s="107">
        <f>+VLOOKUP($B10,datos9!$A$2:$BG$78,53,FALSE)</f>
        <v>0</v>
      </c>
      <c r="AO10" s="407">
        <f t="shared" si="8"/>
        <v>0</v>
      </c>
      <c r="AP10" s="107">
        <f>+VLOOKUP($B10,datos9!$A$2:$BG$78,56,FALSE)</f>
        <v>0</v>
      </c>
      <c r="AQ10" s="309" t="s">
        <v>65</v>
      </c>
      <c r="AS10" s="311" t="s">
        <v>65</v>
      </c>
      <c r="AW10" s="107">
        <f t="shared" si="11"/>
        <v>0</v>
      </c>
    </row>
    <row r="11" spans="1:49" x14ac:dyDescent="0.2">
      <c r="B11" s="17" t="s">
        <v>61</v>
      </c>
      <c r="C11" s="106"/>
      <c r="D11" s="107">
        <f>+VLOOKUP($B11,datos9!$A$2:$BG$78,14,FALSE)</f>
        <v>40303</v>
      </c>
      <c r="E11" s="107">
        <f>+VLOOKUP($B11,datos9!$A$2:$BG$78,15,FALSE)</f>
        <v>0</v>
      </c>
      <c r="F11" s="107">
        <f>+VLOOKUP($B11,datos9!$A$2:$BG$78,16,FALSE)</f>
        <v>76114</v>
      </c>
      <c r="G11" s="385">
        <f t="shared" si="0"/>
        <v>116417</v>
      </c>
      <c r="H11" s="107">
        <f>+VLOOKUP($B11,datos9!$A$2:$BG$78,18,FALSE)</f>
        <v>31281</v>
      </c>
      <c r="I11" s="107">
        <f>+VLOOKUP($B11,datos9!$A$2:$BG$78,19,FALSE)</f>
        <v>0</v>
      </c>
      <c r="J11" s="107">
        <f>+VLOOKUP($B11,datos9!$A$2:$BG$78,20,FALSE)</f>
        <v>0</v>
      </c>
      <c r="K11" s="107">
        <f>+VLOOKUP($B11,datos9!$A$2:$BG$78,21,FALSE)</f>
        <v>51581</v>
      </c>
      <c r="L11" s="385">
        <f t="shared" si="1"/>
        <v>82862</v>
      </c>
      <c r="M11" s="107">
        <f>+VLOOKUP($B11,datos9!$A$2:$BG$78,23,FALSE)</f>
        <v>502155</v>
      </c>
      <c r="N11" s="107">
        <f>+VLOOKUP($B11,datos9!$A$2:$BG$78,24,FALSE)</f>
        <v>0</v>
      </c>
      <c r="O11" s="107">
        <f>+VLOOKUP($B11,datos9!$A$2:$BG$78,25,FALSE)</f>
        <v>0</v>
      </c>
      <c r="P11" s="385">
        <f t="shared" si="2"/>
        <v>502155</v>
      </c>
      <c r="Q11" s="107">
        <f>+VLOOKUP($B11,datos9!$A$2:$BG$78,27,FALSE)</f>
        <v>0</v>
      </c>
      <c r="R11" s="107">
        <f>+VLOOKUP($B11,datos9!$A$2:$BG$78,28,FALSE)</f>
        <v>0</v>
      </c>
      <c r="S11" s="107">
        <f>+VLOOKUP($B11,datos9!$A$2:$BG$78,29,FALSE)</f>
        <v>0</v>
      </c>
      <c r="T11" s="107">
        <f>+VLOOKUP($B11,datos9!$A$2:$BG$78,30,FALSE)</f>
        <v>347409</v>
      </c>
      <c r="U11" s="385">
        <f t="shared" si="3"/>
        <v>347409</v>
      </c>
      <c r="V11" s="107">
        <f>+VLOOKUP($B11,datos9!$A$2:$BG$78,32,FALSE)</f>
        <v>0</v>
      </c>
      <c r="W11" s="107">
        <f>+VLOOKUP($B11,datos9!$A$2:$BG$78,33,FALSE)</f>
        <v>0</v>
      </c>
      <c r="X11" s="404">
        <f t="shared" si="4"/>
        <v>0</v>
      </c>
      <c r="Y11" s="108">
        <f t="shared" si="5"/>
        <v>1048843</v>
      </c>
      <c r="Z11" s="107">
        <f>+VLOOKUP($B11,datos9!$A$2:$BG$78,36,FALSE)</f>
        <v>0</v>
      </c>
      <c r="AA11" s="107">
        <f>+VLOOKUP($B11,datos9!$A$2:$BG$78,37,FALSE)</f>
        <v>850615</v>
      </c>
      <c r="AB11" s="107">
        <f>+VLOOKUP($B11,datos9!$A$2:$BG$78,38,FALSE)</f>
        <v>0</v>
      </c>
      <c r="AC11" s="107">
        <f>+VLOOKUP($B11,datos9!$A$2:$BG$78,39,FALSE)</f>
        <v>0</v>
      </c>
      <c r="AD11" s="107">
        <f>+VLOOKUP($B11,datos9!$A$2:$BG$78,40,FALSE)</f>
        <v>0</v>
      </c>
      <c r="AE11" s="385">
        <f t="shared" si="6"/>
        <v>850615</v>
      </c>
      <c r="AF11" s="107">
        <f>+VLOOKUP($B11,datos9!$A$2:$BG$78,43,FALSE)</f>
        <v>367634</v>
      </c>
      <c r="AG11" s="107">
        <f>+VLOOKUP($B11,datos9!$A$2:$BG$78,45,FALSE)</f>
        <v>0</v>
      </c>
      <c r="AH11" s="107">
        <f>+VLOOKUP($B11,datos9!$A$2:$BG$78,46,FALSE)</f>
        <v>0</v>
      </c>
      <c r="AI11" s="107">
        <f>+VLOOKUP($B11,datos9!$A$2:$BG$78,47,FALSE)</f>
        <v>0</v>
      </c>
      <c r="AJ11" s="385">
        <f t="shared" si="7"/>
        <v>367634</v>
      </c>
      <c r="AK11" s="107">
        <f>+VLOOKUP($B11,datos9!$A$2:$BG$78,50,FALSE)</f>
        <v>330000</v>
      </c>
      <c r="AL11" s="107">
        <f>+VLOOKUP($B11,datos9!$A$2:$BG$78,51,FALSE)</f>
        <v>0</v>
      </c>
      <c r="AM11" s="107">
        <f>+VLOOKUP($B11,datos9!$A$2:$BG$78,52,FALSE)</f>
        <v>0</v>
      </c>
      <c r="AN11" s="107">
        <f>+VLOOKUP($B11,datos9!$A$2:$BG$78,53,FALSE)</f>
        <v>0</v>
      </c>
      <c r="AO11" s="407">
        <f t="shared" si="8"/>
        <v>330000</v>
      </c>
      <c r="AP11" s="107">
        <f>+VLOOKUP($B11,datos9!$A$2:$BG$78,56,FALSE)</f>
        <v>0</v>
      </c>
      <c r="AQ11" s="108">
        <f t="shared" si="9"/>
        <v>1548249</v>
      </c>
      <c r="AS11" s="109">
        <f t="shared" si="10"/>
        <v>2597092</v>
      </c>
      <c r="AW11" s="107">
        <f t="shared" si="11"/>
        <v>116417</v>
      </c>
    </row>
    <row r="12" spans="1:49" x14ac:dyDescent="0.2">
      <c r="B12" s="17" t="s">
        <v>62</v>
      </c>
      <c r="C12" s="106"/>
      <c r="D12" s="107">
        <f>+VLOOKUP($B12,datos9!$A$2:$BG$78,14,FALSE)</f>
        <v>0</v>
      </c>
      <c r="E12" s="107">
        <f>+VLOOKUP($B12,datos9!$A$2:$BG$78,15,FALSE)</f>
        <v>0</v>
      </c>
      <c r="F12" s="107">
        <f>+VLOOKUP($B12,datos9!$A$2:$BG$78,16,FALSE)</f>
        <v>0</v>
      </c>
      <c r="G12" s="385">
        <f t="shared" si="0"/>
        <v>0</v>
      </c>
      <c r="H12" s="107">
        <f>+VLOOKUP($B12,datos9!$A$2:$BG$78,18,FALSE)</f>
        <v>2008</v>
      </c>
      <c r="I12" s="107">
        <f>+VLOOKUP($B12,datos9!$A$2:$BG$78,19,FALSE)</f>
        <v>0</v>
      </c>
      <c r="J12" s="107">
        <f>+VLOOKUP($B12,datos9!$A$2:$BG$78,20,FALSE)</f>
        <v>0</v>
      </c>
      <c r="K12" s="107">
        <f>+VLOOKUP($B12,datos9!$A$2:$BG$78,21,FALSE)</f>
        <v>12632</v>
      </c>
      <c r="L12" s="385">
        <f t="shared" si="1"/>
        <v>14640</v>
      </c>
      <c r="M12" s="107">
        <f>+VLOOKUP($B12,datos9!$A$2:$BG$78,23,FALSE)</f>
        <v>42000</v>
      </c>
      <c r="N12" s="107">
        <f>+VLOOKUP($B12,datos9!$A$2:$BG$78,24,FALSE)</f>
        <v>0</v>
      </c>
      <c r="O12" s="107">
        <f>+VLOOKUP($B12,datos9!$A$2:$BG$78,25,FALSE)</f>
        <v>0</v>
      </c>
      <c r="P12" s="385">
        <f t="shared" si="2"/>
        <v>42000</v>
      </c>
      <c r="Q12" s="107">
        <f>+VLOOKUP($B12,datos9!$A$2:$BG$78,27,FALSE)</f>
        <v>0</v>
      </c>
      <c r="R12" s="107">
        <f>+VLOOKUP($B12,datos9!$A$2:$BG$78,28,FALSE)</f>
        <v>0</v>
      </c>
      <c r="S12" s="107">
        <f>+VLOOKUP($B12,datos9!$A$2:$BG$78,29,FALSE)</f>
        <v>0</v>
      </c>
      <c r="T12" s="107">
        <f>+VLOOKUP($B12,datos9!$A$2:$BG$78,30,FALSE)</f>
        <v>0</v>
      </c>
      <c r="U12" s="385">
        <f t="shared" si="3"/>
        <v>0</v>
      </c>
      <c r="V12" s="107">
        <f>+VLOOKUP($B12,datos9!$A$2:$BG$78,32,FALSE)</f>
        <v>7567</v>
      </c>
      <c r="W12" s="107">
        <f>+VLOOKUP($B12,datos9!$A$2:$BG$78,33,FALSE)</f>
        <v>0</v>
      </c>
      <c r="X12" s="404">
        <f t="shared" si="4"/>
        <v>7567</v>
      </c>
      <c r="Y12" s="108">
        <f t="shared" si="5"/>
        <v>64207</v>
      </c>
      <c r="Z12" s="107">
        <f>+VLOOKUP($B12,datos9!$A$2:$BG$78,36,FALSE)</f>
        <v>0</v>
      </c>
      <c r="AA12" s="107">
        <f>+VLOOKUP($B12,datos9!$A$2:$BG$78,37,FALSE)</f>
        <v>349300</v>
      </c>
      <c r="AB12" s="107">
        <f>+VLOOKUP($B12,datos9!$A$2:$BG$78,38,FALSE)</f>
        <v>0</v>
      </c>
      <c r="AC12" s="107">
        <f>+VLOOKUP($B12,datos9!$A$2:$BG$78,39,FALSE)</f>
        <v>7000</v>
      </c>
      <c r="AD12" s="107">
        <f>+VLOOKUP($B12,datos9!$A$2:$BG$78,40,FALSE)</f>
        <v>0</v>
      </c>
      <c r="AE12" s="385">
        <f t="shared" si="6"/>
        <v>356300</v>
      </c>
      <c r="AF12" s="107">
        <f>+VLOOKUP($B12,datos9!$A$2:$BG$78,43,FALSE)</f>
        <v>0</v>
      </c>
      <c r="AG12" s="107">
        <f>+VLOOKUP($B12,datos9!$A$2:$BG$78,45,FALSE)</f>
        <v>90518</v>
      </c>
      <c r="AH12" s="107">
        <f>+VLOOKUP($B12,datos9!$A$2:$BG$78,46,FALSE)</f>
        <v>349330</v>
      </c>
      <c r="AI12" s="107">
        <f>+VLOOKUP($B12,datos9!$A$2:$BG$78,47,FALSE)</f>
        <v>3750</v>
      </c>
      <c r="AJ12" s="385">
        <f t="shared" si="7"/>
        <v>443598</v>
      </c>
      <c r="AK12" s="107">
        <f>+VLOOKUP($B12,datos9!$A$2:$BG$78,50,FALSE)</f>
        <v>0</v>
      </c>
      <c r="AL12" s="107">
        <f>+VLOOKUP($B12,datos9!$A$2:$BG$78,51,FALSE)</f>
        <v>0</v>
      </c>
      <c r="AM12" s="107">
        <f>+VLOOKUP($B12,datos9!$A$2:$BG$78,52,FALSE)</f>
        <v>0</v>
      </c>
      <c r="AN12" s="107">
        <f>+VLOOKUP($B12,datos9!$A$2:$BG$78,53,FALSE)</f>
        <v>0</v>
      </c>
      <c r="AO12" s="407">
        <f t="shared" si="8"/>
        <v>0</v>
      </c>
      <c r="AP12" s="107">
        <f>+VLOOKUP($B12,datos9!$A$2:$BG$78,56,FALSE)</f>
        <v>0</v>
      </c>
      <c r="AQ12" s="108">
        <f t="shared" si="9"/>
        <v>799898</v>
      </c>
      <c r="AS12" s="109">
        <f t="shared" si="10"/>
        <v>864105</v>
      </c>
      <c r="AW12" s="107">
        <f t="shared" si="11"/>
        <v>0</v>
      </c>
    </row>
    <row r="13" spans="1:49" x14ac:dyDescent="0.2">
      <c r="B13" s="17" t="s">
        <v>63</v>
      </c>
      <c r="C13" s="106"/>
      <c r="D13" s="107">
        <f>+VLOOKUP($B13,datos9!$A$2:$BG$78,14,FALSE)</f>
        <v>711673</v>
      </c>
      <c r="E13" s="107">
        <f>+VLOOKUP($B13,datos9!$A$2:$BG$78,15,FALSE)</f>
        <v>61320</v>
      </c>
      <c r="F13" s="107">
        <f>+VLOOKUP($B13,datos9!$A$2:$BG$78,16,FALSE)</f>
        <v>9365</v>
      </c>
      <c r="G13" s="385">
        <f t="shared" si="0"/>
        <v>782358</v>
      </c>
      <c r="H13" s="107">
        <f>+VLOOKUP($B13,datos9!$A$2:$BG$78,18,FALSE)</f>
        <v>1404098</v>
      </c>
      <c r="I13" s="107">
        <f>+VLOOKUP($B13,datos9!$A$2:$BG$78,19,FALSE)</f>
        <v>196747</v>
      </c>
      <c r="J13" s="107">
        <f>+VLOOKUP($B13,datos9!$A$2:$BG$78,20,FALSE)</f>
        <v>16656</v>
      </c>
      <c r="K13" s="107">
        <f>+VLOOKUP($B13,datos9!$A$2:$BG$78,21,FALSE)</f>
        <v>6744195</v>
      </c>
      <c r="L13" s="385">
        <f t="shared" si="1"/>
        <v>8361696</v>
      </c>
      <c r="M13" s="107">
        <f>+VLOOKUP($B13,datos9!$A$2:$BG$78,23,FALSE)</f>
        <v>127500</v>
      </c>
      <c r="N13" s="107">
        <f>+VLOOKUP($B13,datos9!$A$2:$BG$78,24,FALSE)</f>
        <v>0</v>
      </c>
      <c r="O13" s="107">
        <f>+VLOOKUP($B13,datos9!$A$2:$BG$78,25,FALSE)</f>
        <v>0</v>
      </c>
      <c r="P13" s="385">
        <f t="shared" si="2"/>
        <v>127500</v>
      </c>
      <c r="Q13" s="107">
        <f>+VLOOKUP($B13,datos9!$A$2:$BG$78,27,FALSE)</f>
        <v>6096</v>
      </c>
      <c r="R13" s="107">
        <f>+VLOOKUP($B13,datos9!$A$2:$BG$78,28,FALSE)</f>
        <v>0</v>
      </c>
      <c r="S13" s="107">
        <f>+VLOOKUP($B13,datos9!$A$2:$BG$78,29,FALSE)</f>
        <v>4714</v>
      </c>
      <c r="T13" s="107">
        <f>+VLOOKUP($B13,datos9!$A$2:$BG$78,30,FALSE)</f>
        <v>0</v>
      </c>
      <c r="U13" s="385">
        <f t="shared" si="3"/>
        <v>10810</v>
      </c>
      <c r="V13" s="107">
        <f>+VLOOKUP($B13,datos9!$A$2:$BG$78,32,FALSE)</f>
        <v>68435</v>
      </c>
      <c r="W13" s="107">
        <f>+VLOOKUP($B13,datos9!$A$2:$BG$78,33,FALSE)</f>
        <v>0</v>
      </c>
      <c r="X13" s="404">
        <f t="shared" si="4"/>
        <v>68435</v>
      </c>
      <c r="Y13" s="108">
        <f t="shared" si="5"/>
        <v>9350799</v>
      </c>
      <c r="Z13" s="107">
        <f>+VLOOKUP($B13,datos9!$A$2:$BG$78,36,FALSE)</f>
        <v>0</v>
      </c>
      <c r="AA13" s="107">
        <f>+VLOOKUP($B13,datos9!$A$2:$BG$78,37,FALSE)</f>
        <v>449053</v>
      </c>
      <c r="AB13" s="107">
        <f>+VLOOKUP($B13,datos9!$A$2:$BG$78,38,FALSE)</f>
        <v>0</v>
      </c>
      <c r="AC13" s="107">
        <f>+VLOOKUP($B13,datos9!$A$2:$BG$78,39,FALSE)</f>
        <v>0</v>
      </c>
      <c r="AD13" s="107">
        <f>+VLOOKUP($B13,datos9!$A$2:$BG$78,40,FALSE)</f>
        <v>0</v>
      </c>
      <c r="AE13" s="385">
        <f t="shared" si="6"/>
        <v>449053</v>
      </c>
      <c r="AF13" s="107">
        <f>+VLOOKUP($B13,datos9!$A$2:$BG$78,43,FALSE)</f>
        <v>3049006</v>
      </c>
      <c r="AG13" s="107">
        <f>+VLOOKUP($B13,datos9!$A$2:$BG$78,45,FALSE)</f>
        <v>653156</v>
      </c>
      <c r="AH13" s="107">
        <f>+VLOOKUP($B13,datos9!$A$2:$BG$78,46,FALSE)</f>
        <v>0</v>
      </c>
      <c r="AI13" s="107">
        <f>+VLOOKUP($B13,datos9!$A$2:$BG$78,47,FALSE)</f>
        <v>0</v>
      </c>
      <c r="AJ13" s="385">
        <f t="shared" si="7"/>
        <v>3702162</v>
      </c>
      <c r="AK13" s="107">
        <f>+VLOOKUP($B13,datos9!$A$2:$BG$78,50,FALSE)</f>
        <v>0</v>
      </c>
      <c r="AL13" s="107">
        <f>+VLOOKUP($B13,datos9!$A$2:$BG$78,51,FALSE)</f>
        <v>0</v>
      </c>
      <c r="AM13" s="107">
        <f>+VLOOKUP($B13,datos9!$A$2:$BG$78,52,FALSE)</f>
        <v>0</v>
      </c>
      <c r="AN13" s="107">
        <f>+VLOOKUP($B13,datos9!$A$2:$BG$78,53,FALSE)</f>
        <v>0</v>
      </c>
      <c r="AO13" s="407">
        <f t="shared" si="8"/>
        <v>0</v>
      </c>
      <c r="AP13" s="107">
        <f>+VLOOKUP($B13,datos9!$A$2:$BG$78,56,FALSE)</f>
        <v>0</v>
      </c>
      <c r="AQ13" s="108">
        <f t="shared" si="9"/>
        <v>4151215</v>
      </c>
      <c r="AS13" s="109">
        <f t="shared" si="10"/>
        <v>13502014</v>
      </c>
      <c r="AW13" s="107">
        <f t="shared" si="11"/>
        <v>721038</v>
      </c>
    </row>
    <row r="14" spans="1:49" x14ac:dyDescent="0.2">
      <c r="B14" s="17" t="s">
        <v>64</v>
      </c>
      <c r="C14" s="106"/>
      <c r="D14" s="107">
        <f>+VLOOKUP($B14,datos9!$A$2:$BG$78,14,FALSE)</f>
        <v>340852</v>
      </c>
      <c r="E14" s="107">
        <f>+VLOOKUP($B14,datos9!$A$2:$BG$78,15,FALSE)</f>
        <v>0</v>
      </c>
      <c r="F14" s="107">
        <f>+VLOOKUP($B14,datos9!$A$2:$BG$78,16,FALSE)</f>
        <v>0</v>
      </c>
      <c r="G14" s="385">
        <f t="shared" si="0"/>
        <v>340852</v>
      </c>
      <c r="H14" s="107">
        <f>+VLOOKUP($B14,datos9!$A$2:$BG$78,18,FALSE)</f>
        <v>79167</v>
      </c>
      <c r="I14" s="107">
        <f>+VLOOKUP($B14,datos9!$A$2:$BG$78,19,FALSE)</f>
        <v>21756</v>
      </c>
      <c r="J14" s="107">
        <f>+VLOOKUP($B14,datos9!$A$2:$BG$78,20,FALSE)</f>
        <v>17636</v>
      </c>
      <c r="K14" s="107">
        <f>+VLOOKUP($B14,datos9!$A$2:$BG$78,21,FALSE)</f>
        <v>578787</v>
      </c>
      <c r="L14" s="385">
        <f t="shared" si="1"/>
        <v>697346</v>
      </c>
      <c r="M14" s="107">
        <f>+VLOOKUP($B14,datos9!$A$2:$BG$78,23,FALSE)</f>
        <v>0</v>
      </c>
      <c r="N14" s="107">
        <f>+VLOOKUP($B14,datos9!$A$2:$BG$78,24,FALSE)</f>
        <v>61000</v>
      </c>
      <c r="O14" s="107">
        <f>+VLOOKUP($B14,datos9!$A$2:$BG$78,25,FALSE)</f>
        <v>0</v>
      </c>
      <c r="P14" s="385">
        <f t="shared" si="2"/>
        <v>61000</v>
      </c>
      <c r="Q14" s="107">
        <f>+VLOOKUP($B14,datos9!$A$2:$BG$78,27,FALSE)</f>
        <v>82475</v>
      </c>
      <c r="R14" s="107">
        <f>+VLOOKUP($B14,datos9!$A$2:$BG$78,28,FALSE)</f>
        <v>0</v>
      </c>
      <c r="S14" s="107">
        <f>+VLOOKUP($B14,datos9!$A$2:$BG$78,29,FALSE)</f>
        <v>0</v>
      </c>
      <c r="T14" s="107">
        <f>+VLOOKUP($B14,datos9!$A$2:$BG$78,30,FALSE)</f>
        <v>8723</v>
      </c>
      <c r="U14" s="385">
        <f t="shared" si="3"/>
        <v>91198</v>
      </c>
      <c r="V14" s="107">
        <f>+VLOOKUP($B14,datos9!$A$2:$BG$78,32,FALSE)</f>
        <v>12253</v>
      </c>
      <c r="W14" s="107">
        <f>+VLOOKUP($B14,datos9!$A$2:$BG$78,33,FALSE)</f>
        <v>21073</v>
      </c>
      <c r="X14" s="404">
        <f t="shared" si="4"/>
        <v>33326</v>
      </c>
      <c r="Y14" s="108">
        <f t="shared" si="5"/>
        <v>1223722</v>
      </c>
      <c r="Z14" s="107">
        <f>+VLOOKUP($B14,datos9!$A$2:$BG$78,36,FALSE)</f>
        <v>0</v>
      </c>
      <c r="AA14" s="107">
        <f>+VLOOKUP($B14,datos9!$A$2:$BG$78,37,FALSE)</f>
        <v>665620</v>
      </c>
      <c r="AB14" s="107">
        <f>+VLOOKUP($B14,datos9!$A$2:$BG$78,38,FALSE)</f>
        <v>0</v>
      </c>
      <c r="AC14" s="107">
        <f>+VLOOKUP($B14,datos9!$A$2:$BG$78,39,FALSE)</f>
        <v>7140</v>
      </c>
      <c r="AD14" s="107">
        <f>+VLOOKUP($B14,datos9!$A$2:$BG$78,40,FALSE)</f>
        <v>0</v>
      </c>
      <c r="AE14" s="385">
        <f t="shared" si="6"/>
        <v>672760</v>
      </c>
      <c r="AF14" s="107">
        <f>+VLOOKUP($B14,datos9!$A$2:$BG$78,43,FALSE)</f>
        <v>1923964</v>
      </c>
      <c r="AG14" s="107">
        <f>+VLOOKUP($B14,datos9!$A$2:$BG$78,45,FALSE)</f>
        <v>700822</v>
      </c>
      <c r="AH14" s="107">
        <f>+VLOOKUP($B14,datos9!$A$2:$BG$78,46,FALSE)</f>
        <v>0</v>
      </c>
      <c r="AI14" s="107">
        <f>+VLOOKUP($B14,datos9!$A$2:$BG$78,47,FALSE)</f>
        <v>0</v>
      </c>
      <c r="AJ14" s="385">
        <f t="shared" si="7"/>
        <v>2624786</v>
      </c>
      <c r="AK14" s="107">
        <f>+VLOOKUP($B14,datos9!$A$2:$BG$78,50,FALSE)</f>
        <v>1562261</v>
      </c>
      <c r="AL14" s="107">
        <f>+VLOOKUP($B14,datos9!$A$2:$BG$78,51,FALSE)</f>
        <v>741804</v>
      </c>
      <c r="AM14" s="107">
        <f>+VLOOKUP($B14,datos9!$A$2:$BG$78,52,FALSE)</f>
        <v>0</v>
      </c>
      <c r="AN14" s="107">
        <f>+VLOOKUP($B14,datos9!$A$2:$BG$78,53,FALSE)</f>
        <v>0</v>
      </c>
      <c r="AO14" s="407">
        <f t="shared" si="8"/>
        <v>2304065</v>
      </c>
      <c r="AP14" s="107">
        <f>+VLOOKUP($B14,datos9!$A$2:$BG$78,56,FALSE)</f>
        <v>0</v>
      </c>
      <c r="AQ14" s="108">
        <f t="shared" si="9"/>
        <v>5601611</v>
      </c>
      <c r="AS14" s="109">
        <f t="shared" si="10"/>
        <v>6825333</v>
      </c>
      <c r="AW14" s="107">
        <f t="shared" si="11"/>
        <v>340852</v>
      </c>
    </row>
    <row r="15" spans="1:49" x14ac:dyDescent="0.2">
      <c r="B15" s="17" t="s">
        <v>245</v>
      </c>
      <c r="C15" s="106"/>
      <c r="D15" s="107">
        <f>+VLOOKUP($B15,datos9!$A$2:$BG$78,14,FALSE)</f>
        <v>3940</v>
      </c>
      <c r="E15" s="107">
        <f>+VLOOKUP($B15,datos9!$A$2:$BG$78,15,FALSE)</f>
        <v>0</v>
      </c>
      <c r="F15" s="107">
        <f>+VLOOKUP($B15,datos9!$A$2:$BG$78,16,FALSE)</f>
        <v>0</v>
      </c>
      <c r="G15" s="385">
        <f t="shared" si="0"/>
        <v>3940</v>
      </c>
      <c r="H15" s="107">
        <f>+VLOOKUP($B15,datos9!$A$2:$BG$78,18,FALSE)</f>
        <v>0</v>
      </c>
      <c r="I15" s="107">
        <f>+VLOOKUP($B15,datos9!$A$2:$BG$78,19,FALSE)</f>
        <v>0</v>
      </c>
      <c r="J15" s="107">
        <f>+VLOOKUP($B15,datos9!$A$2:$BG$78,20,FALSE)</f>
        <v>0</v>
      </c>
      <c r="K15" s="107">
        <f>+VLOOKUP($B15,datos9!$A$2:$BG$78,21,FALSE)</f>
        <v>0</v>
      </c>
      <c r="L15" s="385">
        <f t="shared" si="1"/>
        <v>0</v>
      </c>
      <c r="M15" s="107">
        <f>+VLOOKUP($B15,datos9!$A$2:$BG$78,23,FALSE)</f>
        <v>0</v>
      </c>
      <c r="N15" s="107">
        <f>+VLOOKUP($B15,datos9!$A$2:$BG$78,24,FALSE)</f>
        <v>0</v>
      </c>
      <c r="O15" s="107">
        <f>+VLOOKUP($B15,datos9!$A$2:$BG$78,25,FALSE)</f>
        <v>0</v>
      </c>
      <c r="P15" s="385">
        <f t="shared" si="2"/>
        <v>0</v>
      </c>
      <c r="Q15" s="107">
        <f>+VLOOKUP($B15,datos9!$A$2:$BG$78,27,FALSE)</f>
        <v>0</v>
      </c>
      <c r="R15" s="107">
        <f>+VLOOKUP($B15,datos9!$A$2:$BG$78,28,FALSE)</f>
        <v>0</v>
      </c>
      <c r="S15" s="107">
        <f>+VLOOKUP($B15,datos9!$A$2:$BG$78,29,FALSE)</f>
        <v>0</v>
      </c>
      <c r="T15" s="107">
        <f>+VLOOKUP($B15,datos9!$A$2:$BG$78,30,FALSE)</f>
        <v>0</v>
      </c>
      <c r="U15" s="385">
        <f t="shared" si="3"/>
        <v>0</v>
      </c>
      <c r="V15" s="107">
        <f>+VLOOKUP($B15,datos9!$A$2:$BG$78,32,FALSE)</f>
        <v>0</v>
      </c>
      <c r="W15" s="107">
        <f>+VLOOKUP($B15,datos9!$A$2:$BG$78,33,FALSE)</f>
        <v>0</v>
      </c>
      <c r="X15" s="404">
        <f t="shared" si="4"/>
        <v>0</v>
      </c>
      <c r="Y15" s="108">
        <f t="shared" si="5"/>
        <v>3940</v>
      </c>
      <c r="Z15" s="107">
        <f>+VLOOKUP($B15,datos9!$A$2:$BG$78,36,FALSE)</f>
        <v>0</v>
      </c>
      <c r="AA15" s="107">
        <f>+VLOOKUP($B15,datos9!$A$2:$BG$78,37,FALSE)</f>
        <v>625825</v>
      </c>
      <c r="AB15" s="107">
        <f>+VLOOKUP($B15,datos9!$A$2:$BG$78,38,FALSE)</f>
        <v>0</v>
      </c>
      <c r="AC15" s="107">
        <f>+VLOOKUP($B15,datos9!$A$2:$BG$78,39,FALSE)</f>
        <v>0</v>
      </c>
      <c r="AD15" s="107">
        <f>+VLOOKUP($B15,datos9!$A$2:$BG$78,40,FALSE)</f>
        <v>0</v>
      </c>
      <c r="AE15" s="385">
        <f t="shared" si="6"/>
        <v>625825</v>
      </c>
      <c r="AF15" s="107">
        <f>+VLOOKUP($B15,datos9!$A$2:$BG$78,43,FALSE)</f>
        <v>293725</v>
      </c>
      <c r="AG15" s="107">
        <f>+VLOOKUP($B15,datos9!$A$2:$BG$78,45,FALSE)</f>
        <v>29928</v>
      </c>
      <c r="AH15" s="107">
        <f>+VLOOKUP($B15,datos9!$A$2:$BG$78,46,FALSE)</f>
        <v>0</v>
      </c>
      <c r="AI15" s="107">
        <f>+VLOOKUP($B15,datos9!$A$2:$BG$78,47,FALSE)</f>
        <v>0</v>
      </c>
      <c r="AJ15" s="385">
        <f t="shared" si="7"/>
        <v>323653</v>
      </c>
      <c r="AK15" s="107">
        <f>+VLOOKUP($B15,datos9!$A$2:$BG$78,50,FALSE)</f>
        <v>0</v>
      </c>
      <c r="AL15" s="107">
        <f>+VLOOKUP($B15,datos9!$A$2:$BG$78,51,FALSE)</f>
        <v>0</v>
      </c>
      <c r="AM15" s="107">
        <f>+VLOOKUP($B15,datos9!$A$2:$BG$78,52,FALSE)</f>
        <v>0</v>
      </c>
      <c r="AN15" s="107">
        <f>+VLOOKUP($B15,datos9!$A$2:$BG$78,53,FALSE)</f>
        <v>1425000</v>
      </c>
      <c r="AO15" s="407">
        <f t="shared" si="8"/>
        <v>1425000</v>
      </c>
      <c r="AP15" s="107">
        <f>+VLOOKUP($B15,datos9!$A$2:$BG$78,56,FALSE)</f>
        <v>0</v>
      </c>
      <c r="AQ15" s="108">
        <f t="shared" si="9"/>
        <v>2374478</v>
      </c>
      <c r="AS15" s="109">
        <f t="shared" si="10"/>
        <v>2378418</v>
      </c>
      <c r="AW15" s="107">
        <f t="shared" si="11"/>
        <v>3940</v>
      </c>
    </row>
    <row r="16" spans="1:49" x14ac:dyDescent="0.2">
      <c r="B16" s="17" t="s">
        <v>246</v>
      </c>
      <c r="C16" s="106"/>
      <c r="D16" s="107">
        <f>+VLOOKUP($B16,datos9!$A$2:$BG$78,14,FALSE)</f>
        <v>45139</v>
      </c>
      <c r="E16" s="107">
        <f>+VLOOKUP($B16,datos9!$A$2:$BG$78,15,FALSE)</f>
        <v>0</v>
      </c>
      <c r="F16" s="107">
        <f>+VLOOKUP($B16,datos9!$A$2:$BG$78,16,FALSE)</f>
        <v>0</v>
      </c>
      <c r="G16" s="385">
        <f t="shared" si="0"/>
        <v>45139</v>
      </c>
      <c r="H16" s="107">
        <f>+VLOOKUP($B16,datos9!$A$2:$BG$78,18,FALSE)</f>
        <v>15704</v>
      </c>
      <c r="I16" s="107">
        <f>+VLOOKUP($B16,datos9!$A$2:$BG$78,19,FALSE)</f>
        <v>0</v>
      </c>
      <c r="J16" s="107">
        <f>+VLOOKUP($B16,datos9!$A$2:$BG$78,20,FALSE)</f>
        <v>36826</v>
      </c>
      <c r="K16" s="107">
        <f>+VLOOKUP($B16,datos9!$A$2:$BG$78,21,FALSE)</f>
        <v>18132</v>
      </c>
      <c r="L16" s="385">
        <f t="shared" si="1"/>
        <v>70662</v>
      </c>
      <c r="M16" s="107">
        <f>+VLOOKUP($B16,datos9!$A$2:$BG$78,23,FALSE)</f>
        <v>213196</v>
      </c>
      <c r="N16" s="107">
        <f>+VLOOKUP($B16,datos9!$A$2:$BG$78,24,FALSE)</f>
        <v>33996</v>
      </c>
      <c r="O16" s="107">
        <f>+VLOOKUP($B16,datos9!$A$2:$BG$78,25,FALSE)</f>
        <v>0</v>
      </c>
      <c r="P16" s="385">
        <f t="shared" si="2"/>
        <v>247192</v>
      </c>
      <c r="Q16" s="107">
        <f>+VLOOKUP($B16,datos9!$A$2:$BG$78,27,FALSE)</f>
        <v>0</v>
      </c>
      <c r="R16" s="107">
        <f>+VLOOKUP($B16,datos9!$A$2:$BG$78,28,FALSE)</f>
        <v>0</v>
      </c>
      <c r="S16" s="107">
        <f>+VLOOKUP($B16,datos9!$A$2:$BG$78,29,FALSE)</f>
        <v>0</v>
      </c>
      <c r="T16" s="107">
        <f>+VLOOKUP($B16,datos9!$A$2:$BG$78,30,FALSE)</f>
        <v>0</v>
      </c>
      <c r="U16" s="385">
        <f t="shared" si="3"/>
        <v>0</v>
      </c>
      <c r="V16" s="107">
        <f>+VLOOKUP($B16,datos9!$A$2:$BG$78,32,FALSE)</f>
        <v>0</v>
      </c>
      <c r="W16" s="107">
        <f>+VLOOKUP($B16,datos9!$A$2:$BG$78,33,FALSE)</f>
        <v>0</v>
      </c>
      <c r="X16" s="404">
        <f t="shared" si="4"/>
        <v>0</v>
      </c>
      <c r="Y16" s="108">
        <f t="shared" si="5"/>
        <v>362993</v>
      </c>
      <c r="Z16" s="107">
        <f>+VLOOKUP($B16,datos9!$A$2:$BG$78,36,FALSE)</f>
        <v>0</v>
      </c>
      <c r="AA16" s="107">
        <f>+VLOOKUP($B16,datos9!$A$2:$BG$78,37,FALSE)</f>
        <v>291470</v>
      </c>
      <c r="AB16" s="107">
        <f>+VLOOKUP($B16,datos9!$A$2:$BG$78,38,FALSE)</f>
        <v>0</v>
      </c>
      <c r="AC16" s="107">
        <f>+VLOOKUP($B16,datos9!$A$2:$BG$78,39,FALSE)</f>
        <v>0</v>
      </c>
      <c r="AD16" s="107">
        <f>+VLOOKUP($B16,datos9!$A$2:$BG$78,40,FALSE)</f>
        <v>0</v>
      </c>
      <c r="AE16" s="385">
        <f t="shared" si="6"/>
        <v>291470</v>
      </c>
      <c r="AF16" s="107">
        <f>+VLOOKUP($B16,datos9!$A$2:$BG$78,43,FALSE)</f>
        <v>169699</v>
      </c>
      <c r="AG16" s="107">
        <f>+VLOOKUP($B16,datos9!$A$2:$BG$78,45,FALSE)</f>
        <v>0</v>
      </c>
      <c r="AH16" s="107">
        <f>+VLOOKUP($B16,datos9!$A$2:$BG$78,46,FALSE)</f>
        <v>0</v>
      </c>
      <c r="AI16" s="107">
        <f>+VLOOKUP($B16,datos9!$A$2:$BG$78,47,FALSE)</f>
        <v>0</v>
      </c>
      <c r="AJ16" s="385">
        <f t="shared" si="7"/>
        <v>169699</v>
      </c>
      <c r="AK16" s="107">
        <f>+VLOOKUP($B16,datos9!$A$2:$BG$78,50,FALSE)</f>
        <v>0</v>
      </c>
      <c r="AL16" s="107">
        <f>+VLOOKUP($B16,datos9!$A$2:$BG$78,51,FALSE)</f>
        <v>0</v>
      </c>
      <c r="AM16" s="107">
        <f>+VLOOKUP($B16,datos9!$A$2:$BG$78,52,FALSE)</f>
        <v>0</v>
      </c>
      <c r="AN16" s="107">
        <f>+VLOOKUP($B16,datos9!$A$2:$BG$78,53,FALSE)</f>
        <v>0</v>
      </c>
      <c r="AO16" s="407">
        <f t="shared" si="8"/>
        <v>0</v>
      </c>
      <c r="AP16" s="107">
        <f>+VLOOKUP($B16,datos9!$A$2:$BG$78,56,FALSE)</f>
        <v>0</v>
      </c>
      <c r="AQ16" s="108">
        <f t="shared" si="9"/>
        <v>461169</v>
      </c>
      <c r="AS16" s="109">
        <f t="shared" si="10"/>
        <v>824162</v>
      </c>
      <c r="AW16" s="107">
        <f t="shared" si="11"/>
        <v>45139</v>
      </c>
    </row>
    <row r="17" spans="2:49" x14ac:dyDescent="0.2">
      <c r="B17" s="17" t="s">
        <v>247</v>
      </c>
      <c r="C17" s="106"/>
      <c r="D17" s="107">
        <f>+VLOOKUP($B17,datos9!$A$2:$BG$78,14,FALSE)</f>
        <v>84415</v>
      </c>
      <c r="E17" s="107">
        <f>+VLOOKUP($B17,datos9!$A$2:$BG$78,15,FALSE)</f>
        <v>0</v>
      </c>
      <c r="F17" s="107">
        <f>+VLOOKUP($B17,datos9!$A$2:$BG$78,16,FALSE)</f>
        <v>0</v>
      </c>
      <c r="G17" s="385">
        <f t="shared" si="0"/>
        <v>84415</v>
      </c>
      <c r="H17" s="107">
        <f>+VLOOKUP($B17,datos9!$A$2:$BG$78,18,FALSE)</f>
        <v>34859</v>
      </c>
      <c r="I17" s="107">
        <f>+VLOOKUP($B17,datos9!$A$2:$BG$78,19,FALSE)</f>
        <v>0</v>
      </c>
      <c r="J17" s="107">
        <f>+VLOOKUP($B17,datos9!$A$2:$BG$78,20,FALSE)</f>
        <v>2100</v>
      </c>
      <c r="K17" s="107">
        <f>+VLOOKUP($B17,datos9!$A$2:$BG$78,21,FALSE)</f>
        <v>0</v>
      </c>
      <c r="L17" s="385">
        <f t="shared" si="1"/>
        <v>36959</v>
      </c>
      <c r="M17" s="107">
        <f>+VLOOKUP($B17,datos9!$A$2:$BG$78,23,FALSE)</f>
        <v>0</v>
      </c>
      <c r="N17" s="107">
        <f>+VLOOKUP($B17,datos9!$A$2:$BG$78,24,FALSE)</f>
        <v>0</v>
      </c>
      <c r="O17" s="107">
        <f>+VLOOKUP($B17,datos9!$A$2:$BG$78,25,FALSE)</f>
        <v>0</v>
      </c>
      <c r="P17" s="385">
        <f t="shared" si="2"/>
        <v>0</v>
      </c>
      <c r="Q17" s="107">
        <f>+VLOOKUP($B17,datos9!$A$2:$BG$78,27,FALSE)</f>
        <v>0</v>
      </c>
      <c r="R17" s="107">
        <f>+VLOOKUP($B17,datos9!$A$2:$BG$78,28,FALSE)</f>
        <v>0</v>
      </c>
      <c r="S17" s="107">
        <f>+VLOOKUP($B17,datos9!$A$2:$BG$78,29,FALSE)</f>
        <v>0</v>
      </c>
      <c r="T17" s="107">
        <f>+VLOOKUP($B17,datos9!$A$2:$BG$78,30,FALSE)</f>
        <v>0</v>
      </c>
      <c r="U17" s="385">
        <f t="shared" si="3"/>
        <v>0</v>
      </c>
      <c r="V17" s="107">
        <f>+VLOOKUP($B17,datos9!$A$2:$BG$78,32,FALSE)</f>
        <v>0</v>
      </c>
      <c r="W17" s="107">
        <f>+VLOOKUP($B17,datos9!$A$2:$BG$78,33,FALSE)</f>
        <v>0</v>
      </c>
      <c r="X17" s="404">
        <f t="shared" si="4"/>
        <v>0</v>
      </c>
      <c r="Y17" s="108">
        <f t="shared" si="5"/>
        <v>121374</v>
      </c>
      <c r="Z17" s="107">
        <f>+VLOOKUP($B17,datos9!$A$2:$BG$78,36,FALSE)</f>
        <v>0</v>
      </c>
      <c r="AA17" s="107">
        <f>+VLOOKUP($B17,datos9!$A$2:$BG$78,37,FALSE)</f>
        <v>0</v>
      </c>
      <c r="AB17" s="107">
        <f>+VLOOKUP($B17,datos9!$A$2:$BG$78,38,FALSE)</f>
        <v>0</v>
      </c>
      <c r="AC17" s="107">
        <f>+VLOOKUP($B17,datos9!$A$2:$BG$78,39,FALSE)</f>
        <v>0</v>
      </c>
      <c r="AD17" s="310">
        <v>828000</v>
      </c>
      <c r="AE17" s="385">
        <f t="shared" si="6"/>
        <v>828000</v>
      </c>
      <c r="AF17" s="107">
        <f>+VLOOKUP($B17,datos9!$A$2:$BG$78,43,FALSE)</f>
        <v>0</v>
      </c>
      <c r="AG17" s="107">
        <f>+VLOOKUP($B17,datos9!$A$2:$BG$78,45,FALSE)</f>
        <v>0</v>
      </c>
      <c r="AH17" s="107">
        <f>+VLOOKUP($B17,datos9!$A$2:$BG$78,46,FALSE)</f>
        <v>0</v>
      </c>
      <c r="AI17" s="107">
        <f>+VLOOKUP($B17,datos9!$A$2:$BG$78,47,FALSE)</f>
        <v>0</v>
      </c>
      <c r="AJ17" s="385">
        <f t="shared" si="7"/>
        <v>0</v>
      </c>
      <c r="AK17" s="107">
        <f>+VLOOKUP($B17,datos9!$A$2:$BG$78,50,FALSE)</f>
        <v>0</v>
      </c>
      <c r="AL17" s="107">
        <f>+VLOOKUP($B17,datos9!$A$2:$BG$78,51,FALSE)</f>
        <v>0</v>
      </c>
      <c r="AM17" s="107">
        <f>+VLOOKUP($B17,datos9!$A$2:$BG$78,52,FALSE)</f>
        <v>0</v>
      </c>
      <c r="AN17" s="107">
        <f>+VLOOKUP($B17,datos9!$A$2:$BG$78,53,FALSE)</f>
        <v>0</v>
      </c>
      <c r="AO17" s="407">
        <f t="shared" si="8"/>
        <v>0</v>
      </c>
      <c r="AP17" s="107">
        <f>+VLOOKUP($B17,datos9!$A$2:$BG$78,56,FALSE)</f>
        <v>0</v>
      </c>
      <c r="AQ17" s="108">
        <f t="shared" si="9"/>
        <v>828000</v>
      </c>
      <c r="AS17" s="109">
        <f t="shared" si="10"/>
        <v>949374</v>
      </c>
      <c r="AW17" s="107">
        <f t="shared" si="11"/>
        <v>84415</v>
      </c>
    </row>
    <row r="18" spans="2:49" x14ac:dyDescent="0.2">
      <c r="B18" s="17" t="s">
        <v>248</v>
      </c>
      <c r="C18" s="106"/>
      <c r="D18" s="107">
        <f>+VLOOKUP($B18,datos9!$A$2:$BG$78,14,FALSE)</f>
        <v>130414</v>
      </c>
      <c r="E18" s="107">
        <f>+VLOOKUP($B18,datos9!$A$2:$BG$78,15,FALSE)</f>
        <v>0</v>
      </c>
      <c r="F18" s="107">
        <f>+VLOOKUP($B18,datos9!$A$2:$BG$78,16,FALSE)</f>
        <v>0</v>
      </c>
      <c r="G18" s="385">
        <f t="shared" si="0"/>
        <v>130414</v>
      </c>
      <c r="H18" s="107">
        <f>+VLOOKUP($B18,datos9!$A$2:$BG$78,18,FALSE)</f>
        <v>0</v>
      </c>
      <c r="I18" s="107">
        <f>+VLOOKUP($B18,datos9!$A$2:$BG$78,19,FALSE)</f>
        <v>0</v>
      </c>
      <c r="J18" s="107">
        <f>+VLOOKUP($B18,datos9!$A$2:$BG$78,20,FALSE)</f>
        <v>0</v>
      </c>
      <c r="K18" s="107">
        <f>+VLOOKUP($B18,datos9!$A$2:$BG$78,21,FALSE)</f>
        <v>0</v>
      </c>
      <c r="L18" s="385">
        <f t="shared" si="1"/>
        <v>0</v>
      </c>
      <c r="M18" s="107">
        <f>+VLOOKUP($B18,datos9!$A$2:$BG$78,23,FALSE)</f>
        <v>120857</v>
      </c>
      <c r="N18" s="107">
        <f>+VLOOKUP($B18,datos9!$A$2:$BG$78,24,FALSE)</f>
        <v>0</v>
      </c>
      <c r="O18" s="107">
        <f>+VLOOKUP($B18,datos9!$A$2:$BG$78,25,FALSE)</f>
        <v>0</v>
      </c>
      <c r="P18" s="385">
        <f t="shared" si="2"/>
        <v>120857</v>
      </c>
      <c r="Q18" s="107">
        <f>+VLOOKUP($B18,datos9!$A$2:$BG$78,27,FALSE)</f>
        <v>0</v>
      </c>
      <c r="R18" s="107">
        <f>+VLOOKUP($B18,datos9!$A$2:$BG$78,28,FALSE)</f>
        <v>0</v>
      </c>
      <c r="S18" s="107">
        <f>+VLOOKUP($B18,datos9!$A$2:$BG$78,29,FALSE)</f>
        <v>0</v>
      </c>
      <c r="T18" s="107">
        <f>+VLOOKUP($B18,datos9!$A$2:$BG$78,30,FALSE)</f>
        <v>0</v>
      </c>
      <c r="U18" s="385">
        <f t="shared" si="3"/>
        <v>0</v>
      </c>
      <c r="V18" s="107">
        <f>+VLOOKUP($B18,datos9!$A$2:$BG$78,32,FALSE)</f>
        <v>0</v>
      </c>
      <c r="W18" s="107">
        <f>+VLOOKUP($B18,datos9!$A$2:$BG$78,33,FALSE)</f>
        <v>0</v>
      </c>
      <c r="X18" s="404">
        <f t="shared" si="4"/>
        <v>0</v>
      </c>
      <c r="Y18" s="108">
        <f t="shared" si="5"/>
        <v>251271</v>
      </c>
      <c r="Z18" s="107">
        <f>+VLOOKUP($B18,datos9!$A$2:$BG$78,36,FALSE)</f>
        <v>0</v>
      </c>
      <c r="AA18" s="107">
        <f>+VLOOKUP($B18,datos9!$A$2:$BG$78,37,FALSE)</f>
        <v>118854</v>
      </c>
      <c r="AB18" s="107">
        <f>+VLOOKUP($B18,datos9!$A$2:$BG$78,38,FALSE)</f>
        <v>0</v>
      </c>
      <c r="AC18" s="107">
        <f>+VLOOKUP($B18,datos9!$A$2:$BG$78,39,FALSE)</f>
        <v>0</v>
      </c>
      <c r="AD18" s="107">
        <f>+VLOOKUP($B18,datos9!$A$2:$BG$78,40,FALSE)</f>
        <v>100991</v>
      </c>
      <c r="AE18" s="385">
        <f t="shared" si="6"/>
        <v>219845</v>
      </c>
      <c r="AF18" s="107">
        <f>+VLOOKUP($B18,datos9!$A$2:$BG$78,43,FALSE)</f>
        <v>3010817</v>
      </c>
      <c r="AG18" s="107">
        <f>+VLOOKUP($B18,datos9!$A$2:$BG$78,45,FALSE)</f>
        <v>1814069</v>
      </c>
      <c r="AH18" s="107">
        <f>+VLOOKUP($B18,datos9!$A$2:$BG$78,46,FALSE)</f>
        <v>0</v>
      </c>
      <c r="AI18" s="107">
        <f>+VLOOKUP($B18,datos9!$A$2:$BG$78,47,FALSE)</f>
        <v>0</v>
      </c>
      <c r="AJ18" s="385">
        <f t="shared" si="7"/>
        <v>4824886</v>
      </c>
      <c r="AK18" s="107">
        <f>+VLOOKUP($B18,datos9!$A$2:$BG$78,50,FALSE)</f>
        <v>0</v>
      </c>
      <c r="AL18" s="107">
        <f>+VLOOKUP($B18,datos9!$A$2:$BG$78,51,FALSE)</f>
        <v>0</v>
      </c>
      <c r="AM18" s="107">
        <f>+VLOOKUP($B18,datos9!$A$2:$BG$78,52,FALSE)</f>
        <v>0</v>
      </c>
      <c r="AN18" s="107">
        <f>+VLOOKUP($B18,datos9!$A$2:$BG$78,53,FALSE)</f>
        <v>0</v>
      </c>
      <c r="AO18" s="407">
        <f t="shared" si="8"/>
        <v>0</v>
      </c>
      <c r="AP18" s="107">
        <f>+VLOOKUP($B18,datos9!$A$2:$BG$78,56,FALSE)</f>
        <v>0</v>
      </c>
      <c r="AQ18" s="108">
        <f t="shared" si="9"/>
        <v>5044731</v>
      </c>
      <c r="AS18" s="109">
        <f t="shared" si="10"/>
        <v>5296002</v>
      </c>
      <c r="AW18" s="107">
        <f t="shared" si="11"/>
        <v>130414</v>
      </c>
    </row>
    <row r="19" spans="2:49" x14ac:dyDescent="0.2">
      <c r="B19" s="17" t="s">
        <v>66</v>
      </c>
      <c r="C19" s="106"/>
      <c r="D19" s="107">
        <f>+VLOOKUP($B19,datos9!$A$2:$BG$78,14,FALSE)</f>
        <v>84098</v>
      </c>
      <c r="E19" s="107">
        <f>+VLOOKUP($B19,datos9!$A$2:$BG$78,15,FALSE)</f>
        <v>0</v>
      </c>
      <c r="F19" s="107">
        <f>+VLOOKUP($B19,datos9!$A$2:$BG$78,16,FALSE)</f>
        <v>0</v>
      </c>
      <c r="G19" s="385">
        <f t="shared" si="0"/>
        <v>84098</v>
      </c>
      <c r="H19" s="107">
        <f>+VLOOKUP($B19,datos9!$A$2:$BG$78,18,FALSE)</f>
        <v>0</v>
      </c>
      <c r="I19" s="107">
        <f>+VLOOKUP($B19,datos9!$A$2:$BG$78,19,FALSE)</f>
        <v>0</v>
      </c>
      <c r="J19" s="107">
        <f>+VLOOKUP($B19,datos9!$A$2:$BG$78,20,FALSE)</f>
        <v>0</v>
      </c>
      <c r="K19" s="107">
        <f>+VLOOKUP($B19,datos9!$A$2:$BG$78,21,FALSE)</f>
        <v>18766</v>
      </c>
      <c r="L19" s="385">
        <f t="shared" si="1"/>
        <v>18766</v>
      </c>
      <c r="M19" s="107">
        <f>+VLOOKUP($B19,datos9!$A$2:$BG$78,23,FALSE)</f>
        <v>0</v>
      </c>
      <c r="N19" s="107">
        <f>+VLOOKUP($B19,datos9!$A$2:$BG$78,24,FALSE)</f>
        <v>0</v>
      </c>
      <c r="O19" s="107">
        <f>+VLOOKUP($B19,datos9!$A$2:$BG$78,25,FALSE)</f>
        <v>0</v>
      </c>
      <c r="P19" s="385">
        <f t="shared" si="2"/>
        <v>0</v>
      </c>
      <c r="Q19" s="107">
        <f>+VLOOKUP($B19,datos9!$A$2:$BG$78,27,FALSE)</f>
        <v>0</v>
      </c>
      <c r="R19" s="107">
        <f>+VLOOKUP($B19,datos9!$A$2:$BG$78,28,FALSE)</f>
        <v>0</v>
      </c>
      <c r="S19" s="107">
        <f>+VLOOKUP($B19,datos9!$A$2:$BG$78,29,FALSE)</f>
        <v>0</v>
      </c>
      <c r="T19" s="107">
        <f>+VLOOKUP($B19,datos9!$A$2:$BG$78,30,FALSE)</f>
        <v>0</v>
      </c>
      <c r="U19" s="385">
        <f t="shared" si="3"/>
        <v>0</v>
      </c>
      <c r="V19" s="107">
        <f>+VLOOKUP($B19,datos9!$A$2:$BG$78,32,FALSE)</f>
        <v>0</v>
      </c>
      <c r="W19" s="107">
        <f>+VLOOKUP($B19,datos9!$A$2:$BG$78,33,FALSE)</f>
        <v>0</v>
      </c>
      <c r="X19" s="404">
        <f t="shared" si="4"/>
        <v>0</v>
      </c>
      <c r="Y19" s="108">
        <f t="shared" si="5"/>
        <v>102864</v>
      </c>
      <c r="Z19" s="107">
        <f>+VLOOKUP($B19,datos9!$A$2:$BG$78,36,FALSE)</f>
        <v>0</v>
      </c>
      <c r="AA19" s="107">
        <f>+VLOOKUP($B19,datos9!$A$2:$BG$78,37,FALSE)</f>
        <v>0</v>
      </c>
      <c r="AB19" s="107">
        <f>+VLOOKUP($B19,datos9!$A$2:$BG$78,38,FALSE)</f>
        <v>0</v>
      </c>
      <c r="AC19" s="107">
        <f>+VLOOKUP($B19,datos9!$A$2:$BG$78,39,FALSE)</f>
        <v>0</v>
      </c>
      <c r="AD19" s="107">
        <f>+VLOOKUP($B19,datos9!$A$2:$BG$78,40,FALSE)</f>
        <v>0</v>
      </c>
      <c r="AE19" s="385">
        <f t="shared" si="6"/>
        <v>0</v>
      </c>
      <c r="AF19" s="107">
        <f>+VLOOKUP($B19,datos9!$A$2:$BG$78,43,FALSE)</f>
        <v>770736</v>
      </c>
      <c r="AG19" s="107">
        <f>+VLOOKUP($B19,datos9!$A$2:$BG$78,45,FALSE)</f>
        <v>555038</v>
      </c>
      <c r="AH19" s="107">
        <f>+VLOOKUP($B19,datos9!$A$2:$BG$78,46,FALSE)</f>
        <v>37933</v>
      </c>
      <c r="AI19" s="107">
        <f>+VLOOKUP($B19,datos9!$A$2:$BG$78,47,FALSE)</f>
        <v>6900</v>
      </c>
      <c r="AJ19" s="385">
        <f t="shared" si="7"/>
        <v>1370607</v>
      </c>
      <c r="AK19" s="107">
        <f>+VLOOKUP($B19,datos9!$A$2:$BG$78,50,FALSE)</f>
        <v>0</v>
      </c>
      <c r="AL19" s="107">
        <f>+VLOOKUP($B19,datos9!$A$2:$BG$78,51,FALSE)</f>
        <v>0</v>
      </c>
      <c r="AM19" s="107">
        <f>+VLOOKUP($B19,datos9!$A$2:$BG$78,52,FALSE)</f>
        <v>0</v>
      </c>
      <c r="AN19" s="107">
        <f>+VLOOKUP($B19,datos9!$A$2:$BG$78,53,FALSE)</f>
        <v>0</v>
      </c>
      <c r="AO19" s="407">
        <f t="shared" si="8"/>
        <v>0</v>
      </c>
      <c r="AP19" s="107">
        <f>+VLOOKUP($B19,datos9!$A$2:$BG$78,56,FALSE)</f>
        <v>0</v>
      </c>
      <c r="AQ19" s="108">
        <f t="shared" si="9"/>
        <v>1370607</v>
      </c>
      <c r="AS19" s="109">
        <f t="shared" si="10"/>
        <v>1473471</v>
      </c>
      <c r="AW19" s="107">
        <f t="shared" si="11"/>
        <v>84098</v>
      </c>
    </row>
    <row r="20" spans="2:49" x14ac:dyDescent="0.2">
      <c r="B20" s="17" t="s">
        <v>249</v>
      </c>
      <c r="C20" s="106"/>
      <c r="D20" s="107">
        <f>+VLOOKUP($B20,datos9!$A$2:$BG$78,14,FALSE)</f>
        <v>157146</v>
      </c>
      <c r="E20" s="107">
        <f>+VLOOKUP($B20,datos9!$A$2:$BG$78,15,FALSE)</f>
        <v>0</v>
      </c>
      <c r="F20" s="107">
        <f>+VLOOKUP($B20,datos9!$A$2:$BG$78,16,FALSE)</f>
        <v>5778</v>
      </c>
      <c r="G20" s="385">
        <f t="shared" si="0"/>
        <v>162924</v>
      </c>
      <c r="H20" s="107">
        <f>+VLOOKUP($B20,datos9!$A$2:$BG$78,18,FALSE)</f>
        <v>106576</v>
      </c>
      <c r="I20" s="107">
        <f>+VLOOKUP($B20,datos9!$A$2:$BG$78,19,FALSE)</f>
        <v>0</v>
      </c>
      <c r="J20" s="107">
        <f>+VLOOKUP($B20,datos9!$A$2:$BG$78,20,FALSE)</f>
        <v>305156</v>
      </c>
      <c r="K20" s="107">
        <f>+VLOOKUP($B20,datos9!$A$2:$BG$78,21,FALSE)</f>
        <v>0</v>
      </c>
      <c r="L20" s="385">
        <f t="shared" si="1"/>
        <v>411732</v>
      </c>
      <c r="M20" s="107">
        <f>+VLOOKUP($B20,datos9!$A$2:$BG$78,23,FALSE)</f>
        <v>52212</v>
      </c>
      <c r="N20" s="107">
        <f>+VLOOKUP($B20,datos9!$A$2:$BG$78,24,FALSE)</f>
        <v>0</v>
      </c>
      <c r="O20" s="107">
        <f>+VLOOKUP($B20,datos9!$A$2:$BG$78,25,FALSE)</f>
        <v>0</v>
      </c>
      <c r="P20" s="385">
        <f t="shared" si="2"/>
        <v>52212</v>
      </c>
      <c r="Q20" s="107">
        <f>+VLOOKUP($B20,datos9!$A$2:$BG$78,27,FALSE)</f>
        <v>0</v>
      </c>
      <c r="R20" s="107">
        <f>+VLOOKUP($B20,datos9!$A$2:$BG$78,28,FALSE)</f>
        <v>0</v>
      </c>
      <c r="S20" s="107">
        <f>+VLOOKUP($B20,datos9!$A$2:$BG$78,29,FALSE)</f>
        <v>0</v>
      </c>
      <c r="T20" s="107">
        <f>+VLOOKUP($B20,datos9!$A$2:$BG$78,30,FALSE)</f>
        <v>0</v>
      </c>
      <c r="U20" s="385">
        <f t="shared" si="3"/>
        <v>0</v>
      </c>
      <c r="V20" s="107">
        <f>+VLOOKUP($B20,datos9!$A$2:$BG$78,32,FALSE)</f>
        <v>0</v>
      </c>
      <c r="W20" s="107">
        <f>+VLOOKUP($B20,datos9!$A$2:$BG$78,33,FALSE)</f>
        <v>0</v>
      </c>
      <c r="X20" s="404">
        <f t="shared" si="4"/>
        <v>0</v>
      </c>
      <c r="Y20" s="108">
        <f t="shared" si="5"/>
        <v>626868</v>
      </c>
      <c r="Z20" s="107">
        <f>+VLOOKUP($B20,datos9!$A$2:$BG$78,36,FALSE)</f>
        <v>0</v>
      </c>
      <c r="AA20" s="107">
        <f>+VLOOKUP($B20,datos9!$A$2:$BG$78,37,FALSE)</f>
        <v>0</v>
      </c>
      <c r="AB20" s="107">
        <f>+VLOOKUP($B20,datos9!$A$2:$BG$78,38,FALSE)</f>
        <v>0</v>
      </c>
      <c r="AC20" s="107">
        <f>+VLOOKUP($B20,datos9!$A$2:$BG$78,39,FALSE)</f>
        <v>0</v>
      </c>
      <c r="AD20" s="107">
        <f>+VLOOKUP($B20,datos9!$A$2:$BG$78,40,FALSE)</f>
        <v>0</v>
      </c>
      <c r="AE20" s="385">
        <f t="shared" si="6"/>
        <v>0</v>
      </c>
      <c r="AF20" s="107">
        <f>+VLOOKUP($B20,datos9!$A$2:$BG$78,43,FALSE)</f>
        <v>272700</v>
      </c>
      <c r="AG20" s="107">
        <f>+VLOOKUP($B20,datos9!$A$2:$BG$78,45,FALSE)</f>
        <v>54094</v>
      </c>
      <c r="AH20" s="107">
        <f>+VLOOKUP($B20,datos9!$A$2:$BG$78,46,FALSE)</f>
        <v>0</v>
      </c>
      <c r="AI20" s="107">
        <f>+VLOOKUP($B20,datos9!$A$2:$BG$78,47,FALSE)</f>
        <v>0</v>
      </c>
      <c r="AJ20" s="385">
        <f t="shared" si="7"/>
        <v>326794</v>
      </c>
      <c r="AK20" s="107">
        <f>+VLOOKUP($B20,datos9!$A$2:$BG$78,50,FALSE)</f>
        <v>0</v>
      </c>
      <c r="AL20" s="107">
        <f>+VLOOKUP($B20,datos9!$A$2:$BG$78,51,FALSE)</f>
        <v>0</v>
      </c>
      <c r="AM20" s="107">
        <f>+VLOOKUP($B20,datos9!$A$2:$BG$78,52,FALSE)</f>
        <v>0</v>
      </c>
      <c r="AN20" s="107">
        <f>+VLOOKUP($B20,datos9!$A$2:$BG$78,53,FALSE)</f>
        <v>0</v>
      </c>
      <c r="AO20" s="407">
        <f t="shared" si="8"/>
        <v>0</v>
      </c>
      <c r="AP20" s="107">
        <f>+VLOOKUP($B20,datos9!$A$2:$BG$78,56,FALSE)</f>
        <v>0</v>
      </c>
      <c r="AQ20" s="108">
        <f t="shared" si="9"/>
        <v>326794</v>
      </c>
      <c r="AS20" s="109">
        <f t="shared" si="10"/>
        <v>953662</v>
      </c>
      <c r="AW20" s="107">
        <f t="shared" si="11"/>
        <v>162924</v>
      </c>
    </row>
    <row r="21" spans="2:49" x14ac:dyDescent="0.2">
      <c r="B21" s="17" t="s">
        <v>250</v>
      </c>
      <c r="C21" s="106"/>
      <c r="D21" s="107">
        <f>+VLOOKUP($B21,datos9!$A$2:$BG$78,14,FALSE)</f>
        <v>328591</v>
      </c>
      <c r="E21" s="107">
        <f>+VLOOKUP($B21,datos9!$A$2:$BG$78,15,FALSE)</f>
        <v>0</v>
      </c>
      <c r="F21" s="107">
        <f>+VLOOKUP($B21,datos9!$A$2:$BG$78,16,FALSE)</f>
        <v>48844</v>
      </c>
      <c r="G21" s="385">
        <f t="shared" si="0"/>
        <v>377435</v>
      </c>
      <c r="H21" s="107">
        <f>+VLOOKUP($B21,datos9!$A$2:$BG$78,18,FALSE)</f>
        <v>56600</v>
      </c>
      <c r="I21" s="107">
        <f>+VLOOKUP($B21,datos9!$A$2:$BG$78,19,FALSE)</f>
        <v>0</v>
      </c>
      <c r="J21" s="107">
        <f>+VLOOKUP($B21,datos9!$A$2:$BG$78,20,FALSE)</f>
        <v>11540</v>
      </c>
      <c r="K21" s="107">
        <f>+VLOOKUP($B21,datos9!$A$2:$BG$78,21,FALSE)</f>
        <v>136172</v>
      </c>
      <c r="L21" s="385">
        <f t="shared" si="1"/>
        <v>204312</v>
      </c>
      <c r="M21" s="107">
        <f>+VLOOKUP($B21,datos9!$A$2:$BG$78,23,FALSE)</f>
        <v>38126</v>
      </c>
      <c r="N21" s="107">
        <f>+VLOOKUP($B21,datos9!$A$2:$BG$78,24,FALSE)</f>
        <v>241318</v>
      </c>
      <c r="O21" s="107">
        <f>+VLOOKUP($B21,datos9!$A$2:$BG$78,25,FALSE)</f>
        <v>0</v>
      </c>
      <c r="P21" s="385">
        <f t="shared" si="2"/>
        <v>279444</v>
      </c>
      <c r="Q21" s="107">
        <f>+VLOOKUP($B21,datos9!$A$2:$BG$78,27,FALSE)</f>
        <v>0</v>
      </c>
      <c r="R21" s="107">
        <f>+VLOOKUP($B21,datos9!$A$2:$BG$78,28,FALSE)</f>
        <v>0</v>
      </c>
      <c r="S21" s="107">
        <f>+VLOOKUP($B21,datos9!$A$2:$BG$78,29,FALSE)</f>
        <v>0</v>
      </c>
      <c r="T21" s="107">
        <f>+VLOOKUP($B21,datos9!$A$2:$BG$78,30,FALSE)</f>
        <v>0</v>
      </c>
      <c r="U21" s="385">
        <f t="shared" si="3"/>
        <v>0</v>
      </c>
      <c r="V21" s="107">
        <f>+VLOOKUP($B21,datos9!$A$2:$BG$78,32,FALSE)</f>
        <v>0</v>
      </c>
      <c r="W21" s="107">
        <f>+VLOOKUP($B21,datos9!$A$2:$BG$78,33,FALSE)</f>
        <v>0</v>
      </c>
      <c r="X21" s="404">
        <f t="shared" si="4"/>
        <v>0</v>
      </c>
      <c r="Y21" s="108">
        <f t="shared" si="5"/>
        <v>861191</v>
      </c>
      <c r="Z21" s="107">
        <f>+VLOOKUP($B21,datos9!$A$2:$BG$78,36,FALSE)</f>
        <v>0</v>
      </c>
      <c r="AA21" s="107">
        <f>+VLOOKUP($B21,datos9!$A$2:$BG$78,37,FALSE)</f>
        <v>0</v>
      </c>
      <c r="AB21" s="107">
        <f>+VLOOKUP($B21,datos9!$A$2:$BG$78,38,FALSE)</f>
        <v>0</v>
      </c>
      <c r="AC21" s="107">
        <f>+VLOOKUP($B21,datos9!$A$2:$BG$78,39,FALSE)</f>
        <v>0</v>
      </c>
      <c r="AD21" s="107">
        <f>+VLOOKUP($B21,datos9!$A$2:$BG$78,40,FALSE)</f>
        <v>0</v>
      </c>
      <c r="AE21" s="385">
        <f t="shared" si="6"/>
        <v>0</v>
      </c>
      <c r="AF21" s="107">
        <f>+VLOOKUP($B21,datos9!$A$2:$BG$78,43,FALSE)</f>
        <v>0</v>
      </c>
      <c r="AG21" s="107">
        <f>+VLOOKUP($B21,datos9!$A$2:$BG$78,45,FALSE)</f>
        <v>73315</v>
      </c>
      <c r="AH21" s="107">
        <f>+VLOOKUP($B21,datos9!$A$2:$BG$78,46,FALSE)</f>
        <v>0</v>
      </c>
      <c r="AI21" s="107">
        <f>+VLOOKUP($B21,datos9!$A$2:$BG$78,47,FALSE)</f>
        <v>0</v>
      </c>
      <c r="AJ21" s="385">
        <f t="shared" si="7"/>
        <v>73315</v>
      </c>
      <c r="AK21" s="107">
        <f>+VLOOKUP($B21,datos9!$A$2:$BG$78,50,FALSE)</f>
        <v>0</v>
      </c>
      <c r="AL21" s="107">
        <f>+VLOOKUP($B21,datos9!$A$2:$BG$78,51,FALSE)</f>
        <v>0</v>
      </c>
      <c r="AM21" s="107">
        <f>+VLOOKUP($B21,datos9!$A$2:$BG$78,52,FALSE)</f>
        <v>0</v>
      </c>
      <c r="AN21" s="107">
        <f>+VLOOKUP($B21,datos9!$A$2:$BG$78,53,FALSE)</f>
        <v>0</v>
      </c>
      <c r="AO21" s="407">
        <f t="shared" si="8"/>
        <v>0</v>
      </c>
      <c r="AP21" s="107">
        <f>+VLOOKUP($B21,datos9!$A$2:$BG$78,56,FALSE)</f>
        <v>0</v>
      </c>
      <c r="AQ21" s="108">
        <f t="shared" si="9"/>
        <v>73315</v>
      </c>
      <c r="AS21" s="109">
        <f t="shared" si="10"/>
        <v>934506</v>
      </c>
      <c r="AW21" s="107">
        <f t="shared" si="11"/>
        <v>377435</v>
      </c>
    </row>
    <row r="22" spans="2:49" x14ac:dyDescent="0.2">
      <c r="B22" s="17" t="s">
        <v>67</v>
      </c>
      <c r="C22" s="106"/>
      <c r="D22" s="107">
        <f>+VLOOKUP($B22,datos9!$A$2:$BG$78,14,FALSE)</f>
        <v>1482207</v>
      </c>
      <c r="E22" s="107">
        <f>+VLOOKUP($B22,datos9!$A$2:$BG$78,15,FALSE)</f>
        <v>24810801</v>
      </c>
      <c r="F22" s="107">
        <f>+VLOOKUP($B22,datos9!$A$2:$BG$78,16,FALSE)</f>
        <v>0</v>
      </c>
      <c r="G22" s="385">
        <f t="shared" si="0"/>
        <v>26293008</v>
      </c>
      <c r="H22" s="107">
        <f>+VLOOKUP($B22,datos9!$A$2:$BG$78,18,FALSE)</f>
        <v>480152</v>
      </c>
      <c r="I22" s="107">
        <f>+VLOOKUP($B22,datos9!$A$2:$BG$78,19,FALSE)</f>
        <v>117830</v>
      </c>
      <c r="J22" s="107">
        <f>+VLOOKUP($B22,datos9!$A$2:$BG$78,20,FALSE)</f>
        <v>0</v>
      </c>
      <c r="K22" s="107">
        <f>+VLOOKUP($B22,datos9!$A$2:$BG$78,21,FALSE)</f>
        <v>559731</v>
      </c>
      <c r="L22" s="385">
        <f t="shared" si="1"/>
        <v>1157713</v>
      </c>
      <c r="M22" s="107">
        <f>+VLOOKUP($B22,datos9!$A$2:$BG$78,23,FALSE)</f>
        <v>0</v>
      </c>
      <c r="N22" s="107">
        <f>+VLOOKUP($B22,datos9!$A$2:$BG$78,24,FALSE)</f>
        <v>365838</v>
      </c>
      <c r="O22" s="107">
        <f>+VLOOKUP($B22,datos9!$A$2:$BG$78,25,FALSE)</f>
        <v>23738</v>
      </c>
      <c r="P22" s="385">
        <f t="shared" si="2"/>
        <v>389576</v>
      </c>
      <c r="Q22" s="107">
        <f>+VLOOKUP($B22,datos9!$A$2:$BG$78,27,FALSE)</f>
        <v>10962</v>
      </c>
      <c r="R22" s="107">
        <f>+VLOOKUP($B22,datos9!$A$2:$BG$78,28,FALSE)</f>
        <v>24798</v>
      </c>
      <c r="S22" s="107">
        <f>+VLOOKUP($B22,datos9!$A$2:$BG$78,29,FALSE)</f>
        <v>0</v>
      </c>
      <c r="T22" s="107">
        <f>+VLOOKUP($B22,datos9!$A$2:$BG$78,30,FALSE)</f>
        <v>0</v>
      </c>
      <c r="U22" s="385">
        <f t="shared" si="3"/>
        <v>35760</v>
      </c>
      <c r="V22" s="107">
        <f>+VLOOKUP($B22,datos9!$A$2:$BG$78,32,FALSE)</f>
        <v>497264</v>
      </c>
      <c r="W22" s="107">
        <f>+VLOOKUP($B22,datos9!$A$2:$BG$78,33,FALSE)</f>
        <v>45813</v>
      </c>
      <c r="X22" s="404">
        <f t="shared" si="4"/>
        <v>543077</v>
      </c>
      <c r="Y22" s="108">
        <f t="shared" si="5"/>
        <v>28419134</v>
      </c>
      <c r="Z22" s="107">
        <f>+VLOOKUP($B22,datos9!$A$2:$BG$78,36,FALSE)</f>
        <v>0</v>
      </c>
      <c r="AA22" s="107">
        <f>+VLOOKUP($B22,datos9!$A$2:$BG$78,37,FALSE)</f>
        <v>312887</v>
      </c>
      <c r="AB22" s="107">
        <f>+VLOOKUP($B22,datos9!$A$2:$BG$78,38,FALSE)</f>
        <v>0</v>
      </c>
      <c r="AC22" s="107">
        <f>+VLOOKUP($B22,datos9!$A$2:$BG$78,39,FALSE)</f>
        <v>0</v>
      </c>
      <c r="AD22" s="107">
        <f>+VLOOKUP($B22,datos9!$A$2:$BG$78,40,FALSE)</f>
        <v>0</v>
      </c>
      <c r="AE22" s="385">
        <f t="shared" si="6"/>
        <v>312887</v>
      </c>
      <c r="AF22" s="107">
        <f>+VLOOKUP($B22,datos9!$A$2:$BG$78,43,FALSE)</f>
        <v>1535702</v>
      </c>
      <c r="AG22" s="107">
        <f>+VLOOKUP($B22,datos9!$A$2:$BG$78,45,FALSE)</f>
        <v>44837</v>
      </c>
      <c r="AH22" s="107">
        <f>+VLOOKUP($B22,datos9!$A$2:$BG$78,46,FALSE)</f>
        <v>0</v>
      </c>
      <c r="AI22" s="107">
        <f>+VLOOKUP($B22,datos9!$A$2:$BG$78,47,FALSE)</f>
        <v>0</v>
      </c>
      <c r="AJ22" s="385">
        <f t="shared" si="7"/>
        <v>1580539</v>
      </c>
      <c r="AK22" s="107">
        <f>+VLOOKUP($B22,datos9!$A$2:$BG$78,50,FALSE)</f>
        <v>0</v>
      </c>
      <c r="AL22" s="107">
        <f>+VLOOKUP($B22,datos9!$A$2:$BG$78,51,FALSE)</f>
        <v>133662</v>
      </c>
      <c r="AM22" s="107">
        <f>+VLOOKUP($B22,datos9!$A$2:$BG$78,52,FALSE)</f>
        <v>129575</v>
      </c>
      <c r="AN22" s="107">
        <f>+VLOOKUP($B22,datos9!$A$2:$BG$78,53,FALSE)</f>
        <v>973656</v>
      </c>
      <c r="AO22" s="407">
        <f t="shared" si="8"/>
        <v>1236893</v>
      </c>
      <c r="AP22" s="107">
        <f>+VLOOKUP($B22,datos9!$A$2:$BG$78,56,FALSE)</f>
        <v>0</v>
      </c>
      <c r="AQ22" s="108">
        <f t="shared" si="9"/>
        <v>3130319</v>
      </c>
      <c r="AS22" s="109">
        <f t="shared" si="10"/>
        <v>31549453</v>
      </c>
      <c r="AW22" s="107">
        <f t="shared" si="11"/>
        <v>1482207</v>
      </c>
    </row>
    <row r="23" spans="2:49" x14ac:dyDescent="0.2">
      <c r="B23" s="17" t="s">
        <v>68</v>
      </c>
      <c r="C23" s="106"/>
      <c r="D23" s="107">
        <f>+VLOOKUP($B23,datos9!$A$2:$BG$78,14,FALSE)</f>
        <v>0</v>
      </c>
      <c r="E23" s="107">
        <f>+VLOOKUP($B23,datos9!$A$2:$BG$78,15,FALSE)</f>
        <v>0</v>
      </c>
      <c r="F23" s="107">
        <f>+VLOOKUP($B23,datos9!$A$2:$BG$78,16,FALSE)</f>
        <v>0</v>
      </c>
      <c r="G23" s="385">
        <f t="shared" si="0"/>
        <v>0</v>
      </c>
      <c r="H23" s="107">
        <f>+VLOOKUP($B23,datos9!$A$2:$BG$78,18,FALSE)</f>
        <v>0</v>
      </c>
      <c r="I23" s="107">
        <f>+VLOOKUP($B23,datos9!$A$2:$BG$78,19,FALSE)</f>
        <v>4545079</v>
      </c>
      <c r="J23" s="107">
        <f>+VLOOKUP($B23,datos9!$A$2:$BG$78,20,FALSE)</f>
        <v>0</v>
      </c>
      <c r="K23" s="107">
        <f>+VLOOKUP($B23,datos9!$A$2:$BG$78,21,FALSE)</f>
        <v>12271650</v>
      </c>
      <c r="L23" s="385">
        <f t="shared" si="1"/>
        <v>16816729</v>
      </c>
      <c r="M23" s="107">
        <f>+VLOOKUP($B23,datos9!$A$2:$BG$78,23,FALSE)</f>
        <v>2649414</v>
      </c>
      <c r="N23" s="107">
        <f>+VLOOKUP($B23,datos9!$A$2:$BG$78,24,FALSE)</f>
        <v>0</v>
      </c>
      <c r="O23" s="107">
        <f>+VLOOKUP($B23,datos9!$A$2:$BG$78,25,FALSE)</f>
        <v>0</v>
      </c>
      <c r="P23" s="385">
        <f t="shared" si="2"/>
        <v>2649414</v>
      </c>
      <c r="Q23" s="107">
        <f>+VLOOKUP($B23,datos9!$A$2:$BG$78,27,FALSE)</f>
        <v>0</v>
      </c>
      <c r="R23" s="107">
        <f>+VLOOKUP($B23,datos9!$A$2:$BG$78,28,FALSE)</f>
        <v>0</v>
      </c>
      <c r="S23" s="107">
        <f>+VLOOKUP($B23,datos9!$A$2:$BG$78,29,FALSE)</f>
        <v>0</v>
      </c>
      <c r="T23" s="107">
        <f>+VLOOKUP($B23,datos9!$A$2:$BG$78,30,FALSE)</f>
        <v>0</v>
      </c>
      <c r="U23" s="385">
        <f t="shared" si="3"/>
        <v>0</v>
      </c>
      <c r="V23" s="107">
        <f>+VLOOKUP($B23,datos9!$A$2:$BG$78,32,FALSE)</f>
        <v>0</v>
      </c>
      <c r="W23" s="107">
        <f>+VLOOKUP($B23,datos9!$A$2:$BG$78,33,FALSE)</f>
        <v>0</v>
      </c>
      <c r="X23" s="404">
        <f t="shared" si="4"/>
        <v>0</v>
      </c>
      <c r="Y23" s="108">
        <f t="shared" si="5"/>
        <v>19466143</v>
      </c>
      <c r="Z23" s="107">
        <f>+VLOOKUP($B23,datos9!$A$2:$BG$78,36,FALSE)</f>
        <v>0</v>
      </c>
      <c r="AA23" s="107">
        <f>+VLOOKUP($B23,datos9!$A$2:$BG$78,37,FALSE)</f>
        <v>301297</v>
      </c>
      <c r="AB23" s="107">
        <f>+VLOOKUP($B23,datos9!$A$2:$BG$78,38,FALSE)</f>
        <v>0</v>
      </c>
      <c r="AC23" s="107">
        <f>+VLOOKUP($B23,datos9!$A$2:$BG$78,39,FALSE)</f>
        <v>0</v>
      </c>
      <c r="AD23" s="107">
        <f>+VLOOKUP($B23,datos9!$A$2:$BG$78,40,FALSE)</f>
        <v>0</v>
      </c>
      <c r="AE23" s="385">
        <f t="shared" si="6"/>
        <v>301297</v>
      </c>
      <c r="AF23" s="107">
        <f>+VLOOKUP($B23,datos9!$A$2:$BG$78,43,FALSE)</f>
        <v>122255</v>
      </c>
      <c r="AG23" s="107">
        <f>+VLOOKUP($B23,datos9!$A$2:$BG$78,45,FALSE)</f>
        <v>0</v>
      </c>
      <c r="AH23" s="107">
        <f>+VLOOKUP($B23,datos9!$A$2:$BG$78,46,FALSE)</f>
        <v>0</v>
      </c>
      <c r="AI23" s="107">
        <f>+VLOOKUP($B23,datos9!$A$2:$BG$78,47,FALSE)</f>
        <v>0</v>
      </c>
      <c r="AJ23" s="385">
        <f t="shared" si="7"/>
        <v>122255</v>
      </c>
      <c r="AK23" s="107">
        <f>+VLOOKUP($B23,datos9!$A$2:$BG$78,50,FALSE)</f>
        <v>0</v>
      </c>
      <c r="AL23" s="107">
        <f>+VLOOKUP($B23,datos9!$A$2:$BG$78,51,FALSE)</f>
        <v>0</v>
      </c>
      <c r="AM23" s="107">
        <f>+VLOOKUP($B23,datos9!$A$2:$BG$78,52,FALSE)</f>
        <v>0</v>
      </c>
      <c r="AN23" s="107">
        <f>+VLOOKUP($B23,datos9!$A$2:$BG$78,53,FALSE)</f>
        <v>0</v>
      </c>
      <c r="AO23" s="407">
        <f t="shared" si="8"/>
        <v>0</v>
      </c>
      <c r="AP23" s="107">
        <f>+VLOOKUP($B23,datos9!$A$2:$BG$78,56,FALSE)</f>
        <v>0</v>
      </c>
      <c r="AQ23" s="108">
        <f t="shared" si="9"/>
        <v>423552</v>
      </c>
      <c r="AS23" s="109">
        <f t="shared" si="10"/>
        <v>19889695</v>
      </c>
      <c r="AW23" s="107">
        <f t="shared" si="11"/>
        <v>0</v>
      </c>
    </row>
    <row r="24" spans="2:49" x14ac:dyDescent="0.2">
      <c r="B24" s="17" t="s">
        <v>69</v>
      </c>
      <c r="C24" s="106"/>
      <c r="D24" s="107">
        <f>+VLOOKUP($B24,datos9!$A$2:$BG$78,14,FALSE)</f>
        <v>18678</v>
      </c>
      <c r="E24" s="107">
        <f>+VLOOKUP($B24,datos9!$A$2:$BG$78,15,FALSE)</f>
        <v>0</v>
      </c>
      <c r="F24" s="107">
        <f>+VLOOKUP($B24,datos9!$A$2:$BG$78,16,FALSE)</f>
        <v>0</v>
      </c>
      <c r="G24" s="385">
        <f t="shared" si="0"/>
        <v>18678</v>
      </c>
      <c r="H24" s="107">
        <f>+VLOOKUP($B24,datos9!$A$2:$BG$78,18,FALSE)</f>
        <v>0</v>
      </c>
      <c r="I24" s="107">
        <f>+VLOOKUP($B24,datos9!$A$2:$BG$78,19,FALSE)</f>
        <v>0</v>
      </c>
      <c r="J24" s="107">
        <f>+VLOOKUP($B24,datos9!$A$2:$BG$78,20,FALSE)</f>
        <v>0</v>
      </c>
      <c r="K24" s="107">
        <f>+VLOOKUP($B24,datos9!$A$2:$BG$78,21,FALSE)</f>
        <v>28667</v>
      </c>
      <c r="L24" s="385">
        <f t="shared" si="1"/>
        <v>28667</v>
      </c>
      <c r="M24" s="107">
        <f>+VLOOKUP($B24,datos9!$A$2:$BG$78,23,FALSE)</f>
        <v>265790</v>
      </c>
      <c r="N24" s="107">
        <f>+VLOOKUP($B24,datos9!$A$2:$BG$78,24,FALSE)</f>
        <v>0</v>
      </c>
      <c r="O24" s="107">
        <f>+VLOOKUP($B24,datos9!$A$2:$BG$78,25,FALSE)</f>
        <v>0</v>
      </c>
      <c r="P24" s="385">
        <f t="shared" si="2"/>
        <v>265790</v>
      </c>
      <c r="Q24" s="107">
        <f>+VLOOKUP($B24,datos9!$A$2:$BG$78,27,FALSE)</f>
        <v>0</v>
      </c>
      <c r="R24" s="107">
        <f>+VLOOKUP($B24,datos9!$A$2:$BG$78,28,FALSE)</f>
        <v>0</v>
      </c>
      <c r="S24" s="107">
        <f>+VLOOKUP($B24,datos9!$A$2:$BG$78,29,FALSE)</f>
        <v>0</v>
      </c>
      <c r="T24" s="107">
        <f>+VLOOKUP($B24,datos9!$A$2:$BG$78,30,FALSE)</f>
        <v>0</v>
      </c>
      <c r="U24" s="385">
        <f t="shared" si="3"/>
        <v>0</v>
      </c>
      <c r="V24" s="107">
        <f>+VLOOKUP($B24,datos9!$A$2:$BG$78,32,FALSE)</f>
        <v>93969</v>
      </c>
      <c r="W24" s="107">
        <f>+VLOOKUP($B24,datos9!$A$2:$BG$78,33,FALSE)</f>
        <v>2087</v>
      </c>
      <c r="X24" s="404">
        <f t="shared" si="4"/>
        <v>96056</v>
      </c>
      <c r="Y24" s="108">
        <f t="shared" si="5"/>
        <v>409191</v>
      </c>
      <c r="Z24" s="107">
        <f>+VLOOKUP($B24,datos9!$A$2:$BG$78,36,FALSE)</f>
        <v>0</v>
      </c>
      <c r="AA24" s="107">
        <f>+VLOOKUP($B24,datos9!$A$2:$BG$78,37,FALSE)</f>
        <v>308031</v>
      </c>
      <c r="AB24" s="107">
        <f>+VLOOKUP($B24,datos9!$A$2:$BG$78,38,FALSE)</f>
        <v>0</v>
      </c>
      <c r="AC24" s="107">
        <f>+VLOOKUP($B24,datos9!$A$2:$BG$78,39,FALSE)</f>
        <v>0</v>
      </c>
      <c r="AD24" s="107">
        <f>+VLOOKUP($B24,datos9!$A$2:$BG$78,40,FALSE)</f>
        <v>0</v>
      </c>
      <c r="AE24" s="385">
        <f t="shared" si="6"/>
        <v>308031</v>
      </c>
      <c r="AF24" s="107">
        <f>+VLOOKUP($B24,datos9!$A$2:$BG$78,43,FALSE)</f>
        <v>98520</v>
      </c>
      <c r="AG24" s="107">
        <f>+VLOOKUP($B24,datos9!$A$2:$BG$78,45,FALSE)</f>
        <v>171571</v>
      </c>
      <c r="AH24" s="107">
        <f>+VLOOKUP($B24,datos9!$A$2:$BG$78,46,FALSE)</f>
        <v>0</v>
      </c>
      <c r="AI24" s="107">
        <f>+VLOOKUP($B24,datos9!$A$2:$BG$78,47,FALSE)</f>
        <v>0</v>
      </c>
      <c r="AJ24" s="385">
        <f t="shared" si="7"/>
        <v>270091</v>
      </c>
      <c r="AK24" s="107">
        <f>+VLOOKUP($B24,datos9!$A$2:$BG$78,50,FALSE)</f>
        <v>63051</v>
      </c>
      <c r="AL24" s="107">
        <f>+VLOOKUP($B24,datos9!$A$2:$BG$78,51,FALSE)</f>
        <v>0</v>
      </c>
      <c r="AM24" s="107">
        <f>+VLOOKUP($B24,datos9!$A$2:$BG$78,52,FALSE)</f>
        <v>88228</v>
      </c>
      <c r="AN24" s="107">
        <f>+VLOOKUP($B24,datos9!$A$2:$BG$78,53,FALSE)</f>
        <v>0</v>
      </c>
      <c r="AO24" s="407">
        <f t="shared" si="8"/>
        <v>151279</v>
      </c>
      <c r="AP24" s="107">
        <f>+VLOOKUP($B24,datos9!$A$2:$BG$78,56,FALSE)</f>
        <v>0</v>
      </c>
      <c r="AQ24" s="108">
        <f t="shared" si="9"/>
        <v>729401</v>
      </c>
      <c r="AS24" s="109">
        <f t="shared" si="10"/>
        <v>1138592</v>
      </c>
      <c r="AW24" s="107">
        <f t="shared" si="11"/>
        <v>18678</v>
      </c>
    </row>
    <row r="25" spans="2:49" x14ac:dyDescent="0.2">
      <c r="B25" s="17" t="s">
        <v>70</v>
      </c>
      <c r="C25" s="106"/>
      <c r="D25" s="107">
        <f>+VLOOKUP($B25,datos9!$A$2:$BG$78,14,FALSE)</f>
        <v>77458</v>
      </c>
      <c r="E25" s="107">
        <f>+VLOOKUP($B25,datos9!$A$2:$BG$78,15,FALSE)</f>
        <v>0</v>
      </c>
      <c r="F25" s="107">
        <f>+VLOOKUP($B25,datos9!$A$2:$BG$78,16,FALSE)</f>
        <v>3800</v>
      </c>
      <c r="G25" s="385">
        <f t="shared" si="0"/>
        <v>81258</v>
      </c>
      <c r="H25" s="107">
        <f>+VLOOKUP($B25,datos9!$A$2:$BG$78,18,FALSE)</f>
        <v>84413</v>
      </c>
      <c r="I25" s="107">
        <f>+VLOOKUP($B25,datos9!$A$2:$BG$78,19,FALSE)</f>
        <v>67601</v>
      </c>
      <c r="J25" s="107">
        <f>+VLOOKUP($B25,datos9!$A$2:$BG$78,20,FALSE)</f>
        <v>55266</v>
      </c>
      <c r="K25" s="107">
        <f>+VLOOKUP($B25,datos9!$A$2:$BG$78,21,FALSE)</f>
        <v>0</v>
      </c>
      <c r="L25" s="385">
        <f t="shared" si="1"/>
        <v>207280</v>
      </c>
      <c r="M25" s="107">
        <f>+VLOOKUP($B25,datos9!$A$2:$BG$78,23,FALSE)</f>
        <v>335979</v>
      </c>
      <c r="N25" s="107">
        <f>+VLOOKUP($B25,datos9!$A$2:$BG$78,24,FALSE)</f>
        <v>426994</v>
      </c>
      <c r="O25" s="107">
        <f>+VLOOKUP($B25,datos9!$A$2:$BG$78,25,FALSE)</f>
        <v>0</v>
      </c>
      <c r="P25" s="385">
        <f t="shared" si="2"/>
        <v>762973</v>
      </c>
      <c r="Q25" s="107">
        <f>+VLOOKUP($B25,datos9!$A$2:$BG$78,27,FALSE)</f>
        <v>0</v>
      </c>
      <c r="R25" s="107">
        <f>+VLOOKUP($B25,datos9!$A$2:$BG$78,28,FALSE)</f>
        <v>0</v>
      </c>
      <c r="S25" s="107">
        <f>+VLOOKUP($B25,datos9!$A$2:$BG$78,29,FALSE)</f>
        <v>0</v>
      </c>
      <c r="T25" s="107">
        <f>+VLOOKUP($B25,datos9!$A$2:$BG$78,30,FALSE)</f>
        <v>720</v>
      </c>
      <c r="U25" s="385">
        <f t="shared" si="3"/>
        <v>720</v>
      </c>
      <c r="V25" s="107">
        <f>+VLOOKUP($B25,datos9!$A$2:$BG$78,32,FALSE)</f>
        <v>0</v>
      </c>
      <c r="W25" s="107">
        <f>+VLOOKUP($B25,datos9!$A$2:$BG$78,33,FALSE)</f>
        <v>0</v>
      </c>
      <c r="X25" s="404">
        <f t="shared" si="4"/>
        <v>0</v>
      </c>
      <c r="Y25" s="108">
        <f t="shared" si="5"/>
        <v>1052231</v>
      </c>
      <c r="Z25" s="107">
        <f>+VLOOKUP($B25,datos9!$A$2:$BG$78,36,FALSE)</f>
        <v>0</v>
      </c>
      <c r="AA25" s="107">
        <f>+VLOOKUP($B25,datos9!$A$2:$BG$78,37,FALSE)</f>
        <v>314994</v>
      </c>
      <c r="AB25" s="107">
        <f>+VLOOKUP($B25,datos9!$A$2:$BG$78,38,FALSE)</f>
        <v>0</v>
      </c>
      <c r="AC25" s="107">
        <f>+VLOOKUP($B25,datos9!$A$2:$BG$78,39,FALSE)</f>
        <v>0</v>
      </c>
      <c r="AD25" s="107">
        <f>+VLOOKUP($B25,datos9!$A$2:$BG$78,40,FALSE)</f>
        <v>0</v>
      </c>
      <c r="AE25" s="385">
        <f t="shared" si="6"/>
        <v>314994</v>
      </c>
      <c r="AF25" s="107">
        <f>+VLOOKUP($B25,datos9!$A$2:$BG$78,43,FALSE)</f>
        <v>0</v>
      </c>
      <c r="AG25" s="107">
        <f>+VLOOKUP($B25,datos9!$A$2:$BG$78,45,FALSE)</f>
        <v>1315013</v>
      </c>
      <c r="AH25" s="107">
        <f>+VLOOKUP($B25,datos9!$A$2:$BG$78,46,FALSE)</f>
        <v>0</v>
      </c>
      <c r="AI25" s="107">
        <f>+VLOOKUP($B25,datos9!$A$2:$BG$78,47,FALSE)</f>
        <v>0</v>
      </c>
      <c r="AJ25" s="385">
        <f t="shared" si="7"/>
        <v>1315013</v>
      </c>
      <c r="AK25" s="107">
        <f>+VLOOKUP($B25,datos9!$A$2:$BG$78,50,FALSE)</f>
        <v>219205</v>
      </c>
      <c r="AL25" s="107">
        <f>+VLOOKUP($B25,datos9!$A$2:$BG$78,51,FALSE)</f>
        <v>0</v>
      </c>
      <c r="AM25" s="107">
        <f>+VLOOKUP($B25,datos9!$A$2:$BG$78,52,FALSE)</f>
        <v>50721</v>
      </c>
      <c r="AN25" s="107">
        <f>+VLOOKUP($B25,datos9!$A$2:$BG$78,53,FALSE)</f>
        <v>153505</v>
      </c>
      <c r="AO25" s="407">
        <f t="shared" si="8"/>
        <v>423431</v>
      </c>
      <c r="AP25" s="107">
        <f>+VLOOKUP($B25,datos9!$A$2:$BG$78,56,FALSE)</f>
        <v>638163</v>
      </c>
      <c r="AQ25" s="108">
        <f t="shared" si="9"/>
        <v>2691601</v>
      </c>
      <c r="AS25" s="109">
        <f t="shared" si="10"/>
        <v>3743832</v>
      </c>
      <c r="AW25" s="107">
        <f t="shared" si="11"/>
        <v>81258</v>
      </c>
    </row>
    <row r="26" spans="2:49" x14ac:dyDescent="0.2">
      <c r="B26" s="17" t="s">
        <v>71</v>
      </c>
      <c r="C26" s="106"/>
      <c r="D26" s="107">
        <f>+VLOOKUP($B26,datos9!$A$2:$BG$78,14,FALSE)</f>
        <v>188853</v>
      </c>
      <c r="E26" s="107">
        <f>+VLOOKUP($B26,datos9!$A$2:$BG$78,15,FALSE)</f>
        <v>0</v>
      </c>
      <c r="F26" s="107">
        <f>+VLOOKUP($B26,datos9!$A$2:$BG$78,16,FALSE)</f>
        <v>504</v>
      </c>
      <c r="G26" s="385">
        <f t="shared" si="0"/>
        <v>189357</v>
      </c>
      <c r="H26" s="107">
        <f>+VLOOKUP($B26,datos9!$A$2:$BG$78,18,FALSE)</f>
        <v>168790</v>
      </c>
      <c r="I26" s="107">
        <f>+VLOOKUP($B26,datos9!$A$2:$BG$78,19,FALSE)</f>
        <v>0</v>
      </c>
      <c r="J26" s="107">
        <f>+VLOOKUP($B26,datos9!$A$2:$BG$78,20,FALSE)</f>
        <v>0</v>
      </c>
      <c r="K26" s="107">
        <f>+VLOOKUP($B26,datos9!$A$2:$BG$78,21,FALSE)</f>
        <v>3628</v>
      </c>
      <c r="L26" s="385">
        <f t="shared" si="1"/>
        <v>172418</v>
      </c>
      <c r="M26" s="107">
        <f>+VLOOKUP($B26,datos9!$A$2:$BG$78,23,FALSE)</f>
        <v>1246224</v>
      </c>
      <c r="N26" s="107">
        <f>+VLOOKUP($B26,datos9!$A$2:$BG$78,24,FALSE)</f>
        <v>132000</v>
      </c>
      <c r="O26" s="107">
        <f>+VLOOKUP($B26,datos9!$A$2:$BG$78,25,FALSE)</f>
        <v>0</v>
      </c>
      <c r="P26" s="385">
        <f t="shared" si="2"/>
        <v>1378224</v>
      </c>
      <c r="Q26" s="107">
        <f>+VLOOKUP($B26,datos9!$A$2:$BG$78,27,FALSE)</f>
        <v>0</v>
      </c>
      <c r="R26" s="107">
        <f>+VLOOKUP($B26,datos9!$A$2:$BG$78,28,FALSE)</f>
        <v>0</v>
      </c>
      <c r="S26" s="107">
        <f>+VLOOKUP($B26,datos9!$A$2:$BG$78,29,FALSE)</f>
        <v>0</v>
      </c>
      <c r="T26" s="107">
        <f>+VLOOKUP($B26,datos9!$A$2:$BG$78,30,FALSE)</f>
        <v>0</v>
      </c>
      <c r="U26" s="385">
        <f t="shared" si="3"/>
        <v>0</v>
      </c>
      <c r="V26" s="107">
        <f>+VLOOKUP($B26,datos9!$A$2:$BG$78,32,FALSE)</f>
        <v>0</v>
      </c>
      <c r="W26" s="107">
        <f>+VLOOKUP($B26,datos9!$A$2:$BG$78,33,FALSE)</f>
        <v>0</v>
      </c>
      <c r="X26" s="404">
        <f t="shared" si="4"/>
        <v>0</v>
      </c>
      <c r="Y26" s="108">
        <f t="shared" si="5"/>
        <v>1739999</v>
      </c>
      <c r="Z26" s="107">
        <f>+VLOOKUP($B26,datos9!$A$2:$BG$78,36,FALSE)</f>
        <v>0</v>
      </c>
      <c r="AA26" s="107">
        <f>+VLOOKUP($B26,datos9!$A$2:$BG$78,37,FALSE)</f>
        <v>300000</v>
      </c>
      <c r="AB26" s="107">
        <f>+VLOOKUP($B26,datos9!$A$2:$BG$78,38,FALSE)</f>
        <v>0</v>
      </c>
      <c r="AC26" s="107">
        <f>+VLOOKUP($B26,datos9!$A$2:$BG$78,39,FALSE)</f>
        <v>0</v>
      </c>
      <c r="AD26" s="107">
        <f>+VLOOKUP($B26,datos9!$A$2:$BG$78,40,FALSE)</f>
        <v>0</v>
      </c>
      <c r="AE26" s="385">
        <f t="shared" si="6"/>
        <v>300000</v>
      </c>
      <c r="AF26" s="107">
        <f>+VLOOKUP($B26,datos9!$A$2:$BG$78,43,FALSE)</f>
        <v>1743949</v>
      </c>
      <c r="AG26" s="107">
        <f>+VLOOKUP($B26,datos9!$A$2:$BG$78,45,FALSE)</f>
        <v>102189</v>
      </c>
      <c r="AH26" s="107">
        <f>+VLOOKUP($B26,datos9!$A$2:$BG$78,46,FALSE)</f>
        <v>0</v>
      </c>
      <c r="AI26" s="107">
        <f>+VLOOKUP($B26,datos9!$A$2:$BG$78,47,FALSE)</f>
        <v>0</v>
      </c>
      <c r="AJ26" s="385">
        <f t="shared" si="7"/>
        <v>1846138</v>
      </c>
      <c r="AK26" s="107">
        <f>+VLOOKUP($B26,datos9!$A$2:$BG$78,50,FALSE)</f>
        <v>0</v>
      </c>
      <c r="AL26" s="107">
        <f>+VLOOKUP($B26,datos9!$A$2:$BG$78,51,FALSE)</f>
        <v>0</v>
      </c>
      <c r="AM26" s="107">
        <f>+VLOOKUP($B26,datos9!$A$2:$BG$78,52,FALSE)</f>
        <v>0</v>
      </c>
      <c r="AN26" s="107">
        <f>+VLOOKUP($B26,datos9!$A$2:$BG$78,53,FALSE)</f>
        <v>272920</v>
      </c>
      <c r="AO26" s="407">
        <f t="shared" si="8"/>
        <v>272920</v>
      </c>
      <c r="AP26" s="107">
        <f>+VLOOKUP($B26,datos9!$A$2:$BG$78,56,FALSE)</f>
        <v>0</v>
      </c>
      <c r="AQ26" s="108">
        <f t="shared" si="9"/>
        <v>2419058</v>
      </c>
      <c r="AS26" s="109">
        <f t="shared" si="10"/>
        <v>4159057</v>
      </c>
      <c r="AW26" s="107">
        <f t="shared" si="11"/>
        <v>189357</v>
      </c>
    </row>
    <row r="27" spans="2:49" x14ac:dyDescent="0.2">
      <c r="B27" s="17" t="s">
        <v>72</v>
      </c>
      <c r="C27" s="106"/>
      <c r="D27" s="107">
        <f>+VLOOKUP($B27,datos9!$A$2:$BG$78,14,FALSE)</f>
        <v>2277</v>
      </c>
      <c r="E27" s="107">
        <f>+VLOOKUP($B27,datos9!$A$2:$BG$78,15,FALSE)</f>
        <v>0</v>
      </c>
      <c r="F27" s="107">
        <f>+VLOOKUP($B27,datos9!$A$2:$BG$78,16,FALSE)</f>
        <v>11431</v>
      </c>
      <c r="G27" s="385">
        <f t="shared" si="0"/>
        <v>13708</v>
      </c>
      <c r="H27" s="107">
        <f>+VLOOKUP($B27,datos9!$A$2:$BG$78,18,FALSE)</f>
        <v>1750</v>
      </c>
      <c r="I27" s="107">
        <f>+VLOOKUP($B27,datos9!$A$2:$BG$78,19,FALSE)</f>
        <v>0</v>
      </c>
      <c r="J27" s="107">
        <f>+VLOOKUP($B27,datos9!$A$2:$BG$78,20,FALSE)</f>
        <v>0</v>
      </c>
      <c r="K27" s="107">
        <f>+VLOOKUP($B27,datos9!$A$2:$BG$78,21,FALSE)</f>
        <v>1666</v>
      </c>
      <c r="L27" s="385">
        <f t="shared" si="1"/>
        <v>3416</v>
      </c>
      <c r="M27" s="107">
        <f>+VLOOKUP($B27,datos9!$A$2:$BG$78,23,FALSE)</f>
        <v>2250</v>
      </c>
      <c r="N27" s="107">
        <f>+VLOOKUP($B27,datos9!$A$2:$BG$78,24,FALSE)</f>
        <v>0</v>
      </c>
      <c r="O27" s="107">
        <f>+VLOOKUP($B27,datos9!$A$2:$BG$78,25,FALSE)</f>
        <v>0</v>
      </c>
      <c r="P27" s="385">
        <f t="shared" si="2"/>
        <v>2250</v>
      </c>
      <c r="Q27" s="107">
        <f>+VLOOKUP($B27,datos9!$A$2:$BG$78,27,FALSE)</f>
        <v>0</v>
      </c>
      <c r="R27" s="107">
        <f>+VLOOKUP($B27,datos9!$A$2:$BG$78,28,FALSE)</f>
        <v>0</v>
      </c>
      <c r="S27" s="107">
        <f>+VLOOKUP($B27,datos9!$A$2:$BG$78,29,FALSE)</f>
        <v>0</v>
      </c>
      <c r="T27" s="107">
        <f>+VLOOKUP($B27,datos9!$A$2:$BG$78,30,FALSE)</f>
        <v>0</v>
      </c>
      <c r="U27" s="385">
        <f t="shared" si="3"/>
        <v>0</v>
      </c>
      <c r="V27" s="107">
        <f>+VLOOKUP($B27,datos9!$A$2:$BG$78,32,FALSE)</f>
        <v>0</v>
      </c>
      <c r="W27" s="107">
        <f>+VLOOKUP($B27,datos9!$A$2:$BG$78,33,FALSE)</f>
        <v>0</v>
      </c>
      <c r="X27" s="404">
        <f t="shared" si="4"/>
        <v>0</v>
      </c>
      <c r="Y27" s="108">
        <f t="shared" si="5"/>
        <v>19374</v>
      </c>
      <c r="Z27" s="107">
        <f>+VLOOKUP($B27,datos9!$A$2:$BG$78,36,FALSE)</f>
        <v>0</v>
      </c>
      <c r="AA27" s="107">
        <f>+VLOOKUP($B27,datos9!$A$2:$BG$78,37,FALSE)</f>
        <v>0</v>
      </c>
      <c r="AB27" s="107">
        <f>+VLOOKUP($B27,datos9!$A$2:$BG$78,38,FALSE)</f>
        <v>0</v>
      </c>
      <c r="AC27" s="107">
        <f>+VLOOKUP($B27,datos9!$A$2:$BG$78,39,FALSE)</f>
        <v>0</v>
      </c>
      <c r="AD27" s="107">
        <f>+VLOOKUP($B27,datos9!$A$2:$BG$78,40,FALSE)</f>
        <v>0</v>
      </c>
      <c r="AE27" s="385">
        <f t="shared" si="6"/>
        <v>0</v>
      </c>
      <c r="AF27" s="107">
        <f>+VLOOKUP($B27,datos9!$A$2:$BG$78,43,FALSE)</f>
        <v>0</v>
      </c>
      <c r="AG27" s="107">
        <f>+VLOOKUP($B27,datos9!$A$2:$BG$78,45,FALSE)</f>
        <v>0</v>
      </c>
      <c r="AH27" s="107">
        <f>+VLOOKUP($B27,datos9!$A$2:$BG$78,46,FALSE)</f>
        <v>0</v>
      </c>
      <c r="AI27" s="107">
        <f>+VLOOKUP($B27,datos9!$A$2:$BG$78,47,FALSE)</f>
        <v>0</v>
      </c>
      <c r="AJ27" s="385">
        <f t="shared" si="7"/>
        <v>0</v>
      </c>
      <c r="AK27" s="107">
        <f>+VLOOKUP($B27,datos9!$A$2:$BG$78,50,FALSE)</f>
        <v>0</v>
      </c>
      <c r="AL27" s="107">
        <f>+VLOOKUP($B27,datos9!$A$2:$BG$78,51,FALSE)</f>
        <v>0</v>
      </c>
      <c r="AM27" s="107">
        <f>+VLOOKUP($B27,datos9!$A$2:$BG$78,52,FALSE)</f>
        <v>0</v>
      </c>
      <c r="AN27" s="107">
        <f>+VLOOKUP($B27,datos9!$A$2:$BG$78,53,FALSE)</f>
        <v>0</v>
      </c>
      <c r="AO27" s="407">
        <f t="shared" si="8"/>
        <v>0</v>
      </c>
      <c r="AP27" s="107">
        <f>+VLOOKUP($B27,datos9!$A$2:$BG$78,56,FALSE)</f>
        <v>0</v>
      </c>
      <c r="AQ27" s="108">
        <f t="shared" si="9"/>
        <v>0</v>
      </c>
      <c r="AS27" s="109">
        <f t="shared" si="10"/>
        <v>19374</v>
      </c>
      <c r="AW27" s="107">
        <f t="shared" si="11"/>
        <v>13708</v>
      </c>
    </row>
    <row r="28" spans="2:49" x14ac:dyDescent="0.2">
      <c r="B28" s="17" t="s">
        <v>73</v>
      </c>
      <c r="C28" s="106"/>
      <c r="D28" s="107">
        <f>+VLOOKUP($B28,datos9!$A$2:$BG$78,14,FALSE)</f>
        <v>11242</v>
      </c>
      <c r="E28" s="107">
        <f>+VLOOKUP($B28,datos9!$A$2:$BG$78,15,FALSE)</f>
        <v>0</v>
      </c>
      <c r="F28" s="107">
        <f>+VLOOKUP($B28,datos9!$A$2:$BG$78,16,FALSE)</f>
        <v>0</v>
      </c>
      <c r="G28" s="385">
        <f t="shared" si="0"/>
        <v>11242</v>
      </c>
      <c r="H28" s="107">
        <f>+VLOOKUP($B28,datos9!$A$2:$BG$78,18,FALSE)</f>
        <v>0</v>
      </c>
      <c r="I28" s="107">
        <f>+VLOOKUP($B28,datos9!$A$2:$BG$78,19,FALSE)</f>
        <v>0</v>
      </c>
      <c r="J28" s="107">
        <f>+VLOOKUP($B28,datos9!$A$2:$BG$78,20,FALSE)</f>
        <v>0</v>
      </c>
      <c r="K28" s="107">
        <f>+VLOOKUP($B28,datos9!$A$2:$BG$78,21,FALSE)</f>
        <v>6855</v>
      </c>
      <c r="L28" s="385">
        <f t="shared" si="1"/>
        <v>6855</v>
      </c>
      <c r="M28" s="107">
        <f>+VLOOKUP($B28,datos9!$A$2:$BG$78,23,FALSE)</f>
        <v>0</v>
      </c>
      <c r="N28" s="107">
        <f>+VLOOKUP($B28,datos9!$A$2:$BG$78,24,FALSE)</f>
        <v>0</v>
      </c>
      <c r="O28" s="107">
        <f>+VLOOKUP($B28,datos9!$A$2:$BG$78,25,FALSE)</f>
        <v>0</v>
      </c>
      <c r="P28" s="385">
        <f t="shared" si="2"/>
        <v>0</v>
      </c>
      <c r="Q28" s="107">
        <f>+VLOOKUP($B28,datos9!$A$2:$BG$78,27,FALSE)</f>
        <v>0</v>
      </c>
      <c r="R28" s="107">
        <f>+VLOOKUP($B28,datos9!$A$2:$BG$78,28,FALSE)</f>
        <v>0</v>
      </c>
      <c r="S28" s="107">
        <f>+VLOOKUP($B28,datos9!$A$2:$BG$78,29,FALSE)</f>
        <v>0</v>
      </c>
      <c r="T28" s="107">
        <f>+VLOOKUP($B28,datos9!$A$2:$BG$78,30,FALSE)</f>
        <v>0</v>
      </c>
      <c r="U28" s="385">
        <f t="shared" si="3"/>
        <v>0</v>
      </c>
      <c r="V28" s="107">
        <f>+VLOOKUP($B28,datos9!$A$2:$BG$78,32,FALSE)</f>
        <v>43288</v>
      </c>
      <c r="W28" s="107">
        <f>+VLOOKUP($B28,datos9!$A$2:$BG$78,33,FALSE)</f>
        <v>0</v>
      </c>
      <c r="X28" s="404">
        <f t="shared" si="4"/>
        <v>43288</v>
      </c>
      <c r="Y28" s="108">
        <f t="shared" si="5"/>
        <v>61385</v>
      </c>
      <c r="Z28" s="107">
        <f>+VLOOKUP($B28,datos9!$A$2:$BG$78,36,FALSE)</f>
        <v>0</v>
      </c>
      <c r="AA28" s="107">
        <f>+VLOOKUP($B28,datos9!$A$2:$BG$78,37,FALSE)</f>
        <v>0</v>
      </c>
      <c r="AB28" s="107">
        <f>+VLOOKUP($B28,datos9!$A$2:$BG$78,38,FALSE)</f>
        <v>0</v>
      </c>
      <c r="AC28" s="107">
        <f>+VLOOKUP($B28,datos9!$A$2:$BG$78,39,FALSE)</f>
        <v>0</v>
      </c>
      <c r="AD28" s="107">
        <f>+VLOOKUP($B28,datos9!$A$2:$BG$78,40,FALSE)</f>
        <v>0</v>
      </c>
      <c r="AE28" s="385">
        <f t="shared" si="6"/>
        <v>0</v>
      </c>
      <c r="AF28" s="107">
        <f>+VLOOKUP($B28,datos9!$A$2:$BG$78,43,FALSE)</f>
        <v>7000</v>
      </c>
      <c r="AG28" s="107">
        <f>+VLOOKUP($B28,datos9!$A$2:$BG$78,45,FALSE)</f>
        <v>121728</v>
      </c>
      <c r="AH28" s="107">
        <f>+VLOOKUP($B28,datos9!$A$2:$BG$78,46,FALSE)</f>
        <v>0</v>
      </c>
      <c r="AI28" s="107">
        <f>+VLOOKUP($B28,datos9!$A$2:$BG$78,47,FALSE)</f>
        <v>0</v>
      </c>
      <c r="AJ28" s="385">
        <f t="shared" si="7"/>
        <v>128728</v>
      </c>
      <c r="AK28" s="107">
        <f>+VLOOKUP($B28,datos9!$A$2:$BG$78,50,FALSE)</f>
        <v>0</v>
      </c>
      <c r="AL28" s="107">
        <f>+VLOOKUP($B28,datos9!$A$2:$BG$78,51,FALSE)</f>
        <v>0</v>
      </c>
      <c r="AM28" s="107">
        <f>+VLOOKUP($B28,datos9!$A$2:$BG$78,52,FALSE)</f>
        <v>0</v>
      </c>
      <c r="AN28" s="107">
        <f>+VLOOKUP($B28,datos9!$A$2:$BG$78,53,FALSE)</f>
        <v>0</v>
      </c>
      <c r="AO28" s="407">
        <f t="shared" si="8"/>
        <v>0</v>
      </c>
      <c r="AP28" s="107">
        <f>+VLOOKUP($B28,datos9!$A$2:$BG$78,56,FALSE)</f>
        <v>0</v>
      </c>
      <c r="AQ28" s="108">
        <f t="shared" si="9"/>
        <v>128728</v>
      </c>
      <c r="AS28" s="109">
        <f t="shared" si="10"/>
        <v>190113</v>
      </c>
      <c r="AW28" s="107">
        <f t="shared" si="11"/>
        <v>11242</v>
      </c>
    </row>
    <row r="29" spans="2:49" x14ac:dyDescent="0.2">
      <c r="B29" s="17" t="s">
        <v>74</v>
      </c>
      <c r="C29" s="106"/>
      <c r="D29" s="107">
        <f>+VLOOKUP($B29,datos9!$A$2:$BG$78,14,FALSE)</f>
        <v>0</v>
      </c>
      <c r="E29" s="107">
        <f>+VLOOKUP($B29,datos9!$A$2:$BG$78,15,FALSE)</f>
        <v>0</v>
      </c>
      <c r="F29" s="107">
        <f>+VLOOKUP($B29,datos9!$A$2:$BG$78,16,FALSE)</f>
        <v>0</v>
      </c>
      <c r="G29" s="385">
        <f t="shared" si="0"/>
        <v>0</v>
      </c>
      <c r="H29" s="107">
        <f>+VLOOKUP($B29,datos9!$A$2:$BG$78,18,FALSE)</f>
        <v>0</v>
      </c>
      <c r="I29" s="107">
        <f>+VLOOKUP($B29,datos9!$A$2:$BG$78,19,FALSE)</f>
        <v>0</v>
      </c>
      <c r="J29" s="107">
        <f>+VLOOKUP($B29,datos9!$A$2:$BG$78,20,FALSE)</f>
        <v>0</v>
      </c>
      <c r="K29" s="107">
        <f>+VLOOKUP($B29,datos9!$A$2:$BG$78,21,FALSE)</f>
        <v>0</v>
      </c>
      <c r="L29" s="385">
        <f t="shared" si="1"/>
        <v>0</v>
      </c>
      <c r="M29" s="107">
        <f>+VLOOKUP($B29,datos9!$A$2:$BG$78,23,FALSE)</f>
        <v>138210</v>
      </c>
      <c r="N29" s="107">
        <f>+VLOOKUP($B29,datos9!$A$2:$BG$78,24,FALSE)</f>
        <v>0</v>
      </c>
      <c r="O29" s="107">
        <f>+VLOOKUP($B29,datos9!$A$2:$BG$78,25,FALSE)</f>
        <v>0</v>
      </c>
      <c r="P29" s="385">
        <f t="shared" si="2"/>
        <v>138210</v>
      </c>
      <c r="Q29" s="107">
        <f>+VLOOKUP($B29,datos9!$A$2:$BG$78,27,FALSE)</f>
        <v>0</v>
      </c>
      <c r="R29" s="107">
        <f>+VLOOKUP($B29,datos9!$A$2:$BG$78,28,FALSE)</f>
        <v>0</v>
      </c>
      <c r="S29" s="107">
        <f>+VLOOKUP($B29,datos9!$A$2:$BG$78,29,FALSE)</f>
        <v>0</v>
      </c>
      <c r="T29" s="107">
        <f>+VLOOKUP($B29,datos9!$A$2:$BG$78,30,FALSE)</f>
        <v>0</v>
      </c>
      <c r="U29" s="385">
        <f t="shared" si="3"/>
        <v>0</v>
      </c>
      <c r="V29" s="107">
        <f>+VLOOKUP($B29,datos9!$A$2:$BG$78,32,FALSE)</f>
        <v>0</v>
      </c>
      <c r="W29" s="107">
        <f>+VLOOKUP($B29,datos9!$A$2:$BG$78,33,FALSE)</f>
        <v>0</v>
      </c>
      <c r="X29" s="404">
        <f t="shared" si="4"/>
        <v>0</v>
      </c>
      <c r="Y29" s="108">
        <f t="shared" si="5"/>
        <v>138210</v>
      </c>
      <c r="Z29" s="107">
        <f>+VLOOKUP($B29,datos9!$A$2:$BG$78,36,FALSE)</f>
        <v>0</v>
      </c>
      <c r="AA29" s="107">
        <f>+VLOOKUP($B29,datos9!$A$2:$BG$78,37,FALSE)</f>
        <v>0</v>
      </c>
      <c r="AB29" s="107">
        <f>+VLOOKUP($B29,datos9!$A$2:$BG$78,38,FALSE)</f>
        <v>0</v>
      </c>
      <c r="AC29" s="107">
        <f>+VLOOKUP($B29,datos9!$A$2:$BG$78,39,FALSE)</f>
        <v>0</v>
      </c>
      <c r="AD29" s="107">
        <f>+VLOOKUP($B29,datos9!$A$2:$BG$78,40,FALSE)</f>
        <v>0</v>
      </c>
      <c r="AE29" s="385">
        <f t="shared" si="6"/>
        <v>0</v>
      </c>
      <c r="AF29" s="107">
        <f>+VLOOKUP($B29,datos9!$A$2:$BG$78,43,FALSE)</f>
        <v>0</v>
      </c>
      <c r="AG29" s="107">
        <f>+VLOOKUP($B29,datos9!$A$2:$BG$78,45,FALSE)</f>
        <v>0</v>
      </c>
      <c r="AH29" s="107">
        <f>+VLOOKUP($B29,datos9!$A$2:$BG$78,46,FALSE)</f>
        <v>0</v>
      </c>
      <c r="AI29" s="107">
        <f>+VLOOKUP($B29,datos9!$A$2:$BG$78,47,FALSE)</f>
        <v>0</v>
      </c>
      <c r="AJ29" s="385">
        <f t="shared" si="7"/>
        <v>0</v>
      </c>
      <c r="AK29" s="107">
        <f>+VLOOKUP($B29,datos9!$A$2:$BG$78,50,FALSE)</f>
        <v>0</v>
      </c>
      <c r="AL29" s="107">
        <f>+VLOOKUP($B29,datos9!$A$2:$BG$78,51,FALSE)</f>
        <v>0</v>
      </c>
      <c r="AM29" s="107">
        <f>+VLOOKUP($B29,datos9!$A$2:$BG$78,52,FALSE)</f>
        <v>0</v>
      </c>
      <c r="AN29" s="107">
        <f>+VLOOKUP($B29,datos9!$A$2:$BG$78,53,FALSE)</f>
        <v>0</v>
      </c>
      <c r="AO29" s="407">
        <f t="shared" si="8"/>
        <v>0</v>
      </c>
      <c r="AP29" s="107">
        <f>+VLOOKUP($B29,datos9!$A$2:$BG$78,56,FALSE)</f>
        <v>0</v>
      </c>
      <c r="AQ29" s="108">
        <f t="shared" si="9"/>
        <v>0</v>
      </c>
      <c r="AS29" s="109">
        <f t="shared" si="10"/>
        <v>138210</v>
      </c>
      <c r="AW29" s="107">
        <f t="shared" si="11"/>
        <v>0</v>
      </c>
    </row>
    <row r="30" spans="2:49" x14ac:dyDescent="0.2">
      <c r="B30" s="17" t="s">
        <v>75</v>
      </c>
      <c r="C30" s="106"/>
      <c r="D30" s="107">
        <f>+VLOOKUP($B30,datos9!$A$2:$BG$78,14,FALSE)</f>
        <v>7508040</v>
      </c>
      <c r="E30" s="107">
        <f>+VLOOKUP($B30,datos9!$A$2:$BG$78,15,FALSE)</f>
        <v>0</v>
      </c>
      <c r="F30" s="107">
        <f>+VLOOKUP($B30,datos9!$A$2:$BG$78,16,FALSE)</f>
        <v>0</v>
      </c>
      <c r="G30" s="385">
        <f t="shared" si="0"/>
        <v>7508040</v>
      </c>
      <c r="H30" s="107">
        <f>+VLOOKUP($B30,datos9!$A$2:$BG$78,18,FALSE)</f>
        <v>1082789</v>
      </c>
      <c r="I30" s="107">
        <f>+VLOOKUP($B30,datos9!$A$2:$BG$78,19,FALSE)</f>
        <v>0</v>
      </c>
      <c r="J30" s="107">
        <f>+VLOOKUP($B30,datos9!$A$2:$BG$78,20,FALSE)</f>
        <v>3960764</v>
      </c>
      <c r="K30" s="107">
        <f>+VLOOKUP($B30,datos9!$A$2:$BG$78,21,FALSE)</f>
        <v>0</v>
      </c>
      <c r="L30" s="385">
        <f t="shared" si="1"/>
        <v>5043553</v>
      </c>
      <c r="M30" s="107">
        <f>+VLOOKUP($B30,datos9!$A$2:$BG$78,23,FALSE)</f>
        <v>0</v>
      </c>
      <c r="N30" s="107">
        <f>+VLOOKUP($B30,datos9!$A$2:$BG$78,24,FALSE)</f>
        <v>0</v>
      </c>
      <c r="O30" s="107">
        <f>+VLOOKUP($B30,datos9!$A$2:$BG$78,25,FALSE)</f>
        <v>0</v>
      </c>
      <c r="P30" s="385">
        <f t="shared" si="2"/>
        <v>0</v>
      </c>
      <c r="Q30" s="107">
        <f>+VLOOKUP($B30,datos9!$A$2:$BG$78,27,FALSE)</f>
        <v>0</v>
      </c>
      <c r="R30" s="107">
        <f>+VLOOKUP($B30,datos9!$A$2:$BG$78,28,FALSE)</f>
        <v>0</v>
      </c>
      <c r="S30" s="107">
        <f>+VLOOKUP($B30,datos9!$A$2:$BG$78,29,FALSE)</f>
        <v>0</v>
      </c>
      <c r="T30" s="107">
        <f>+VLOOKUP($B30,datos9!$A$2:$BG$78,30,FALSE)</f>
        <v>0</v>
      </c>
      <c r="U30" s="385">
        <f t="shared" si="3"/>
        <v>0</v>
      </c>
      <c r="V30" s="107">
        <f>+VLOOKUP($B30,datos9!$A$2:$BG$78,32,FALSE)</f>
        <v>0</v>
      </c>
      <c r="W30" s="107">
        <f>+VLOOKUP($B30,datos9!$A$2:$BG$78,33,FALSE)</f>
        <v>0</v>
      </c>
      <c r="X30" s="404">
        <f t="shared" si="4"/>
        <v>0</v>
      </c>
      <c r="Y30" s="108">
        <f t="shared" si="5"/>
        <v>12551593</v>
      </c>
      <c r="Z30" s="107">
        <f>+VLOOKUP($B30,datos9!$A$2:$BG$78,36,FALSE)</f>
        <v>2159563</v>
      </c>
      <c r="AA30" s="107">
        <f>+VLOOKUP($B30,datos9!$A$2:$BG$78,37,FALSE)</f>
        <v>1282900</v>
      </c>
      <c r="AB30" s="107">
        <f>+VLOOKUP($B30,datos9!$A$2:$BG$78,38,FALSE)</f>
        <v>0</v>
      </c>
      <c r="AC30" s="107">
        <f>+VLOOKUP($B30,datos9!$A$2:$BG$78,39,FALSE)</f>
        <v>0</v>
      </c>
      <c r="AD30" s="107">
        <f>+VLOOKUP($B30,datos9!$A$2:$BG$78,40,FALSE)</f>
        <v>0</v>
      </c>
      <c r="AE30" s="385">
        <f t="shared" si="6"/>
        <v>3442463</v>
      </c>
      <c r="AF30" s="107">
        <f>+VLOOKUP($B30,datos9!$A$2:$BG$78,43,FALSE)</f>
        <v>0</v>
      </c>
      <c r="AG30" s="107">
        <f>+VLOOKUP($B30,datos9!$A$2:$BG$78,45,FALSE)</f>
        <v>3968479</v>
      </c>
      <c r="AH30" s="107">
        <f>+VLOOKUP($B30,datos9!$A$2:$BG$78,46,FALSE)</f>
        <v>0</v>
      </c>
      <c r="AI30" s="107">
        <f>+VLOOKUP($B30,datos9!$A$2:$BG$78,47,FALSE)</f>
        <v>0</v>
      </c>
      <c r="AJ30" s="385">
        <f t="shared" si="7"/>
        <v>3968479</v>
      </c>
      <c r="AK30" s="107">
        <f>+VLOOKUP($B30,datos9!$A$2:$BG$78,50,FALSE)</f>
        <v>1904205</v>
      </c>
      <c r="AL30" s="107">
        <f>+VLOOKUP($B30,datos9!$A$2:$BG$78,51,FALSE)</f>
        <v>5935131</v>
      </c>
      <c r="AM30" s="107">
        <f>+VLOOKUP($B30,datos9!$A$2:$BG$78,52,FALSE)</f>
        <v>0</v>
      </c>
      <c r="AN30" s="107">
        <f>+VLOOKUP($B30,datos9!$A$2:$BG$78,53,FALSE)</f>
        <v>0</v>
      </c>
      <c r="AO30" s="407">
        <f t="shared" si="8"/>
        <v>7839336</v>
      </c>
      <c r="AP30" s="107">
        <f>+VLOOKUP($B30,datos9!$A$2:$BG$78,56,FALSE)</f>
        <v>0</v>
      </c>
      <c r="AQ30" s="108">
        <f t="shared" si="9"/>
        <v>15250278</v>
      </c>
      <c r="AS30" s="109">
        <f t="shared" si="10"/>
        <v>27801871</v>
      </c>
      <c r="AW30" s="107">
        <f t="shared" si="11"/>
        <v>7508040</v>
      </c>
    </row>
    <row r="31" spans="2:49" x14ac:dyDescent="0.2">
      <c r="B31" s="17" t="s">
        <v>76</v>
      </c>
      <c r="C31" s="106"/>
      <c r="D31" s="107">
        <f>+VLOOKUP($B31,datos9!$A$2:$BG$78,14,FALSE)</f>
        <v>21006</v>
      </c>
      <c r="E31" s="107">
        <f>+VLOOKUP($B31,datos9!$A$2:$BG$78,15,FALSE)</f>
        <v>0</v>
      </c>
      <c r="F31" s="107">
        <f>+VLOOKUP($B31,datos9!$A$2:$BG$78,16,FALSE)</f>
        <v>0</v>
      </c>
      <c r="G31" s="385">
        <f t="shared" si="0"/>
        <v>21006</v>
      </c>
      <c r="H31" s="107">
        <f>+VLOOKUP($B31,datos9!$A$2:$BG$78,18,FALSE)</f>
        <v>0</v>
      </c>
      <c r="I31" s="107">
        <f>+VLOOKUP($B31,datos9!$A$2:$BG$78,19,FALSE)</f>
        <v>0</v>
      </c>
      <c r="J31" s="107">
        <f>+VLOOKUP($B31,datos9!$A$2:$BG$78,20,FALSE)</f>
        <v>19931</v>
      </c>
      <c r="K31" s="107">
        <f>+VLOOKUP($B31,datos9!$A$2:$BG$78,21,FALSE)</f>
        <v>2171</v>
      </c>
      <c r="L31" s="385">
        <f t="shared" si="1"/>
        <v>22102</v>
      </c>
      <c r="M31" s="107">
        <f>+VLOOKUP($B31,datos9!$A$2:$BG$78,23,FALSE)</f>
        <v>230036</v>
      </c>
      <c r="N31" s="107">
        <f>+VLOOKUP($B31,datos9!$A$2:$BG$78,24,FALSE)</f>
        <v>0</v>
      </c>
      <c r="O31" s="107">
        <f>+VLOOKUP($B31,datos9!$A$2:$BG$78,25,FALSE)</f>
        <v>139569</v>
      </c>
      <c r="P31" s="385">
        <f t="shared" si="2"/>
        <v>369605</v>
      </c>
      <c r="Q31" s="107">
        <f>+VLOOKUP($B31,datos9!$A$2:$BG$78,27,FALSE)</f>
        <v>0</v>
      </c>
      <c r="R31" s="107">
        <f>+VLOOKUP($B31,datos9!$A$2:$BG$78,28,FALSE)</f>
        <v>0</v>
      </c>
      <c r="S31" s="107">
        <f>+VLOOKUP($B31,datos9!$A$2:$BG$78,29,FALSE)</f>
        <v>0</v>
      </c>
      <c r="T31" s="107">
        <f>+VLOOKUP($B31,datos9!$A$2:$BG$78,30,FALSE)</f>
        <v>0</v>
      </c>
      <c r="U31" s="385">
        <f t="shared" si="3"/>
        <v>0</v>
      </c>
      <c r="V31" s="107">
        <f>+VLOOKUP($B31,datos9!$A$2:$BG$78,32,FALSE)</f>
        <v>0</v>
      </c>
      <c r="W31" s="107">
        <f>+VLOOKUP($B31,datos9!$A$2:$BG$78,33,FALSE)</f>
        <v>369</v>
      </c>
      <c r="X31" s="404">
        <f t="shared" si="4"/>
        <v>369</v>
      </c>
      <c r="Y31" s="108">
        <f t="shared" si="5"/>
        <v>413082</v>
      </c>
      <c r="Z31" s="107">
        <f>+VLOOKUP($B31,datos9!$A$2:$BG$78,36,FALSE)</f>
        <v>0</v>
      </c>
      <c r="AA31" s="107">
        <f>+VLOOKUP($B31,datos9!$A$2:$BG$78,37,FALSE)</f>
        <v>99737</v>
      </c>
      <c r="AB31" s="107">
        <f>+VLOOKUP($B31,datos9!$A$2:$BG$78,38,FALSE)</f>
        <v>0</v>
      </c>
      <c r="AC31" s="107">
        <f>+VLOOKUP($B31,datos9!$A$2:$BG$78,39,FALSE)</f>
        <v>0</v>
      </c>
      <c r="AD31" s="107">
        <f>+VLOOKUP($B31,datos9!$A$2:$BG$78,40,FALSE)</f>
        <v>0</v>
      </c>
      <c r="AE31" s="385">
        <f t="shared" si="6"/>
        <v>99737</v>
      </c>
      <c r="AF31" s="107">
        <f>+VLOOKUP($B31,datos9!$A$2:$BG$78,43,FALSE)</f>
        <v>219062</v>
      </c>
      <c r="AG31" s="107">
        <f>+VLOOKUP($B31,datos9!$A$2:$BG$78,45,FALSE)</f>
        <v>31653</v>
      </c>
      <c r="AH31" s="107">
        <f>+VLOOKUP($B31,datos9!$A$2:$BG$78,46,FALSE)</f>
        <v>0</v>
      </c>
      <c r="AI31" s="107">
        <f>+VLOOKUP($B31,datos9!$A$2:$BG$78,47,FALSE)</f>
        <v>0</v>
      </c>
      <c r="AJ31" s="385">
        <f t="shared" si="7"/>
        <v>250715</v>
      </c>
      <c r="AK31" s="107">
        <f>+VLOOKUP($B31,datos9!$A$2:$BG$78,50,FALSE)</f>
        <v>0</v>
      </c>
      <c r="AL31" s="107">
        <f>+VLOOKUP($B31,datos9!$A$2:$BG$78,51,FALSE)</f>
        <v>0</v>
      </c>
      <c r="AM31" s="107">
        <f>+VLOOKUP($B31,datos9!$A$2:$BG$78,52,FALSE)</f>
        <v>0</v>
      </c>
      <c r="AN31" s="107">
        <f>+VLOOKUP($B31,datos9!$A$2:$BG$78,53,FALSE)</f>
        <v>11020</v>
      </c>
      <c r="AO31" s="407">
        <f t="shared" si="8"/>
        <v>11020</v>
      </c>
      <c r="AP31" s="107">
        <f>+VLOOKUP($B31,datos9!$A$2:$BG$78,56,FALSE)</f>
        <v>0</v>
      </c>
      <c r="AQ31" s="108">
        <f t="shared" si="9"/>
        <v>361472</v>
      </c>
      <c r="AS31" s="109">
        <f t="shared" si="10"/>
        <v>774554</v>
      </c>
      <c r="AW31" s="107">
        <f t="shared" si="11"/>
        <v>21006</v>
      </c>
    </row>
    <row r="32" spans="2:49" x14ac:dyDescent="0.2">
      <c r="B32" s="17" t="s">
        <v>77</v>
      </c>
      <c r="C32" s="106"/>
      <c r="D32" s="107">
        <f>+VLOOKUP($B32,datos9!$A$2:$BG$78,14,FALSE)</f>
        <v>29848</v>
      </c>
      <c r="E32" s="107">
        <f>+VLOOKUP($B32,datos9!$A$2:$BG$78,15,FALSE)</f>
        <v>0</v>
      </c>
      <c r="F32" s="107">
        <f>+VLOOKUP($B32,datos9!$A$2:$BG$78,16,FALSE)</f>
        <v>0</v>
      </c>
      <c r="G32" s="385">
        <f t="shared" si="0"/>
        <v>29848</v>
      </c>
      <c r="H32" s="107">
        <f>+VLOOKUP($B32,datos9!$A$2:$BG$78,18,FALSE)</f>
        <v>0</v>
      </c>
      <c r="I32" s="107">
        <f>+VLOOKUP($B32,datos9!$A$2:$BG$78,19,FALSE)</f>
        <v>0</v>
      </c>
      <c r="J32" s="107">
        <f>+VLOOKUP($B32,datos9!$A$2:$BG$78,20,FALSE)</f>
        <v>32057</v>
      </c>
      <c r="K32" s="107">
        <f>+VLOOKUP($B32,datos9!$A$2:$BG$78,21,FALSE)</f>
        <v>51001</v>
      </c>
      <c r="L32" s="385">
        <f t="shared" si="1"/>
        <v>83058</v>
      </c>
      <c r="M32" s="107">
        <f>+VLOOKUP($B32,datos9!$A$2:$BG$78,23,FALSE)</f>
        <v>0</v>
      </c>
      <c r="N32" s="107">
        <f>+VLOOKUP($B32,datos9!$A$2:$BG$78,24,FALSE)</f>
        <v>0</v>
      </c>
      <c r="O32" s="107">
        <f>+VLOOKUP($B32,datos9!$A$2:$BG$78,25,FALSE)</f>
        <v>0</v>
      </c>
      <c r="P32" s="385">
        <f t="shared" si="2"/>
        <v>0</v>
      </c>
      <c r="Q32" s="107">
        <f>+VLOOKUP($B32,datos9!$A$2:$BG$78,27,FALSE)</f>
        <v>0</v>
      </c>
      <c r="R32" s="107">
        <f>+VLOOKUP($B32,datos9!$A$2:$BG$78,28,FALSE)</f>
        <v>0</v>
      </c>
      <c r="S32" s="107">
        <f>+VLOOKUP($B32,datos9!$A$2:$BG$78,29,FALSE)</f>
        <v>0</v>
      </c>
      <c r="T32" s="107">
        <f>+VLOOKUP($B32,datos9!$A$2:$BG$78,30,FALSE)</f>
        <v>0</v>
      </c>
      <c r="U32" s="385">
        <f t="shared" si="3"/>
        <v>0</v>
      </c>
      <c r="V32" s="107">
        <f>+VLOOKUP($B32,datos9!$A$2:$BG$78,32,FALSE)</f>
        <v>0</v>
      </c>
      <c r="W32" s="107">
        <f>+VLOOKUP($B32,datos9!$A$2:$BG$78,33,FALSE)</f>
        <v>0</v>
      </c>
      <c r="X32" s="404">
        <f t="shared" si="4"/>
        <v>0</v>
      </c>
      <c r="Y32" s="108">
        <f t="shared" si="5"/>
        <v>112906</v>
      </c>
      <c r="Z32" s="107">
        <f>+VLOOKUP($B32,datos9!$A$2:$BG$78,36,FALSE)</f>
        <v>0</v>
      </c>
      <c r="AA32" s="107">
        <f>+VLOOKUP($B32,datos9!$A$2:$BG$78,37,FALSE)</f>
        <v>0</v>
      </c>
      <c r="AB32" s="107">
        <f>+VLOOKUP($B32,datos9!$A$2:$BG$78,38,FALSE)</f>
        <v>0</v>
      </c>
      <c r="AC32" s="107">
        <f>+VLOOKUP($B32,datos9!$A$2:$BG$78,39,FALSE)</f>
        <v>0</v>
      </c>
      <c r="AD32" s="107">
        <f>+VLOOKUP($B32,datos9!$A$2:$BG$78,40,FALSE)</f>
        <v>0</v>
      </c>
      <c r="AE32" s="385">
        <f t="shared" si="6"/>
        <v>0</v>
      </c>
      <c r="AF32" s="107">
        <f>+VLOOKUP($B32,datos9!$A$2:$BG$78,43,FALSE)</f>
        <v>0</v>
      </c>
      <c r="AG32" s="107">
        <f>+VLOOKUP($B32,datos9!$A$2:$BG$78,45,FALSE)</f>
        <v>0</v>
      </c>
      <c r="AH32" s="107">
        <f>+VLOOKUP($B32,datos9!$A$2:$BG$78,46,FALSE)</f>
        <v>0</v>
      </c>
      <c r="AI32" s="107">
        <f>+VLOOKUP($B32,datos9!$A$2:$BG$78,47,FALSE)</f>
        <v>0</v>
      </c>
      <c r="AJ32" s="385">
        <f t="shared" si="7"/>
        <v>0</v>
      </c>
      <c r="AK32" s="107">
        <f>+VLOOKUP($B32,datos9!$A$2:$BG$78,50,FALSE)</f>
        <v>0</v>
      </c>
      <c r="AL32" s="107">
        <f>+VLOOKUP($B32,datos9!$A$2:$BG$78,51,FALSE)</f>
        <v>0</v>
      </c>
      <c r="AM32" s="107">
        <f>+VLOOKUP($B32,datos9!$A$2:$BG$78,52,FALSE)</f>
        <v>0</v>
      </c>
      <c r="AN32" s="107">
        <f>+VLOOKUP($B32,datos9!$A$2:$BG$78,53,FALSE)</f>
        <v>0</v>
      </c>
      <c r="AO32" s="407">
        <f t="shared" si="8"/>
        <v>0</v>
      </c>
      <c r="AP32" s="107">
        <f>+VLOOKUP($B32,datos9!$A$2:$BG$78,56,FALSE)</f>
        <v>0</v>
      </c>
      <c r="AQ32" s="108">
        <f t="shared" si="9"/>
        <v>0</v>
      </c>
      <c r="AS32" s="109">
        <f t="shared" si="10"/>
        <v>112906</v>
      </c>
      <c r="AW32" s="107">
        <f t="shared" si="11"/>
        <v>29848</v>
      </c>
    </row>
    <row r="33" spans="2:49" x14ac:dyDescent="0.2">
      <c r="B33" s="17" t="s">
        <v>78</v>
      </c>
      <c r="C33" s="106"/>
      <c r="D33" s="107">
        <f>+VLOOKUP($B33,datos9!$A$2:$BG$78,14,FALSE)</f>
        <v>3258713</v>
      </c>
      <c r="E33" s="107">
        <f>+VLOOKUP($B33,datos9!$A$2:$BG$78,15,FALSE)</f>
        <v>21033388</v>
      </c>
      <c r="F33" s="107">
        <f>+VLOOKUP($B33,datos9!$A$2:$BG$78,16,FALSE)</f>
        <v>208137</v>
      </c>
      <c r="G33" s="385">
        <f t="shared" si="0"/>
        <v>24500238</v>
      </c>
      <c r="H33" s="107">
        <f>+VLOOKUP($B33,datos9!$A$2:$BG$78,18,FALSE)</f>
        <v>442599</v>
      </c>
      <c r="I33" s="107">
        <f>+VLOOKUP($B33,datos9!$A$2:$BG$78,19,FALSE)</f>
        <v>0</v>
      </c>
      <c r="J33" s="107">
        <f>+VLOOKUP($B33,datos9!$A$2:$BG$78,20,FALSE)</f>
        <v>0</v>
      </c>
      <c r="K33" s="107">
        <f>+VLOOKUP($B33,datos9!$A$2:$BG$78,21,FALSE)</f>
        <v>773059</v>
      </c>
      <c r="L33" s="385">
        <f t="shared" si="1"/>
        <v>1215658</v>
      </c>
      <c r="M33" s="107">
        <f>+VLOOKUP($B33,datos9!$A$2:$BG$78,23,FALSE)</f>
        <v>0</v>
      </c>
      <c r="N33" s="107">
        <f>+VLOOKUP($B33,datos9!$A$2:$BG$78,24,FALSE)</f>
        <v>937788</v>
      </c>
      <c r="O33" s="107">
        <f>+VLOOKUP($B33,datos9!$A$2:$BG$78,25,FALSE)</f>
        <v>5635</v>
      </c>
      <c r="P33" s="385">
        <f t="shared" si="2"/>
        <v>943423</v>
      </c>
      <c r="Q33" s="107">
        <f>+VLOOKUP($B33,datos9!$A$2:$BG$78,27,FALSE)</f>
        <v>0</v>
      </c>
      <c r="R33" s="107">
        <f>+VLOOKUP($B33,datos9!$A$2:$BG$78,28,FALSE)</f>
        <v>0</v>
      </c>
      <c r="S33" s="107">
        <f>+VLOOKUP($B33,datos9!$A$2:$BG$78,29,FALSE)</f>
        <v>0</v>
      </c>
      <c r="T33" s="107">
        <f>+VLOOKUP($B33,datos9!$A$2:$BG$78,30,FALSE)</f>
        <v>12100</v>
      </c>
      <c r="U33" s="385">
        <f t="shared" si="3"/>
        <v>12100</v>
      </c>
      <c r="V33" s="107">
        <f>+VLOOKUP($B33,datos9!$A$2:$BG$78,32,FALSE)</f>
        <v>0</v>
      </c>
      <c r="W33" s="107">
        <f>+VLOOKUP($B33,datos9!$A$2:$BG$78,33,FALSE)</f>
        <v>350775</v>
      </c>
      <c r="X33" s="404">
        <f t="shared" si="4"/>
        <v>350775</v>
      </c>
      <c r="Y33" s="108">
        <f t="shared" si="5"/>
        <v>27022194</v>
      </c>
      <c r="Z33" s="107">
        <f>+VLOOKUP($B33,datos9!$A$2:$BG$78,36,FALSE)</f>
        <v>0</v>
      </c>
      <c r="AA33" s="107">
        <f>+VLOOKUP($B33,datos9!$A$2:$BG$78,37,FALSE)</f>
        <v>0</v>
      </c>
      <c r="AB33" s="107">
        <f>+VLOOKUP($B33,datos9!$A$2:$BG$78,38,FALSE)</f>
        <v>0</v>
      </c>
      <c r="AC33" s="107">
        <f>+VLOOKUP($B33,datos9!$A$2:$BG$78,39,FALSE)</f>
        <v>0</v>
      </c>
      <c r="AD33" s="107">
        <f>+VLOOKUP($B33,datos9!$A$2:$BG$78,40,FALSE)</f>
        <v>0</v>
      </c>
      <c r="AE33" s="385">
        <f t="shared" si="6"/>
        <v>0</v>
      </c>
      <c r="AF33" s="107">
        <f>+VLOOKUP($B33,datos9!$A$2:$BG$78,43,FALSE)</f>
        <v>0</v>
      </c>
      <c r="AG33" s="107">
        <f>+VLOOKUP($B33,datos9!$A$2:$BG$78,45,FALSE)</f>
        <v>388215</v>
      </c>
      <c r="AH33" s="107">
        <f>+VLOOKUP($B33,datos9!$A$2:$BG$78,46,FALSE)</f>
        <v>49273</v>
      </c>
      <c r="AI33" s="107">
        <f>+VLOOKUP($B33,datos9!$A$2:$BG$78,47,FALSE)</f>
        <v>0</v>
      </c>
      <c r="AJ33" s="385">
        <f t="shared" si="7"/>
        <v>437488</v>
      </c>
      <c r="AK33" s="107">
        <f>+VLOOKUP($B33,datos9!$A$2:$BG$78,50,FALSE)</f>
        <v>0</v>
      </c>
      <c r="AL33" s="107">
        <f>+VLOOKUP($B33,datos9!$A$2:$BG$78,51,FALSE)</f>
        <v>0</v>
      </c>
      <c r="AM33" s="107">
        <f>+VLOOKUP($B33,datos9!$A$2:$BG$78,52,FALSE)</f>
        <v>0</v>
      </c>
      <c r="AN33" s="107">
        <f>+VLOOKUP($B33,datos9!$A$2:$BG$78,53,FALSE)</f>
        <v>0</v>
      </c>
      <c r="AO33" s="407">
        <f t="shared" si="8"/>
        <v>0</v>
      </c>
      <c r="AP33" s="107">
        <f>+VLOOKUP($B33,datos9!$A$2:$BG$78,56,FALSE)</f>
        <v>0</v>
      </c>
      <c r="AQ33" s="108">
        <f t="shared" si="9"/>
        <v>437488</v>
      </c>
      <c r="AS33" s="109">
        <f t="shared" si="10"/>
        <v>27459682</v>
      </c>
      <c r="AW33" s="107">
        <f t="shared" si="11"/>
        <v>3466850</v>
      </c>
    </row>
    <row r="34" spans="2:49" x14ac:dyDescent="0.2">
      <c r="B34" s="17" t="s">
        <v>79</v>
      </c>
      <c r="C34" s="106"/>
      <c r="D34" s="107">
        <f>+VLOOKUP($B34,datos9!$A$2:$BG$78,14,FALSE)</f>
        <v>0</v>
      </c>
      <c r="E34" s="107">
        <f>+VLOOKUP($B34,datos9!$A$2:$BG$78,15,FALSE)</f>
        <v>0</v>
      </c>
      <c r="F34" s="107">
        <f>+VLOOKUP($B34,datos9!$A$2:$BG$78,16,FALSE)</f>
        <v>0</v>
      </c>
      <c r="G34" s="385">
        <f t="shared" si="0"/>
        <v>0</v>
      </c>
      <c r="H34" s="107">
        <f>+VLOOKUP($B34,datos9!$A$2:$BG$78,18,FALSE)</f>
        <v>0</v>
      </c>
      <c r="I34" s="107">
        <f>+VLOOKUP($B34,datos9!$A$2:$BG$78,19,FALSE)</f>
        <v>0</v>
      </c>
      <c r="J34" s="107">
        <f>+VLOOKUP($B34,datos9!$A$2:$BG$78,20,FALSE)</f>
        <v>0</v>
      </c>
      <c r="K34" s="107">
        <f>+VLOOKUP($B34,datos9!$A$2:$BG$78,21,FALSE)</f>
        <v>0</v>
      </c>
      <c r="L34" s="385">
        <f t="shared" si="1"/>
        <v>0</v>
      </c>
      <c r="M34" s="107">
        <f>+VLOOKUP($B34,datos9!$A$2:$BG$78,23,FALSE)</f>
        <v>0</v>
      </c>
      <c r="N34" s="107">
        <f>+VLOOKUP($B34,datos9!$A$2:$BG$78,24,FALSE)</f>
        <v>0</v>
      </c>
      <c r="O34" s="107">
        <f>+VLOOKUP($B34,datos9!$A$2:$BG$78,25,FALSE)</f>
        <v>0</v>
      </c>
      <c r="P34" s="385">
        <f t="shared" si="2"/>
        <v>0</v>
      </c>
      <c r="Q34" s="107">
        <f>+VLOOKUP($B34,datos9!$A$2:$BG$78,27,FALSE)</f>
        <v>0</v>
      </c>
      <c r="R34" s="107">
        <f>+VLOOKUP($B34,datos9!$A$2:$BG$78,28,FALSE)</f>
        <v>0</v>
      </c>
      <c r="S34" s="107">
        <f>+VLOOKUP($B34,datos9!$A$2:$BG$78,29,FALSE)</f>
        <v>0</v>
      </c>
      <c r="T34" s="107">
        <f>+VLOOKUP($B34,datos9!$A$2:$BG$78,30,FALSE)</f>
        <v>0</v>
      </c>
      <c r="U34" s="385">
        <f t="shared" si="3"/>
        <v>0</v>
      </c>
      <c r="V34" s="107">
        <f>+VLOOKUP($B34,datos9!$A$2:$BG$78,32,FALSE)</f>
        <v>0</v>
      </c>
      <c r="W34" s="107">
        <f>+VLOOKUP($B34,datos9!$A$2:$BG$78,33,FALSE)</f>
        <v>244857</v>
      </c>
      <c r="X34" s="404">
        <f t="shared" si="4"/>
        <v>244857</v>
      </c>
      <c r="Y34" s="108">
        <f t="shared" si="5"/>
        <v>244857</v>
      </c>
      <c r="Z34" s="107">
        <f>+VLOOKUP($B34,datos9!$A$2:$BG$78,36,FALSE)</f>
        <v>0</v>
      </c>
      <c r="AA34" s="107">
        <f>+VLOOKUP($B34,datos9!$A$2:$BG$78,37,FALSE)</f>
        <v>0</v>
      </c>
      <c r="AB34" s="107">
        <f>+VLOOKUP($B34,datos9!$A$2:$BG$78,38,FALSE)</f>
        <v>0</v>
      </c>
      <c r="AC34" s="107">
        <f>+VLOOKUP($B34,datos9!$A$2:$BG$78,39,FALSE)</f>
        <v>0</v>
      </c>
      <c r="AD34" s="107">
        <f>+VLOOKUP($B34,datos9!$A$2:$BG$78,40,FALSE)</f>
        <v>0</v>
      </c>
      <c r="AE34" s="385">
        <f t="shared" si="6"/>
        <v>0</v>
      </c>
      <c r="AF34" s="107">
        <f>+VLOOKUP($B34,datos9!$A$2:$BG$78,43,FALSE)</f>
        <v>452908</v>
      </c>
      <c r="AG34" s="107">
        <f>+VLOOKUP($B34,datos9!$A$2:$BG$78,45,FALSE)</f>
        <v>89594</v>
      </c>
      <c r="AH34" s="107">
        <f>+VLOOKUP($B34,datos9!$A$2:$BG$78,46,FALSE)</f>
        <v>0</v>
      </c>
      <c r="AI34" s="107">
        <f>+VLOOKUP($B34,datos9!$A$2:$BG$78,47,FALSE)</f>
        <v>0</v>
      </c>
      <c r="AJ34" s="385">
        <f t="shared" si="7"/>
        <v>542502</v>
      </c>
      <c r="AK34" s="107">
        <f>+VLOOKUP($B34,datos9!$A$2:$BG$78,50,FALSE)</f>
        <v>0</v>
      </c>
      <c r="AL34" s="107">
        <f>+VLOOKUP($B34,datos9!$A$2:$BG$78,51,FALSE)</f>
        <v>0</v>
      </c>
      <c r="AM34" s="107">
        <f>+VLOOKUP($B34,datos9!$A$2:$BG$78,52,FALSE)</f>
        <v>0</v>
      </c>
      <c r="AN34" s="107">
        <f>+VLOOKUP($B34,datos9!$A$2:$BG$78,53,FALSE)</f>
        <v>0</v>
      </c>
      <c r="AO34" s="407">
        <f t="shared" si="8"/>
        <v>0</v>
      </c>
      <c r="AP34" s="107">
        <f>+VLOOKUP($B34,datos9!$A$2:$BG$78,56,FALSE)</f>
        <v>0</v>
      </c>
      <c r="AQ34" s="108">
        <f t="shared" si="9"/>
        <v>542502</v>
      </c>
      <c r="AS34" s="109">
        <f t="shared" si="10"/>
        <v>787359</v>
      </c>
      <c r="AW34" s="107">
        <f t="shared" si="11"/>
        <v>0</v>
      </c>
    </row>
    <row r="35" spans="2:49" x14ac:dyDescent="0.2">
      <c r="B35" s="17" t="s">
        <v>80</v>
      </c>
      <c r="C35" s="106"/>
      <c r="D35" s="107">
        <f>+VLOOKUP($B35,datos9!$A$2:$BG$78,14,FALSE)</f>
        <v>74385</v>
      </c>
      <c r="E35" s="107">
        <f>+VLOOKUP($B35,datos9!$A$2:$BG$78,15,FALSE)</f>
        <v>0</v>
      </c>
      <c r="F35" s="107">
        <f>+VLOOKUP($B35,datos9!$A$2:$BG$78,16,FALSE)</f>
        <v>0</v>
      </c>
      <c r="G35" s="385">
        <f t="shared" si="0"/>
        <v>74385</v>
      </c>
      <c r="H35" s="107">
        <f>+VLOOKUP($B35,datos9!$A$2:$BG$78,18,FALSE)</f>
        <v>124313</v>
      </c>
      <c r="I35" s="107">
        <f>+VLOOKUP($B35,datos9!$A$2:$BG$78,19,FALSE)</f>
        <v>0</v>
      </c>
      <c r="J35" s="107">
        <f>+VLOOKUP($B35,datos9!$A$2:$BG$78,20,FALSE)</f>
        <v>9755</v>
      </c>
      <c r="K35" s="107">
        <f>+VLOOKUP($B35,datos9!$A$2:$BG$78,21,FALSE)</f>
        <v>43235</v>
      </c>
      <c r="L35" s="385">
        <f t="shared" si="1"/>
        <v>177303</v>
      </c>
      <c r="M35" s="107">
        <f>+VLOOKUP($B35,datos9!$A$2:$BG$78,23,FALSE)</f>
        <v>55588</v>
      </c>
      <c r="N35" s="107">
        <f>+VLOOKUP($B35,datos9!$A$2:$BG$78,24,FALSE)</f>
        <v>0</v>
      </c>
      <c r="O35" s="107">
        <f>+VLOOKUP($B35,datos9!$A$2:$BG$78,25,FALSE)</f>
        <v>18000</v>
      </c>
      <c r="P35" s="385">
        <f t="shared" si="2"/>
        <v>73588</v>
      </c>
      <c r="Q35" s="107">
        <f>+VLOOKUP($B35,datos9!$A$2:$BG$78,27,FALSE)</f>
        <v>0</v>
      </c>
      <c r="R35" s="107">
        <f>+VLOOKUP($B35,datos9!$A$2:$BG$78,28,FALSE)</f>
        <v>0</v>
      </c>
      <c r="S35" s="107">
        <f>+VLOOKUP($B35,datos9!$A$2:$BG$78,29,FALSE)</f>
        <v>0</v>
      </c>
      <c r="T35" s="107">
        <f>+VLOOKUP($B35,datos9!$A$2:$BG$78,30,FALSE)</f>
        <v>0</v>
      </c>
      <c r="U35" s="385">
        <f t="shared" si="3"/>
        <v>0</v>
      </c>
      <c r="V35" s="107">
        <f>+VLOOKUP($B35,datos9!$A$2:$BG$78,32,FALSE)</f>
        <v>41654</v>
      </c>
      <c r="W35" s="107">
        <f>+VLOOKUP($B35,datos9!$A$2:$BG$78,33,FALSE)</f>
        <v>0</v>
      </c>
      <c r="X35" s="404">
        <f t="shared" si="4"/>
        <v>41654</v>
      </c>
      <c r="Y35" s="108">
        <f t="shared" si="5"/>
        <v>366930</v>
      </c>
      <c r="Z35" s="107">
        <f>+VLOOKUP($B35,datos9!$A$2:$BG$78,36,FALSE)</f>
        <v>0</v>
      </c>
      <c r="AA35" s="107">
        <f>+VLOOKUP($B35,datos9!$A$2:$BG$78,37,FALSE)</f>
        <v>0</v>
      </c>
      <c r="AB35" s="107">
        <f>+VLOOKUP($B35,datos9!$A$2:$BG$78,38,FALSE)</f>
        <v>0</v>
      </c>
      <c r="AC35" s="107">
        <f>+VLOOKUP($B35,datos9!$A$2:$BG$78,39,FALSE)</f>
        <v>0</v>
      </c>
      <c r="AD35" s="107">
        <f>+VLOOKUP($B35,datos9!$A$2:$BG$78,40,FALSE)</f>
        <v>0</v>
      </c>
      <c r="AE35" s="385">
        <f t="shared" si="6"/>
        <v>0</v>
      </c>
      <c r="AF35" s="107">
        <f>+VLOOKUP($B35,datos9!$A$2:$BG$78,43,FALSE)</f>
        <v>71317</v>
      </c>
      <c r="AG35" s="107">
        <f>+VLOOKUP($B35,datos9!$A$2:$BG$78,45,FALSE)</f>
        <v>0</v>
      </c>
      <c r="AH35" s="107">
        <f>+VLOOKUP($B35,datos9!$A$2:$BG$78,46,FALSE)</f>
        <v>0</v>
      </c>
      <c r="AI35" s="107">
        <f>+VLOOKUP($B35,datos9!$A$2:$BG$78,47,FALSE)</f>
        <v>0</v>
      </c>
      <c r="AJ35" s="385">
        <f t="shared" si="7"/>
        <v>71317</v>
      </c>
      <c r="AK35" s="107">
        <f>+VLOOKUP($B35,datos9!$A$2:$BG$78,50,FALSE)</f>
        <v>0</v>
      </c>
      <c r="AL35" s="107">
        <f>+VLOOKUP($B35,datos9!$A$2:$BG$78,51,FALSE)</f>
        <v>0</v>
      </c>
      <c r="AM35" s="107">
        <f>+VLOOKUP($B35,datos9!$A$2:$BG$78,52,FALSE)</f>
        <v>0</v>
      </c>
      <c r="AN35" s="107">
        <f>+VLOOKUP($B35,datos9!$A$2:$BG$78,53,FALSE)</f>
        <v>0</v>
      </c>
      <c r="AO35" s="407">
        <f t="shared" si="8"/>
        <v>0</v>
      </c>
      <c r="AP35" s="107">
        <f>+VLOOKUP($B35,datos9!$A$2:$BG$78,56,FALSE)</f>
        <v>0</v>
      </c>
      <c r="AQ35" s="108">
        <f t="shared" si="9"/>
        <v>71317</v>
      </c>
      <c r="AS35" s="109">
        <f t="shared" si="10"/>
        <v>438247</v>
      </c>
      <c r="AW35" s="107">
        <f t="shared" si="11"/>
        <v>74385</v>
      </c>
    </row>
    <row r="36" spans="2:49" x14ac:dyDescent="0.2">
      <c r="B36" s="17" t="s">
        <v>81</v>
      </c>
      <c r="C36" s="106"/>
      <c r="D36" s="107">
        <f>+VLOOKUP($B36,datos9!$A$2:$BG$78,14,FALSE)</f>
        <v>315596</v>
      </c>
      <c r="E36" s="107">
        <f>+VLOOKUP($B36,datos9!$A$2:$BG$78,15,FALSE)</f>
        <v>0</v>
      </c>
      <c r="F36" s="107">
        <f>+VLOOKUP($B36,datos9!$A$2:$BG$78,16,FALSE)</f>
        <v>0</v>
      </c>
      <c r="G36" s="385">
        <f t="shared" si="0"/>
        <v>315596</v>
      </c>
      <c r="H36" s="107">
        <f>+VLOOKUP($B36,datos9!$A$2:$BG$78,18,FALSE)</f>
        <v>0</v>
      </c>
      <c r="I36" s="107">
        <f>+VLOOKUP($B36,datos9!$A$2:$BG$78,19,FALSE)</f>
        <v>0</v>
      </c>
      <c r="J36" s="107">
        <f>+VLOOKUP($B36,datos9!$A$2:$BG$78,20,FALSE)</f>
        <v>1005742</v>
      </c>
      <c r="K36" s="107">
        <f>+VLOOKUP($B36,datos9!$A$2:$BG$78,21,FALSE)</f>
        <v>139461</v>
      </c>
      <c r="L36" s="385">
        <f t="shared" si="1"/>
        <v>1145203</v>
      </c>
      <c r="M36" s="107">
        <f>+VLOOKUP($B36,datos9!$A$2:$BG$78,23,FALSE)</f>
        <v>0</v>
      </c>
      <c r="N36" s="107">
        <f>+VLOOKUP($B36,datos9!$A$2:$BG$78,24,FALSE)</f>
        <v>186746</v>
      </c>
      <c r="O36" s="107">
        <f>+VLOOKUP($B36,datos9!$A$2:$BG$78,25,FALSE)</f>
        <v>0</v>
      </c>
      <c r="P36" s="385">
        <f t="shared" si="2"/>
        <v>186746</v>
      </c>
      <c r="Q36" s="107">
        <f>+VLOOKUP($B36,datos9!$A$2:$BG$78,27,FALSE)</f>
        <v>1602345</v>
      </c>
      <c r="R36" s="107">
        <f>+VLOOKUP($B36,datos9!$A$2:$BG$78,28,FALSE)</f>
        <v>26951</v>
      </c>
      <c r="S36" s="107">
        <f>+VLOOKUP($B36,datos9!$A$2:$BG$78,29,FALSE)</f>
        <v>0</v>
      </c>
      <c r="T36" s="107">
        <f>+VLOOKUP($B36,datos9!$A$2:$BG$78,30,FALSE)</f>
        <v>0</v>
      </c>
      <c r="U36" s="385">
        <f t="shared" si="3"/>
        <v>1629296</v>
      </c>
      <c r="V36" s="107">
        <f>+VLOOKUP($B36,datos9!$A$2:$BG$78,32,FALSE)</f>
        <v>0</v>
      </c>
      <c r="W36" s="107">
        <f>+VLOOKUP($B36,datos9!$A$2:$BG$78,33,FALSE)</f>
        <v>0</v>
      </c>
      <c r="X36" s="404">
        <f t="shared" si="4"/>
        <v>0</v>
      </c>
      <c r="Y36" s="108">
        <f t="shared" si="5"/>
        <v>3276841</v>
      </c>
      <c r="Z36" s="107">
        <f>+VLOOKUP($B36,datos9!$A$2:$BG$78,36,FALSE)</f>
        <v>0</v>
      </c>
      <c r="AA36" s="107">
        <f>+VLOOKUP($B36,datos9!$A$2:$BG$78,37,FALSE)</f>
        <v>447127</v>
      </c>
      <c r="AB36" s="107">
        <f>+VLOOKUP($B36,datos9!$A$2:$BG$78,38,FALSE)</f>
        <v>0</v>
      </c>
      <c r="AC36" s="107">
        <f>+VLOOKUP($B36,datos9!$A$2:$BG$78,39,FALSE)</f>
        <v>0</v>
      </c>
      <c r="AD36" s="107">
        <f>+VLOOKUP($B36,datos9!$A$2:$BG$78,40,FALSE)</f>
        <v>0</v>
      </c>
      <c r="AE36" s="385">
        <f t="shared" si="6"/>
        <v>447127</v>
      </c>
      <c r="AF36" s="107">
        <f>+VLOOKUP($B36,datos9!$A$2:$BG$78,43,FALSE)</f>
        <v>3640447</v>
      </c>
      <c r="AG36" s="107">
        <f>+VLOOKUP($B36,datos9!$A$2:$BG$78,45,FALSE)</f>
        <v>1259528</v>
      </c>
      <c r="AH36" s="107">
        <f>+VLOOKUP($B36,datos9!$A$2:$BG$78,46,FALSE)</f>
        <v>0</v>
      </c>
      <c r="AI36" s="107">
        <f>+VLOOKUP($B36,datos9!$A$2:$BG$78,47,FALSE)</f>
        <v>0</v>
      </c>
      <c r="AJ36" s="385">
        <f t="shared" si="7"/>
        <v>4899975</v>
      </c>
      <c r="AK36" s="107">
        <f>+VLOOKUP($B36,datos9!$A$2:$BG$78,50,FALSE)</f>
        <v>0</v>
      </c>
      <c r="AL36" s="107">
        <f>+VLOOKUP($B36,datos9!$A$2:$BG$78,51,FALSE)</f>
        <v>0</v>
      </c>
      <c r="AM36" s="107">
        <f>+VLOOKUP($B36,datos9!$A$2:$BG$78,52,FALSE)</f>
        <v>0</v>
      </c>
      <c r="AN36" s="107">
        <f>+VLOOKUP($B36,datos9!$A$2:$BG$78,53,FALSE)</f>
        <v>0</v>
      </c>
      <c r="AO36" s="407">
        <f t="shared" si="8"/>
        <v>0</v>
      </c>
      <c r="AP36" s="107">
        <f>+VLOOKUP($B36,datos9!$A$2:$BG$78,56,FALSE)</f>
        <v>0</v>
      </c>
      <c r="AQ36" s="108">
        <f t="shared" si="9"/>
        <v>5347102</v>
      </c>
      <c r="AS36" s="109">
        <f t="shared" si="10"/>
        <v>8623943</v>
      </c>
      <c r="AW36" s="107">
        <f t="shared" si="11"/>
        <v>315596</v>
      </c>
    </row>
    <row r="37" spans="2:49" x14ac:dyDescent="0.2">
      <c r="B37" s="17" t="s">
        <v>82</v>
      </c>
      <c r="C37" s="106"/>
      <c r="D37" s="107">
        <f>+VLOOKUP($B37,datos9!$A$2:$BG$78,14,FALSE)</f>
        <v>4603</v>
      </c>
      <c r="E37" s="107">
        <f>+VLOOKUP($B37,datos9!$A$2:$BG$78,15,FALSE)</f>
        <v>0</v>
      </c>
      <c r="F37" s="107">
        <f>+VLOOKUP($B37,datos9!$A$2:$BG$78,16,FALSE)</f>
        <v>0</v>
      </c>
      <c r="G37" s="385">
        <f t="shared" si="0"/>
        <v>4603</v>
      </c>
      <c r="H37" s="107">
        <f>+VLOOKUP($B37,datos9!$A$2:$BG$78,18,FALSE)</f>
        <v>0</v>
      </c>
      <c r="I37" s="107">
        <f>+VLOOKUP($B37,datos9!$A$2:$BG$78,19,FALSE)</f>
        <v>10682</v>
      </c>
      <c r="J37" s="107">
        <f>+VLOOKUP($B37,datos9!$A$2:$BG$78,20,FALSE)</f>
        <v>10976</v>
      </c>
      <c r="K37" s="107">
        <f>+VLOOKUP($B37,datos9!$A$2:$BG$78,21,FALSE)</f>
        <v>0</v>
      </c>
      <c r="L37" s="385">
        <f t="shared" si="1"/>
        <v>21658</v>
      </c>
      <c r="M37" s="107">
        <f>+VLOOKUP($B37,datos9!$A$2:$BG$78,23,FALSE)</f>
        <v>0</v>
      </c>
      <c r="N37" s="107">
        <f>+VLOOKUP($B37,datos9!$A$2:$BG$78,24,FALSE)</f>
        <v>0</v>
      </c>
      <c r="O37" s="107">
        <f>+VLOOKUP($B37,datos9!$A$2:$BG$78,25,FALSE)</f>
        <v>0</v>
      </c>
      <c r="P37" s="385">
        <f t="shared" si="2"/>
        <v>0</v>
      </c>
      <c r="Q37" s="107">
        <f>+VLOOKUP($B37,datos9!$A$2:$BG$78,27,FALSE)</f>
        <v>0</v>
      </c>
      <c r="R37" s="107">
        <f>+VLOOKUP($B37,datos9!$A$2:$BG$78,28,FALSE)</f>
        <v>0</v>
      </c>
      <c r="S37" s="107">
        <f>+VLOOKUP($B37,datos9!$A$2:$BG$78,29,FALSE)</f>
        <v>0</v>
      </c>
      <c r="T37" s="107">
        <f>+VLOOKUP($B37,datos9!$A$2:$BG$78,30,FALSE)</f>
        <v>0</v>
      </c>
      <c r="U37" s="385">
        <f t="shared" si="3"/>
        <v>0</v>
      </c>
      <c r="V37" s="107">
        <f>+VLOOKUP($B37,datos9!$A$2:$BG$78,32,FALSE)</f>
        <v>0</v>
      </c>
      <c r="W37" s="107">
        <f>+VLOOKUP($B37,datos9!$A$2:$BG$78,33,FALSE)</f>
        <v>10368</v>
      </c>
      <c r="X37" s="404">
        <f t="shared" si="4"/>
        <v>10368</v>
      </c>
      <c r="Y37" s="108">
        <f t="shared" si="5"/>
        <v>36629</v>
      </c>
      <c r="Z37" s="107">
        <f>+VLOOKUP($B37,datos9!$A$2:$BG$78,36,FALSE)</f>
        <v>0</v>
      </c>
      <c r="AA37" s="107">
        <f>+VLOOKUP($B37,datos9!$A$2:$BG$78,37,FALSE)</f>
        <v>320510</v>
      </c>
      <c r="AB37" s="107">
        <f>+VLOOKUP($B37,datos9!$A$2:$BG$78,38,FALSE)</f>
        <v>0</v>
      </c>
      <c r="AC37" s="107">
        <f>+VLOOKUP($B37,datos9!$A$2:$BG$78,39,FALSE)</f>
        <v>0</v>
      </c>
      <c r="AD37" s="107">
        <f>+VLOOKUP($B37,datos9!$A$2:$BG$78,40,FALSE)</f>
        <v>0</v>
      </c>
      <c r="AE37" s="385">
        <f t="shared" si="6"/>
        <v>320510</v>
      </c>
      <c r="AF37" s="107">
        <f>+VLOOKUP($B37,datos9!$A$2:$BG$78,43,FALSE)</f>
        <v>0</v>
      </c>
      <c r="AG37" s="107">
        <f>+VLOOKUP($B37,datos9!$A$2:$BG$78,45,FALSE)</f>
        <v>0</v>
      </c>
      <c r="AH37" s="107">
        <f>+VLOOKUP($B37,datos9!$A$2:$BG$78,46,FALSE)</f>
        <v>0</v>
      </c>
      <c r="AI37" s="107">
        <f>+VLOOKUP($B37,datos9!$A$2:$BG$78,47,FALSE)</f>
        <v>0</v>
      </c>
      <c r="AJ37" s="385">
        <f t="shared" si="7"/>
        <v>0</v>
      </c>
      <c r="AK37" s="107">
        <f>+VLOOKUP($B37,datos9!$A$2:$BG$78,50,FALSE)</f>
        <v>0</v>
      </c>
      <c r="AL37" s="107">
        <f>+VLOOKUP($B37,datos9!$A$2:$BG$78,51,FALSE)</f>
        <v>0</v>
      </c>
      <c r="AM37" s="107">
        <f>+VLOOKUP($B37,datos9!$A$2:$BG$78,52,FALSE)</f>
        <v>0</v>
      </c>
      <c r="AN37" s="107">
        <f>+VLOOKUP($B37,datos9!$A$2:$BG$78,53,FALSE)</f>
        <v>0</v>
      </c>
      <c r="AO37" s="407">
        <f t="shared" si="8"/>
        <v>0</v>
      </c>
      <c r="AP37" s="107">
        <f>+VLOOKUP($B37,datos9!$A$2:$BG$78,56,FALSE)</f>
        <v>0</v>
      </c>
      <c r="AQ37" s="108">
        <f t="shared" si="9"/>
        <v>320510</v>
      </c>
      <c r="AS37" s="109">
        <f t="shared" si="10"/>
        <v>357139</v>
      </c>
      <c r="AW37" s="107">
        <f t="shared" si="11"/>
        <v>4603</v>
      </c>
    </row>
    <row r="38" spans="2:49" x14ac:dyDescent="0.2">
      <c r="B38" s="17" t="s">
        <v>83</v>
      </c>
      <c r="C38" s="106"/>
      <c r="D38" s="107">
        <f>+VLOOKUP($B38,datos9!$A$2:$BG$78,14,FALSE)</f>
        <v>139716</v>
      </c>
      <c r="E38" s="107">
        <f>+VLOOKUP($B38,datos9!$A$2:$BG$78,15,FALSE)</f>
        <v>0</v>
      </c>
      <c r="F38" s="107">
        <f>+VLOOKUP($B38,datos9!$A$2:$BG$78,16,FALSE)</f>
        <v>0</v>
      </c>
      <c r="G38" s="385">
        <f t="shared" si="0"/>
        <v>139716</v>
      </c>
      <c r="H38" s="107">
        <f>+VLOOKUP($B38,datos9!$A$2:$BG$78,18,FALSE)</f>
        <v>137400</v>
      </c>
      <c r="I38" s="107">
        <f>+VLOOKUP($B38,datos9!$A$2:$BG$78,19,FALSE)</f>
        <v>19062</v>
      </c>
      <c r="J38" s="107">
        <f>+VLOOKUP($B38,datos9!$A$2:$BG$78,20,FALSE)</f>
        <v>159530</v>
      </c>
      <c r="K38" s="107">
        <f>+VLOOKUP($B38,datos9!$A$2:$BG$78,21,FALSE)</f>
        <v>52839</v>
      </c>
      <c r="L38" s="385">
        <f t="shared" si="1"/>
        <v>368831</v>
      </c>
      <c r="M38" s="107">
        <f>+VLOOKUP($B38,datos9!$A$2:$BG$78,23,FALSE)</f>
        <v>41263</v>
      </c>
      <c r="N38" s="107">
        <f>+VLOOKUP($B38,datos9!$A$2:$BG$78,24,FALSE)</f>
        <v>0</v>
      </c>
      <c r="O38" s="107">
        <f>+VLOOKUP($B38,datos9!$A$2:$BG$78,25,FALSE)</f>
        <v>0</v>
      </c>
      <c r="P38" s="385">
        <f t="shared" si="2"/>
        <v>41263</v>
      </c>
      <c r="Q38" s="107">
        <f>+VLOOKUP($B38,datos9!$A$2:$BG$78,27,FALSE)</f>
        <v>0</v>
      </c>
      <c r="R38" s="107">
        <f>+VLOOKUP($B38,datos9!$A$2:$BG$78,28,FALSE)</f>
        <v>0</v>
      </c>
      <c r="S38" s="107">
        <f>+VLOOKUP($B38,datos9!$A$2:$BG$78,29,FALSE)</f>
        <v>0</v>
      </c>
      <c r="T38" s="107">
        <f>+VLOOKUP($B38,datos9!$A$2:$BG$78,30,FALSE)</f>
        <v>0</v>
      </c>
      <c r="U38" s="385">
        <f t="shared" si="3"/>
        <v>0</v>
      </c>
      <c r="V38" s="107">
        <f>+VLOOKUP($B38,datos9!$A$2:$BG$78,32,FALSE)</f>
        <v>0</v>
      </c>
      <c r="W38" s="107">
        <f>+VLOOKUP($B38,datos9!$A$2:$BG$78,33,FALSE)</f>
        <v>0</v>
      </c>
      <c r="X38" s="404">
        <f t="shared" si="4"/>
        <v>0</v>
      </c>
      <c r="Y38" s="108">
        <f t="shared" si="5"/>
        <v>549810</v>
      </c>
      <c r="Z38" s="107">
        <f>+VLOOKUP($B38,datos9!$A$2:$BG$78,36,FALSE)</f>
        <v>0</v>
      </c>
      <c r="AA38" s="107">
        <f>+VLOOKUP($B38,datos9!$A$2:$BG$78,37,FALSE)</f>
        <v>0</v>
      </c>
      <c r="AB38" s="107">
        <f>+VLOOKUP($B38,datos9!$A$2:$BG$78,38,FALSE)</f>
        <v>0</v>
      </c>
      <c r="AC38" s="107">
        <f>+VLOOKUP($B38,datos9!$A$2:$BG$78,39,FALSE)</f>
        <v>0</v>
      </c>
      <c r="AD38" s="107">
        <f>+VLOOKUP($B38,datos9!$A$2:$BG$78,40,FALSE)</f>
        <v>0</v>
      </c>
      <c r="AE38" s="385">
        <f t="shared" si="6"/>
        <v>0</v>
      </c>
      <c r="AF38" s="107">
        <f>+VLOOKUP($B38,datos9!$A$2:$BG$78,43,FALSE)</f>
        <v>0</v>
      </c>
      <c r="AG38" s="107">
        <f>+VLOOKUP($B38,datos9!$A$2:$BG$78,45,FALSE)</f>
        <v>53567</v>
      </c>
      <c r="AH38" s="107">
        <f>+VLOOKUP($B38,datos9!$A$2:$BG$78,46,FALSE)</f>
        <v>0</v>
      </c>
      <c r="AI38" s="107">
        <f>+VLOOKUP($B38,datos9!$A$2:$BG$78,47,FALSE)</f>
        <v>0</v>
      </c>
      <c r="AJ38" s="385">
        <f t="shared" si="7"/>
        <v>53567</v>
      </c>
      <c r="AK38" s="107">
        <f>+VLOOKUP($B38,datos9!$A$2:$BG$78,50,FALSE)</f>
        <v>0</v>
      </c>
      <c r="AL38" s="107">
        <f>+VLOOKUP($B38,datos9!$A$2:$BG$78,51,FALSE)</f>
        <v>0</v>
      </c>
      <c r="AM38" s="107">
        <f>+VLOOKUP($B38,datos9!$A$2:$BG$78,52,FALSE)</f>
        <v>0</v>
      </c>
      <c r="AN38" s="107">
        <f>+VLOOKUP($B38,datos9!$A$2:$BG$78,53,FALSE)</f>
        <v>0</v>
      </c>
      <c r="AO38" s="407">
        <f t="shared" si="8"/>
        <v>0</v>
      </c>
      <c r="AP38" s="107">
        <f>+VLOOKUP($B38,datos9!$A$2:$BG$78,56,FALSE)</f>
        <v>0</v>
      </c>
      <c r="AQ38" s="108">
        <f t="shared" si="9"/>
        <v>53567</v>
      </c>
      <c r="AS38" s="109">
        <f t="shared" si="10"/>
        <v>603377</v>
      </c>
      <c r="AW38" s="107">
        <f t="shared" si="11"/>
        <v>139716</v>
      </c>
    </row>
    <row r="39" spans="2:49" x14ac:dyDescent="0.2">
      <c r="B39" s="17" t="s">
        <v>254</v>
      </c>
      <c r="C39" s="106"/>
      <c r="D39" s="107">
        <f>+VLOOKUP($B39,datos9!$A$2:$BG$78,14,FALSE)</f>
        <v>0</v>
      </c>
      <c r="E39" s="107">
        <f>+VLOOKUP($B39,datos9!$A$2:$BG$78,15,FALSE)</f>
        <v>0</v>
      </c>
      <c r="F39" s="107">
        <f>+VLOOKUP($B39,datos9!$A$2:$BG$78,16,FALSE)</f>
        <v>0</v>
      </c>
      <c r="G39" s="385">
        <f t="shared" si="0"/>
        <v>0</v>
      </c>
      <c r="H39" s="107">
        <f>+VLOOKUP($B39,datos9!$A$2:$BG$78,18,FALSE)</f>
        <v>53031</v>
      </c>
      <c r="I39" s="107">
        <f>+VLOOKUP($B39,datos9!$A$2:$BG$78,19,FALSE)</f>
        <v>0</v>
      </c>
      <c r="J39" s="107">
        <f>+VLOOKUP($B39,datos9!$A$2:$BG$78,20,FALSE)</f>
        <v>0</v>
      </c>
      <c r="K39" s="107">
        <f>+VLOOKUP($B39,datos9!$A$2:$BG$78,21,FALSE)</f>
        <v>0</v>
      </c>
      <c r="L39" s="385">
        <f t="shared" si="1"/>
        <v>53031</v>
      </c>
      <c r="M39" s="107">
        <f>+VLOOKUP($B39,datos9!$A$2:$BG$78,23,FALSE)</f>
        <v>0</v>
      </c>
      <c r="N39" s="107">
        <f>+VLOOKUP($B39,datos9!$A$2:$BG$78,24,FALSE)</f>
        <v>0</v>
      </c>
      <c r="O39" s="107">
        <f>+VLOOKUP($B39,datos9!$A$2:$BG$78,25,FALSE)</f>
        <v>0</v>
      </c>
      <c r="P39" s="385">
        <f t="shared" si="2"/>
        <v>0</v>
      </c>
      <c r="Q39" s="107">
        <f>+VLOOKUP($B39,datos9!$A$2:$BG$78,27,FALSE)</f>
        <v>0</v>
      </c>
      <c r="R39" s="107">
        <f>+VLOOKUP($B39,datos9!$A$2:$BG$78,28,FALSE)</f>
        <v>0</v>
      </c>
      <c r="S39" s="107">
        <f>+VLOOKUP($B39,datos9!$A$2:$BG$78,29,FALSE)</f>
        <v>0</v>
      </c>
      <c r="T39" s="107">
        <f>+VLOOKUP($B39,datos9!$A$2:$BG$78,30,FALSE)</f>
        <v>0</v>
      </c>
      <c r="U39" s="385">
        <f t="shared" si="3"/>
        <v>0</v>
      </c>
      <c r="V39" s="107">
        <f>+VLOOKUP($B39,datos9!$A$2:$BG$78,32,FALSE)</f>
        <v>0</v>
      </c>
      <c r="W39" s="107">
        <f>+VLOOKUP($B39,datos9!$A$2:$BG$78,33,FALSE)</f>
        <v>0</v>
      </c>
      <c r="X39" s="404">
        <f t="shared" si="4"/>
        <v>0</v>
      </c>
      <c r="Y39" s="108">
        <f t="shared" si="5"/>
        <v>53031</v>
      </c>
      <c r="Z39" s="107">
        <f>+VLOOKUP($B39,datos9!$A$2:$BG$78,36,FALSE)</f>
        <v>0</v>
      </c>
      <c r="AA39" s="107">
        <f>+VLOOKUP($B39,datos9!$A$2:$BG$78,37,FALSE)</f>
        <v>0</v>
      </c>
      <c r="AB39" s="107">
        <f>+VLOOKUP($B39,datos9!$A$2:$BG$78,38,FALSE)</f>
        <v>0</v>
      </c>
      <c r="AC39" s="107">
        <f>+VLOOKUP($B39,datos9!$A$2:$BG$78,39,FALSE)</f>
        <v>0</v>
      </c>
      <c r="AD39" s="107">
        <f>+VLOOKUP($B39,datos9!$A$2:$BG$78,40,FALSE)</f>
        <v>0</v>
      </c>
      <c r="AE39" s="385">
        <f t="shared" si="6"/>
        <v>0</v>
      </c>
      <c r="AF39" s="107">
        <f>+VLOOKUP($B39,datos9!$A$2:$BG$78,43,FALSE)</f>
        <v>0</v>
      </c>
      <c r="AG39" s="107">
        <f>+VLOOKUP($B39,datos9!$A$2:$BG$78,45,FALSE)</f>
        <v>0</v>
      </c>
      <c r="AH39" s="107">
        <f>+VLOOKUP($B39,datos9!$A$2:$BG$78,46,FALSE)</f>
        <v>0</v>
      </c>
      <c r="AI39" s="107">
        <f>+VLOOKUP($B39,datos9!$A$2:$BG$78,47,FALSE)</f>
        <v>0</v>
      </c>
      <c r="AJ39" s="385">
        <f t="shared" si="7"/>
        <v>0</v>
      </c>
      <c r="AK39" s="107">
        <f>+VLOOKUP($B39,datos9!$A$2:$BG$78,50,FALSE)</f>
        <v>0</v>
      </c>
      <c r="AL39" s="107">
        <f>+VLOOKUP($B39,datos9!$A$2:$BG$78,51,FALSE)</f>
        <v>0</v>
      </c>
      <c r="AM39" s="107">
        <f>+VLOOKUP($B39,datos9!$A$2:$BG$78,52,FALSE)</f>
        <v>0</v>
      </c>
      <c r="AN39" s="107">
        <f>+VLOOKUP($B39,datos9!$A$2:$BG$78,53,FALSE)</f>
        <v>0</v>
      </c>
      <c r="AO39" s="407">
        <f t="shared" si="8"/>
        <v>0</v>
      </c>
      <c r="AP39" s="107">
        <f>+VLOOKUP($B39,datos9!$A$2:$BG$78,56,FALSE)</f>
        <v>0</v>
      </c>
      <c r="AQ39" s="108">
        <f t="shared" si="9"/>
        <v>0</v>
      </c>
      <c r="AS39" s="109">
        <f t="shared" si="10"/>
        <v>53031</v>
      </c>
      <c r="AW39" s="107">
        <f t="shared" si="11"/>
        <v>0</v>
      </c>
    </row>
    <row r="40" spans="2:49" x14ac:dyDescent="0.2">
      <c r="B40" s="17" t="s">
        <v>84</v>
      </c>
      <c r="C40" s="106"/>
      <c r="D40" s="107">
        <f>+VLOOKUP($B40,datos9!$A$2:$BG$78,14,FALSE)</f>
        <v>76651</v>
      </c>
      <c r="E40" s="107">
        <f>+VLOOKUP($B40,datos9!$A$2:$BG$78,15,FALSE)</f>
        <v>0</v>
      </c>
      <c r="F40" s="107">
        <f>+VLOOKUP($B40,datos9!$A$2:$BG$78,16,FALSE)</f>
        <v>0</v>
      </c>
      <c r="G40" s="385">
        <f t="shared" ref="G40:G71" si="12">SUM(D40:F40)</f>
        <v>76651</v>
      </c>
      <c r="H40" s="107">
        <f>+VLOOKUP($B40,datos9!$A$2:$BG$78,18,FALSE)</f>
        <v>0</v>
      </c>
      <c r="I40" s="107">
        <f>+VLOOKUP($B40,datos9!$A$2:$BG$78,19,FALSE)</f>
        <v>78875</v>
      </c>
      <c r="J40" s="107">
        <f>+VLOOKUP($B40,datos9!$A$2:$BG$78,20,FALSE)</f>
        <v>0</v>
      </c>
      <c r="K40" s="107">
        <f>+VLOOKUP($B40,datos9!$A$2:$BG$78,21,FALSE)</f>
        <v>0</v>
      </c>
      <c r="L40" s="385">
        <f t="shared" ref="L40:L71" si="13">SUM(H40:K40)</f>
        <v>78875</v>
      </c>
      <c r="M40" s="107">
        <f>+VLOOKUP($B40,datos9!$A$2:$BG$78,23,FALSE)</f>
        <v>445000</v>
      </c>
      <c r="N40" s="107">
        <f>+VLOOKUP($B40,datos9!$A$2:$BG$78,24,FALSE)</f>
        <v>75666</v>
      </c>
      <c r="O40" s="107">
        <f>+VLOOKUP($B40,datos9!$A$2:$BG$78,25,FALSE)</f>
        <v>0</v>
      </c>
      <c r="P40" s="385">
        <f t="shared" ref="P40:P71" si="14">SUM(M40:O40)</f>
        <v>520666</v>
      </c>
      <c r="Q40" s="107">
        <f>+VLOOKUP($B40,datos9!$A$2:$BG$78,27,FALSE)</f>
        <v>1040158</v>
      </c>
      <c r="R40" s="107">
        <f>+VLOOKUP($B40,datos9!$A$2:$BG$78,28,FALSE)</f>
        <v>0</v>
      </c>
      <c r="S40" s="107">
        <f>+VLOOKUP($B40,datos9!$A$2:$BG$78,29,FALSE)</f>
        <v>0</v>
      </c>
      <c r="T40" s="107">
        <f>+VLOOKUP($B40,datos9!$A$2:$BG$78,30,FALSE)</f>
        <v>0</v>
      </c>
      <c r="U40" s="385">
        <f t="shared" ref="U40:U71" si="15">SUM(Q40:T40)</f>
        <v>1040158</v>
      </c>
      <c r="V40" s="107">
        <f>+VLOOKUP($B40,datos9!$A$2:$BG$78,32,FALSE)</f>
        <v>0</v>
      </c>
      <c r="W40" s="107">
        <f>+VLOOKUP($B40,datos9!$A$2:$BG$78,33,FALSE)</f>
        <v>0</v>
      </c>
      <c r="X40" s="404">
        <f t="shared" ref="X40:X71" si="16">SUM(V40:W40)</f>
        <v>0</v>
      </c>
      <c r="Y40" s="108">
        <f t="shared" ref="Y40:Y71" si="17">+U40+P40+L40+G40+X40</f>
        <v>1716350</v>
      </c>
      <c r="Z40" s="107">
        <f>+VLOOKUP($B40,datos9!$A$2:$BG$78,36,FALSE)</f>
        <v>0</v>
      </c>
      <c r="AA40" s="107">
        <f>+VLOOKUP($B40,datos9!$A$2:$BG$78,37,FALSE)</f>
        <v>0</v>
      </c>
      <c r="AB40" s="107">
        <f>+VLOOKUP($B40,datos9!$A$2:$BG$78,38,FALSE)</f>
        <v>0</v>
      </c>
      <c r="AC40" s="107">
        <f>+VLOOKUP($B40,datos9!$A$2:$BG$78,39,FALSE)</f>
        <v>0</v>
      </c>
      <c r="AD40" s="107">
        <f>+VLOOKUP($B40,datos9!$A$2:$BG$78,40,FALSE)</f>
        <v>0</v>
      </c>
      <c r="AE40" s="385">
        <f t="shared" ref="AE40:AE71" si="18">SUM(Z40:AD40)</f>
        <v>0</v>
      </c>
      <c r="AF40" s="107">
        <f>+VLOOKUP($B40,datos9!$A$2:$BG$78,43,FALSE)</f>
        <v>794504</v>
      </c>
      <c r="AG40" s="107">
        <f>+VLOOKUP($B40,datos9!$A$2:$BG$78,45,FALSE)</f>
        <v>784459</v>
      </c>
      <c r="AH40" s="107">
        <f>+VLOOKUP($B40,datos9!$A$2:$BG$78,46,FALSE)</f>
        <v>0</v>
      </c>
      <c r="AI40" s="107">
        <f>+VLOOKUP($B40,datos9!$A$2:$BG$78,47,FALSE)</f>
        <v>0</v>
      </c>
      <c r="AJ40" s="385">
        <f t="shared" ref="AJ40:AJ71" si="19">SUM(AF40:AI40)</f>
        <v>1578963</v>
      </c>
      <c r="AK40" s="107">
        <f>+VLOOKUP($B40,datos9!$A$2:$BG$78,50,FALSE)</f>
        <v>0</v>
      </c>
      <c r="AL40" s="107">
        <f>+VLOOKUP($B40,datos9!$A$2:$BG$78,51,FALSE)</f>
        <v>0</v>
      </c>
      <c r="AM40" s="107">
        <f>+VLOOKUP($B40,datos9!$A$2:$BG$78,52,FALSE)</f>
        <v>0</v>
      </c>
      <c r="AN40" s="107">
        <f>+VLOOKUP($B40,datos9!$A$2:$BG$78,53,FALSE)</f>
        <v>0</v>
      </c>
      <c r="AO40" s="407">
        <f t="shared" ref="AO40:AO71" si="20">SUM(AK40:AN40)</f>
        <v>0</v>
      </c>
      <c r="AP40" s="107">
        <f>+VLOOKUP($B40,datos9!$A$2:$BG$78,56,FALSE)</f>
        <v>0</v>
      </c>
      <c r="AQ40" s="108">
        <f t="shared" ref="AQ40:AQ71" si="21">AO40+AJ40+AE40+AP40</f>
        <v>1578963</v>
      </c>
      <c r="AS40" s="109">
        <f t="shared" ref="AS40:AS71" si="22">+AQ40+Y40</f>
        <v>3295313</v>
      </c>
      <c r="AW40" s="107">
        <f t="shared" ref="AW40:AW71" si="23">D40+F40</f>
        <v>76651</v>
      </c>
    </row>
    <row r="41" spans="2:49" x14ac:dyDescent="0.2">
      <c r="B41" s="17" t="s">
        <v>251</v>
      </c>
      <c r="C41" s="106"/>
      <c r="D41" s="107">
        <f>+VLOOKUP($B41,datos9!$A$2:$BG$78,14,FALSE)</f>
        <v>7023113</v>
      </c>
      <c r="E41" s="107">
        <f>+VLOOKUP($B41,datos9!$A$2:$BG$78,15,FALSE)</f>
        <v>0</v>
      </c>
      <c r="F41" s="107">
        <f>+VLOOKUP($B41,datos9!$A$2:$BG$78,16,FALSE)</f>
        <v>287154</v>
      </c>
      <c r="G41" s="385">
        <f t="shared" si="12"/>
        <v>7310267</v>
      </c>
      <c r="H41" s="107">
        <f>+VLOOKUP($B41,datos9!$A$2:$BG$78,18,FALSE)</f>
        <v>35998</v>
      </c>
      <c r="I41" s="107">
        <f>+VLOOKUP($B41,datos9!$A$2:$BG$78,19,FALSE)</f>
        <v>0</v>
      </c>
      <c r="J41" s="107">
        <f>+VLOOKUP($B41,datos9!$A$2:$BG$78,20,FALSE)</f>
        <v>0</v>
      </c>
      <c r="K41" s="107">
        <f>+VLOOKUP($B41,datos9!$A$2:$BG$78,21,FALSE)</f>
        <v>842526</v>
      </c>
      <c r="L41" s="385">
        <f t="shared" si="13"/>
        <v>878524</v>
      </c>
      <c r="M41" s="107">
        <f>+VLOOKUP($B41,datos9!$A$2:$BG$78,23,FALSE)</f>
        <v>88000</v>
      </c>
      <c r="N41" s="107">
        <f>+VLOOKUP($B41,datos9!$A$2:$BG$78,24,FALSE)</f>
        <v>0</v>
      </c>
      <c r="O41" s="107">
        <f>+VLOOKUP($B41,datos9!$A$2:$BG$78,25,FALSE)</f>
        <v>0</v>
      </c>
      <c r="P41" s="385">
        <f t="shared" si="14"/>
        <v>88000</v>
      </c>
      <c r="Q41" s="107">
        <f>+VLOOKUP($B41,datos9!$A$2:$BG$78,27,FALSE)</f>
        <v>0</v>
      </c>
      <c r="R41" s="107">
        <f>+VLOOKUP($B41,datos9!$A$2:$BG$78,28,FALSE)</f>
        <v>0</v>
      </c>
      <c r="S41" s="107">
        <f>+VLOOKUP($B41,datos9!$A$2:$BG$78,29,FALSE)</f>
        <v>0</v>
      </c>
      <c r="T41" s="107">
        <f>+VLOOKUP($B41,datos9!$A$2:$BG$78,30,FALSE)</f>
        <v>0</v>
      </c>
      <c r="U41" s="385">
        <f t="shared" si="15"/>
        <v>0</v>
      </c>
      <c r="V41" s="107">
        <f>+VLOOKUP($B41,datos9!$A$2:$BG$78,32,FALSE)</f>
        <v>0</v>
      </c>
      <c r="W41" s="107">
        <f>+VLOOKUP($B41,datos9!$A$2:$BG$78,33,FALSE)</f>
        <v>0</v>
      </c>
      <c r="X41" s="404">
        <f t="shared" si="16"/>
        <v>0</v>
      </c>
      <c r="Y41" s="108">
        <f t="shared" si="17"/>
        <v>8276791</v>
      </c>
      <c r="Z41" s="107">
        <f>+VLOOKUP($B41,datos9!$A$2:$BG$78,36,FALSE)</f>
        <v>0</v>
      </c>
      <c r="AA41" s="107">
        <f>+VLOOKUP($B41,datos9!$A$2:$BG$78,37,FALSE)</f>
        <v>31000</v>
      </c>
      <c r="AB41" s="107">
        <f>+VLOOKUP($B41,datos9!$A$2:$BG$78,38,FALSE)</f>
        <v>0</v>
      </c>
      <c r="AC41" s="107">
        <f>+VLOOKUP($B41,datos9!$A$2:$BG$78,39,FALSE)</f>
        <v>0</v>
      </c>
      <c r="AD41" s="107">
        <f>+VLOOKUP($B41,datos9!$A$2:$BG$78,40,FALSE)</f>
        <v>0</v>
      </c>
      <c r="AE41" s="385">
        <f t="shared" si="18"/>
        <v>31000</v>
      </c>
      <c r="AF41" s="107">
        <f>+VLOOKUP($B41,datos9!$A$2:$BG$78,43,FALSE)</f>
        <v>0</v>
      </c>
      <c r="AG41" s="107">
        <f>+VLOOKUP($B41,datos9!$A$2:$BG$78,45,FALSE)</f>
        <v>227000</v>
      </c>
      <c r="AH41" s="107">
        <f>+VLOOKUP($B41,datos9!$A$2:$BG$78,46,FALSE)</f>
        <v>0</v>
      </c>
      <c r="AI41" s="107">
        <f>+VLOOKUP($B41,datos9!$A$2:$BG$78,47,FALSE)</f>
        <v>0</v>
      </c>
      <c r="AJ41" s="385">
        <f t="shared" si="19"/>
        <v>227000</v>
      </c>
      <c r="AK41" s="107">
        <f>+VLOOKUP($B41,datos9!$A$2:$BG$78,50,FALSE)</f>
        <v>0</v>
      </c>
      <c r="AL41" s="107">
        <f>+VLOOKUP($B41,datos9!$A$2:$BG$78,51,FALSE)</f>
        <v>0</v>
      </c>
      <c r="AM41" s="107">
        <f>+VLOOKUP($B41,datos9!$A$2:$BG$78,52,FALSE)</f>
        <v>0</v>
      </c>
      <c r="AN41" s="107">
        <f>+VLOOKUP($B41,datos9!$A$2:$BG$78,53,FALSE)</f>
        <v>0</v>
      </c>
      <c r="AO41" s="407">
        <f t="shared" si="20"/>
        <v>0</v>
      </c>
      <c r="AP41" s="107">
        <f>+VLOOKUP($B41,datos9!$A$2:$BG$78,56,FALSE)</f>
        <v>0</v>
      </c>
      <c r="AQ41" s="108">
        <f t="shared" si="21"/>
        <v>258000</v>
      </c>
      <c r="AS41" s="109">
        <f t="shared" si="22"/>
        <v>8534791</v>
      </c>
      <c r="AW41" s="107">
        <f t="shared" si="23"/>
        <v>7310267</v>
      </c>
    </row>
    <row r="42" spans="2:49" x14ac:dyDescent="0.2">
      <c r="B42" s="17" t="s">
        <v>85</v>
      </c>
      <c r="C42" s="106"/>
      <c r="D42" s="107">
        <f>+VLOOKUP($B42,datos9!$A$2:$BG$78,14,FALSE)</f>
        <v>15367</v>
      </c>
      <c r="E42" s="107">
        <f>+VLOOKUP($B42,datos9!$A$2:$BG$78,15,FALSE)</f>
        <v>0</v>
      </c>
      <c r="F42" s="107">
        <f>+VLOOKUP($B42,datos9!$A$2:$BG$78,16,FALSE)</f>
        <v>0</v>
      </c>
      <c r="G42" s="385">
        <f t="shared" si="12"/>
        <v>15367</v>
      </c>
      <c r="H42" s="107">
        <f>+VLOOKUP($B42,datos9!$A$2:$BG$78,18,FALSE)</f>
        <v>0</v>
      </c>
      <c r="I42" s="107">
        <f>+VLOOKUP($B42,datos9!$A$2:$BG$78,19,FALSE)</f>
        <v>0</v>
      </c>
      <c r="J42" s="107">
        <f>+VLOOKUP($B42,datos9!$A$2:$BG$78,20,FALSE)</f>
        <v>0</v>
      </c>
      <c r="K42" s="107">
        <f>+VLOOKUP($B42,datos9!$A$2:$BG$78,21,FALSE)</f>
        <v>0</v>
      </c>
      <c r="L42" s="385">
        <f t="shared" si="13"/>
        <v>0</v>
      </c>
      <c r="M42" s="107">
        <f>+VLOOKUP($B42,datos9!$A$2:$BG$78,23,FALSE)</f>
        <v>0</v>
      </c>
      <c r="N42" s="107">
        <f>+VLOOKUP($B42,datos9!$A$2:$BG$78,24,FALSE)</f>
        <v>0</v>
      </c>
      <c r="O42" s="107">
        <f>+VLOOKUP($B42,datos9!$A$2:$BG$78,25,FALSE)</f>
        <v>0</v>
      </c>
      <c r="P42" s="385">
        <f t="shared" si="14"/>
        <v>0</v>
      </c>
      <c r="Q42" s="107">
        <f>+VLOOKUP($B42,datos9!$A$2:$BG$78,27,FALSE)</f>
        <v>0</v>
      </c>
      <c r="R42" s="107">
        <f>+VLOOKUP($B42,datos9!$A$2:$BG$78,28,FALSE)</f>
        <v>0</v>
      </c>
      <c r="S42" s="107">
        <f>+VLOOKUP($B42,datos9!$A$2:$BG$78,29,FALSE)</f>
        <v>0</v>
      </c>
      <c r="T42" s="107">
        <f>+VLOOKUP($B42,datos9!$A$2:$BG$78,30,FALSE)</f>
        <v>0</v>
      </c>
      <c r="U42" s="385">
        <f t="shared" si="15"/>
        <v>0</v>
      </c>
      <c r="V42" s="107">
        <f>+VLOOKUP($B42,datos9!$A$2:$BG$78,32,FALSE)</f>
        <v>842545</v>
      </c>
      <c r="W42" s="107">
        <f>+VLOOKUP($B42,datos9!$A$2:$BG$78,33,FALSE)</f>
        <v>0</v>
      </c>
      <c r="X42" s="404">
        <f t="shared" si="16"/>
        <v>842545</v>
      </c>
      <c r="Y42" s="108">
        <f t="shared" si="17"/>
        <v>857912</v>
      </c>
      <c r="Z42" s="107">
        <f>+VLOOKUP($B42,datos9!$A$2:$BG$78,36,FALSE)</f>
        <v>0</v>
      </c>
      <c r="AA42" s="107">
        <f>+VLOOKUP($B42,datos9!$A$2:$BG$78,37,FALSE)</f>
        <v>174032</v>
      </c>
      <c r="AB42" s="107">
        <f>+VLOOKUP($B42,datos9!$A$2:$BG$78,38,FALSE)</f>
        <v>0</v>
      </c>
      <c r="AC42" s="107">
        <f>+VLOOKUP($B42,datos9!$A$2:$BG$78,39,FALSE)</f>
        <v>0</v>
      </c>
      <c r="AD42" s="107">
        <f>+VLOOKUP($B42,datos9!$A$2:$BG$78,40,FALSE)</f>
        <v>0</v>
      </c>
      <c r="AE42" s="385">
        <f t="shared" si="18"/>
        <v>174032</v>
      </c>
      <c r="AF42" s="107">
        <f>+VLOOKUP($B42,datos9!$A$2:$BG$78,43,FALSE)</f>
        <v>388300</v>
      </c>
      <c r="AG42" s="107">
        <f>+VLOOKUP($B42,datos9!$A$2:$BG$78,45,FALSE)</f>
        <v>0</v>
      </c>
      <c r="AH42" s="107">
        <f>+VLOOKUP($B42,datos9!$A$2:$BG$78,46,FALSE)</f>
        <v>0</v>
      </c>
      <c r="AI42" s="107">
        <f>+VLOOKUP($B42,datos9!$A$2:$BG$78,47,FALSE)</f>
        <v>0</v>
      </c>
      <c r="AJ42" s="385">
        <f t="shared" si="19"/>
        <v>388300</v>
      </c>
      <c r="AK42" s="107">
        <f>+VLOOKUP($B42,datos9!$A$2:$BG$78,50,FALSE)</f>
        <v>170532</v>
      </c>
      <c r="AL42" s="107">
        <f>+VLOOKUP($B42,datos9!$A$2:$BG$78,51,FALSE)</f>
        <v>0</v>
      </c>
      <c r="AM42" s="107">
        <f>+VLOOKUP($B42,datos9!$A$2:$BG$78,52,FALSE)</f>
        <v>58410</v>
      </c>
      <c r="AN42" s="107">
        <f>+VLOOKUP($B42,datos9!$A$2:$BG$78,53,FALSE)</f>
        <v>0</v>
      </c>
      <c r="AO42" s="407">
        <f t="shared" si="20"/>
        <v>228942</v>
      </c>
      <c r="AP42" s="107">
        <f>+VLOOKUP($B42,datos9!$A$2:$BG$78,56,FALSE)</f>
        <v>0</v>
      </c>
      <c r="AQ42" s="108">
        <f t="shared" si="21"/>
        <v>791274</v>
      </c>
      <c r="AS42" s="109">
        <f t="shared" si="22"/>
        <v>1649186</v>
      </c>
      <c r="AW42" s="107">
        <f t="shared" si="23"/>
        <v>15367</v>
      </c>
    </row>
    <row r="43" spans="2:49" x14ac:dyDescent="0.2">
      <c r="B43" s="17" t="s">
        <v>253</v>
      </c>
      <c r="C43" s="106"/>
      <c r="D43" s="107">
        <f>+VLOOKUP($B43,datos9!$A$2:$BG$78,14,FALSE)</f>
        <v>4415</v>
      </c>
      <c r="E43" s="107">
        <f>+VLOOKUP($B43,datos9!$A$2:$BG$78,15,FALSE)</f>
        <v>0</v>
      </c>
      <c r="F43" s="107">
        <f>+VLOOKUP($B43,datos9!$A$2:$BG$78,16,FALSE)</f>
        <v>0</v>
      </c>
      <c r="G43" s="385">
        <f t="shared" si="12"/>
        <v>4415</v>
      </c>
      <c r="H43" s="107">
        <f>+VLOOKUP($B43,datos9!$A$2:$BG$78,18,FALSE)</f>
        <v>0</v>
      </c>
      <c r="I43" s="107">
        <f>+VLOOKUP($B43,datos9!$A$2:$BG$78,19,FALSE)</f>
        <v>0</v>
      </c>
      <c r="J43" s="107">
        <f>+VLOOKUP($B43,datos9!$A$2:$BG$78,20,FALSE)</f>
        <v>0</v>
      </c>
      <c r="K43" s="107">
        <f>+VLOOKUP($B43,datos9!$A$2:$BG$78,21,FALSE)</f>
        <v>30800</v>
      </c>
      <c r="L43" s="385">
        <f t="shared" si="13"/>
        <v>30800</v>
      </c>
      <c r="M43" s="107">
        <f>+VLOOKUP($B43,datos9!$A$2:$BG$78,23,FALSE)</f>
        <v>43490</v>
      </c>
      <c r="N43" s="107">
        <f>+VLOOKUP($B43,datos9!$A$2:$BG$78,24,FALSE)</f>
        <v>0</v>
      </c>
      <c r="O43" s="107">
        <f>+VLOOKUP($B43,datos9!$A$2:$BG$78,25,FALSE)</f>
        <v>0</v>
      </c>
      <c r="P43" s="385">
        <f t="shared" si="14"/>
        <v>43490</v>
      </c>
      <c r="Q43" s="107">
        <f>+VLOOKUP($B43,datos9!$A$2:$BG$78,27,FALSE)</f>
        <v>0</v>
      </c>
      <c r="R43" s="107">
        <f>+VLOOKUP($B43,datos9!$A$2:$BG$78,28,FALSE)</f>
        <v>0</v>
      </c>
      <c r="S43" s="107">
        <f>+VLOOKUP($B43,datos9!$A$2:$BG$78,29,FALSE)</f>
        <v>0</v>
      </c>
      <c r="T43" s="107">
        <f>+VLOOKUP($B43,datos9!$A$2:$BG$78,30,FALSE)</f>
        <v>0</v>
      </c>
      <c r="U43" s="385">
        <f t="shared" si="15"/>
        <v>0</v>
      </c>
      <c r="V43" s="107">
        <f>+VLOOKUP($B43,datos9!$A$2:$BG$78,32,FALSE)</f>
        <v>0</v>
      </c>
      <c r="W43" s="107">
        <f>+VLOOKUP($B43,datos9!$A$2:$BG$78,33,FALSE)</f>
        <v>0</v>
      </c>
      <c r="X43" s="404">
        <f t="shared" si="16"/>
        <v>0</v>
      </c>
      <c r="Y43" s="108">
        <f t="shared" si="17"/>
        <v>78705</v>
      </c>
      <c r="Z43" s="107">
        <f>+VLOOKUP($B43,datos9!$A$2:$BG$78,36,FALSE)</f>
        <v>0</v>
      </c>
      <c r="AA43" s="107">
        <f>+VLOOKUP($B43,datos9!$A$2:$BG$78,37,FALSE)</f>
        <v>133201</v>
      </c>
      <c r="AB43" s="107">
        <f>+VLOOKUP($B43,datos9!$A$2:$BG$78,38,FALSE)</f>
        <v>0</v>
      </c>
      <c r="AC43" s="107">
        <f>+VLOOKUP($B43,datos9!$A$2:$BG$78,39,FALSE)</f>
        <v>0</v>
      </c>
      <c r="AD43" s="107">
        <f>+VLOOKUP($B43,datos9!$A$2:$BG$78,40,FALSE)</f>
        <v>0</v>
      </c>
      <c r="AE43" s="385">
        <f t="shared" si="18"/>
        <v>133201</v>
      </c>
      <c r="AF43" s="107">
        <f>+VLOOKUP($B43,datos9!$A$2:$BG$78,43,FALSE)</f>
        <v>0</v>
      </c>
      <c r="AG43" s="107">
        <f>+VLOOKUP($B43,datos9!$A$2:$BG$78,45,FALSE)</f>
        <v>0</v>
      </c>
      <c r="AH43" s="107">
        <f>+VLOOKUP($B43,datos9!$A$2:$BG$78,46,FALSE)</f>
        <v>0</v>
      </c>
      <c r="AI43" s="107">
        <f>+VLOOKUP($B43,datos9!$A$2:$BG$78,47,FALSE)</f>
        <v>0</v>
      </c>
      <c r="AJ43" s="385">
        <f t="shared" si="19"/>
        <v>0</v>
      </c>
      <c r="AK43" s="107">
        <f>+VLOOKUP($B43,datos9!$A$2:$BG$78,50,FALSE)</f>
        <v>0</v>
      </c>
      <c r="AL43" s="107">
        <f>+VLOOKUP($B43,datos9!$A$2:$BG$78,51,FALSE)</f>
        <v>0</v>
      </c>
      <c r="AM43" s="107">
        <f>+VLOOKUP($B43,datos9!$A$2:$BG$78,52,FALSE)</f>
        <v>0</v>
      </c>
      <c r="AN43" s="107">
        <f>+VLOOKUP($B43,datos9!$A$2:$BG$78,53,FALSE)</f>
        <v>0</v>
      </c>
      <c r="AO43" s="407">
        <f t="shared" si="20"/>
        <v>0</v>
      </c>
      <c r="AP43" s="107">
        <f>+VLOOKUP($B43,datos9!$A$2:$BG$78,56,FALSE)</f>
        <v>0</v>
      </c>
      <c r="AQ43" s="108">
        <f t="shared" si="21"/>
        <v>133201</v>
      </c>
      <c r="AS43" s="109">
        <f t="shared" si="22"/>
        <v>211906</v>
      </c>
      <c r="AW43" s="107">
        <f t="shared" si="23"/>
        <v>4415</v>
      </c>
    </row>
    <row r="44" spans="2:49" x14ac:dyDescent="0.2">
      <c r="B44" s="17" t="s">
        <v>86</v>
      </c>
      <c r="C44" s="106"/>
      <c r="D44" s="107">
        <f>+VLOOKUP($B44,datos9!$A$2:$BG$78,14,FALSE)</f>
        <v>0</v>
      </c>
      <c r="E44" s="107">
        <f>+VLOOKUP($B44,datos9!$A$2:$BG$78,15,FALSE)</f>
        <v>3040</v>
      </c>
      <c r="F44" s="107">
        <f>+VLOOKUP($B44,datos9!$A$2:$BG$78,16,FALSE)</f>
        <v>0</v>
      </c>
      <c r="G44" s="385">
        <f t="shared" si="12"/>
        <v>3040</v>
      </c>
      <c r="H44" s="107">
        <f>+VLOOKUP($B44,datos9!$A$2:$BG$78,18,FALSE)</f>
        <v>0</v>
      </c>
      <c r="I44" s="107">
        <f>+VLOOKUP($B44,datos9!$A$2:$BG$78,19,FALSE)</f>
        <v>0</v>
      </c>
      <c r="J44" s="107">
        <f>+VLOOKUP($B44,datos9!$A$2:$BG$78,20,FALSE)</f>
        <v>0</v>
      </c>
      <c r="K44" s="107">
        <f>+VLOOKUP($B44,datos9!$A$2:$BG$78,21,FALSE)</f>
        <v>58390</v>
      </c>
      <c r="L44" s="385">
        <f t="shared" si="13"/>
        <v>58390</v>
      </c>
      <c r="M44" s="107">
        <f>+VLOOKUP($B44,datos9!$A$2:$BG$78,23,FALSE)</f>
        <v>0</v>
      </c>
      <c r="N44" s="107">
        <f>+VLOOKUP($B44,datos9!$A$2:$BG$78,24,FALSE)</f>
        <v>0</v>
      </c>
      <c r="O44" s="107">
        <f>+VLOOKUP($B44,datos9!$A$2:$BG$78,25,FALSE)</f>
        <v>0</v>
      </c>
      <c r="P44" s="385">
        <f t="shared" si="14"/>
        <v>0</v>
      </c>
      <c r="Q44" s="107">
        <f>+VLOOKUP($B44,datos9!$A$2:$BG$78,27,FALSE)</f>
        <v>0</v>
      </c>
      <c r="R44" s="107">
        <f>+VLOOKUP($B44,datos9!$A$2:$BG$78,28,FALSE)</f>
        <v>0</v>
      </c>
      <c r="S44" s="107">
        <f>+VLOOKUP($B44,datos9!$A$2:$BG$78,29,FALSE)</f>
        <v>0</v>
      </c>
      <c r="T44" s="107">
        <f>+VLOOKUP($B44,datos9!$A$2:$BG$78,30,FALSE)</f>
        <v>0</v>
      </c>
      <c r="U44" s="385">
        <f t="shared" si="15"/>
        <v>0</v>
      </c>
      <c r="V44" s="107">
        <f>+VLOOKUP($B44,datos9!$A$2:$BG$78,32,FALSE)</f>
        <v>0</v>
      </c>
      <c r="W44" s="107">
        <f>+VLOOKUP($B44,datos9!$A$2:$BG$78,33,FALSE)</f>
        <v>0</v>
      </c>
      <c r="X44" s="404">
        <f t="shared" si="16"/>
        <v>0</v>
      </c>
      <c r="Y44" s="108">
        <f t="shared" si="17"/>
        <v>61430</v>
      </c>
      <c r="Z44" s="107">
        <f>+VLOOKUP($B44,datos9!$A$2:$BG$78,36,FALSE)</f>
        <v>0</v>
      </c>
      <c r="AA44" s="107">
        <f>+VLOOKUP($B44,datos9!$A$2:$BG$78,37,FALSE)</f>
        <v>0</v>
      </c>
      <c r="AB44" s="107">
        <f>+VLOOKUP($B44,datos9!$A$2:$BG$78,38,FALSE)</f>
        <v>0</v>
      </c>
      <c r="AC44" s="107">
        <f>+VLOOKUP($B44,datos9!$A$2:$BG$78,39,FALSE)</f>
        <v>0</v>
      </c>
      <c r="AD44" s="107">
        <f>+VLOOKUP($B44,datos9!$A$2:$BG$78,40,FALSE)</f>
        <v>0</v>
      </c>
      <c r="AE44" s="385">
        <f t="shared" si="18"/>
        <v>0</v>
      </c>
      <c r="AF44" s="107">
        <f>+VLOOKUP($B44,datos9!$A$2:$BG$78,43,FALSE)</f>
        <v>0</v>
      </c>
      <c r="AG44" s="107">
        <f>+VLOOKUP($B44,datos9!$A$2:$BG$78,45,FALSE)</f>
        <v>0</v>
      </c>
      <c r="AH44" s="107">
        <f>+VLOOKUP($B44,datos9!$A$2:$BG$78,46,FALSE)</f>
        <v>0</v>
      </c>
      <c r="AI44" s="107">
        <f>+VLOOKUP($B44,datos9!$A$2:$BG$78,47,FALSE)</f>
        <v>0</v>
      </c>
      <c r="AJ44" s="385">
        <f t="shared" si="19"/>
        <v>0</v>
      </c>
      <c r="AK44" s="107">
        <f>+VLOOKUP($B44,datos9!$A$2:$BG$78,50,FALSE)</f>
        <v>0</v>
      </c>
      <c r="AL44" s="107">
        <f>+VLOOKUP($B44,datos9!$A$2:$BG$78,51,FALSE)</f>
        <v>0</v>
      </c>
      <c r="AM44" s="107">
        <f>+VLOOKUP($B44,datos9!$A$2:$BG$78,52,FALSE)</f>
        <v>0</v>
      </c>
      <c r="AN44" s="107">
        <f>+VLOOKUP($B44,datos9!$A$2:$BG$78,53,FALSE)</f>
        <v>0</v>
      </c>
      <c r="AO44" s="407">
        <f t="shared" si="20"/>
        <v>0</v>
      </c>
      <c r="AP44" s="107">
        <f>+VLOOKUP($B44,datos9!$A$2:$BG$78,56,FALSE)</f>
        <v>0</v>
      </c>
      <c r="AQ44" s="108">
        <f t="shared" si="21"/>
        <v>0</v>
      </c>
      <c r="AS44" s="109">
        <f t="shared" si="22"/>
        <v>61430</v>
      </c>
      <c r="AW44" s="107">
        <f t="shared" si="23"/>
        <v>0</v>
      </c>
    </row>
    <row r="45" spans="2:49" x14ac:dyDescent="0.2">
      <c r="B45" s="17" t="s">
        <v>87</v>
      </c>
      <c r="C45" s="106"/>
      <c r="D45" s="107">
        <f>+VLOOKUP($B45,datos9!$A$2:$BG$78,14,FALSE)</f>
        <v>3275419</v>
      </c>
      <c r="E45" s="107">
        <f>+VLOOKUP($B45,datos9!$A$2:$BG$78,15,FALSE)</f>
        <v>0</v>
      </c>
      <c r="F45" s="107">
        <f>+VLOOKUP($B45,datos9!$A$2:$BG$78,16,FALSE)</f>
        <v>0</v>
      </c>
      <c r="G45" s="385">
        <f t="shared" si="12"/>
        <v>3275419</v>
      </c>
      <c r="H45" s="107">
        <f>+VLOOKUP($B45,datos9!$A$2:$BG$78,18,FALSE)</f>
        <v>6059083</v>
      </c>
      <c r="I45" s="107">
        <f>+VLOOKUP($B45,datos9!$A$2:$BG$78,19,FALSE)</f>
        <v>0</v>
      </c>
      <c r="J45" s="107">
        <f>+VLOOKUP($B45,datos9!$A$2:$BG$78,20,FALSE)</f>
        <v>0</v>
      </c>
      <c r="K45" s="107">
        <f>+VLOOKUP($B45,datos9!$A$2:$BG$78,21,FALSE)</f>
        <v>2339075</v>
      </c>
      <c r="L45" s="385">
        <f t="shared" si="13"/>
        <v>8398158</v>
      </c>
      <c r="M45" s="107">
        <f>+VLOOKUP($B45,datos9!$A$2:$BG$78,23,FALSE)</f>
        <v>0</v>
      </c>
      <c r="N45" s="107">
        <f>+VLOOKUP($B45,datos9!$A$2:$BG$78,24,FALSE)</f>
        <v>0</v>
      </c>
      <c r="O45" s="107">
        <f>+VLOOKUP($B45,datos9!$A$2:$BG$78,25,FALSE)</f>
        <v>0</v>
      </c>
      <c r="P45" s="385">
        <f t="shared" si="14"/>
        <v>0</v>
      </c>
      <c r="Q45" s="107">
        <f>+VLOOKUP($B45,datos9!$A$2:$BG$78,27,FALSE)</f>
        <v>0</v>
      </c>
      <c r="R45" s="107">
        <f>+VLOOKUP($B45,datos9!$A$2:$BG$78,28,FALSE)</f>
        <v>0</v>
      </c>
      <c r="S45" s="107">
        <f>+VLOOKUP($B45,datos9!$A$2:$BG$78,29,FALSE)</f>
        <v>0</v>
      </c>
      <c r="T45" s="107">
        <f>+VLOOKUP($B45,datos9!$A$2:$BG$78,30,FALSE)</f>
        <v>0</v>
      </c>
      <c r="U45" s="385">
        <f t="shared" si="15"/>
        <v>0</v>
      </c>
      <c r="V45" s="107">
        <f>+VLOOKUP($B45,datos9!$A$2:$BG$78,32,FALSE)</f>
        <v>0</v>
      </c>
      <c r="W45" s="107">
        <f>+VLOOKUP($B45,datos9!$A$2:$BG$78,33,FALSE)</f>
        <v>74352</v>
      </c>
      <c r="X45" s="404">
        <f t="shared" si="16"/>
        <v>74352</v>
      </c>
      <c r="Y45" s="108">
        <f t="shared" si="17"/>
        <v>11747929</v>
      </c>
      <c r="Z45" s="107">
        <f>+VLOOKUP($B45,datos9!$A$2:$BG$78,36,FALSE)</f>
        <v>0</v>
      </c>
      <c r="AA45" s="107">
        <f>+VLOOKUP($B45,datos9!$A$2:$BG$78,37,FALSE)</f>
        <v>0</v>
      </c>
      <c r="AB45" s="107">
        <f>+VLOOKUP($B45,datos9!$A$2:$BG$78,38,FALSE)</f>
        <v>0</v>
      </c>
      <c r="AC45" s="107">
        <f>+VLOOKUP($B45,datos9!$A$2:$BG$78,39,FALSE)</f>
        <v>0</v>
      </c>
      <c r="AD45" s="107">
        <f>+VLOOKUP($B45,datos9!$A$2:$BG$78,40,FALSE)</f>
        <v>0</v>
      </c>
      <c r="AE45" s="385">
        <f t="shared" si="18"/>
        <v>0</v>
      </c>
      <c r="AF45" s="107">
        <f>+VLOOKUP($B45,datos9!$A$2:$BG$78,43,FALSE)</f>
        <v>1589150</v>
      </c>
      <c r="AG45" s="107">
        <f>+VLOOKUP($B45,datos9!$A$2:$BG$78,45,FALSE)</f>
        <v>0</v>
      </c>
      <c r="AH45" s="107">
        <f>+VLOOKUP($B45,datos9!$A$2:$BG$78,46,FALSE)</f>
        <v>0</v>
      </c>
      <c r="AI45" s="107">
        <f>+VLOOKUP($B45,datos9!$A$2:$BG$78,47,FALSE)</f>
        <v>0</v>
      </c>
      <c r="AJ45" s="385">
        <f t="shared" si="19"/>
        <v>1589150</v>
      </c>
      <c r="AK45" s="107">
        <f>+VLOOKUP($B45,datos9!$A$2:$BG$78,50,FALSE)</f>
        <v>0</v>
      </c>
      <c r="AL45" s="107">
        <f>+VLOOKUP($B45,datos9!$A$2:$BG$78,51,FALSE)</f>
        <v>25153</v>
      </c>
      <c r="AM45" s="107">
        <f>+VLOOKUP($B45,datos9!$A$2:$BG$78,52,FALSE)</f>
        <v>0</v>
      </c>
      <c r="AN45" s="107">
        <f>+VLOOKUP($B45,datos9!$A$2:$BG$78,53,FALSE)</f>
        <v>0</v>
      </c>
      <c r="AO45" s="407">
        <f t="shared" si="20"/>
        <v>25153</v>
      </c>
      <c r="AP45" s="107">
        <f>+VLOOKUP($B45,datos9!$A$2:$BG$78,56,FALSE)</f>
        <v>0</v>
      </c>
      <c r="AQ45" s="108">
        <f t="shared" si="21"/>
        <v>1614303</v>
      </c>
      <c r="AS45" s="109">
        <f t="shared" si="22"/>
        <v>13362232</v>
      </c>
      <c r="AW45" s="107">
        <f t="shared" si="23"/>
        <v>3275419</v>
      </c>
    </row>
    <row r="46" spans="2:49" x14ac:dyDescent="0.2">
      <c r="B46" s="17" t="s">
        <v>252</v>
      </c>
      <c r="C46" s="106"/>
      <c r="D46" s="107">
        <f>+VLOOKUP($B46,datos9!$A$2:$BG$78,14,FALSE)</f>
        <v>29214</v>
      </c>
      <c r="E46" s="107">
        <f>+VLOOKUP($B46,datos9!$A$2:$BG$78,15,FALSE)</f>
        <v>0</v>
      </c>
      <c r="F46" s="107">
        <f>+VLOOKUP($B46,datos9!$A$2:$BG$78,16,FALSE)</f>
        <v>0</v>
      </c>
      <c r="G46" s="385">
        <f t="shared" si="12"/>
        <v>29214</v>
      </c>
      <c r="H46" s="107">
        <f>+VLOOKUP($B46,datos9!$A$2:$BG$78,18,FALSE)</f>
        <v>292060</v>
      </c>
      <c r="I46" s="107">
        <f>+VLOOKUP($B46,datos9!$A$2:$BG$78,19,FALSE)</f>
        <v>0</v>
      </c>
      <c r="J46" s="107">
        <f>+VLOOKUP($B46,datos9!$A$2:$BG$78,20,FALSE)</f>
        <v>0</v>
      </c>
      <c r="K46" s="107">
        <f>+VLOOKUP($B46,datos9!$A$2:$BG$78,21,FALSE)</f>
        <v>0</v>
      </c>
      <c r="L46" s="385">
        <f t="shared" si="13"/>
        <v>292060</v>
      </c>
      <c r="M46" s="107">
        <f>+VLOOKUP($B46,datos9!$A$2:$BG$78,23,FALSE)</f>
        <v>0</v>
      </c>
      <c r="N46" s="107">
        <f>+VLOOKUP($B46,datos9!$A$2:$BG$78,24,FALSE)</f>
        <v>0</v>
      </c>
      <c r="O46" s="107">
        <f>+VLOOKUP($B46,datos9!$A$2:$BG$78,25,FALSE)</f>
        <v>0</v>
      </c>
      <c r="P46" s="385">
        <f t="shared" si="14"/>
        <v>0</v>
      </c>
      <c r="Q46" s="107">
        <f>+VLOOKUP($B46,datos9!$A$2:$BG$78,27,FALSE)</f>
        <v>0</v>
      </c>
      <c r="R46" s="107">
        <f>+VLOOKUP($B46,datos9!$A$2:$BG$78,28,FALSE)</f>
        <v>0</v>
      </c>
      <c r="S46" s="107">
        <f>+VLOOKUP($B46,datos9!$A$2:$BG$78,29,FALSE)</f>
        <v>0</v>
      </c>
      <c r="T46" s="107">
        <f>+VLOOKUP($B46,datos9!$A$2:$BG$78,30,FALSE)</f>
        <v>0</v>
      </c>
      <c r="U46" s="385">
        <f t="shared" si="15"/>
        <v>0</v>
      </c>
      <c r="V46" s="107">
        <f>+VLOOKUP($B46,datos9!$A$2:$BG$78,32,FALSE)</f>
        <v>0</v>
      </c>
      <c r="W46" s="107">
        <f>+VLOOKUP($B46,datos9!$A$2:$BG$78,33,FALSE)</f>
        <v>0</v>
      </c>
      <c r="X46" s="404">
        <f t="shared" si="16"/>
        <v>0</v>
      </c>
      <c r="Y46" s="108">
        <f t="shared" si="17"/>
        <v>321274</v>
      </c>
      <c r="Z46" s="107">
        <f>+VLOOKUP($B46,datos9!$A$2:$BG$78,36,FALSE)</f>
        <v>0</v>
      </c>
      <c r="AA46" s="107">
        <f>+VLOOKUP($B46,datos9!$A$2:$BG$78,37,FALSE)</f>
        <v>0</v>
      </c>
      <c r="AB46" s="107">
        <f>+VLOOKUP($B46,datos9!$A$2:$BG$78,38,FALSE)</f>
        <v>0</v>
      </c>
      <c r="AC46" s="107">
        <f>+VLOOKUP($B46,datos9!$A$2:$BG$78,39,FALSE)</f>
        <v>0</v>
      </c>
      <c r="AD46" s="107">
        <f>+VLOOKUP($B46,datos9!$A$2:$BG$78,40,FALSE)</f>
        <v>0</v>
      </c>
      <c r="AE46" s="385">
        <f t="shared" si="18"/>
        <v>0</v>
      </c>
      <c r="AF46" s="107">
        <f>+VLOOKUP($B46,datos9!$A$2:$BG$78,43,FALSE)</f>
        <v>0</v>
      </c>
      <c r="AG46" s="107">
        <f>+VLOOKUP($B46,datos9!$A$2:$BG$78,45,FALSE)</f>
        <v>0</v>
      </c>
      <c r="AH46" s="107">
        <f>+VLOOKUP($B46,datos9!$A$2:$BG$78,46,FALSE)</f>
        <v>0</v>
      </c>
      <c r="AI46" s="107">
        <f>+VLOOKUP($B46,datos9!$A$2:$BG$78,47,FALSE)</f>
        <v>0</v>
      </c>
      <c r="AJ46" s="385">
        <f t="shared" si="19"/>
        <v>0</v>
      </c>
      <c r="AK46" s="107">
        <f>+VLOOKUP($B46,datos9!$A$2:$BG$78,50,FALSE)</f>
        <v>0</v>
      </c>
      <c r="AL46" s="107">
        <f>+VLOOKUP($B46,datos9!$A$2:$BG$78,51,FALSE)</f>
        <v>0</v>
      </c>
      <c r="AM46" s="107">
        <f>+VLOOKUP($B46,datos9!$A$2:$BG$78,52,FALSE)</f>
        <v>0</v>
      </c>
      <c r="AN46" s="107">
        <f>+VLOOKUP($B46,datos9!$A$2:$BG$78,53,FALSE)</f>
        <v>0</v>
      </c>
      <c r="AO46" s="407">
        <f t="shared" si="20"/>
        <v>0</v>
      </c>
      <c r="AP46" s="107">
        <f>+VLOOKUP($B46,datos9!$A$2:$BG$78,56,FALSE)</f>
        <v>0</v>
      </c>
      <c r="AQ46" s="108">
        <f t="shared" si="21"/>
        <v>0</v>
      </c>
      <c r="AS46" s="109">
        <f t="shared" si="22"/>
        <v>321274</v>
      </c>
      <c r="AW46" s="107">
        <f t="shared" si="23"/>
        <v>29214</v>
      </c>
    </row>
    <row r="47" spans="2:49" x14ac:dyDescent="0.2">
      <c r="B47" s="17" t="s">
        <v>88</v>
      </c>
      <c r="C47" s="106"/>
      <c r="D47" s="107">
        <f>+VLOOKUP($B47,datos9!$A$2:$BG$78,14,FALSE)</f>
        <v>0</v>
      </c>
      <c r="E47" s="107">
        <f>+VLOOKUP($B47,datos9!$A$2:$BG$78,15,FALSE)</f>
        <v>0</v>
      </c>
      <c r="F47" s="107">
        <f>+VLOOKUP($B47,datos9!$A$2:$BG$78,16,FALSE)</f>
        <v>0</v>
      </c>
      <c r="G47" s="385">
        <f t="shared" si="12"/>
        <v>0</v>
      </c>
      <c r="H47" s="107">
        <f>+VLOOKUP($B47,datos9!$A$2:$BG$78,18,FALSE)</f>
        <v>0</v>
      </c>
      <c r="I47" s="107">
        <f>+VLOOKUP($B47,datos9!$A$2:$BG$78,19,FALSE)</f>
        <v>0</v>
      </c>
      <c r="J47" s="107">
        <f>+VLOOKUP($B47,datos9!$A$2:$BG$78,20,FALSE)</f>
        <v>0</v>
      </c>
      <c r="K47" s="107">
        <f>+VLOOKUP($B47,datos9!$A$2:$BG$78,21,FALSE)</f>
        <v>0</v>
      </c>
      <c r="L47" s="385">
        <f t="shared" si="13"/>
        <v>0</v>
      </c>
      <c r="M47" s="107">
        <f>+VLOOKUP($B47,datos9!$A$2:$BG$78,23,FALSE)</f>
        <v>0</v>
      </c>
      <c r="N47" s="107">
        <f>+VLOOKUP($B47,datos9!$A$2:$BG$78,24,FALSE)</f>
        <v>0</v>
      </c>
      <c r="O47" s="107">
        <f>+VLOOKUP($B47,datos9!$A$2:$BG$78,25,FALSE)</f>
        <v>0</v>
      </c>
      <c r="P47" s="385">
        <f t="shared" si="14"/>
        <v>0</v>
      </c>
      <c r="Q47" s="107">
        <f>+VLOOKUP($B47,datos9!$A$2:$BG$78,27,FALSE)</f>
        <v>0</v>
      </c>
      <c r="R47" s="107">
        <f>+VLOOKUP($B47,datos9!$A$2:$BG$78,28,FALSE)</f>
        <v>0</v>
      </c>
      <c r="S47" s="107">
        <f>+VLOOKUP($B47,datos9!$A$2:$BG$78,29,FALSE)</f>
        <v>0</v>
      </c>
      <c r="T47" s="107">
        <f>+VLOOKUP($B47,datos9!$A$2:$BG$78,30,FALSE)</f>
        <v>0</v>
      </c>
      <c r="U47" s="385">
        <f t="shared" si="15"/>
        <v>0</v>
      </c>
      <c r="V47" s="107">
        <f>+VLOOKUP($B47,datos9!$A$2:$BG$78,32,FALSE)</f>
        <v>0</v>
      </c>
      <c r="W47" s="107">
        <f>+VLOOKUP($B47,datos9!$A$2:$BG$78,33,FALSE)</f>
        <v>0</v>
      </c>
      <c r="X47" s="404">
        <f t="shared" si="16"/>
        <v>0</v>
      </c>
      <c r="Y47" s="309" t="s">
        <v>283</v>
      </c>
      <c r="Z47" s="107">
        <f>+VLOOKUP($B47,datos9!$A$2:$BG$78,36,FALSE)</f>
        <v>0</v>
      </c>
      <c r="AA47" s="107">
        <f>+VLOOKUP($B47,datos9!$A$2:$BG$78,37,FALSE)</f>
        <v>0</v>
      </c>
      <c r="AB47" s="107">
        <f>+VLOOKUP($B47,datos9!$A$2:$BG$78,38,FALSE)</f>
        <v>0</v>
      </c>
      <c r="AC47" s="107">
        <f>+VLOOKUP($B47,datos9!$A$2:$BG$78,39,FALSE)</f>
        <v>0</v>
      </c>
      <c r="AD47" s="107">
        <f>+VLOOKUP($B47,datos9!$A$2:$BG$78,40,FALSE)</f>
        <v>0</v>
      </c>
      <c r="AE47" s="385">
        <f t="shared" si="18"/>
        <v>0</v>
      </c>
      <c r="AF47" s="107">
        <f>+VLOOKUP($B47,datos9!$A$2:$BG$78,43,FALSE)</f>
        <v>0</v>
      </c>
      <c r="AG47" s="107">
        <f>+VLOOKUP($B47,datos9!$A$2:$BG$78,45,FALSE)</f>
        <v>0</v>
      </c>
      <c r="AH47" s="107">
        <f>+VLOOKUP($B47,datos9!$A$2:$BG$78,46,FALSE)</f>
        <v>0</v>
      </c>
      <c r="AI47" s="107">
        <f>+VLOOKUP($B47,datos9!$A$2:$BG$78,47,FALSE)</f>
        <v>0</v>
      </c>
      <c r="AJ47" s="385">
        <f t="shared" si="19"/>
        <v>0</v>
      </c>
      <c r="AK47" s="107">
        <f>+VLOOKUP($B47,datos9!$A$2:$BG$78,50,FALSE)</f>
        <v>0</v>
      </c>
      <c r="AL47" s="107">
        <f>+VLOOKUP($B47,datos9!$A$2:$BG$78,51,FALSE)</f>
        <v>0</v>
      </c>
      <c r="AM47" s="107">
        <f>+VLOOKUP($B47,datos9!$A$2:$BG$78,52,FALSE)</f>
        <v>0</v>
      </c>
      <c r="AN47" s="107">
        <f>+VLOOKUP($B47,datos9!$A$2:$BG$78,53,FALSE)</f>
        <v>0</v>
      </c>
      <c r="AO47" s="407">
        <f t="shared" si="20"/>
        <v>0</v>
      </c>
      <c r="AP47" s="107">
        <f>+VLOOKUP($B47,datos9!$A$2:$BG$78,56,FALSE)</f>
        <v>0</v>
      </c>
      <c r="AQ47" s="309" t="s">
        <v>283</v>
      </c>
      <c r="AS47" s="311" t="s">
        <v>283</v>
      </c>
      <c r="AW47" s="107">
        <f t="shared" si="23"/>
        <v>0</v>
      </c>
    </row>
    <row r="48" spans="2:49" x14ac:dyDescent="0.2">
      <c r="B48" s="17" t="s">
        <v>89</v>
      </c>
      <c r="C48" s="106"/>
      <c r="D48" s="107">
        <f>+VLOOKUP($B48,datos9!$A$2:$BG$78,14,FALSE)</f>
        <v>0</v>
      </c>
      <c r="E48" s="107">
        <f>+VLOOKUP($B48,datos9!$A$2:$BG$78,15,FALSE)</f>
        <v>377446</v>
      </c>
      <c r="F48" s="107">
        <f>+VLOOKUP($B48,datos9!$A$2:$BG$78,16,FALSE)</f>
        <v>0</v>
      </c>
      <c r="G48" s="385">
        <f t="shared" si="12"/>
        <v>377446</v>
      </c>
      <c r="H48" s="107">
        <f>+VLOOKUP($B48,datos9!$A$2:$BG$78,18,FALSE)</f>
        <v>1450</v>
      </c>
      <c r="I48" s="107">
        <f>+VLOOKUP($B48,datos9!$A$2:$BG$78,19,FALSE)</f>
        <v>0</v>
      </c>
      <c r="J48" s="107">
        <f>+VLOOKUP($B48,datos9!$A$2:$BG$78,20,FALSE)</f>
        <v>4071</v>
      </c>
      <c r="K48" s="107">
        <f>+VLOOKUP($B48,datos9!$A$2:$BG$78,21,FALSE)</f>
        <v>81739</v>
      </c>
      <c r="L48" s="385">
        <f t="shared" si="13"/>
        <v>87260</v>
      </c>
      <c r="M48" s="107">
        <f>+VLOOKUP($B48,datos9!$A$2:$BG$78,23,FALSE)</f>
        <v>0</v>
      </c>
      <c r="N48" s="107">
        <f>+VLOOKUP($B48,datos9!$A$2:$BG$78,24,FALSE)</f>
        <v>0</v>
      </c>
      <c r="O48" s="107">
        <f>+VLOOKUP($B48,datos9!$A$2:$BG$78,25,FALSE)</f>
        <v>0</v>
      </c>
      <c r="P48" s="385">
        <f t="shared" si="14"/>
        <v>0</v>
      </c>
      <c r="Q48" s="107">
        <f>+VLOOKUP($B48,datos9!$A$2:$BG$78,27,FALSE)</f>
        <v>0</v>
      </c>
      <c r="R48" s="107">
        <f>+VLOOKUP($B48,datos9!$A$2:$BG$78,28,FALSE)</f>
        <v>0</v>
      </c>
      <c r="S48" s="107">
        <f>+VLOOKUP($B48,datos9!$A$2:$BG$78,29,FALSE)</f>
        <v>0</v>
      </c>
      <c r="T48" s="107">
        <f>+VLOOKUP($B48,datos9!$A$2:$BG$78,30,FALSE)</f>
        <v>0</v>
      </c>
      <c r="U48" s="385">
        <f t="shared" si="15"/>
        <v>0</v>
      </c>
      <c r="V48" s="107">
        <f>+VLOOKUP($B48,datos9!$A$2:$BG$78,32,FALSE)</f>
        <v>0</v>
      </c>
      <c r="W48" s="107">
        <f>+VLOOKUP($B48,datos9!$A$2:$BG$78,33,FALSE)</f>
        <v>0</v>
      </c>
      <c r="X48" s="404">
        <f t="shared" si="16"/>
        <v>0</v>
      </c>
      <c r="Y48" s="108">
        <f t="shared" si="17"/>
        <v>464706</v>
      </c>
      <c r="Z48" s="107">
        <f>+VLOOKUP($B48,datos9!$A$2:$BG$78,36,FALSE)</f>
        <v>0</v>
      </c>
      <c r="AA48" s="107">
        <f>+VLOOKUP($B48,datos9!$A$2:$BG$78,37,FALSE)</f>
        <v>0</v>
      </c>
      <c r="AB48" s="107">
        <f>+VLOOKUP($B48,datos9!$A$2:$BG$78,38,FALSE)</f>
        <v>0</v>
      </c>
      <c r="AC48" s="107">
        <f>+VLOOKUP($B48,datos9!$A$2:$BG$78,39,FALSE)</f>
        <v>0</v>
      </c>
      <c r="AD48" s="107">
        <f>+VLOOKUP($B48,datos9!$A$2:$BG$78,40,FALSE)</f>
        <v>0</v>
      </c>
      <c r="AE48" s="385">
        <f t="shared" si="18"/>
        <v>0</v>
      </c>
      <c r="AF48" s="107">
        <f>+VLOOKUP($B48,datos9!$A$2:$BG$78,43,FALSE)</f>
        <v>0</v>
      </c>
      <c r="AG48" s="107">
        <f>+VLOOKUP($B48,datos9!$A$2:$BG$78,45,FALSE)</f>
        <v>100812</v>
      </c>
      <c r="AH48" s="107">
        <f>+VLOOKUP($B48,datos9!$A$2:$BG$78,46,FALSE)</f>
        <v>0</v>
      </c>
      <c r="AI48" s="107">
        <f>+VLOOKUP($B48,datos9!$A$2:$BG$78,47,FALSE)</f>
        <v>0</v>
      </c>
      <c r="AJ48" s="385">
        <f t="shared" si="19"/>
        <v>100812</v>
      </c>
      <c r="AK48" s="107">
        <f>+VLOOKUP($B48,datos9!$A$2:$BG$78,50,FALSE)</f>
        <v>0</v>
      </c>
      <c r="AL48" s="107">
        <f>+VLOOKUP($B48,datos9!$A$2:$BG$78,51,FALSE)</f>
        <v>0</v>
      </c>
      <c r="AM48" s="107">
        <f>+VLOOKUP($B48,datos9!$A$2:$BG$78,52,FALSE)</f>
        <v>0</v>
      </c>
      <c r="AN48" s="107">
        <f>+VLOOKUP($B48,datos9!$A$2:$BG$78,53,FALSE)</f>
        <v>0</v>
      </c>
      <c r="AO48" s="407">
        <f t="shared" si="20"/>
        <v>0</v>
      </c>
      <c r="AP48" s="107">
        <f>+VLOOKUP($B48,datos9!$A$2:$BG$78,56,FALSE)</f>
        <v>0</v>
      </c>
      <c r="AQ48" s="108">
        <f t="shared" si="21"/>
        <v>100812</v>
      </c>
      <c r="AS48" s="109">
        <f t="shared" si="22"/>
        <v>565518</v>
      </c>
      <c r="AW48" s="107">
        <f t="shared" si="23"/>
        <v>0</v>
      </c>
    </row>
    <row r="49" spans="2:49" x14ac:dyDescent="0.2">
      <c r="B49" s="17" t="s">
        <v>90</v>
      </c>
      <c r="C49" s="106"/>
      <c r="D49" s="107">
        <f>+VLOOKUP($B49,datos9!$A$2:$BG$78,14,FALSE)</f>
        <v>92739</v>
      </c>
      <c r="E49" s="107">
        <f>+VLOOKUP($B49,datos9!$A$2:$BG$78,15,FALSE)</f>
        <v>0</v>
      </c>
      <c r="F49" s="107">
        <f>+VLOOKUP($B49,datos9!$A$2:$BG$78,16,FALSE)</f>
        <v>1200</v>
      </c>
      <c r="G49" s="385">
        <f t="shared" si="12"/>
        <v>93939</v>
      </c>
      <c r="H49" s="107">
        <f>+VLOOKUP($B49,datos9!$A$2:$BG$78,18,FALSE)</f>
        <v>5862</v>
      </c>
      <c r="I49" s="107">
        <f>+VLOOKUP($B49,datos9!$A$2:$BG$78,19,FALSE)</f>
        <v>0</v>
      </c>
      <c r="J49" s="107">
        <f>+VLOOKUP($B49,datos9!$A$2:$BG$78,20,FALSE)</f>
        <v>0</v>
      </c>
      <c r="K49" s="107">
        <f>+VLOOKUP($B49,datos9!$A$2:$BG$78,21,FALSE)</f>
        <v>103548</v>
      </c>
      <c r="L49" s="385">
        <f t="shared" si="13"/>
        <v>109410</v>
      </c>
      <c r="M49" s="107">
        <f>+VLOOKUP($B49,datos9!$A$2:$BG$78,23,FALSE)</f>
        <v>185633</v>
      </c>
      <c r="N49" s="107">
        <f>+VLOOKUP($B49,datos9!$A$2:$BG$78,24,FALSE)</f>
        <v>0</v>
      </c>
      <c r="O49" s="107">
        <f>+VLOOKUP($B49,datos9!$A$2:$BG$78,25,FALSE)</f>
        <v>0</v>
      </c>
      <c r="P49" s="385">
        <f t="shared" si="14"/>
        <v>185633</v>
      </c>
      <c r="Q49" s="107">
        <f>+VLOOKUP($B49,datos9!$A$2:$BG$78,27,FALSE)</f>
        <v>0</v>
      </c>
      <c r="R49" s="107">
        <f>+VLOOKUP($B49,datos9!$A$2:$BG$78,28,FALSE)</f>
        <v>0</v>
      </c>
      <c r="S49" s="107">
        <f>+VLOOKUP($B49,datos9!$A$2:$BG$78,29,FALSE)</f>
        <v>0</v>
      </c>
      <c r="T49" s="107">
        <f>+VLOOKUP($B49,datos9!$A$2:$BG$78,30,FALSE)</f>
        <v>0</v>
      </c>
      <c r="U49" s="385">
        <f t="shared" si="15"/>
        <v>0</v>
      </c>
      <c r="V49" s="107">
        <f>+VLOOKUP($B49,datos9!$A$2:$BG$78,32,FALSE)</f>
        <v>0</v>
      </c>
      <c r="W49" s="107">
        <f>+VLOOKUP($B49,datos9!$A$2:$BG$78,33,FALSE)</f>
        <v>0</v>
      </c>
      <c r="X49" s="404">
        <f t="shared" si="16"/>
        <v>0</v>
      </c>
      <c r="Y49" s="108">
        <f t="shared" si="17"/>
        <v>388982</v>
      </c>
      <c r="Z49" s="107">
        <f>+VLOOKUP($B49,datos9!$A$2:$BG$78,36,FALSE)</f>
        <v>0</v>
      </c>
      <c r="AA49" s="107">
        <f>+VLOOKUP($B49,datos9!$A$2:$BG$78,37,FALSE)</f>
        <v>0</v>
      </c>
      <c r="AB49" s="107">
        <f>+VLOOKUP($B49,datos9!$A$2:$BG$78,38,FALSE)</f>
        <v>0</v>
      </c>
      <c r="AC49" s="107">
        <f>+VLOOKUP($B49,datos9!$A$2:$BG$78,39,FALSE)</f>
        <v>15747</v>
      </c>
      <c r="AD49" s="107">
        <f>+VLOOKUP($B49,datos9!$A$2:$BG$78,40,FALSE)</f>
        <v>0</v>
      </c>
      <c r="AE49" s="385">
        <f t="shared" si="18"/>
        <v>15747</v>
      </c>
      <c r="AF49" s="107">
        <f>+VLOOKUP($B49,datos9!$A$2:$BG$78,43,FALSE)</f>
        <v>165513</v>
      </c>
      <c r="AG49" s="107">
        <f>+VLOOKUP($B49,datos9!$A$2:$BG$78,45,FALSE)</f>
        <v>41522</v>
      </c>
      <c r="AH49" s="107">
        <f>+VLOOKUP($B49,datos9!$A$2:$BG$78,46,FALSE)</f>
        <v>0</v>
      </c>
      <c r="AI49" s="107">
        <f>+VLOOKUP($B49,datos9!$A$2:$BG$78,47,FALSE)</f>
        <v>0</v>
      </c>
      <c r="AJ49" s="385">
        <f t="shared" si="19"/>
        <v>207035</v>
      </c>
      <c r="AK49" s="107">
        <f>+VLOOKUP($B49,datos9!$A$2:$BG$78,50,FALSE)</f>
        <v>0</v>
      </c>
      <c r="AL49" s="107">
        <f>+VLOOKUP($B49,datos9!$A$2:$BG$78,51,FALSE)</f>
        <v>0</v>
      </c>
      <c r="AM49" s="107">
        <f>+VLOOKUP($B49,datos9!$A$2:$BG$78,52,FALSE)</f>
        <v>0</v>
      </c>
      <c r="AN49" s="107">
        <f>+VLOOKUP($B49,datos9!$A$2:$BG$78,53,FALSE)</f>
        <v>0</v>
      </c>
      <c r="AO49" s="407">
        <f t="shared" si="20"/>
        <v>0</v>
      </c>
      <c r="AP49" s="107">
        <f>+VLOOKUP($B49,datos9!$A$2:$BG$78,56,FALSE)</f>
        <v>0</v>
      </c>
      <c r="AQ49" s="108">
        <f t="shared" si="21"/>
        <v>222782</v>
      </c>
      <c r="AS49" s="109">
        <f t="shared" si="22"/>
        <v>611764</v>
      </c>
      <c r="AW49" s="107">
        <f t="shared" si="23"/>
        <v>93939</v>
      </c>
    </row>
    <row r="50" spans="2:49" x14ac:dyDescent="0.2">
      <c r="B50" s="17" t="s">
        <v>258</v>
      </c>
      <c r="C50" s="106"/>
      <c r="D50" s="107">
        <f>+VLOOKUP($B50,datos9!$A$2:$BG$78,14,FALSE)</f>
        <v>0</v>
      </c>
      <c r="E50" s="107">
        <f>+VLOOKUP($B50,datos9!$A$2:$BG$78,15,FALSE)</f>
        <v>0</v>
      </c>
      <c r="F50" s="107">
        <f>+VLOOKUP($B50,datos9!$A$2:$BG$78,16,FALSE)</f>
        <v>0</v>
      </c>
      <c r="G50" s="385">
        <f t="shared" si="12"/>
        <v>0</v>
      </c>
      <c r="H50" s="107">
        <f>+VLOOKUP($B50,datos9!$A$2:$BG$78,18,FALSE)</f>
        <v>830300</v>
      </c>
      <c r="I50" s="107">
        <f>+VLOOKUP($B50,datos9!$A$2:$BG$78,19,FALSE)</f>
        <v>0</v>
      </c>
      <c r="J50" s="107">
        <f>+VLOOKUP($B50,datos9!$A$2:$BG$78,20,FALSE)</f>
        <v>0</v>
      </c>
      <c r="K50" s="107">
        <f>+VLOOKUP($B50,datos9!$A$2:$BG$78,21,FALSE)</f>
        <v>0</v>
      </c>
      <c r="L50" s="385">
        <f t="shared" si="13"/>
        <v>830300</v>
      </c>
      <c r="M50" s="107">
        <f>+VLOOKUP($B50,datos9!$A$2:$BG$78,23,FALSE)</f>
        <v>141048</v>
      </c>
      <c r="N50" s="107">
        <f>+VLOOKUP($B50,datos9!$A$2:$BG$78,24,FALSE)</f>
        <v>0</v>
      </c>
      <c r="O50" s="107">
        <f>+VLOOKUP($B50,datos9!$A$2:$BG$78,25,FALSE)</f>
        <v>0</v>
      </c>
      <c r="P50" s="385">
        <f t="shared" si="14"/>
        <v>141048</v>
      </c>
      <c r="Q50" s="107">
        <f>+VLOOKUP($B50,datos9!$A$2:$BG$78,27,FALSE)</f>
        <v>0</v>
      </c>
      <c r="R50" s="107">
        <f>+VLOOKUP($B50,datos9!$A$2:$BG$78,28,FALSE)</f>
        <v>0</v>
      </c>
      <c r="S50" s="107">
        <f>+VLOOKUP($B50,datos9!$A$2:$BG$78,29,FALSE)</f>
        <v>0</v>
      </c>
      <c r="T50" s="107">
        <f>+VLOOKUP($B50,datos9!$A$2:$BG$78,30,FALSE)</f>
        <v>0</v>
      </c>
      <c r="U50" s="385">
        <f t="shared" si="15"/>
        <v>0</v>
      </c>
      <c r="V50" s="107">
        <f>+VLOOKUP($B50,datos9!$A$2:$BG$78,32,FALSE)</f>
        <v>0</v>
      </c>
      <c r="W50" s="107">
        <f>+VLOOKUP($B50,datos9!$A$2:$BG$78,33,FALSE)</f>
        <v>0</v>
      </c>
      <c r="X50" s="404">
        <f t="shared" si="16"/>
        <v>0</v>
      </c>
      <c r="Y50" s="108">
        <f t="shared" si="17"/>
        <v>971348</v>
      </c>
      <c r="Z50" s="107">
        <f>+VLOOKUP($B50,datos9!$A$2:$BG$78,36,FALSE)</f>
        <v>0</v>
      </c>
      <c r="AA50" s="107">
        <f>+VLOOKUP($B50,datos9!$A$2:$BG$78,37,FALSE)</f>
        <v>0</v>
      </c>
      <c r="AB50" s="107">
        <f>+VLOOKUP($B50,datos9!$A$2:$BG$78,38,FALSE)</f>
        <v>0</v>
      </c>
      <c r="AC50" s="107">
        <f>+VLOOKUP($B50,datos9!$A$2:$BG$78,39,FALSE)</f>
        <v>0</v>
      </c>
      <c r="AD50" s="107">
        <f>+VLOOKUP($B50,datos9!$A$2:$BG$78,40,FALSE)</f>
        <v>0</v>
      </c>
      <c r="AE50" s="385">
        <f t="shared" si="18"/>
        <v>0</v>
      </c>
      <c r="AF50" s="107">
        <f>+VLOOKUP($B50,datos9!$A$2:$BG$78,43,FALSE)</f>
        <v>0</v>
      </c>
      <c r="AG50" s="107">
        <f>+VLOOKUP($B50,datos9!$A$2:$BG$78,45,FALSE)</f>
        <v>0</v>
      </c>
      <c r="AH50" s="107">
        <f>+VLOOKUP($B50,datos9!$A$2:$BG$78,46,FALSE)</f>
        <v>0</v>
      </c>
      <c r="AI50" s="107">
        <f>+VLOOKUP($B50,datos9!$A$2:$BG$78,47,FALSE)</f>
        <v>0</v>
      </c>
      <c r="AJ50" s="385">
        <f t="shared" si="19"/>
        <v>0</v>
      </c>
      <c r="AK50" s="107">
        <f>+VLOOKUP($B50,datos9!$A$2:$BG$78,50,FALSE)</f>
        <v>0</v>
      </c>
      <c r="AL50" s="107">
        <f>+VLOOKUP($B50,datos9!$A$2:$BG$78,51,FALSE)</f>
        <v>0</v>
      </c>
      <c r="AM50" s="107">
        <f>+VLOOKUP($B50,datos9!$A$2:$BG$78,52,FALSE)</f>
        <v>0</v>
      </c>
      <c r="AN50" s="107">
        <f>+VLOOKUP($B50,datos9!$A$2:$BG$78,53,FALSE)</f>
        <v>0</v>
      </c>
      <c r="AO50" s="407">
        <f t="shared" si="20"/>
        <v>0</v>
      </c>
      <c r="AP50" s="107">
        <f>+VLOOKUP($B50,datos9!$A$2:$BG$78,56,FALSE)</f>
        <v>0</v>
      </c>
      <c r="AQ50" s="108">
        <f t="shared" si="21"/>
        <v>0</v>
      </c>
      <c r="AS50" s="109">
        <f t="shared" si="22"/>
        <v>971348</v>
      </c>
      <c r="AW50" s="107">
        <f t="shared" si="23"/>
        <v>0</v>
      </c>
    </row>
    <row r="51" spans="2:49" x14ac:dyDescent="0.2">
      <c r="B51" s="17" t="s">
        <v>91</v>
      </c>
      <c r="C51" s="106"/>
      <c r="D51" s="107">
        <f>+VLOOKUP($B51,datos9!$A$2:$BG$78,14,FALSE)</f>
        <v>0</v>
      </c>
      <c r="E51" s="107">
        <f>+VLOOKUP($B51,datos9!$A$2:$BG$78,15,FALSE)</f>
        <v>0</v>
      </c>
      <c r="F51" s="107">
        <f>+VLOOKUP($B51,datos9!$A$2:$BG$78,16,FALSE)</f>
        <v>0</v>
      </c>
      <c r="G51" s="385">
        <f t="shared" si="12"/>
        <v>0</v>
      </c>
      <c r="H51" s="107">
        <f>+VLOOKUP($B51,datos9!$A$2:$BG$78,18,FALSE)</f>
        <v>0</v>
      </c>
      <c r="I51" s="107">
        <f>+VLOOKUP($B51,datos9!$A$2:$BG$78,19,FALSE)</f>
        <v>0</v>
      </c>
      <c r="J51" s="107">
        <f>+VLOOKUP($B51,datos9!$A$2:$BG$78,20,FALSE)</f>
        <v>0</v>
      </c>
      <c r="K51" s="107">
        <f>+VLOOKUP($B51,datos9!$A$2:$BG$78,21,FALSE)</f>
        <v>6000</v>
      </c>
      <c r="L51" s="385">
        <f t="shared" si="13"/>
        <v>6000</v>
      </c>
      <c r="M51" s="107">
        <f>+VLOOKUP($B51,datos9!$A$2:$BG$78,23,FALSE)</f>
        <v>0</v>
      </c>
      <c r="N51" s="107">
        <f>+VLOOKUP($B51,datos9!$A$2:$BG$78,24,FALSE)</f>
        <v>449349</v>
      </c>
      <c r="O51" s="107">
        <f>+VLOOKUP($B51,datos9!$A$2:$BG$78,25,FALSE)</f>
        <v>0</v>
      </c>
      <c r="P51" s="385">
        <f t="shared" si="14"/>
        <v>449349</v>
      </c>
      <c r="Q51" s="107">
        <f>+VLOOKUP($B51,datos9!$A$2:$BG$78,27,FALSE)</f>
        <v>0</v>
      </c>
      <c r="R51" s="107">
        <f>+VLOOKUP($B51,datos9!$A$2:$BG$78,28,FALSE)</f>
        <v>0</v>
      </c>
      <c r="S51" s="107">
        <f>+VLOOKUP($B51,datos9!$A$2:$BG$78,29,FALSE)</f>
        <v>0</v>
      </c>
      <c r="T51" s="107">
        <f>+VLOOKUP($B51,datos9!$A$2:$BG$78,30,FALSE)</f>
        <v>0</v>
      </c>
      <c r="U51" s="385">
        <f t="shared" si="15"/>
        <v>0</v>
      </c>
      <c r="V51" s="107">
        <f>+VLOOKUP($B51,datos9!$A$2:$BG$78,32,FALSE)</f>
        <v>2930</v>
      </c>
      <c r="W51" s="107">
        <f>+VLOOKUP($B51,datos9!$A$2:$BG$78,33,FALSE)</f>
        <v>0</v>
      </c>
      <c r="X51" s="404">
        <f t="shared" si="16"/>
        <v>2930</v>
      </c>
      <c r="Y51" s="108">
        <f t="shared" si="17"/>
        <v>458279</v>
      </c>
      <c r="Z51" s="107">
        <f>+VLOOKUP($B51,datos9!$A$2:$BG$78,36,FALSE)</f>
        <v>0</v>
      </c>
      <c r="AA51" s="107">
        <f>+VLOOKUP($B51,datos9!$A$2:$BG$78,37,FALSE)</f>
        <v>0</v>
      </c>
      <c r="AB51" s="107">
        <f>+VLOOKUP($B51,datos9!$A$2:$BG$78,38,FALSE)</f>
        <v>0</v>
      </c>
      <c r="AC51" s="107">
        <f>+VLOOKUP($B51,datos9!$A$2:$BG$78,39,FALSE)</f>
        <v>0</v>
      </c>
      <c r="AD51" s="107">
        <f>+VLOOKUP($B51,datos9!$A$2:$BG$78,40,FALSE)</f>
        <v>0</v>
      </c>
      <c r="AE51" s="385">
        <f t="shared" si="18"/>
        <v>0</v>
      </c>
      <c r="AF51" s="107">
        <f>+VLOOKUP($B51,datos9!$A$2:$BG$78,43,FALSE)</f>
        <v>96043</v>
      </c>
      <c r="AG51" s="107">
        <f>+VLOOKUP($B51,datos9!$A$2:$BG$78,45,FALSE)</f>
        <v>8242</v>
      </c>
      <c r="AH51" s="107">
        <f>+VLOOKUP($B51,datos9!$A$2:$BG$78,46,FALSE)</f>
        <v>0</v>
      </c>
      <c r="AI51" s="107">
        <f>+VLOOKUP($B51,datos9!$A$2:$BG$78,47,FALSE)</f>
        <v>16314</v>
      </c>
      <c r="AJ51" s="385">
        <f t="shared" si="19"/>
        <v>120599</v>
      </c>
      <c r="AK51" s="107">
        <f>+VLOOKUP($B51,datos9!$A$2:$BG$78,50,FALSE)</f>
        <v>0</v>
      </c>
      <c r="AL51" s="107">
        <f>+VLOOKUP($B51,datos9!$A$2:$BG$78,51,FALSE)</f>
        <v>0</v>
      </c>
      <c r="AM51" s="107">
        <f>+VLOOKUP($B51,datos9!$A$2:$BG$78,52,FALSE)</f>
        <v>0</v>
      </c>
      <c r="AN51" s="107">
        <f>+VLOOKUP($B51,datos9!$A$2:$BG$78,53,FALSE)</f>
        <v>0</v>
      </c>
      <c r="AO51" s="407">
        <f t="shared" si="20"/>
        <v>0</v>
      </c>
      <c r="AP51" s="107">
        <f>+VLOOKUP($B51,datos9!$A$2:$BG$78,56,FALSE)</f>
        <v>0</v>
      </c>
      <c r="AQ51" s="108">
        <f t="shared" si="21"/>
        <v>120599</v>
      </c>
      <c r="AS51" s="109">
        <f t="shared" si="22"/>
        <v>578878</v>
      </c>
      <c r="AW51" s="107">
        <f t="shared" si="23"/>
        <v>0</v>
      </c>
    </row>
    <row r="52" spans="2:49" x14ac:dyDescent="0.2">
      <c r="B52" s="17" t="s">
        <v>92</v>
      </c>
      <c r="C52" s="106"/>
      <c r="D52" s="107">
        <f>+VLOOKUP($B52,datos9!$A$2:$BG$78,14,FALSE)</f>
        <v>39489</v>
      </c>
      <c r="E52" s="107">
        <f>+VLOOKUP($B52,datos9!$A$2:$BG$78,15,FALSE)</f>
        <v>216513</v>
      </c>
      <c r="F52" s="107">
        <f>+VLOOKUP($B52,datos9!$A$2:$BG$78,16,FALSE)</f>
        <v>0</v>
      </c>
      <c r="G52" s="385">
        <f t="shared" si="12"/>
        <v>256002</v>
      </c>
      <c r="H52" s="107">
        <f>+VLOOKUP($B52,datos9!$A$2:$BG$78,18,FALSE)</f>
        <v>37097</v>
      </c>
      <c r="I52" s="107">
        <f>+VLOOKUP($B52,datos9!$A$2:$BG$78,19,FALSE)</f>
        <v>65439</v>
      </c>
      <c r="J52" s="107">
        <f>+VLOOKUP($B52,datos9!$A$2:$BG$78,20,FALSE)</f>
        <v>0</v>
      </c>
      <c r="K52" s="107">
        <f>+VLOOKUP($B52,datos9!$A$2:$BG$78,21,FALSE)</f>
        <v>350277</v>
      </c>
      <c r="L52" s="385">
        <f t="shared" si="13"/>
        <v>452813</v>
      </c>
      <c r="M52" s="107">
        <f>+VLOOKUP($B52,datos9!$A$2:$BG$78,23,FALSE)</f>
        <v>0</v>
      </c>
      <c r="N52" s="107">
        <f>+VLOOKUP($B52,datos9!$A$2:$BG$78,24,FALSE)</f>
        <v>0</v>
      </c>
      <c r="O52" s="107">
        <f>+VLOOKUP($B52,datos9!$A$2:$BG$78,25,FALSE)</f>
        <v>0</v>
      </c>
      <c r="P52" s="385">
        <f t="shared" si="14"/>
        <v>0</v>
      </c>
      <c r="Q52" s="107">
        <f>+VLOOKUP($B52,datos9!$A$2:$BG$78,27,FALSE)</f>
        <v>28141</v>
      </c>
      <c r="R52" s="107">
        <f>+VLOOKUP($B52,datos9!$A$2:$BG$78,28,FALSE)</f>
        <v>0</v>
      </c>
      <c r="S52" s="107">
        <f>+VLOOKUP($B52,datos9!$A$2:$BG$78,29,FALSE)</f>
        <v>0</v>
      </c>
      <c r="T52" s="107">
        <f>+VLOOKUP($B52,datos9!$A$2:$BG$78,30,FALSE)</f>
        <v>0</v>
      </c>
      <c r="U52" s="385">
        <f t="shared" si="15"/>
        <v>28141</v>
      </c>
      <c r="V52" s="107">
        <f>+VLOOKUP($B52,datos9!$A$2:$BG$78,32,FALSE)</f>
        <v>0</v>
      </c>
      <c r="W52" s="107">
        <f>+VLOOKUP($B52,datos9!$A$2:$BG$78,33,FALSE)</f>
        <v>0</v>
      </c>
      <c r="X52" s="404">
        <f t="shared" si="16"/>
        <v>0</v>
      </c>
      <c r="Y52" s="108">
        <f t="shared" si="17"/>
        <v>736956</v>
      </c>
      <c r="Z52" s="107">
        <f>+VLOOKUP($B52,datos9!$A$2:$BG$78,36,FALSE)</f>
        <v>0</v>
      </c>
      <c r="AA52" s="107">
        <f>+VLOOKUP($B52,datos9!$A$2:$BG$78,37,FALSE)</f>
        <v>0</v>
      </c>
      <c r="AB52" s="107">
        <f>+VLOOKUP($B52,datos9!$A$2:$BG$78,38,FALSE)</f>
        <v>0</v>
      </c>
      <c r="AC52" s="107">
        <f>+VLOOKUP($B52,datos9!$A$2:$BG$78,39,FALSE)</f>
        <v>0</v>
      </c>
      <c r="AD52" s="107">
        <f>+VLOOKUP($B52,datos9!$A$2:$BG$78,40,FALSE)</f>
        <v>0</v>
      </c>
      <c r="AE52" s="385">
        <f t="shared" si="18"/>
        <v>0</v>
      </c>
      <c r="AF52" s="107">
        <f>+VLOOKUP($B52,datos9!$A$2:$BG$78,43,FALSE)</f>
        <v>241384</v>
      </c>
      <c r="AG52" s="107">
        <f>+VLOOKUP($B52,datos9!$A$2:$BG$78,45,FALSE)</f>
        <v>273137</v>
      </c>
      <c r="AH52" s="107">
        <f>+VLOOKUP($B52,datos9!$A$2:$BG$78,46,FALSE)</f>
        <v>0</v>
      </c>
      <c r="AI52" s="107">
        <f>+VLOOKUP($B52,datos9!$A$2:$BG$78,47,FALSE)</f>
        <v>0</v>
      </c>
      <c r="AJ52" s="385">
        <f t="shared" si="19"/>
        <v>514521</v>
      </c>
      <c r="AK52" s="107">
        <f>+VLOOKUP($B52,datos9!$A$2:$BG$78,50,FALSE)</f>
        <v>0</v>
      </c>
      <c r="AL52" s="107">
        <f>+VLOOKUP($B52,datos9!$A$2:$BG$78,51,FALSE)</f>
        <v>0</v>
      </c>
      <c r="AM52" s="107">
        <f>+VLOOKUP($B52,datos9!$A$2:$BG$78,52,FALSE)</f>
        <v>0</v>
      </c>
      <c r="AN52" s="107">
        <f>+VLOOKUP($B52,datos9!$A$2:$BG$78,53,FALSE)</f>
        <v>0</v>
      </c>
      <c r="AO52" s="407">
        <f t="shared" si="20"/>
        <v>0</v>
      </c>
      <c r="AP52" s="107">
        <f>+VLOOKUP($B52,datos9!$A$2:$BG$78,56,FALSE)</f>
        <v>0</v>
      </c>
      <c r="AQ52" s="108">
        <f t="shared" si="21"/>
        <v>514521</v>
      </c>
      <c r="AS52" s="109">
        <f t="shared" si="22"/>
        <v>1251477</v>
      </c>
      <c r="AW52" s="107">
        <f t="shared" si="23"/>
        <v>39489</v>
      </c>
    </row>
    <row r="53" spans="2:49" x14ac:dyDescent="0.2">
      <c r="B53" s="17" t="s">
        <v>255</v>
      </c>
      <c r="C53" s="106"/>
      <c r="D53" s="107">
        <f>+VLOOKUP($B53,datos9!$A$2:$BG$78,14,FALSE)</f>
        <v>0</v>
      </c>
      <c r="E53" s="107">
        <f>+VLOOKUP($B53,datos9!$A$2:$BG$78,15,FALSE)</f>
        <v>0</v>
      </c>
      <c r="F53" s="107">
        <f>+VLOOKUP($B53,datos9!$A$2:$BG$78,16,FALSE)</f>
        <v>0</v>
      </c>
      <c r="G53" s="385">
        <f t="shared" si="12"/>
        <v>0</v>
      </c>
      <c r="H53" s="107">
        <f>+VLOOKUP($B53,datos9!$A$2:$BG$78,18,FALSE)</f>
        <v>0</v>
      </c>
      <c r="I53" s="107">
        <f>+VLOOKUP($B53,datos9!$A$2:$BG$78,19,FALSE)</f>
        <v>0</v>
      </c>
      <c r="J53" s="107">
        <f>+VLOOKUP($B53,datos9!$A$2:$BG$78,20,FALSE)</f>
        <v>0</v>
      </c>
      <c r="K53" s="107">
        <f>+VLOOKUP($B53,datos9!$A$2:$BG$78,21,FALSE)</f>
        <v>0</v>
      </c>
      <c r="L53" s="385">
        <f t="shared" si="13"/>
        <v>0</v>
      </c>
      <c r="M53" s="107">
        <f>+VLOOKUP($B53,datos9!$A$2:$BG$78,23,FALSE)</f>
        <v>0</v>
      </c>
      <c r="N53" s="107">
        <f>+VLOOKUP($B53,datos9!$A$2:$BG$78,24,FALSE)</f>
        <v>0</v>
      </c>
      <c r="O53" s="107">
        <f>+VLOOKUP($B53,datos9!$A$2:$BG$78,25,FALSE)</f>
        <v>0</v>
      </c>
      <c r="P53" s="385">
        <f t="shared" si="14"/>
        <v>0</v>
      </c>
      <c r="Q53" s="107">
        <f>+VLOOKUP($B53,datos9!$A$2:$BG$78,27,FALSE)</f>
        <v>0</v>
      </c>
      <c r="R53" s="107">
        <f>+VLOOKUP($B53,datos9!$A$2:$BG$78,28,FALSE)</f>
        <v>0</v>
      </c>
      <c r="S53" s="107">
        <f>+VLOOKUP($B53,datos9!$A$2:$BG$78,29,FALSE)</f>
        <v>0</v>
      </c>
      <c r="T53" s="107">
        <f>+VLOOKUP($B53,datos9!$A$2:$BG$78,30,FALSE)</f>
        <v>0</v>
      </c>
      <c r="U53" s="385">
        <f t="shared" si="15"/>
        <v>0</v>
      </c>
      <c r="V53" s="107">
        <f>+VLOOKUP($B53,datos9!$A$2:$BG$78,32,FALSE)</f>
        <v>0</v>
      </c>
      <c r="W53" s="107">
        <f>+VLOOKUP($B53,datos9!$A$2:$BG$78,33,FALSE)</f>
        <v>0</v>
      </c>
      <c r="X53" s="404">
        <f t="shared" si="16"/>
        <v>0</v>
      </c>
      <c r="Y53" s="309" t="s">
        <v>283</v>
      </c>
      <c r="Z53" s="107">
        <f>+VLOOKUP($B53,datos9!$A$2:$BG$78,36,FALSE)</f>
        <v>0</v>
      </c>
      <c r="AA53" s="107">
        <f>+VLOOKUP($B53,datos9!$A$2:$BG$78,37,FALSE)</f>
        <v>0</v>
      </c>
      <c r="AB53" s="107">
        <f>+VLOOKUP($B53,datos9!$A$2:$BG$78,38,FALSE)</f>
        <v>0</v>
      </c>
      <c r="AC53" s="107">
        <f>+VLOOKUP($B53,datos9!$A$2:$BG$78,39,FALSE)</f>
        <v>0</v>
      </c>
      <c r="AD53" s="107">
        <f>+VLOOKUP($B53,datos9!$A$2:$BG$78,40,FALSE)</f>
        <v>0</v>
      </c>
      <c r="AE53" s="385">
        <f t="shared" si="18"/>
        <v>0</v>
      </c>
      <c r="AF53" s="107">
        <f>+VLOOKUP($B53,datos9!$A$2:$BG$78,43,FALSE)</f>
        <v>0</v>
      </c>
      <c r="AG53" s="107">
        <f>+VLOOKUP($B53,datos9!$A$2:$BG$78,45,FALSE)</f>
        <v>0</v>
      </c>
      <c r="AH53" s="107">
        <f>+VLOOKUP($B53,datos9!$A$2:$BG$78,46,FALSE)</f>
        <v>0</v>
      </c>
      <c r="AI53" s="107">
        <f>+VLOOKUP($B53,datos9!$A$2:$BG$78,47,FALSE)</f>
        <v>0</v>
      </c>
      <c r="AJ53" s="385">
        <f t="shared" si="19"/>
        <v>0</v>
      </c>
      <c r="AK53" s="107">
        <f>+VLOOKUP($B53,datos9!$A$2:$BG$78,50,FALSE)</f>
        <v>0</v>
      </c>
      <c r="AL53" s="107">
        <f>+VLOOKUP($B53,datos9!$A$2:$BG$78,51,FALSE)</f>
        <v>0</v>
      </c>
      <c r="AM53" s="107">
        <f>+VLOOKUP($B53,datos9!$A$2:$BG$78,52,FALSE)</f>
        <v>0</v>
      </c>
      <c r="AN53" s="107">
        <f>+VLOOKUP($B53,datos9!$A$2:$BG$78,53,FALSE)</f>
        <v>0</v>
      </c>
      <c r="AO53" s="407">
        <f t="shared" si="20"/>
        <v>0</v>
      </c>
      <c r="AP53" s="107">
        <f>+VLOOKUP($B53,datos9!$A$2:$BG$78,56,FALSE)</f>
        <v>0</v>
      </c>
      <c r="AQ53" s="309" t="s">
        <v>283</v>
      </c>
      <c r="AS53" s="311" t="s">
        <v>283</v>
      </c>
      <c r="AW53" s="107">
        <f t="shared" si="23"/>
        <v>0</v>
      </c>
    </row>
    <row r="54" spans="2:49" x14ac:dyDescent="0.2">
      <c r="B54" s="17" t="s">
        <v>256</v>
      </c>
      <c r="C54" s="106"/>
      <c r="D54" s="107">
        <f>+VLOOKUP($B54,datos9!$A$2:$BG$78,14,FALSE)</f>
        <v>53806</v>
      </c>
      <c r="E54" s="107">
        <f>+VLOOKUP($B54,datos9!$A$2:$BG$78,15,FALSE)</f>
        <v>0</v>
      </c>
      <c r="F54" s="107">
        <f>+VLOOKUP($B54,datos9!$A$2:$BG$78,16,FALSE)</f>
        <v>0</v>
      </c>
      <c r="G54" s="385">
        <f t="shared" si="12"/>
        <v>53806</v>
      </c>
      <c r="H54" s="107">
        <f>+VLOOKUP($B54,datos9!$A$2:$BG$78,18,FALSE)</f>
        <v>407555</v>
      </c>
      <c r="I54" s="107">
        <f>+VLOOKUP($B54,datos9!$A$2:$BG$78,19,FALSE)</f>
        <v>0</v>
      </c>
      <c r="J54" s="107">
        <f>+VLOOKUP($B54,datos9!$A$2:$BG$78,20,FALSE)</f>
        <v>129740</v>
      </c>
      <c r="K54" s="107">
        <f>+VLOOKUP($B54,datos9!$A$2:$BG$78,21,FALSE)</f>
        <v>0</v>
      </c>
      <c r="L54" s="385">
        <f t="shared" si="13"/>
        <v>537295</v>
      </c>
      <c r="M54" s="107">
        <f>+VLOOKUP($B54,datos9!$A$2:$BG$78,23,FALSE)</f>
        <v>56645</v>
      </c>
      <c r="N54" s="107">
        <f>+VLOOKUP($B54,datos9!$A$2:$BG$78,24,FALSE)</f>
        <v>0</v>
      </c>
      <c r="O54" s="107">
        <f>+VLOOKUP($B54,datos9!$A$2:$BG$78,25,FALSE)</f>
        <v>0</v>
      </c>
      <c r="P54" s="385">
        <f t="shared" si="14"/>
        <v>56645</v>
      </c>
      <c r="Q54" s="107">
        <f>+VLOOKUP($B54,datos9!$A$2:$BG$78,27,FALSE)</f>
        <v>0</v>
      </c>
      <c r="R54" s="107">
        <f>+VLOOKUP($B54,datos9!$A$2:$BG$78,28,FALSE)</f>
        <v>0</v>
      </c>
      <c r="S54" s="107">
        <f>+VLOOKUP($B54,datos9!$A$2:$BG$78,29,FALSE)</f>
        <v>0</v>
      </c>
      <c r="T54" s="107">
        <f>+VLOOKUP($B54,datos9!$A$2:$BG$78,30,FALSE)</f>
        <v>0</v>
      </c>
      <c r="U54" s="385">
        <f t="shared" si="15"/>
        <v>0</v>
      </c>
      <c r="V54" s="107">
        <f>+VLOOKUP($B54,datos9!$A$2:$BG$78,32,FALSE)</f>
        <v>0</v>
      </c>
      <c r="W54" s="107">
        <f>+VLOOKUP($B54,datos9!$A$2:$BG$78,33,FALSE)</f>
        <v>0</v>
      </c>
      <c r="X54" s="404">
        <f t="shared" si="16"/>
        <v>0</v>
      </c>
      <c r="Y54" s="108">
        <f t="shared" si="17"/>
        <v>647746</v>
      </c>
      <c r="Z54" s="107">
        <f>+VLOOKUP($B54,datos9!$A$2:$BG$78,36,FALSE)</f>
        <v>0</v>
      </c>
      <c r="AA54" s="107">
        <f>+VLOOKUP($B54,datos9!$A$2:$BG$78,37,FALSE)</f>
        <v>0</v>
      </c>
      <c r="AB54" s="107">
        <f>+VLOOKUP($B54,datos9!$A$2:$BG$78,38,FALSE)</f>
        <v>0</v>
      </c>
      <c r="AC54" s="107">
        <f>+VLOOKUP($B54,datos9!$A$2:$BG$78,39,FALSE)</f>
        <v>0</v>
      </c>
      <c r="AD54" s="107">
        <f>+VLOOKUP($B54,datos9!$A$2:$BG$78,40,FALSE)</f>
        <v>0</v>
      </c>
      <c r="AE54" s="385">
        <f t="shared" si="18"/>
        <v>0</v>
      </c>
      <c r="AF54" s="107">
        <f>+VLOOKUP($B54,datos9!$A$2:$BG$78,43,FALSE)</f>
        <v>0</v>
      </c>
      <c r="AG54" s="107">
        <f>+VLOOKUP($B54,datos9!$A$2:$BG$78,45,FALSE)</f>
        <v>260586</v>
      </c>
      <c r="AH54" s="107">
        <f>+VLOOKUP($B54,datos9!$A$2:$BG$78,46,FALSE)</f>
        <v>0</v>
      </c>
      <c r="AI54" s="107">
        <f>+VLOOKUP($B54,datos9!$A$2:$BG$78,47,FALSE)</f>
        <v>0</v>
      </c>
      <c r="AJ54" s="385">
        <f t="shared" si="19"/>
        <v>260586</v>
      </c>
      <c r="AK54" s="107">
        <f>+VLOOKUP($B54,datos9!$A$2:$BG$78,50,FALSE)</f>
        <v>0</v>
      </c>
      <c r="AL54" s="107">
        <f>+VLOOKUP($B54,datos9!$A$2:$BG$78,51,FALSE)</f>
        <v>0</v>
      </c>
      <c r="AM54" s="107">
        <f>+VLOOKUP($B54,datos9!$A$2:$BG$78,52,FALSE)</f>
        <v>0</v>
      </c>
      <c r="AN54" s="107">
        <f>+VLOOKUP($B54,datos9!$A$2:$BG$78,53,FALSE)</f>
        <v>0</v>
      </c>
      <c r="AO54" s="407">
        <f t="shared" si="20"/>
        <v>0</v>
      </c>
      <c r="AP54" s="107">
        <f>+VLOOKUP($B54,datos9!$A$2:$BG$78,56,FALSE)</f>
        <v>0</v>
      </c>
      <c r="AQ54" s="108">
        <f t="shared" si="21"/>
        <v>260586</v>
      </c>
      <c r="AS54" s="109">
        <f t="shared" si="22"/>
        <v>908332</v>
      </c>
      <c r="AW54" s="107">
        <f t="shared" si="23"/>
        <v>53806</v>
      </c>
    </row>
    <row r="55" spans="2:49" x14ac:dyDescent="0.2">
      <c r="B55" s="17" t="s">
        <v>257</v>
      </c>
      <c r="C55" s="106"/>
      <c r="D55" s="107">
        <f>+VLOOKUP($B55,datos9!$A$2:$BG$78,14,FALSE)</f>
        <v>0</v>
      </c>
      <c r="E55" s="107">
        <f>+VLOOKUP($B55,datos9!$A$2:$BG$78,15,FALSE)</f>
        <v>0</v>
      </c>
      <c r="F55" s="107">
        <f>+VLOOKUP($B55,datos9!$A$2:$BG$78,16,FALSE)</f>
        <v>0</v>
      </c>
      <c r="G55" s="385">
        <f t="shared" si="12"/>
        <v>0</v>
      </c>
      <c r="H55" s="107">
        <f>+VLOOKUP($B55,datos9!$A$2:$BG$78,18,FALSE)</f>
        <v>0</v>
      </c>
      <c r="I55" s="107">
        <f>+VLOOKUP($B55,datos9!$A$2:$BG$78,19,FALSE)</f>
        <v>0</v>
      </c>
      <c r="J55" s="107">
        <f>+VLOOKUP($B55,datos9!$A$2:$BG$78,20,FALSE)</f>
        <v>0</v>
      </c>
      <c r="K55" s="107">
        <f>+VLOOKUP($B55,datos9!$A$2:$BG$78,21,FALSE)</f>
        <v>0</v>
      </c>
      <c r="L55" s="385">
        <f t="shared" si="13"/>
        <v>0</v>
      </c>
      <c r="M55" s="107">
        <f>+VLOOKUP($B55,datos9!$A$2:$BG$78,23,FALSE)</f>
        <v>0</v>
      </c>
      <c r="N55" s="107">
        <f>+VLOOKUP($B55,datos9!$A$2:$BG$78,24,FALSE)</f>
        <v>0</v>
      </c>
      <c r="O55" s="107">
        <f>+VLOOKUP($B55,datos9!$A$2:$BG$78,25,FALSE)</f>
        <v>0</v>
      </c>
      <c r="P55" s="385">
        <f t="shared" si="14"/>
        <v>0</v>
      </c>
      <c r="Q55" s="107">
        <f>+VLOOKUP($B55,datos9!$A$2:$BG$78,27,FALSE)</f>
        <v>0</v>
      </c>
      <c r="R55" s="107">
        <f>+VLOOKUP($B55,datos9!$A$2:$BG$78,28,FALSE)</f>
        <v>0</v>
      </c>
      <c r="S55" s="107">
        <f>+VLOOKUP($B55,datos9!$A$2:$BG$78,29,FALSE)</f>
        <v>0</v>
      </c>
      <c r="T55" s="107">
        <f>+VLOOKUP($B55,datos9!$A$2:$BG$78,30,FALSE)</f>
        <v>0</v>
      </c>
      <c r="U55" s="385">
        <f t="shared" si="15"/>
        <v>0</v>
      </c>
      <c r="V55" s="107">
        <f>+VLOOKUP($B55,datos9!$A$2:$BG$78,32,FALSE)</f>
        <v>0</v>
      </c>
      <c r="W55" s="107">
        <f>+VLOOKUP($B55,datos9!$A$2:$BG$78,33,FALSE)</f>
        <v>0</v>
      </c>
      <c r="X55" s="404">
        <f t="shared" si="16"/>
        <v>0</v>
      </c>
      <c r="Y55" s="309">
        <v>0</v>
      </c>
      <c r="Z55" s="107">
        <f>+VLOOKUP($B55,datos9!$A$2:$BG$78,36,FALSE)</f>
        <v>0</v>
      </c>
      <c r="AA55" s="107">
        <f>+VLOOKUP($B55,datos9!$A$2:$BG$78,37,FALSE)</f>
        <v>449670</v>
      </c>
      <c r="AB55" s="107">
        <f>+VLOOKUP($B55,datos9!$A$2:$BG$78,38,FALSE)</f>
        <v>0</v>
      </c>
      <c r="AC55" s="107">
        <f>+VLOOKUP($B55,datos9!$A$2:$BG$78,39,FALSE)</f>
        <v>0</v>
      </c>
      <c r="AD55" s="107">
        <f>+VLOOKUP($B55,datos9!$A$2:$BG$78,40,FALSE)</f>
        <v>0</v>
      </c>
      <c r="AE55" s="385">
        <f t="shared" si="18"/>
        <v>449670</v>
      </c>
      <c r="AF55" s="107">
        <f>+VLOOKUP($B55,datos9!$A$2:$BG$78,43,FALSE)</f>
        <v>278173</v>
      </c>
      <c r="AG55" s="107">
        <f>+VLOOKUP($B55,datos9!$A$2:$BG$78,45,FALSE)</f>
        <v>433289</v>
      </c>
      <c r="AH55" s="107">
        <f>+VLOOKUP($B55,datos9!$A$2:$BG$78,46,FALSE)</f>
        <v>0</v>
      </c>
      <c r="AI55" s="107">
        <f>+VLOOKUP($B55,datos9!$A$2:$BG$78,47,FALSE)</f>
        <v>10000</v>
      </c>
      <c r="AJ55" s="385">
        <f t="shared" si="19"/>
        <v>721462</v>
      </c>
      <c r="AK55" s="107">
        <f>+VLOOKUP($B55,datos9!$A$2:$BG$78,50,FALSE)</f>
        <v>0</v>
      </c>
      <c r="AL55" s="107">
        <f>+VLOOKUP($B55,datos9!$A$2:$BG$78,51,FALSE)</f>
        <v>0</v>
      </c>
      <c r="AM55" s="107">
        <f>+VLOOKUP($B55,datos9!$A$2:$BG$78,52,FALSE)</f>
        <v>0</v>
      </c>
      <c r="AN55" s="107">
        <f>+VLOOKUP($B55,datos9!$A$2:$BG$78,53,FALSE)</f>
        <v>49269</v>
      </c>
      <c r="AO55" s="407">
        <f t="shared" si="20"/>
        <v>49269</v>
      </c>
      <c r="AP55" s="107">
        <f>+VLOOKUP($B55,datos9!$A$2:$BG$78,56,FALSE)</f>
        <v>370000</v>
      </c>
      <c r="AQ55" s="108">
        <f t="shared" si="21"/>
        <v>1590401</v>
      </c>
      <c r="AS55" s="109">
        <f t="shared" si="22"/>
        <v>1590401</v>
      </c>
      <c r="AW55" s="107">
        <f t="shared" si="23"/>
        <v>0</v>
      </c>
    </row>
    <row r="56" spans="2:49" x14ac:dyDescent="0.2">
      <c r="B56" s="17" t="s">
        <v>93</v>
      </c>
      <c r="C56" s="106"/>
      <c r="D56" s="107">
        <f>+VLOOKUP($B56,datos9!$A$2:$BG$78,14,FALSE)</f>
        <v>190122</v>
      </c>
      <c r="E56" s="107">
        <f>+VLOOKUP($B56,datos9!$A$2:$BG$78,15,FALSE)</f>
        <v>0</v>
      </c>
      <c r="F56" s="107">
        <f>+VLOOKUP($B56,datos9!$A$2:$BG$78,16,FALSE)</f>
        <v>123448</v>
      </c>
      <c r="G56" s="385">
        <f t="shared" si="12"/>
        <v>313570</v>
      </c>
      <c r="H56" s="107">
        <f>+VLOOKUP($B56,datos9!$A$2:$BG$78,18,FALSE)</f>
        <v>0</v>
      </c>
      <c r="I56" s="107">
        <f>+VLOOKUP($B56,datos9!$A$2:$BG$78,19,FALSE)</f>
        <v>10348</v>
      </c>
      <c r="J56" s="107">
        <f>+VLOOKUP($B56,datos9!$A$2:$BG$78,20,FALSE)</f>
        <v>0</v>
      </c>
      <c r="K56" s="107">
        <f>+VLOOKUP($B56,datos9!$A$2:$BG$78,21,FALSE)</f>
        <v>0</v>
      </c>
      <c r="L56" s="385">
        <f t="shared" si="13"/>
        <v>10348</v>
      </c>
      <c r="M56" s="107">
        <f>+VLOOKUP($B56,datos9!$A$2:$BG$78,23,FALSE)</f>
        <v>70000</v>
      </c>
      <c r="N56" s="107">
        <f>+VLOOKUP($B56,datos9!$A$2:$BG$78,24,FALSE)</f>
        <v>0</v>
      </c>
      <c r="O56" s="107">
        <f>+VLOOKUP($B56,datos9!$A$2:$BG$78,25,FALSE)</f>
        <v>0</v>
      </c>
      <c r="P56" s="385">
        <f t="shared" si="14"/>
        <v>70000</v>
      </c>
      <c r="Q56" s="107">
        <f>+VLOOKUP($B56,datos9!$A$2:$BG$78,27,FALSE)</f>
        <v>0</v>
      </c>
      <c r="R56" s="107">
        <f>+VLOOKUP($B56,datos9!$A$2:$BG$78,28,FALSE)</f>
        <v>0</v>
      </c>
      <c r="S56" s="107">
        <f>+VLOOKUP($B56,datos9!$A$2:$BG$78,29,FALSE)</f>
        <v>0</v>
      </c>
      <c r="T56" s="107">
        <f>+VLOOKUP($B56,datos9!$A$2:$BG$78,30,FALSE)</f>
        <v>0</v>
      </c>
      <c r="U56" s="385">
        <f t="shared" si="15"/>
        <v>0</v>
      </c>
      <c r="V56" s="107">
        <f>+VLOOKUP($B56,datos9!$A$2:$BG$78,32,FALSE)</f>
        <v>0</v>
      </c>
      <c r="W56" s="107">
        <f>+VLOOKUP($B56,datos9!$A$2:$BG$78,33,FALSE)</f>
        <v>0</v>
      </c>
      <c r="X56" s="404">
        <f t="shared" si="16"/>
        <v>0</v>
      </c>
      <c r="Y56" s="108">
        <f t="shared" si="17"/>
        <v>393918</v>
      </c>
      <c r="Z56" s="107">
        <f>+VLOOKUP($B56,datos9!$A$2:$BG$78,36,FALSE)</f>
        <v>0</v>
      </c>
      <c r="AA56" s="107">
        <f>+VLOOKUP($B56,datos9!$A$2:$BG$78,37,FALSE)</f>
        <v>0</v>
      </c>
      <c r="AB56" s="107">
        <f>+VLOOKUP($B56,datos9!$A$2:$BG$78,38,FALSE)</f>
        <v>0</v>
      </c>
      <c r="AC56" s="107">
        <f>+VLOOKUP($B56,datos9!$A$2:$BG$78,39,FALSE)</f>
        <v>0</v>
      </c>
      <c r="AD56" s="107">
        <f>+VLOOKUP($B56,datos9!$A$2:$BG$78,40,FALSE)</f>
        <v>0</v>
      </c>
      <c r="AE56" s="385">
        <f t="shared" si="18"/>
        <v>0</v>
      </c>
      <c r="AF56" s="107">
        <f>+VLOOKUP($B56,datos9!$A$2:$BG$78,43,FALSE)</f>
        <v>0</v>
      </c>
      <c r="AG56" s="107">
        <f>+VLOOKUP($B56,datos9!$A$2:$BG$78,45,FALSE)</f>
        <v>0</v>
      </c>
      <c r="AH56" s="107">
        <f>+VLOOKUP($B56,datos9!$A$2:$BG$78,46,FALSE)</f>
        <v>0</v>
      </c>
      <c r="AI56" s="107">
        <f>+VLOOKUP($B56,datos9!$A$2:$BG$78,47,FALSE)</f>
        <v>0</v>
      </c>
      <c r="AJ56" s="385">
        <f t="shared" si="19"/>
        <v>0</v>
      </c>
      <c r="AK56" s="107">
        <f>+VLOOKUP($B56,datos9!$A$2:$BG$78,50,FALSE)</f>
        <v>0</v>
      </c>
      <c r="AL56" s="107">
        <f>+VLOOKUP($B56,datos9!$A$2:$BG$78,51,FALSE)</f>
        <v>0</v>
      </c>
      <c r="AM56" s="107">
        <f>+VLOOKUP($B56,datos9!$A$2:$BG$78,52,FALSE)</f>
        <v>0</v>
      </c>
      <c r="AN56" s="107">
        <f>+VLOOKUP($B56,datos9!$A$2:$BG$78,53,FALSE)</f>
        <v>21389</v>
      </c>
      <c r="AO56" s="407">
        <f t="shared" si="20"/>
        <v>21389</v>
      </c>
      <c r="AP56" s="107">
        <f>+VLOOKUP($B56,datos9!$A$2:$BG$78,56,FALSE)</f>
        <v>0</v>
      </c>
      <c r="AQ56" s="108">
        <f t="shared" si="21"/>
        <v>21389</v>
      </c>
      <c r="AS56" s="109">
        <f t="shared" si="22"/>
        <v>415307</v>
      </c>
      <c r="AW56" s="107">
        <f t="shared" si="23"/>
        <v>313570</v>
      </c>
    </row>
    <row r="57" spans="2:49" x14ac:dyDescent="0.2">
      <c r="B57" s="17" t="s">
        <v>94</v>
      </c>
      <c r="C57" s="106"/>
      <c r="D57" s="107">
        <f>+VLOOKUP($B57,datos9!$A$2:$BG$78,14,FALSE)</f>
        <v>445962</v>
      </c>
      <c r="E57" s="107">
        <f>+VLOOKUP($B57,datos9!$A$2:$BG$78,15,FALSE)</f>
        <v>0</v>
      </c>
      <c r="F57" s="107">
        <f>+VLOOKUP($B57,datos9!$A$2:$BG$78,16,FALSE)</f>
        <v>52447</v>
      </c>
      <c r="G57" s="385">
        <f t="shared" si="12"/>
        <v>498409</v>
      </c>
      <c r="H57" s="107">
        <f>+VLOOKUP($B57,datos9!$A$2:$BG$78,18,FALSE)</f>
        <v>120307</v>
      </c>
      <c r="I57" s="107">
        <f>+VLOOKUP($B57,datos9!$A$2:$BG$78,19,FALSE)</f>
        <v>0</v>
      </c>
      <c r="J57" s="107">
        <f>+VLOOKUP($B57,datos9!$A$2:$BG$78,20,FALSE)</f>
        <v>0</v>
      </c>
      <c r="K57" s="107">
        <f>+VLOOKUP($B57,datos9!$A$2:$BG$78,21,FALSE)</f>
        <v>328194</v>
      </c>
      <c r="L57" s="385">
        <f t="shared" si="13"/>
        <v>448501</v>
      </c>
      <c r="M57" s="107">
        <f>+VLOOKUP($B57,datos9!$A$2:$BG$78,23,FALSE)</f>
        <v>54391</v>
      </c>
      <c r="N57" s="107">
        <f>+VLOOKUP($B57,datos9!$A$2:$BG$78,24,FALSE)</f>
        <v>0</v>
      </c>
      <c r="O57" s="107">
        <f>+VLOOKUP($B57,datos9!$A$2:$BG$78,25,FALSE)</f>
        <v>0</v>
      </c>
      <c r="P57" s="385">
        <f t="shared" si="14"/>
        <v>54391</v>
      </c>
      <c r="Q57" s="107">
        <f>+VLOOKUP($B57,datos9!$A$2:$BG$78,27,FALSE)</f>
        <v>0</v>
      </c>
      <c r="R57" s="107">
        <f>+VLOOKUP($B57,datos9!$A$2:$BG$78,28,FALSE)</f>
        <v>0</v>
      </c>
      <c r="S57" s="107">
        <f>+VLOOKUP($B57,datos9!$A$2:$BG$78,29,FALSE)</f>
        <v>0</v>
      </c>
      <c r="T57" s="107">
        <f>+VLOOKUP($B57,datos9!$A$2:$BG$78,30,FALSE)</f>
        <v>48</v>
      </c>
      <c r="U57" s="385">
        <f t="shared" si="15"/>
        <v>48</v>
      </c>
      <c r="V57" s="107">
        <f>+VLOOKUP($B57,datos9!$A$2:$BG$78,32,FALSE)</f>
        <v>10176</v>
      </c>
      <c r="W57" s="107">
        <f>+VLOOKUP($B57,datos9!$A$2:$BG$78,33,FALSE)</f>
        <v>0</v>
      </c>
      <c r="X57" s="404">
        <f t="shared" si="16"/>
        <v>10176</v>
      </c>
      <c r="Y57" s="108">
        <f t="shared" si="17"/>
        <v>1011525</v>
      </c>
      <c r="Z57" s="107">
        <f>+VLOOKUP($B57,datos9!$A$2:$BG$78,36,FALSE)</f>
        <v>0</v>
      </c>
      <c r="AA57" s="107">
        <f>+VLOOKUP($B57,datos9!$A$2:$BG$78,37,FALSE)</f>
        <v>266768</v>
      </c>
      <c r="AB57" s="107">
        <f>+VLOOKUP($B57,datos9!$A$2:$BG$78,38,FALSE)</f>
        <v>0</v>
      </c>
      <c r="AC57" s="107">
        <f>+VLOOKUP($B57,datos9!$A$2:$BG$78,39,FALSE)</f>
        <v>0</v>
      </c>
      <c r="AD57" s="107">
        <f>+VLOOKUP($B57,datos9!$A$2:$BG$78,40,FALSE)</f>
        <v>3744</v>
      </c>
      <c r="AE57" s="385">
        <f t="shared" si="18"/>
        <v>270512</v>
      </c>
      <c r="AF57" s="107">
        <f>+VLOOKUP($B57,datos9!$A$2:$BG$78,43,FALSE)</f>
        <v>1352933</v>
      </c>
      <c r="AG57" s="107">
        <f>+VLOOKUP($B57,datos9!$A$2:$BG$78,45,FALSE)</f>
        <v>377377</v>
      </c>
      <c r="AH57" s="107">
        <f>+VLOOKUP($B57,datos9!$A$2:$BG$78,46,FALSE)</f>
        <v>0</v>
      </c>
      <c r="AI57" s="107">
        <f>+VLOOKUP($B57,datos9!$A$2:$BG$78,47,FALSE)</f>
        <v>0</v>
      </c>
      <c r="AJ57" s="385">
        <f t="shared" si="19"/>
        <v>1730310</v>
      </c>
      <c r="AK57" s="107">
        <f>+VLOOKUP($B57,datos9!$A$2:$BG$78,50,FALSE)</f>
        <v>0</v>
      </c>
      <c r="AL57" s="107">
        <f>+VLOOKUP($B57,datos9!$A$2:$BG$78,51,FALSE)</f>
        <v>0</v>
      </c>
      <c r="AM57" s="107">
        <f>+VLOOKUP($B57,datos9!$A$2:$BG$78,52,FALSE)</f>
        <v>0</v>
      </c>
      <c r="AN57" s="107">
        <f>+VLOOKUP($B57,datos9!$A$2:$BG$78,53,FALSE)</f>
        <v>0</v>
      </c>
      <c r="AO57" s="407">
        <f t="shared" si="20"/>
        <v>0</v>
      </c>
      <c r="AP57" s="107">
        <f>+VLOOKUP($B57,datos9!$A$2:$BG$78,56,FALSE)</f>
        <v>0</v>
      </c>
      <c r="AQ57" s="108">
        <f t="shared" si="21"/>
        <v>2000822</v>
      </c>
      <c r="AS57" s="109">
        <f t="shared" si="22"/>
        <v>3012347</v>
      </c>
      <c r="AW57" s="107">
        <f t="shared" si="23"/>
        <v>498409</v>
      </c>
    </row>
    <row r="58" spans="2:49" x14ac:dyDescent="0.2">
      <c r="B58" s="17" t="s">
        <v>95</v>
      </c>
      <c r="C58" s="106"/>
      <c r="D58" s="107">
        <f>+VLOOKUP($B58,datos9!$A$2:$BG$78,14,FALSE)</f>
        <v>3206</v>
      </c>
      <c r="E58" s="107">
        <f>+VLOOKUP($B58,datos9!$A$2:$BG$78,15,FALSE)</f>
        <v>0</v>
      </c>
      <c r="F58" s="107">
        <f>+VLOOKUP($B58,datos9!$A$2:$BG$78,16,FALSE)</f>
        <v>1068</v>
      </c>
      <c r="G58" s="385">
        <f t="shared" si="12"/>
        <v>4274</v>
      </c>
      <c r="H58" s="107">
        <f>+VLOOKUP($B58,datos9!$A$2:$BG$78,18,FALSE)</f>
        <v>5838</v>
      </c>
      <c r="I58" s="107">
        <f>+VLOOKUP($B58,datos9!$A$2:$BG$78,19,FALSE)</f>
        <v>0</v>
      </c>
      <c r="J58" s="107">
        <f>+VLOOKUP($B58,datos9!$A$2:$BG$78,20,FALSE)</f>
        <v>0</v>
      </c>
      <c r="K58" s="107">
        <f>+VLOOKUP($B58,datos9!$A$2:$BG$78,21,FALSE)</f>
        <v>1335</v>
      </c>
      <c r="L58" s="385">
        <f t="shared" si="13"/>
        <v>7173</v>
      </c>
      <c r="M58" s="107">
        <f>+VLOOKUP($B58,datos9!$A$2:$BG$78,23,FALSE)</f>
        <v>500000</v>
      </c>
      <c r="N58" s="107">
        <f>+VLOOKUP($B58,datos9!$A$2:$BG$78,24,FALSE)</f>
        <v>1500</v>
      </c>
      <c r="O58" s="107">
        <f>+VLOOKUP($B58,datos9!$A$2:$BG$78,25,FALSE)</f>
        <v>0</v>
      </c>
      <c r="P58" s="385">
        <f t="shared" si="14"/>
        <v>501500</v>
      </c>
      <c r="Q58" s="107">
        <f>+VLOOKUP($B58,datos9!$A$2:$BG$78,27,FALSE)</f>
        <v>0</v>
      </c>
      <c r="R58" s="107">
        <f>+VLOOKUP($B58,datos9!$A$2:$BG$78,28,FALSE)</f>
        <v>0</v>
      </c>
      <c r="S58" s="107">
        <f>+VLOOKUP($B58,datos9!$A$2:$BG$78,29,FALSE)</f>
        <v>0</v>
      </c>
      <c r="T58" s="107">
        <f>+VLOOKUP($B58,datos9!$A$2:$BG$78,30,FALSE)</f>
        <v>0</v>
      </c>
      <c r="U58" s="385">
        <f t="shared" si="15"/>
        <v>0</v>
      </c>
      <c r="V58" s="107">
        <f>+VLOOKUP($B58,datos9!$A$2:$BG$78,32,FALSE)</f>
        <v>0</v>
      </c>
      <c r="W58" s="107">
        <f>+VLOOKUP($B58,datos9!$A$2:$BG$78,33,FALSE)</f>
        <v>0</v>
      </c>
      <c r="X58" s="404">
        <f t="shared" si="16"/>
        <v>0</v>
      </c>
      <c r="Y58" s="108">
        <f t="shared" si="17"/>
        <v>512947</v>
      </c>
      <c r="Z58" s="107">
        <f>+VLOOKUP($B58,datos9!$A$2:$BG$78,36,FALSE)</f>
        <v>0</v>
      </c>
      <c r="AA58" s="107">
        <f>+VLOOKUP($B58,datos9!$A$2:$BG$78,37,FALSE)</f>
        <v>0</v>
      </c>
      <c r="AB58" s="107">
        <f>+VLOOKUP($B58,datos9!$A$2:$BG$78,38,FALSE)</f>
        <v>0</v>
      </c>
      <c r="AC58" s="107">
        <f>+VLOOKUP($B58,datos9!$A$2:$BG$78,39,FALSE)</f>
        <v>8747</v>
      </c>
      <c r="AD58" s="107">
        <f>+VLOOKUP($B58,datos9!$A$2:$BG$78,40,FALSE)</f>
        <v>0</v>
      </c>
      <c r="AE58" s="385">
        <f t="shared" si="18"/>
        <v>8747</v>
      </c>
      <c r="AF58" s="107">
        <f>+VLOOKUP($B58,datos9!$A$2:$BG$78,43,FALSE)</f>
        <v>254286</v>
      </c>
      <c r="AG58" s="107">
        <f>+VLOOKUP($B58,datos9!$A$2:$BG$78,45,FALSE)</f>
        <v>0</v>
      </c>
      <c r="AH58" s="107">
        <f>+VLOOKUP($B58,datos9!$A$2:$BG$78,46,FALSE)</f>
        <v>0</v>
      </c>
      <c r="AI58" s="107">
        <f>+VLOOKUP($B58,datos9!$A$2:$BG$78,47,FALSE)</f>
        <v>0</v>
      </c>
      <c r="AJ58" s="385">
        <f t="shared" si="19"/>
        <v>254286</v>
      </c>
      <c r="AK58" s="107">
        <f>+VLOOKUP($B58,datos9!$A$2:$BG$78,50,FALSE)</f>
        <v>0</v>
      </c>
      <c r="AL58" s="107">
        <f>+VLOOKUP($B58,datos9!$A$2:$BG$78,51,FALSE)</f>
        <v>0</v>
      </c>
      <c r="AM58" s="107">
        <f>+VLOOKUP($B58,datos9!$A$2:$BG$78,52,FALSE)</f>
        <v>0</v>
      </c>
      <c r="AN58" s="107">
        <f>+VLOOKUP($B58,datos9!$A$2:$BG$78,53,FALSE)</f>
        <v>0</v>
      </c>
      <c r="AO58" s="407">
        <f t="shared" si="20"/>
        <v>0</v>
      </c>
      <c r="AP58" s="107">
        <f>+VLOOKUP($B58,datos9!$A$2:$BG$78,56,FALSE)</f>
        <v>0</v>
      </c>
      <c r="AQ58" s="108">
        <f t="shared" si="21"/>
        <v>263033</v>
      </c>
      <c r="AS58" s="109">
        <f t="shared" si="22"/>
        <v>775980</v>
      </c>
      <c r="AW58" s="107">
        <f t="shared" si="23"/>
        <v>4274</v>
      </c>
    </row>
    <row r="59" spans="2:49" x14ac:dyDescent="0.2">
      <c r="B59" s="17" t="s">
        <v>96</v>
      </c>
      <c r="C59" s="106"/>
      <c r="D59" s="107">
        <f>+VLOOKUP($B59,datos9!$A$2:$BG$78,14,FALSE)</f>
        <v>2482</v>
      </c>
      <c r="E59" s="107">
        <f>+VLOOKUP($B59,datos9!$A$2:$BG$78,15,FALSE)</f>
        <v>0</v>
      </c>
      <c r="F59" s="107">
        <f>+VLOOKUP($B59,datos9!$A$2:$BG$78,16,FALSE)</f>
        <v>19200</v>
      </c>
      <c r="G59" s="385">
        <f t="shared" si="12"/>
        <v>21682</v>
      </c>
      <c r="H59" s="107">
        <f>+VLOOKUP($B59,datos9!$A$2:$BG$78,18,FALSE)</f>
        <v>328011</v>
      </c>
      <c r="I59" s="107">
        <f>+VLOOKUP($B59,datos9!$A$2:$BG$78,19,FALSE)</f>
        <v>124669</v>
      </c>
      <c r="J59" s="107">
        <f>+VLOOKUP($B59,datos9!$A$2:$BG$78,20,FALSE)</f>
        <v>0</v>
      </c>
      <c r="K59" s="107">
        <f>+VLOOKUP($B59,datos9!$A$2:$BG$78,21,FALSE)</f>
        <v>338956</v>
      </c>
      <c r="L59" s="385">
        <f t="shared" si="13"/>
        <v>791636</v>
      </c>
      <c r="M59" s="107">
        <f>+VLOOKUP($B59,datos9!$A$2:$BG$78,23,FALSE)</f>
        <v>654933</v>
      </c>
      <c r="N59" s="107">
        <f>+VLOOKUP($B59,datos9!$A$2:$BG$78,24,FALSE)</f>
        <v>0</v>
      </c>
      <c r="O59" s="107">
        <f>+VLOOKUP($B59,datos9!$A$2:$BG$78,25,FALSE)</f>
        <v>0</v>
      </c>
      <c r="P59" s="385">
        <f t="shared" si="14"/>
        <v>654933</v>
      </c>
      <c r="Q59" s="107">
        <f>+VLOOKUP($B59,datos9!$A$2:$BG$78,27,FALSE)</f>
        <v>0</v>
      </c>
      <c r="R59" s="107">
        <f>+VLOOKUP($B59,datos9!$A$2:$BG$78,28,FALSE)</f>
        <v>0</v>
      </c>
      <c r="S59" s="107">
        <f>+VLOOKUP($B59,datos9!$A$2:$BG$78,29,FALSE)</f>
        <v>0</v>
      </c>
      <c r="T59" s="107">
        <f>+VLOOKUP($B59,datos9!$A$2:$BG$78,30,FALSE)</f>
        <v>0</v>
      </c>
      <c r="U59" s="385">
        <f t="shared" si="15"/>
        <v>0</v>
      </c>
      <c r="V59" s="107">
        <f>+VLOOKUP($B59,datos9!$A$2:$BG$78,32,FALSE)</f>
        <v>0</v>
      </c>
      <c r="W59" s="107">
        <f>+VLOOKUP($B59,datos9!$A$2:$BG$78,33,FALSE)</f>
        <v>0</v>
      </c>
      <c r="X59" s="404">
        <f t="shared" si="16"/>
        <v>0</v>
      </c>
      <c r="Y59" s="108">
        <f t="shared" si="17"/>
        <v>1468251</v>
      </c>
      <c r="Z59" s="107">
        <f>+VLOOKUP($B59,datos9!$A$2:$BG$78,36,FALSE)</f>
        <v>0</v>
      </c>
      <c r="AA59" s="107">
        <f>+VLOOKUP($B59,datos9!$A$2:$BG$78,37,FALSE)</f>
        <v>863250</v>
      </c>
      <c r="AB59" s="107">
        <f>+VLOOKUP($B59,datos9!$A$2:$BG$78,38,FALSE)</f>
        <v>0</v>
      </c>
      <c r="AC59" s="107">
        <f>+VLOOKUP($B59,datos9!$A$2:$BG$78,39,FALSE)</f>
        <v>0</v>
      </c>
      <c r="AD59" s="107">
        <f>+VLOOKUP($B59,datos9!$A$2:$BG$78,40,FALSE)</f>
        <v>0</v>
      </c>
      <c r="AE59" s="385">
        <f t="shared" si="18"/>
        <v>863250</v>
      </c>
      <c r="AF59" s="107">
        <f>+VLOOKUP($B59,datos9!$A$2:$BG$78,43,FALSE)</f>
        <v>36771</v>
      </c>
      <c r="AG59" s="107">
        <f>+VLOOKUP($B59,datos9!$A$2:$BG$78,45,FALSE)</f>
        <v>148428</v>
      </c>
      <c r="AH59" s="107">
        <f>+VLOOKUP($B59,datos9!$A$2:$BG$78,46,FALSE)</f>
        <v>0</v>
      </c>
      <c r="AI59" s="107">
        <f>+VLOOKUP($B59,datos9!$A$2:$BG$78,47,FALSE)</f>
        <v>183501</v>
      </c>
      <c r="AJ59" s="385">
        <f t="shared" si="19"/>
        <v>368700</v>
      </c>
      <c r="AK59" s="107">
        <f>+VLOOKUP($B59,datos9!$A$2:$BG$78,50,FALSE)</f>
        <v>0</v>
      </c>
      <c r="AL59" s="107">
        <f>+VLOOKUP($B59,datos9!$A$2:$BG$78,51,FALSE)</f>
        <v>0</v>
      </c>
      <c r="AM59" s="107">
        <f>+VLOOKUP($B59,datos9!$A$2:$BG$78,52,FALSE)</f>
        <v>0</v>
      </c>
      <c r="AN59" s="107">
        <f>+VLOOKUP($B59,datos9!$A$2:$BG$78,53,FALSE)</f>
        <v>0</v>
      </c>
      <c r="AO59" s="407">
        <f t="shared" si="20"/>
        <v>0</v>
      </c>
      <c r="AP59" s="107">
        <f>+VLOOKUP($B59,datos9!$A$2:$BG$78,56,FALSE)</f>
        <v>0</v>
      </c>
      <c r="AQ59" s="108">
        <f t="shared" si="21"/>
        <v>1231950</v>
      </c>
      <c r="AS59" s="109">
        <f t="shared" si="22"/>
        <v>2700201</v>
      </c>
      <c r="AW59" s="107">
        <f t="shared" si="23"/>
        <v>21682</v>
      </c>
    </row>
    <row r="60" spans="2:49" x14ac:dyDescent="0.2">
      <c r="B60" s="17" t="s">
        <v>97</v>
      </c>
      <c r="C60" s="106"/>
      <c r="D60" s="107">
        <f>+VLOOKUP($B60,datos9!$A$2:$BG$78,14,FALSE)</f>
        <v>38962</v>
      </c>
      <c r="E60" s="107">
        <f>+VLOOKUP($B60,datos9!$A$2:$BG$78,15,FALSE)</f>
        <v>0</v>
      </c>
      <c r="F60" s="107">
        <f>+VLOOKUP($B60,datos9!$A$2:$BG$78,16,FALSE)</f>
        <v>601</v>
      </c>
      <c r="G60" s="385">
        <f t="shared" si="12"/>
        <v>39563</v>
      </c>
      <c r="H60" s="107">
        <f>+VLOOKUP($B60,datos9!$A$2:$BG$78,18,FALSE)</f>
        <v>684022</v>
      </c>
      <c r="I60" s="107">
        <f>+VLOOKUP($B60,datos9!$A$2:$BG$78,19,FALSE)</f>
        <v>0</v>
      </c>
      <c r="J60" s="107">
        <f>+VLOOKUP($B60,datos9!$A$2:$BG$78,20,FALSE)</f>
        <v>0</v>
      </c>
      <c r="K60" s="107">
        <f>+VLOOKUP($B60,datos9!$A$2:$BG$78,21,FALSE)</f>
        <v>206780</v>
      </c>
      <c r="L60" s="385">
        <f t="shared" si="13"/>
        <v>890802</v>
      </c>
      <c r="M60" s="107">
        <f>+VLOOKUP($B60,datos9!$A$2:$BG$78,23,FALSE)</f>
        <v>759344</v>
      </c>
      <c r="N60" s="107">
        <f>+VLOOKUP($B60,datos9!$A$2:$BG$78,24,FALSE)</f>
        <v>0</v>
      </c>
      <c r="O60" s="107">
        <f>+VLOOKUP($B60,datos9!$A$2:$BG$78,25,FALSE)</f>
        <v>0</v>
      </c>
      <c r="P60" s="385">
        <f t="shared" si="14"/>
        <v>759344</v>
      </c>
      <c r="Q60" s="107">
        <f>+VLOOKUP($B60,datos9!$A$2:$BG$78,27,FALSE)</f>
        <v>0</v>
      </c>
      <c r="R60" s="107">
        <f>+VLOOKUP($B60,datos9!$A$2:$BG$78,28,FALSE)</f>
        <v>0</v>
      </c>
      <c r="S60" s="107">
        <f>+VLOOKUP($B60,datos9!$A$2:$BG$78,29,FALSE)</f>
        <v>0</v>
      </c>
      <c r="T60" s="107">
        <f>+VLOOKUP($B60,datos9!$A$2:$BG$78,30,FALSE)</f>
        <v>0</v>
      </c>
      <c r="U60" s="385">
        <f t="shared" si="15"/>
        <v>0</v>
      </c>
      <c r="V60" s="107">
        <f>+VLOOKUP($B60,datos9!$A$2:$BG$78,32,FALSE)</f>
        <v>0</v>
      </c>
      <c r="W60" s="107">
        <f>+VLOOKUP($B60,datos9!$A$2:$BG$78,33,FALSE)</f>
        <v>0</v>
      </c>
      <c r="X60" s="404">
        <f t="shared" si="16"/>
        <v>0</v>
      </c>
      <c r="Y60" s="108">
        <f t="shared" si="17"/>
        <v>1689709</v>
      </c>
      <c r="Z60" s="107">
        <f>+VLOOKUP($B60,datos9!$A$2:$BG$78,36,FALSE)</f>
        <v>0</v>
      </c>
      <c r="AA60" s="107">
        <f>+VLOOKUP($B60,datos9!$A$2:$BG$78,37,FALSE)</f>
        <v>0</v>
      </c>
      <c r="AB60" s="107">
        <f>+VLOOKUP($B60,datos9!$A$2:$BG$78,38,FALSE)</f>
        <v>0</v>
      </c>
      <c r="AC60" s="107">
        <f>+VLOOKUP($B60,datos9!$A$2:$BG$78,39,FALSE)</f>
        <v>0</v>
      </c>
      <c r="AD60" s="107">
        <f>+VLOOKUP($B60,datos9!$A$2:$BG$78,40,FALSE)</f>
        <v>0</v>
      </c>
      <c r="AE60" s="385">
        <f t="shared" si="18"/>
        <v>0</v>
      </c>
      <c r="AF60" s="107">
        <f>+VLOOKUP($B60,datos9!$A$2:$BG$78,43,FALSE)</f>
        <v>2650</v>
      </c>
      <c r="AG60" s="107">
        <f>+VLOOKUP($B60,datos9!$A$2:$BG$78,45,FALSE)</f>
        <v>21551</v>
      </c>
      <c r="AH60" s="107">
        <f>+VLOOKUP($B60,datos9!$A$2:$BG$78,46,FALSE)</f>
        <v>0</v>
      </c>
      <c r="AI60" s="107">
        <f>+VLOOKUP($B60,datos9!$A$2:$BG$78,47,FALSE)</f>
        <v>0</v>
      </c>
      <c r="AJ60" s="385">
        <f t="shared" si="19"/>
        <v>24201</v>
      </c>
      <c r="AK60" s="107">
        <f>+VLOOKUP($B60,datos9!$A$2:$BG$78,50,FALSE)</f>
        <v>0</v>
      </c>
      <c r="AL60" s="107">
        <f>+VLOOKUP($B60,datos9!$A$2:$BG$78,51,FALSE)</f>
        <v>0</v>
      </c>
      <c r="AM60" s="107">
        <f>+VLOOKUP($B60,datos9!$A$2:$BG$78,52,FALSE)</f>
        <v>0</v>
      </c>
      <c r="AN60" s="107">
        <f>+VLOOKUP($B60,datos9!$A$2:$BG$78,53,FALSE)</f>
        <v>0</v>
      </c>
      <c r="AO60" s="407">
        <f t="shared" si="20"/>
        <v>0</v>
      </c>
      <c r="AP60" s="107">
        <f>+VLOOKUP($B60,datos9!$A$2:$BG$78,56,FALSE)</f>
        <v>0</v>
      </c>
      <c r="AQ60" s="108">
        <f t="shared" si="21"/>
        <v>24201</v>
      </c>
      <c r="AS60" s="109">
        <f t="shared" si="22"/>
        <v>1713910</v>
      </c>
      <c r="AW60" s="107">
        <f t="shared" si="23"/>
        <v>39563</v>
      </c>
    </row>
    <row r="61" spans="2:49" x14ac:dyDescent="0.2">
      <c r="B61" s="17" t="s">
        <v>98</v>
      </c>
      <c r="C61" s="106"/>
      <c r="D61" s="107">
        <f>+VLOOKUP($B61,datos9!$A$2:$BG$78,14,FALSE)</f>
        <v>9843470</v>
      </c>
      <c r="E61" s="107">
        <f>+VLOOKUP($B61,datos9!$A$2:$BG$78,15,FALSE)</f>
        <v>0</v>
      </c>
      <c r="F61" s="107">
        <f>+VLOOKUP($B61,datos9!$A$2:$BG$78,16,FALSE)</f>
        <v>115214</v>
      </c>
      <c r="G61" s="385">
        <f t="shared" si="12"/>
        <v>9958684</v>
      </c>
      <c r="H61" s="107">
        <f>+VLOOKUP($B61,datos9!$A$2:$BG$78,18,FALSE)</f>
        <v>13112654</v>
      </c>
      <c r="I61" s="107">
        <f>+VLOOKUP($B61,datos9!$A$2:$BG$78,19,FALSE)</f>
        <v>787674</v>
      </c>
      <c r="J61" s="107">
        <f>+VLOOKUP($B61,datos9!$A$2:$BG$78,20,FALSE)</f>
        <v>2052038</v>
      </c>
      <c r="K61" s="107">
        <f>+VLOOKUP($B61,datos9!$A$2:$BG$78,21,FALSE)</f>
        <v>6935697</v>
      </c>
      <c r="L61" s="385">
        <f t="shared" si="13"/>
        <v>22888063</v>
      </c>
      <c r="M61" s="107">
        <f>+VLOOKUP($B61,datos9!$A$2:$BG$78,23,FALSE)</f>
        <v>433000</v>
      </c>
      <c r="N61" s="107">
        <f>+VLOOKUP($B61,datos9!$A$2:$BG$78,24,FALSE)</f>
        <v>219568</v>
      </c>
      <c r="O61" s="107">
        <f>+VLOOKUP($B61,datos9!$A$2:$BG$78,25,FALSE)</f>
        <v>0</v>
      </c>
      <c r="P61" s="385">
        <f t="shared" si="14"/>
        <v>652568</v>
      </c>
      <c r="Q61" s="107">
        <f>+VLOOKUP($B61,datos9!$A$2:$BG$78,27,FALSE)</f>
        <v>0</v>
      </c>
      <c r="R61" s="107">
        <f>+VLOOKUP($B61,datos9!$A$2:$BG$78,28,FALSE)</f>
        <v>0</v>
      </c>
      <c r="S61" s="107">
        <f>+VLOOKUP($B61,datos9!$A$2:$BG$78,29,FALSE)</f>
        <v>0</v>
      </c>
      <c r="T61" s="107">
        <f>+VLOOKUP($B61,datos9!$A$2:$BG$78,30,FALSE)</f>
        <v>10822</v>
      </c>
      <c r="U61" s="385">
        <f t="shared" si="15"/>
        <v>10822</v>
      </c>
      <c r="V61" s="107">
        <f>+VLOOKUP($B61,datos9!$A$2:$BG$78,32,FALSE)</f>
        <v>0</v>
      </c>
      <c r="W61" s="107">
        <f>+VLOOKUP($B61,datos9!$A$2:$BG$78,33,FALSE)</f>
        <v>7809079</v>
      </c>
      <c r="X61" s="404">
        <f t="shared" si="16"/>
        <v>7809079</v>
      </c>
      <c r="Y61" s="108">
        <f t="shared" si="17"/>
        <v>41319216</v>
      </c>
      <c r="Z61" s="107">
        <f>+VLOOKUP($B61,datos9!$A$2:$BG$78,36,FALSE)</f>
        <v>0</v>
      </c>
      <c r="AA61" s="107">
        <f>+VLOOKUP($B61,datos9!$A$2:$BG$78,37,FALSE)</f>
        <v>263909</v>
      </c>
      <c r="AB61" s="107">
        <f>+VLOOKUP($B61,datos9!$A$2:$BG$78,38,FALSE)</f>
        <v>0</v>
      </c>
      <c r="AC61" s="107">
        <f>+VLOOKUP($B61,datos9!$A$2:$BG$78,39,FALSE)</f>
        <v>0</v>
      </c>
      <c r="AD61" s="107">
        <f>+VLOOKUP($B61,datos9!$A$2:$BG$78,40,FALSE)</f>
        <v>0</v>
      </c>
      <c r="AE61" s="385">
        <f t="shared" si="18"/>
        <v>263909</v>
      </c>
      <c r="AF61" s="107">
        <f>+VLOOKUP($B61,datos9!$A$2:$BG$78,43,FALSE)</f>
        <v>1879683</v>
      </c>
      <c r="AG61" s="107">
        <f>+VLOOKUP($B61,datos9!$A$2:$BG$78,45,FALSE)</f>
        <v>1545450</v>
      </c>
      <c r="AH61" s="107">
        <f>+VLOOKUP($B61,datos9!$A$2:$BG$78,46,FALSE)</f>
        <v>0</v>
      </c>
      <c r="AI61" s="107">
        <f>+VLOOKUP($B61,datos9!$A$2:$BG$78,47,FALSE)</f>
        <v>0</v>
      </c>
      <c r="AJ61" s="385">
        <f t="shared" si="19"/>
        <v>3425133</v>
      </c>
      <c r="AK61" s="107">
        <f>+VLOOKUP($B61,datos9!$A$2:$BG$78,50,FALSE)</f>
        <v>590000</v>
      </c>
      <c r="AL61" s="107">
        <f>+VLOOKUP($B61,datos9!$A$2:$BG$78,51,FALSE)</f>
        <v>0</v>
      </c>
      <c r="AM61" s="107">
        <f>+VLOOKUP($B61,datos9!$A$2:$BG$78,52,FALSE)</f>
        <v>0</v>
      </c>
      <c r="AN61" s="107">
        <f>+VLOOKUP($B61,datos9!$A$2:$BG$78,53,FALSE)</f>
        <v>0</v>
      </c>
      <c r="AO61" s="407">
        <f t="shared" si="20"/>
        <v>590000</v>
      </c>
      <c r="AP61" s="107">
        <f>+VLOOKUP($B61,datos9!$A$2:$BG$78,56,FALSE)</f>
        <v>0</v>
      </c>
      <c r="AQ61" s="108">
        <f t="shared" si="21"/>
        <v>4279042</v>
      </c>
      <c r="AS61" s="109">
        <f t="shared" si="22"/>
        <v>45598258</v>
      </c>
      <c r="AW61" s="107">
        <f t="shared" si="23"/>
        <v>9958684</v>
      </c>
    </row>
    <row r="62" spans="2:49" x14ac:dyDescent="0.2">
      <c r="B62" s="17" t="s">
        <v>99</v>
      </c>
      <c r="C62" s="106"/>
      <c r="D62" s="107">
        <f>+VLOOKUP($B62,datos9!$A$2:$BG$78,14,FALSE)</f>
        <v>6006000</v>
      </c>
      <c r="E62" s="107">
        <f>+VLOOKUP($B62,datos9!$A$2:$BG$78,15,FALSE)</f>
        <v>0</v>
      </c>
      <c r="F62" s="107">
        <f>+VLOOKUP($B62,datos9!$A$2:$BG$78,16,FALSE)</f>
        <v>0</v>
      </c>
      <c r="G62" s="385">
        <f t="shared" si="12"/>
        <v>6006000</v>
      </c>
      <c r="H62" s="107">
        <f>+VLOOKUP($B62,datos9!$A$2:$BG$78,18,FALSE)</f>
        <v>1191000</v>
      </c>
      <c r="I62" s="107">
        <f>+VLOOKUP($B62,datos9!$A$2:$BG$78,19,FALSE)</f>
        <v>211000</v>
      </c>
      <c r="J62" s="107">
        <f>+VLOOKUP($B62,datos9!$A$2:$BG$78,20,FALSE)</f>
        <v>247000</v>
      </c>
      <c r="K62" s="107">
        <f>+VLOOKUP($B62,datos9!$A$2:$BG$78,21,FALSE)</f>
        <v>0</v>
      </c>
      <c r="L62" s="385">
        <f t="shared" si="13"/>
        <v>1649000</v>
      </c>
      <c r="M62" s="107">
        <f>+VLOOKUP($B62,datos9!$A$2:$BG$78,23,FALSE)</f>
        <v>400000</v>
      </c>
      <c r="N62" s="107">
        <f>+VLOOKUP($B62,datos9!$A$2:$BG$78,24,FALSE)</f>
        <v>183000</v>
      </c>
      <c r="O62" s="107">
        <f>+VLOOKUP($B62,datos9!$A$2:$BG$78,25,FALSE)</f>
        <v>0</v>
      </c>
      <c r="P62" s="385">
        <f t="shared" si="14"/>
        <v>583000</v>
      </c>
      <c r="Q62" s="107">
        <f>+VLOOKUP($B62,datos9!$A$2:$BG$78,27,FALSE)</f>
        <v>0</v>
      </c>
      <c r="R62" s="107">
        <f>+VLOOKUP($B62,datos9!$A$2:$BG$78,28,FALSE)</f>
        <v>0</v>
      </c>
      <c r="S62" s="107">
        <f>+VLOOKUP($B62,datos9!$A$2:$BG$78,29,FALSE)</f>
        <v>0</v>
      </c>
      <c r="T62" s="107">
        <f>+VLOOKUP($B62,datos9!$A$2:$BG$78,30,FALSE)</f>
        <v>0</v>
      </c>
      <c r="U62" s="385">
        <f t="shared" si="15"/>
        <v>0</v>
      </c>
      <c r="V62" s="107">
        <f>+VLOOKUP($B62,datos9!$A$2:$BG$78,32,FALSE)</f>
        <v>0</v>
      </c>
      <c r="W62" s="107">
        <f>+VLOOKUP($B62,datos9!$A$2:$BG$78,33,FALSE)</f>
        <v>0</v>
      </c>
      <c r="X62" s="404">
        <f t="shared" si="16"/>
        <v>0</v>
      </c>
      <c r="Y62" s="108">
        <f t="shared" si="17"/>
        <v>8238000</v>
      </c>
      <c r="Z62" s="107">
        <f>+VLOOKUP($B62,datos9!$A$2:$BG$78,36,FALSE)</f>
        <v>0</v>
      </c>
      <c r="AA62" s="107">
        <f>+VLOOKUP($B62,datos9!$A$2:$BG$78,37,FALSE)</f>
        <v>606107</v>
      </c>
      <c r="AB62" s="107">
        <f>+VLOOKUP($B62,datos9!$A$2:$BG$78,38,FALSE)</f>
        <v>0</v>
      </c>
      <c r="AC62" s="107">
        <f>+VLOOKUP($B62,datos9!$A$2:$BG$78,39,FALSE)</f>
        <v>0</v>
      </c>
      <c r="AD62" s="107">
        <f>+VLOOKUP($B62,datos9!$A$2:$BG$78,40,FALSE)</f>
        <v>0</v>
      </c>
      <c r="AE62" s="385">
        <f t="shared" si="18"/>
        <v>606107</v>
      </c>
      <c r="AF62" s="107">
        <f>+VLOOKUP($B62,datos9!$A$2:$BG$78,43,FALSE)</f>
        <v>1198116</v>
      </c>
      <c r="AG62" s="107">
        <f>+VLOOKUP($B62,datos9!$A$2:$BG$78,45,FALSE)</f>
        <v>645258</v>
      </c>
      <c r="AH62" s="107">
        <f>+VLOOKUP($B62,datos9!$A$2:$BG$78,46,FALSE)</f>
        <v>0</v>
      </c>
      <c r="AI62" s="107">
        <f>+VLOOKUP($B62,datos9!$A$2:$BG$78,47,FALSE)</f>
        <v>0</v>
      </c>
      <c r="AJ62" s="385">
        <f t="shared" si="19"/>
        <v>1843374</v>
      </c>
      <c r="AK62" s="107">
        <f>+VLOOKUP($B62,datos9!$A$2:$BG$78,50,FALSE)</f>
        <v>631346</v>
      </c>
      <c r="AL62" s="107">
        <f>+VLOOKUP($B62,datos9!$A$2:$BG$78,51,FALSE)</f>
        <v>1434789</v>
      </c>
      <c r="AM62" s="107">
        <f>+VLOOKUP($B62,datos9!$A$2:$BG$78,52,FALSE)</f>
        <v>335022</v>
      </c>
      <c r="AN62" s="107">
        <f>+VLOOKUP($B62,datos9!$A$2:$BG$78,53,FALSE)</f>
        <v>1149079</v>
      </c>
      <c r="AO62" s="407">
        <f t="shared" si="20"/>
        <v>3550236</v>
      </c>
      <c r="AP62" s="107">
        <f>+VLOOKUP($B62,datos9!$A$2:$BG$78,56,FALSE)</f>
        <v>0</v>
      </c>
      <c r="AQ62" s="108">
        <f t="shared" si="21"/>
        <v>5999717</v>
      </c>
      <c r="AS62" s="109">
        <f t="shared" si="22"/>
        <v>14237717</v>
      </c>
      <c r="AW62" s="107">
        <f t="shared" si="23"/>
        <v>6006000</v>
      </c>
    </row>
    <row r="63" spans="2:49" x14ac:dyDescent="0.2">
      <c r="B63" s="17" t="s">
        <v>100</v>
      </c>
      <c r="C63" s="106"/>
      <c r="D63" s="107">
        <f>+VLOOKUP($B63,datos9!$A$2:$BG$78,14,FALSE)</f>
        <v>595182</v>
      </c>
      <c r="E63" s="107">
        <f>+VLOOKUP($B63,datos9!$A$2:$BG$78,15,FALSE)</f>
        <v>0</v>
      </c>
      <c r="F63" s="107">
        <f>+VLOOKUP($B63,datos9!$A$2:$BG$78,16,FALSE)</f>
        <v>0</v>
      </c>
      <c r="G63" s="385">
        <f t="shared" si="12"/>
        <v>595182</v>
      </c>
      <c r="H63" s="107">
        <f>+VLOOKUP($B63,datos9!$A$2:$BG$78,18,FALSE)</f>
        <v>79365</v>
      </c>
      <c r="I63" s="107">
        <f>+VLOOKUP($B63,datos9!$A$2:$BG$78,19,FALSE)</f>
        <v>275642</v>
      </c>
      <c r="J63" s="107">
        <f>+VLOOKUP($B63,datos9!$A$2:$BG$78,20,FALSE)</f>
        <v>0</v>
      </c>
      <c r="K63" s="107">
        <f>+VLOOKUP($B63,datos9!$A$2:$BG$78,21,FALSE)</f>
        <v>229188</v>
      </c>
      <c r="L63" s="385">
        <f t="shared" si="13"/>
        <v>584195</v>
      </c>
      <c r="M63" s="107">
        <f>+VLOOKUP($B63,datos9!$A$2:$BG$78,23,FALSE)</f>
        <v>380385</v>
      </c>
      <c r="N63" s="107">
        <f>+VLOOKUP($B63,datos9!$A$2:$BG$78,24,FALSE)</f>
        <v>0</v>
      </c>
      <c r="O63" s="107">
        <f>+VLOOKUP($B63,datos9!$A$2:$BG$78,25,FALSE)</f>
        <v>0</v>
      </c>
      <c r="P63" s="385">
        <f t="shared" si="14"/>
        <v>380385</v>
      </c>
      <c r="Q63" s="107">
        <f>+VLOOKUP($B63,datos9!$A$2:$BG$78,27,FALSE)</f>
        <v>0</v>
      </c>
      <c r="R63" s="107">
        <f>+VLOOKUP($B63,datos9!$A$2:$BG$78,28,FALSE)</f>
        <v>0</v>
      </c>
      <c r="S63" s="107">
        <f>+VLOOKUP($B63,datos9!$A$2:$BG$78,29,FALSE)</f>
        <v>0</v>
      </c>
      <c r="T63" s="107">
        <f>+VLOOKUP($B63,datos9!$A$2:$BG$78,30,FALSE)</f>
        <v>0</v>
      </c>
      <c r="U63" s="385">
        <f t="shared" si="15"/>
        <v>0</v>
      </c>
      <c r="V63" s="107">
        <f>+VLOOKUP($B63,datos9!$A$2:$BG$78,32,FALSE)</f>
        <v>21257</v>
      </c>
      <c r="W63" s="107">
        <f>+VLOOKUP($B63,datos9!$A$2:$BG$78,33,FALSE)</f>
        <v>542879</v>
      </c>
      <c r="X63" s="404">
        <f t="shared" si="16"/>
        <v>564136</v>
      </c>
      <c r="Y63" s="108">
        <f t="shared" si="17"/>
        <v>2123898</v>
      </c>
      <c r="Z63" s="107">
        <f>+VLOOKUP($B63,datos9!$A$2:$BG$78,36,FALSE)</f>
        <v>0</v>
      </c>
      <c r="AA63" s="107">
        <f>+VLOOKUP($B63,datos9!$A$2:$BG$78,37,FALSE)</f>
        <v>553201</v>
      </c>
      <c r="AB63" s="107">
        <f>+VLOOKUP($B63,datos9!$A$2:$BG$78,38,FALSE)</f>
        <v>0</v>
      </c>
      <c r="AC63" s="107">
        <f>+VLOOKUP($B63,datos9!$A$2:$BG$78,39,FALSE)</f>
        <v>0</v>
      </c>
      <c r="AD63" s="107">
        <f>+VLOOKUP($B63,datos9!$A$2:$BG$78,40,FALSE)</f>
        <v>0</v>
      </c>
      <c r="AE63" s="385">
        <f t="shared" si="18"/>
        <v>553201</v>
      </c>
      <c r="AF63" s="107">
        <f>+VLOOKUP($B63,datos9!$A$2:$BG$78,43,FALSE)</f>
        <v>5121147</v>
      </c>
      <c r="AG63" s="107">
        <f>+VLOOKUP($B63,datos9!$A$2:$BG$78,45,FALSE)</f>
        <v>1832943</v>
      </c>
      <c r="AH63" s="107">
        <f>+VLOOKUP($B63,datos9!$A$2:$BG$78,46,FALSE)</f>
        <v>0</v>
      </c>
      <c r="AI63" s="107">
        <f>+VLOOKUP($B63,datos9!$A$2:$BG$78,47,FALSE)</f>
        <v>0</v>
      </c>
      <c r="AJ63" s="385">
        <f t="shared" si="19"/>
        <v>6954090</v>
      </c>
      <c r="AK63" s="107">
        <f>+VLOOKUP($B63,datos9!$A$2:$BG$78,50,FALSE)</f>
        <v>999469</v>
      </c>
      <c r="AL63" s="107">
        <f>+VLOOKUP($B63,datos9!$A$2:$BG$78,51,FALSE)</f>
        <v>830000</v>
      </c>
      <c r="AM63" s="107">
        <f>+VLOOKUP($B63,datos9!$A$2:$BG$78,52,FALSE)</f>
        <v>112092</v>
      </c>
      <c r="AN63" s="107">
        <f>+VLOOKUP($B63,datos9!$A$2:$BG$78,53,FALSE)</f>
        <v>0</v>
      </c>
      <c r="AO63" s="407">
        <f t="shared" si="20"/>
        <v>1941561</v>
      </c>
      <c r="AP63" s="107">
        <f>+VLOOKUP($B63,datos9!$A$2:$BG$78,56,FALSE)</f>
        <v>0</v>
      </c>
      <c r="AQ63" s="108">
        <f t="shared" si="21"/>
        <v>9448852</v>
      </c>
      <c r="AS63" s="109">
        <f t="shared" si="22"/>
        <v>11572750</v>
      </c>
      <c r="AW63" s="107">
        <f t="shared" si="23"/>
        <v>595182</v>
      </c>
    </row>
    <row r="64" spans="2:49" x14ac:dyDescent="0.2">
      <c r="B64" s="17" t="s">
        <v>101</v>
      </c>
      <c r="C64" s="106"/>
      <c r="D64" s="107">
        <f>+VLOOKUP($B64,datos9!$A$2:$BG$78,14,FALSE)</f>
        <v>13833</v>
      </c>
      <c r="E64" s="107">
        <f>+VLOOKUP($B64,datos9!$A$2:$BG$78,15,FALSE)</f>
        <v>0</v>
      </c>
      <c r="F64" s="107">
        <f>+VLOOKUP($B64,datos9!$A$2:$BG$78,16,FALSE)</f>
        <v>0</v>
      </c>
      <c r="G64" s="385">
        <f t="shared" si="12"/>
        <v>13833</v>
      </c>
      <c r="H64" s="107">
        <f>+VLOOKUP($B64,datos9!$A$2:$BG$78,18,FALSE)</f>
        <v>0</v>
      </c>
      <c r="I64" s="107">
        <f>+VLOOKUP($B64,datos9!$A$2:$BG$78,19,FALSE)</f>
        <v>0</v>
      </c>
      <c r="J64" s="107">
        <f>+VLOOKUP($B64,datos9!$A$2:$BG$78,20,FALSE)</f>
        <v>0</v>
      </c>
      <c r="K64" s="107">
        <f>+VLOOKUP($B64,datos9!$A$2:$BG$78,21,FALSE)</f>
        <v>0</v>
      </c>
      <c r="L64" s="385">
        <f t="shared" si="13"/>
        <v>0</v>
      </c>
      <c r="M64" s="107">
        <f>+VLOOKUP($B64,datos9!$A$2:$BG$78,23,FALSE)</f>
        <v>0</v>
      </c>
      <c r="N64" s="107">
        <f>+VLOOKUP($B64,datos9!$A$2:$BG$78,24,FALSE)</f>
        <v>46400</v>
      </c>
      <c r="O64" s="107">
        <f>+VLOOKUP($B64,datos9!$A$2:$BG$78,25,FALSE)</f>
        <v>0</v>
      </c>
      <c r="P64" s="385">
        <f t="shared" si="14"/>
        <v>46400</v>
      </c>
      <c r="Q64" s="107">
        <f>+VLOOKUP($B64,datos9!$A$2:$BG$78,27,FALSE)</f>
        <v>0</v>
      </c>
      <c r="R64" s="107">
        <f>+VLOOKUP($B64,datos9!$A$2:$BG$78,28,FALSE)</f>
        <v>0</v>
      </c>
      <c r="S64" s="107">
        <f>+VLOOKUP($B64,datos9!$A$2:$BG$78,29,FALSE)</f>
        <v>0</v>
      </c>
      <c r="T64" s="107">
        <f>+VLOOKUP($B64,datos9!$A$2:$BG$78,30,FALSE)</f>
        <v>0</v>
      </c>
      <c r="U64" s="385">
        <f t="shared" si="15"/>
        <v>0</v>
      </c>
      <c r="V64" s="107">
        <f>+VLOOKUP($B64,datos9!$A$2:$BG$78,32,FALSE)</f>
        <v>0</v>
      </c>
      <c r="W64" s="107">
        <f>+VLOOKUP($B64,datos9!$A$2:$BG$78,33,FALSE)</f>
        <v>28500</v>
      </c>
      <c r="X64" s="404">
        <f t="shared" si="16"/>
        <v>28500</v>
      </c>
      <c r="Y64" s="108">
        <f t="shared" si="17"/>
        <v>88733</v>
      </c>
      <c r="Z64" s="107">
        <f>+VLOOKUP($B64,datos9!$A$2:$BG$78,36,FALSE)</f>
        <v>0</v>
      </c>
      <c r="AA64" s="107">
        <f>+VLOOKUP($B64,datos9!$A$2:$BG$78,37,FALSE)</f>
        <v>550000</v>
      </c>
      <c r="AB64" s="107">
        <f>+VLOOKUP($B64,datos9!$A$2:$BG$78,38,FALSE)</f>
        <v>0</v>
      </c>
      <c r="AC64" s="107">
        <f>+VLOOKUP($B64,datos9!$A$2:$BG$78,39,FALSE)</f>
        <v>0</v>
      </c>
      <c r="AD64" s="107">
        <f>+VLOOKUP($B64,datos9!$A$2:$BG$78,40,FALSE)</f>
        <v>0</v>
      </c>
      <c r="AE64" s="385">
        <f t="shared" si="18"/>
        <v>550000</v>
      </c>
      <c r="AF64" s="107">
        <f>+VLOOKUP($B64,datos9!$A$2:$BG$78,43,FALSE)</f>
        <v>966453</v>
      </c>
      <c r="AG64" s="107">
        <f>+VLOOKUP($B64,datos9!$A$2:$BG$78,45,FALSE)</f>
        <v>528561</v>
      </c>
      <c r="AH64" s="107">
        <f>+VLOOKUP($B64,datos9!$A$2:$BG$78,46,FALSE)</f>
        <v>0</v>
      </c>
      <c r="AI64" s="107">
        <f>+VLOOKUP($B64,datos9!$A$2:$BG$78,47,FALSE)</f>
        <v>0</v>
      </c>
      <c r="AJ64" s="385">
        <f t="shared" si="19"/>
        <v>1495014</v>
      </c>
      <c r="AK64" s="107">
        <f>+VLOOKUP($B64,datos9!$A$2:$BG$78,50,FALSE)</f>
        <v>0</v>
      </c>
      <c r="AL64" s="107">
        <f>+VLOOKUP($B64,datos9!$A$2:$BG$78,51,FALSE)</f>
        <v>250000</v>
      </c>
      <c r="AM64" s="107">
        <f>+VLOOKUP($B64,datos9!$A$2:$BG$78,52,FALSE)</f>
        <v>0</v>
      </c>
      <c r="AN64" s="107">
        <f>+VLOOKUP($B64,datos9!$A$2:$BG$78,53,FALSE)</f>
        <v>570057</v>
      </c>
      <c r="AO64" s="407">
        <f t="shared" si="20"/>
        <v>820057</v>
      </c>
      <c r="AP64" s="107">
        <f>+VLOOKUP($B64,datos9!$A$2:$BG$78,56,FALSE)</f>
        <v>0</v>
      </c>
      <c r="AQ64" s="108">
        <f t="shared" si="21"/>
        <v>2865071</v>
      </c>
      <c r="AS64" s="109">
        <f t="shared" si="22"/>
        <v>2953804</v>
      </c>
      <c r="AW64" s="107">
        <f t="shared" si="23"/>
        <v>13833</v>
      </c>
    </row>
    <row r="65" spans="2:49" x14ac:dyDescent="0.2">
      <c r="B65" s="17" t="s">
        <v>102</v>
      </c>
      <c r="C65" s="106"/>
      <c r="D65" s="107">
        <f>+VLOOKUP($B65,datos9!$A$2:$BG$78,14,FALSE)</f>
        <v>63812</v>
      </c>
      <c r="E65" s="107">
        <f>+VLOOKUP($B65,datos9!$A$2:$BG$78,15,FALSE)</f>
        <v>0</v>
      </c>
      <c r="F65" s="107">
        <f>+VLOOKUP($B65,datos9!$A$2:$BG$78,16,FALSE)</f>
        <v>0</v>
      </c>
      <c r="G65" s="385">
        <f t="shared" si="12"/>
        <v>63812</v>
      </c>
      <c r="H65" s="107">
        <f>+VLOOKUP($B65,datos9!$A$2:$BG$78,18,FALSE)</f>
        <v>0</v>
      </c>
      <c r="I65" s="107">
        <f>+VLOOKUP($B65,datos9!$A$2:$BG$78,19,FALSE)</f>
        <v>0</v>
      </c>
      <c r="J65" s="107">
        <f>+VLOOKUP($B65,datos9!$A$2:$BG$78,20,FALSE)</f>
        <v>22995</v>
      </c>
      <c r="K65" s="107">
        <f>+VLOOKUP($B65,datos9!$A$2:$BG$78,21,FALSE)</f>
        <v>0</v>
      </c>
      <c r="L65" s="385">
        <f t="shared" si="13"/>
        <v>22995</v>
      </c>
      <c r="M65" s="107">
        <f>+VLOOKUP($B65,datos9!$A$2:$BG$78,23,FALSE)</f>
        <v>0</v>
      </c>
      <c r="N65" s="107">
        <f>+VLOOKUP($B65,datos9!$A$2:$BG$78,24,FALSE)</f>
        <v>0</v>
      </c>
      <c r="O65" s="107">
        <f>+VLOOKUP($B65,datos9!$A$2:$BG$78,25,FALSE)</f>
        <v>0</v>
      </c>
      <c r="P65" s="385">
        <f t="shared" si="14"/>
        <v>0</v>
      </c>
      <c r="Q65" s="107">
        <f>+VLOOKUP($B65,datos9!$A$2:$BG$78,27,FALSE)</f>
        <v>0</v>
      </c>
      <c r="R65" s="107">
        <f>+VLOOKUP($B65,datos9!$A$2:$BG$78,28,FALSE)</f>
        <v>0</v>
      </c>
      <c r="S65" s="107">
        <f>+VLOOKUP($B65,datos9!$A$2:$BG$78,29,FALSE)</f>
        <v>0</v>
      </c>
      <c r="T65" s="107">
        <f>+VLOOKUP($B65,datos9!$A$2:$BG$78,30,FALSE)</f>
        <v>0</v>
      </c>
      <c r="U65" s="385">
        <f t="shared" si="15"/>
        <v>0</v>
      </c>
      <c r="V65" s="107">
        <f>+VLOOKUP($B65,datos9!$A$2:$BG$78,32,FALSE)</f>
        <v>15891</v>
      </c>
      <c r="W65" s="107">
        <f>+VLOOKUP($B65,datos9!$A$2:$BG$78,33,FALSE)</f>
        <v>0</v>
      </c>
      <c r="X65" s="404">
        <f t="shared" si="16"/>
        <v>15891</v>
      </c>
      <c r="Y65" s="108">
        <f t="shared" si="17"/>
        <v>102698</v>
      </c>
      <c r="Z65" s="107">
        <f>+VLOOKUP($B65,datos9!$A$2:$BG$78,36,FALSE)</f>
        <v>0</v>
      </c>
      <c r="AA65" s="107">
        <f>+VLOOKUP($B65,datos9!$A$2:$BG$78,37,FALSE)</f>
        <v>240106</v>
      </c>
      <c r="AB65" s="107">
        <f>+VLOOKUP($B65,datos9!$A$2:$BG$78,38,FALSE)</f>
        <v>0</v>
      </c>
      <c r="AC65" s="107">
        <f>+VLOOKUP($B65,datos9!$A$2:$BG$78,39,FALSE)</f>
        <v>73500</v>
      </c>
      <c r="AD65" s="107">
        <f>+VLOOKUP($B65,datos9!$A$2:$BG$78,40,FALSE)</f>
        <v>0</v>
      </c>
      <c r="AE65" s="385">
        <f t="shared" si="18"/>
        <v>313606</v>
      </c>
      <c r="AF65" s="107">
        <f>+VLOOKUP($B65,datos9!$A$2:$BG$78,43,FALSE)</f>
        <v>1621225</v>
      </c>
      <c r="AG65" s="107">
        <f>+VLOOKUP($B65,datos9!$A$2:$BG$78,45,FALSE)</f>
        <v>249931</v>
      </c>
      <c r="AH65" s="107">
        <f>+VLOOKUP($B65,datos9!$A$2:$BG$78,46,FALSE)</f>
        <v>0</v>
      </c>
      <c r="AI65" s="107">
        <f>+VLOOKUP($B65,datos9!$A$2:$BG$78,47,FALSE)</f>
        <v>0</v>
      </c>
      <c r="AJ65" s="385">
        <f t="shared" si="19"/>
        <v>1871156</v>
      </c>
      <c r="AK65" s="107">
        <f>+VLOOKUP($B65,datos9!$A$2:$BG$78,50,FALSE)</f>
        <v>0</v>
      </c>
      <c r="AL65" s="107">
        <f>+VLOOKUP($B65,datos9!$A$2:$BG$78,51,FALSE)</f>
        <v>0</v>
      </c>
      <c r="AM65" s="107">
        <f>+VLOOKUP($B65,datos9!$A$2:$BG$78,52,FALSE)</f>
        <v>0</v>
      </c>
      <c r="AN65" s="107">
        <f>+VLOOKUP($B65,datos9!$A$2:$BG$78,53,FALSE)</f>
        <v>0</v>
      </c>
      <c r="AO65" s="407">
        <f t="shared" si="20"/>
        <v>0</v>
      </c>
      <c r="AP65" s="107">
        <f>+VLOOKUP($B65,datos9!$A$2:$BG$78,56,FALSE)</f>
        <v>0</v>
      </c>
      <c r="AQ65" s="108">
        <f t="shared" si="21"/>
        <v>2184762</v>
      </c>
      <c r="AS65" s="109">
        <f t="shared" si="22"/>
        <v>2287460</v>
      </c>
      <c r="AW65" s="107">
        <f t="shared" si="23"/>
        <v>63812</v>
      </c>
    </row>
    <row r="66" spans="2:49" x14ac:dyDescent="0.2">
      <c r="B66" s="17" t="s">
        <v>103</v>
      </c>
      <c r="C66" s="106"/>
      <c r="D66" s="107">
        <f>+VLOOKUP($B66,datos9!$A$2:$BG$78,14,FALSE)</f>
        <v>88968</v>
      </c>
      <c r="E66" s="107">
        <f>+VLOOKUP($B66,datos9!$A$2:$BG$78,15,FALSE)</f>
        <v>0</v>
      </c>
      <c r="F66" s="107">
        <f>+VLOOKUP($B66,datos9!$A$2:$BG$78,16,FALSE)</f>
        <v>0</v>
      </c>
      <c r="G66" s="385">
        <f t="shared" si="12"/>
        <v>88968</v>
      </c>
      <c r="H66" s="107">
        <f>+VLOOKUP($B66,datos9!$A$2:$BG$78,18,FALSE)</f>
        <v>0</v>
      </c>
      <c r="I66" s="107">
        <f>+VLOOKUP($B66,datos9!$A$2:$BG$78,19,FALSE)</f>
        <v>0</v>
      </c>
      <c r="J66" s="107">
        <f>+VLOOKUP($B66,datos9!$A$2:$BG$78,20,FALSE)</f>
        <v>0</v>
      </c>
      <c r="K66" s="107">
        <f>+VLOOKUP($B66,datos9!$A$2:$BG$78,21,FALSE)</f>
        <v>0</v>
      </c>
      <c r="L66" s="385">
        <f t="shared" si="13"/>
        <v>0</v>
      </c>
      <c r="M66" s="107">
        <f>+VLOOKUP($B66,datos9!$A$2:$BG$78,23,FALSE)</f>
        <v>4900</v>
      </c>
      <c r="N66" s="107">
        <f>+VLOOKUP($B66,datos9!$A$2:$BG$78,24,FALSE)</f>
        <v>0</v>
      </c>
      <c r="O66" s="107">
        <f>+VLOOKUP($B66,datos9!$A$2:$BG$78,25,FALSE)</f>
        <v>0</v>
      </c>
      <c r="P66" s="385">
        <f t="shared" si="14"/>
        <v>4900</v>
      </c>
      <c r="Q66" s="107">
        <f>+VLOOKUP($B66,datos9!$A$2:$BG$78,27,FALSE)</f>
        <v>0</v>
      </c>
      <c r="R66" s="107">
        <f>+VLOOKUP($B66,datos9!$A$2:$BG$78,28,FALSE)</f>
        <v>0</v>
      </c>
      <c r="S66" s="107">
        <f>+VLOOKUP($B66,datos9!$A$2:$BG$78,29,FALSE)</f>
        <v>0</v>
      </c>
      <c r="T66" s="107">
        <f>+VLOOKUP($B66,datos9!$A$2:$BG$78,30,FALSE)</f>
        <v>0</v>
      </c>
      <c r="U66" s="385">
        <f t="shared" si="15"/>
        <v>0</v>
      </c>
      <c r="V66" s="107">
        <f>+VLOOKUP($B66,datos9!$A$2:$BG$78,32,FALSE)</f>
        <v>10613</v>
      </c>
      <c r="W66" s="107">
        <f>+VLOOKUP($B66,datos9!$A$2:$BG$78,33,FALSE)</f>
        <v>0</v>
      </c>
      <c r="X66" s="404">
        <f t="shared" si="16"/>
        <v>10613</v>
      </c>
      <c r="Y66" s="108">
        <f t="shared" si="17"/>
        <v>104481</v>
      </c>
      <c r="Z66" s="107">
        <f>+VLOOKUP($B66,datos9!$A$2:$BG$78,36,FALSE)</f>
        <v>0</v>
      </c>
      <c r="AA66" s="107">
        <f>+VLOOKUP($B66,datos9!$A$2:$BG$78,37,FALSE)</f>
        <v>0</v>
      </c>
      <c r="AB66" s="107">
        <f>+VLOOKUP($B66,datos9!$A$2:$BG$78,38,FALSE)</f>
        <v>0</v>
      </c>
      <c r="AC66" s="107">
        <f>+VLOOKUP($B66,datos9!$A$2:$BG$78,39,FALSE)</f>
        <v>0</v>
      </c>
      <c r="AD66" s="107">
        <f>+VLOOKUP($B66,datos9!$A$2:$BG$78,40,FALSE)</f>
        <v>0</v>
      </c>
      <c r="AE66" s="385">
        <f t="shared" si="18"/>
        <v>0</v>
      </c>
      <c r="AF66" s="107">
        <f>+VLOOKUP($B66,datos9!$A$2:$BG$78,43,FALSE)</f>
        <v>2014236</v>
      </c>
      <c r="AG66" s="107">
        <f>+VLOOKUP($B66,datos9!$A$2:$BG$78,45,FALSE)</f>
        <v>320127</v>
      </c>
      <c r="AH66" s="107">
        <f>+VLOOKUP($B66,datos9!$A$2:$BG$78,46,FALSE)</f>
        <v>0</v>
      </c>
      <c r="AI66" s="107">
        <f>+VLOOKUP($B66,datos9!$A$2:$BG$78,47,FALSE)</f>
        <v>0</v>
      </c>
      <c r="AJ66" s="385">
        <f t="shared" si="19"/>
        <v>2334363</v>
      </c>
      <c r="AK66" s="107">
        <f>+VLOOKUP($B66,datos9!$A$2:$BG$78,50,FALSE)</f>
        <v>1247448</v>
      </c>
      <c r="AL66" s="107">
        <f>+VLOOKUP($B66,datos9!$A$2:$BG$78,51,FALSE)</f>
        <v>0</v>
      </c>
      <c r="AM66" s="107">
        <f>+VLOOKUP($B66,datos9!$A$2:$BG$78,52,FALSE)</f>
        <v>204080</v>
      </c>
      <c r="AN66" s="107">
        <f>+VLOOKUP($B66,datos9!$A$2:$BG$78,53,FALSE)</f>
        <v>0</v>
      </c>
      <c r="AO66" s="407">
        <f t="shared" si="20"/>
        <v>1451528</v>
      </c>
      <c r="AP66" s="107">
        <f>+VLOOKUP($B66,datos9!$A$2:$BG$78,56,FALSE)</f>
        <v>0</v>
      </c>
      <c r="AQ66" s="108">
        <f t="shared" si="21"/>
        <v>3785891</v>
      </c>
      <c r="AS66" s="109">
        <f t="shared" si="22"/>
        <v>3890372</v>
      </c>
      <c r="AW66" s="107">
        <f t="shared" si="23"/>
        <v>88968</v>
      </c>
    </row>
    <row r="67" spans="2:49" x14ac:dyDescent="0.2">
      <c r="B67" s="17" t="s">
        <v>104</v>
      </c>
      <c r="C67" s="106"/>
      <c r="D67" s="107">
        <f>+VLOOKUP($B67,datos9!$A$2:$BG$78,14,FALSE)</f>
        <v>75551</v>
      </c>
      <c r="E67" s="107">
        <f>+VLOOKUP($B67,datos9!$A$2:$BG$78,15,FALSE)</f>
        <v>0</v>
      </c>
      <c r="F67" s="107">
        <f>+VLOOKUP($B67,datos9!$A$2:$BG$78,16,FALSE)</f>
        <v>0</v>
      </c>
      <c r="G67" s="385">
        <f t="shared" si="12"/>
        <v>75551</v>
      </c>
      <c r="H67" s="107">
        <f>+VLOOKUP($B67,datos9!$A$2:$BG$78,18,FALSE)</f>
        <v>51340</v>
      </c>
      <c r="I67" s="107">
        <f>+VLOOKUP($B67,datos9!$A$2:$BG$78,19,FALSE)</f>
        <v>0</v>
      </c>
      <c r="J67" s="107">
        <f>+VLOOKUP($B67,datos9!$A$2:$BG$78,20,FALSE)</f>
        <v>0</v>
      </c>
      <c r="K67" s="107">
        <f>+VLOOKUP($B67,datos9!$A$2:$BG$78,21,FALSE)</f>
        <v>66275</v>
      </c>
      <c r="L67" s="385">
        <f t="shared" si="13"/>
        <v>117615</v>
      </c>
      <c r="M67" s="107">
        <f>+VLOOKUP($B67,datos9!$A$2:$BG$78,23,FALSE)</f>
        <v>0</v>
      </c>
      <c r="N67" s="107">
        <f>+VLOOKUP($B67,datos9!$A$2:$BG$78,24,FALSE)</f>
        <v>0</v>
      </c>
      <c r="O67" s="107">
        <f>+VLOOKUP($B67,datos9!$A$2:$BG$78,25,FALSE)</f>
        <v>0</v>
      </c>
      <c r="P67" s="385">
        <f t="shared" si="14"/>
        <v>0</v>
      </c>
      <c r="Q67" s="107">
        <f>+VLOOKUP($B67,datos9!$A$2:$BG$78,27,FALSE)</f>
        <v>0</v>
      </c>
      <c r="R67" s="107">
        <f>+VLOOKUP($B67,datos9!$A$2:$BG$78,28,FALSE)</f>
        <v>0</v>
      </c>
      <c r="S67" s="107">
        <f>+VLOOKUP($B67,datos9!$A$2:$BG$78,29,FALSE)</f>
        <v>0</v>
      </c>
      <c r="T67" s="107">
        <f>+VLOOKUP($B67,datos9!$A$2:$BG$78,30,FALSE)</f>
        <v>0</v>
      </c>
      <c r="U67" s="385">
        <f t="shared" si="15"/>
        <v>0</v>
      </c>
      <c r="V67" s="107">
        <f>+VLOOKUP($B67,datos9!$A$2:$BG$78,32,FALSE)</f>
        <v>1720</v>
      </c>
      <c r="W67" s="107">
        <f>+VLOOKUP($B67,datos9!$A$2:$BG$78,33,FALSE)</f>
        <v>0</v>
      </c>
      <c r="X67" s="404">
        <f t="shared" si="16"/>
        <v>1720</v>
      </c>
      <c r="Y67" s="108">
        <f t="shared" si="17"/>
        <v>194886</v>
      </c>
      <c r="Z67" s="107">
        <f>+VLOOKUP($B67,datos9!$A$2:$BG$78,36,FALSE)</f>
        <v>0</v>
      </c>
      <c r="AA67" s="107">
        <f>+VLOOKUP($B67,datos9!$A$2:$BG$78,37,FALSE)</f>
        <v>0</v>
      </c>
      <c r="AB67" s="107">
        <f>+VLOOKUP($B67,datos9!$A$2:$BG$78,38,FALSE)</f>
        <v>0</v>
      </c>
      <c r="AC67" s="107">
        <f>+VLOOKUP($B67,datos9!$A$2:$BG$78,39,FALSE)</f>
        <v>0</v>
      </c>
      <c r="AD67" s="107">
        <f>+VLOOKUP($B67,datos9!$A$2:$BG$78,40,FALSE)</f>
        <v>0</v>
      </c>
      <c r="AE67" s="385">
        <f t="shared" si="18"/>
        <v>0</v>
      </c>
      <c r="AF67" s="107">
        <f>+VLOOKUP($B67,datos9!$A$2:$BG$78,43,FALSE)</f>
        <v>0</v>
      </c>
      <c r="AG67" s="107">
        <f>+VLOOKUP($B67,datos9!$A$2:$BG$78,45,FALSE)</f>
        <v>0</v>
      </c>
      <c r="AH67" s="107">
        <f>+VLOOKUP($B67,datos9!$A$2:$BG$78,46,FALSE)</f>
        <v>0</v>
      </c>
      <c r="AI67" s="107">
        <f>+VLOOKUP($B67,datos9!$A$2:$BG$78,47,FALSE)</f>
        <v>0</v>
      </c>
      <c r="AJ67" s="385">
        <f t="shared" si="19"/>
        <v>0</v>
      </c>
      <c r="AK67" s="107">
        <f>+VLOOKUP($B67,datos9!$A$2:$BG$78,50,FALSE)</f>
        <v>0</v>
      </c>
      <c r="AL67" s="107">
        <f>+VLOOKUP($B67,datos9!$A$2:$BG$78,51,FALSE)</f>
        <v>0</v>
      </c>
      <c r="AM67" s="107">
        <f>+VLOOKUP($B67,datos9!$A$2:$BG$78,52,FALSE)</f>
        <v>0</v>
      </c>
      <c r="AN67" s="107">
        <f>+VLOOKUP($B67,datos9!$A$2:$BG$78,53,FALSE)</f>
        <v>0</v>
      </c>
      <c r="AO67" s="407">
        <f t="shared" si="20"/>
        <v>0</v>
      </c>
      <c r="AP67" s="107">
        <f>+VLOOKUP($B67,datos9!$A$2:$BG$78,56,FALSE)</f>
        <v>0</v>
      </c>
      <c r="AQ67" s="108">
        <f t="shared" si="21"/>
        <v>0</v>
      </c>
      <c r="AS67" s="109">
        <f t="shared" si="22"/>
        <v>194886</v>
      </c>
      <c r="AW67" s="107">
        <f t="shared" si="23"/>
        <v>75551</v>
      </c>
    </row>
    <row r="68" spans="2:49" x14ac:dyDescent="0.2">
      <c r="B68" s="17" t="s">
        <v>105</v>
      </c>
      <c r="C68" s="106"/>
      <c r="D68" s="107">
        <f>+VLOOKUP($B68,datos9!$A$2:$BG$78,14,FALSE)</f>
        <v>168786</v>
      </c>
      <c r="E68" s="107">
        <f>+VLOOKUP($B68,datos9!$A$2:$BG$78,15,FALSE)</f>
        <v>0</v>
      </c>
      <c r="F68" s="107">
        <f>+VLOOKUP($B68,datos9!$A$2:$BG$78,16,FALSE)</f>
        <v>0</v>
      </c>
      <c r="G68" s="385">
        <f t="shared" si="12"/>
        <v>168786</v>
      </c>
      <c r="H68" s="107">
        <f>+VLOOKUP($B68,datos9!$A$2:$BG$78,18,FALSE)</f>
        <v>596</v>
      </c>
      <c r="I68" s="107">
        <f>+VLOOKUP($B68,datos9!$A$2:$BG$78,19,FALSE)</f>
        <v>0</v>
      </c>
      <c r="J68" s="107">
        <f>+VLOOKUP($B68,datos9!$A$2:$BG$78,20,FALSE)</f>
        <v>955</v>
      </c>
      <c r="K68" s="107">
        <f>+VLOOKUP($B68,datos9!$A$2:$BG$78,21,FALSE)</f>
        <v>19257</v>
      </c>
      <c r="L68" s="385">
        <f t="shared" si="13"/>
        <v>20808</v>
      </c>
      <c r="M68" s="107">
        <f>+VLOOKUP($B68,datos9!$A$2:$BG$78,23,FALSE)</f>
        <v>703945</v>
      </c>
      <c r="N68" s="107">
        <f>+VLOOKUP($B68,datos9!$A$2:$BG$78,24,FALSE)</f>
        <v>39200</v>
      </c>
      <c r="O68" s="107">
        <f>+VLOOKUP($B68,datos9!$A$2:$BG$78,25,FALSE)</f>
        <v>0</v>
      </c>
      <c r="P68" s="385">
        <f t="shared" si="14"/>
        <v>743145</v>
      </c>
      <c r="Q68" s="107">
        <f>+VLOOKUP($B68,datos9!$A$2:$BG$78,27,FALSE)</f>
        <v>0</v>
      </c>
      <c r="R68" s="107">
        <f>+VLOOKUP($B68,datos9!$A$2:$BG$78,28,FALSE)</f>
        <v>518</v>
      </c>
      <c r="S68" s="107">
        <f>+VLOOKUP($B68,datos9!$A$2:$BG$78,29,FALSE)</f>
        <v>0</v>
      </c>
      <c r="T68" s="107">
        <f>+VLOOKUP($B68,datos9!$A$2:$BG$78,30,FALSE)</f>
        <v>0</v>
      </c>
      <c r="U68" s="385">
        <f t="shared" si="15"/>
        <v>518</v>
      </c>
      <c r="V68" s="107">
        <f>+VLOOKUP($B68,datos9!$A$2:$BG$78,32,FALSE)</f>
        <v>66337</v>
      </c>
      <c r="W68" s="107">
        <f>+VLOOKUP($B68,datos9!$A$2:$BG$78,33,FALSE)</f>
        <v>7519</v>
      </c>
      <c r="X68" s="404">
        <f t="shared" si="16"/>
        <v>73856</v>
      </c>
      <c r="Y68" s="108">
        <f t="shared" si="17"/>
        <v>1007113</v>
      </c>
      <c r="Z68" s="107">
        <f>+VLOOKUP($B68,datos9!$A$2:$BG$78,36,FALSE)</f>
        <v>0</v>
      </c>
      <c r="AA68" s="107">
        <f>+VLOOKUP($B68,datos9!$A$2:$BG$78,37,FALSE)</f>
        <v>0</v>
      </c>
      <c r="AB68" s="107">
        <f>+VLOOKUP($B68,datos9!$A$2:$BG$78,38,FALSE)</f>
        <v>0</v>
      </c>
      <c r="AC68" s="107">
        <f>+VLOOKUP($B68,datos9!$A$2:$BG$78,39,FALSE)</f>
        <v>8000</v>
      </c>
      <c r="AD68" s="107">
        <f>+VLOOKUP($B68,datos9!$A$2:$BG$78,40,FALSE)</f>
        <v>0</v>
      </c>
      <c r="AE68" s="385">
        <f t="shared" si="18"/>
        <v>8000</v>
      </c>
      <c r="AF68" s="107">
        <f>+VLOOKUP($B68,datos9!$A$2:$BG$78,43,FALSE)</f>
        <v>189294</v>
      </c>
      <c r="AG68" s="107">
        <f>+VLOOKUP($B68,datos9!$A$2:$BG$78,45,FALSE)</f>
        <v>150553</v>
      </c>
      <c r="AH68" s="107">
        <f>+VLOOKUP($B68,datos9!$A$2:$BG$78,46,FALSE)</f>
        <v>0</v>
      </c>
      <c r="AI68" s="107">
        <f>+VLOOKUP($B68,datos9!$A$2:$BG$78,47,FALSE)</f>
        <v>0</v>
      </c>
      <c r="AJ68" s="385">
        <f t="shared" si="19"/>
        <v>339847</v>
      </c>
      <c r="AK68" s="107">
        <f>+VLOOKUP($B68,datos9!$A$2:$BG$78,50,FALSE)</f>
        <v>0</v>
      </c>
      <c r="AL68" s="107">
        <f>+VLOOKUP($B68,datos9!$A$2:$BG$78,51,FALSE)</f>
        <v>0</v>
      </c>
      <c r="AM68" s="107">
        <f>+VLOOKUP($B68,datos9!$A$2:$BG$78,52,FALSE)</f>
        <v>0</v>
      </c>
      <c r="AN68" s="107">
        <f>+VLOOKUP($B68,datos9!$A$2:$BG$78,53,FALSE)</f>
        <v>338759</v>
      </c>
      <c r="AO68" s="407">
        <f t="shared" si="20"/>
        <v>338759</v>
      </c>
      <c r="AP68" s="107">
        <f>+VLOOKUP($B68,datos9!$A$2:$BG$78,56,FALSE)</f>
        <v>0</v>
      </c>
      <c r="AQ68" s="108">
        <f t="shared" si="21"/>
        <v>686606</v>
      </c>
      <c r="AS68" s="109">
        <f t="shared" si="22"/>
        <v>1693719</v>
      </c>
      <c r="AW68" s="107">
        <f t="shared" si="23"/>
        <v>168786</v>
      </c>
    </row>
    <row r="69" spans="2:49" x14ac:dyDescent="0.2">
      <c r="B69" s="17" t="s">
        <v>106</v>
      </c>
      <c r="C69" s="106"/>
      <c r="D69" s="107">
        <f>+VLOOKUP($B69,datos9!$A$2:$BG$78,14,FALSE)</f>
        <v>31390639</v>
      </c>
      <c r="E69" s="107">
        <f>+VLOOKUP($B69,datos9!$A$2:$BG$78,15,FALSE)</f>
        <v>0</v>
      </c>
      <c r="F69" s="107">
        <f>+VLOOKUP($B69,datos9!$A$2:$BG$78,16,FALSE)</f>
        <v>423078</v>
      </c>
      <c r="G69" s="385">
        <f t="shared" si="12"/>
        <v>31813717</v>
      </c>
      <c r="H69" s="107">
        <f>+VLOOKUP($B69,datos9!$A$2:$BG$78,18,FALSE)</f>
        <v>1137932</v>
      </c>
      <c r="I69" s="107">
        <f>+VLOOKUP($B69,datos9!$A$2:$BG$78,19,FALSE)</f>
        <v>2719055</v>
      </c>
      <c r="J69" s="107">
        <f>+VLOOKUP($B69,datos9!$A$2:$BG$78,20,FALSE)</f>
        <v>0</v>
      </c>
      <c r="K69" s="107">
        <f>+VLOOKUP($B69,datos9!$A$2:$BG$78,21,FALSE)</f>
        <v>5780312</v>
      </c>
      <c r="L69" s="385">
        <f t="shared" si="13"/>
        <v>9637299</v>
      </c>
      <c r="M69" s="107">
        <f>+VLOOKUP($B69,datos9!$A$2:$BG$78,23,FALSE)</f>
        <v>1686055</v>
      </c>
      <c r="N69" s="107">
        <f>+VLOOKUP($B69,datos9!$A$2:$BG$78,24,FALSE)</f>
        <v>943161</v>
      </c>
      <c r="O69" s="107">
        <f>+VLOOKUP($B69,datos9!$A$2:$BG$78,25,FALSE)</f>
        <v>191734</v>
      </c>
      <c r="P69" s="385">
        <f t="shared" si="14"/>
        <v>2820950</v>
      </c>
      <c r="Q69" s="107">
        <f>+VLOOKUP($B69,datos9!$A$2:$BG$78,27,FALSE)</f>
        <v>5836585</v>
      </c>
      <c r="R69" s="107">
        <f>+VLOOKUP($B69,datos9!$A$2:$BG$78,28,FALSE)</f>
        <v>9339</v>
      </c>
      <c r="S69" s="107">
        <f>+VLOOKUP($B69,datos9!$A$2:$BG$78,29,FALSE)</f>
        <v>50352</v>
      </c>
      <c r="T69" s="107">
        <f>+VLOOKUP($B69,datos9!$A$2:$BG$78,30,FALSE)</f>
        <v>388430</v>
      </c>
      <c r="U69" s="385">
        <f t="shared" si="15"/>
        <v>6284706</v>
      </c>
      <c r="V69" s="107">
        <f>+VLOOKUP($B69,datos9!$A$2:$BG$78,32,FALSE)</f>
        <v>220921</v>
      </c>
      <c r="W69" s="107">
        <f>+VLOOKUP($B69,datos9!$A$2:$BG$78,33,FALSE)</f>
        <v>24786590</v>
      </c>
      <c r="X69" s="404">
        <f t="shared" si="16"/>
        <v>25007511</v>
      </c>
      <c r="Y69" s="108">
        <f t="shared" si="17"/>
        <v>75564183</v>
      </c>
      <c r="Z69" s="107">
        <f>+VLOOKUP($B69,datos9!$A$2:$BG$78,36,FALSE)</f>
        <v>0</v>
      </c>
      <c r="AA69" s="107">
        <f>+VLOOKUP($B69,datos9!$A$2:$BG$78,37,FALSE)</f>
        <v>166547</v>
      </c>
      <c r="AB69" s="107">
        <f>+VLOOKUP($B69,datos9!$A$2:$BG$78,38,FALSE)</f>
        <v>0</v>
      </c>
      <c r="AC69" s="107">
        <f>+VLOOKUP($B69,datos9!$A$2:$BG$78,39,FALSE)</f>
        <v>0</v>
      </c>
      <c r="AD69" s="107">
        <f>+VLOOKUP($B69,datos9!$A$2:$BG$78,40,FALSE)</f>
        <v>0</v>
      </c>
      <c r="AE69" s="385">
        <f t="shared" si="18"/>
        <v>166547</v>
      </c>
      <c r="AF69" s="107">
        <f>+VLOOKUP($B69,datos9!$A$2:$BG$78,43,FALSE)</f>
        <v>1136403</v>
      </c>
      <c r="AG69" s="107">
        <f>+VLOOKUP($B69,datos9!$A$2:$BG$78,45,FALSE)</f>
        <v>645441</v>
      </c>
      <c r="AH69" s="107">
        <f>+VLOOKUP($B69,datos9!$A$2:$BG$78,46,FALSE)</f>
        <v>0</v>
      </c>
      <c r="AI69" s="107">
        <f>+VLOOKUP($B69,datos9!$A$2:$BG$78,47,FALSE)</f>
        <v>44658</v>
      </c>
      <c r="AJ69" s="385">
        <f t="shared" si="19"/>
        <v>1826502</v>
      </c>
      <c r="AK69" s="107">
        <f>+VLOOKUP($B69,datos9!$A$2:$BG$78,50,FALSE)</f>
        <v>16156958</v>
      </c>
      <c r="AL69" s="107">
        <f>+VLOOKUP($B69,datos9!$A$2:$BG$78,51,FALSE)</f>
        <v>21100234</v>
      </c>
      <c r="AM69" s="107">
        <f>+VLOOKUP($B69,datos9!$A$2:$BG$78,52,FALSE)</f>
        <v>8964103</v>
      </c>
      <c r="AN69" s="107">
        <f>+VLOOKUP($B69,datos9!$A$2:$BG$78,53,FALSE)</f>
        <v>0</v>
      </c>
      <c r="AO69" s="407">
        <f t="shared" si="20"/>
        <v>46221295</v>
      </c>
      <c r="AP69" s="107">
        <f>+VLOOKUP($B69,datos9!$A$2:$BG$78,56,FALSE)</f>
        <v>0</v>
      </c>
      <c r="AQ69" s="108">
        <f t="shared" si="21"/>
        <v>48214344</v>
      </c>
      <c r="AS69" s="109">
        <f t="shared" si="22"/>
        <v>123778527</v>
      </c>
      <c r="AW69" s="107">
        <f t="shared" si="23"/>
        <v>31813717</v>
      </c>
    </row>
    <row r="70" spans="2:49" x14ac:dyDescent="0.2">
      <c r="B70" s="17" t="s">
        <v>107</v>
      </c>
      <c r="C70" s="106"/>
      <c r="D70" s="107">
        <f>+VLOOKUP($B70,datos9!$A$2:$BG$78,14,FALSE)</f>
        <v>6262</v>
      </c>
      <c r="E70" s="107">
        <f>+VLOOKUP($B70,datos9!$A$2:$BG$78,15,FALSE)</f>
        <v>0</v>
      </c>
      <c r="F70" s="107">
        <f>+VLOOKUP($B70,datos9!$A$2:$BG$78,16,FALSE)</f>
        <v>0</v>
      </c>
      <c r="G70" s="385">
        <f t="shared" si="12"/>
        <v>6262</v>
      </c>
      <c r="H70" s="107">
        <f>+VLOOKUP($B70,datos9!$A$2:$BG$78,18,FALSE)</f>
        <v>0</v>
      </c>
      <c r="I70" s="107">
        <f>+VLOOKUP($B70,datos9!$A$2:$BG$78,19,FALSE)</f>
        <v>0</v>
      </c>
      <c r="J70" s="107">
        <f>+VLOOKUP($B70,datos9!$A$2:$BG$78,20,FALSE)</f>
        <v>0</v>
      </c>
      <c r="K70" s="107">
        <f>+VLOOKUP($B70,datos9!$A$2:$BG$78,21,FALSE)</f>
        <v>8030</v>
      </c>
      <c r="L70" s="385">
        <f t="shared" si="13"/>
        <v>8030</v>
      </c>
      <c r="M70" s="107">
        <f>+VLOOKUP($B70,datos9!$A$2:$BG$78,23,FALSE)</f>
        <v>0</v>
      </c>
      <c r="N70" s="107">
        <f>+VLOOKUP($B70,datos9!$A$2:$BG$78,24,FALSE)</f>
        <v>0</v>
      </c>
      <c r="O70" s="107">
        <f>+VLOOKUP($B70,datos9!$A$2:$BG$78,25,FALSE)</f>
        <v>0</v>
      </c>
      <c r="P70" s="385">
        <f t="shared" si="14"/>
        <v>0</v>
      </c>
      <c r="Q70" s="107">
        <f>+VLOOKUP($B70,datos9!$A$2:$BG$78,27,FALSE)</f>
        <v>0</v>
      </c>
      <c r="R70" s="107">
        <f>+VLOOKUP($B70,datos9!$A$2:$BG$78,28,FALSE)</f>
        <v>0</v>
      </c>
      <c r="S70" s="107">
        <f>+VLOOKUP($B70,datos9!$A$2:$BG$78,29,FALSE)</f>
        <v>4642</v>
      </c>
      <c r="T70" s="107">
        <f>+VLOOKUP($B70,datos9!$A$2:$BG$78,30,FALSE)</f>
        <v>0</v>
      </c>
      <c r="U70" s="385">
        <f t="shared" si="15"/>
        <v>4642</v>
      </c>
      <c r="V70" s="107">
        <f>+VLOOKUP($B70,datos9!$A$2:$BG$78,32,FALSE)</f>
        <v>16444</v>
      </c>
      <c r="W70" s="107">
        <f>+VLOOKUP($B70,datos9!$A$2:$BG$78,33,FALSE)</f>
        <v>0</v>
      </c>
      <c r="X70" s="404">
        <f t="shared" si="16"/>
        <v>16444</v>
      </c>
      <c r="Y70" s="108">
        <f t="shared" si="17"/>
        <v>35378</v>
      </c>
      <c r="Z70" s="107">
        <f>+VLOOKUP($B70,datos9!$A$2:$BG$78,36,FALSE)</f>
        <v>0</v>
      </c>
      <c r="AA70" s="107">
        <f>+VLOOKUP($B70,datos9!$A$2:$BG$78,37,FALSE)</f>
        <v>0</v>
      </c>
      <c r="AB70" s="107">
        <f>+VLOOKUP($B70,datos9!$A$2:$BG$78,38,FALSE)</f>
        <v>0</v>
      </c>
      <c r="AC70" s="107">
        <f>+VLOOKUP($B70,datos9!$A$2:$BG$78,39,FALSE)</f>
        <v>0</v>
      </c>
      <c r="AD70" s="107">
        <f>+VLOOKUP($B70,datos9!$A$2:$BG$78,40,FALSE)</f>
        <v>0</v>
      </c>
      <c r="AE70" s="385">
        <f t="shared" si="18"/>
        <v>0</v>
      </c>
      <c r="AF70" s="107">
        <f>+VLOOKUP($B70,datos9!$A$2:$BG$78,43,FALSE)</f>
        <v>2432150</v>
      </c>
      <c r="AG70" s="107">
        <f>+VLOOKUP($B70,datos9!$A$2:$BG$78,45,FALSE)</f>
        <v>644162</v>
      </c>
      <c r="AH70" s="107">
        <f>+VLOOKUP($B70,datos9!$A$2:$BG$78,46,FALSE)</f>
        <v>0</v>
      </c>
      <c r="AI70" s="107">
        <f>+VLOOKUP($B70,datos9!$A$2:$BG$78,47,FALSE)</f>
        <v>59975</v>
      </c>
      <c r="AJ70" s="385">
        <f t="shared" si="19"/>
        <v>3136287</v>
      </c>
      <c r="AK70" s="107">
        <f>+VLOOKUP($B70,datos9!$A$2:$BG$78,50,FALSE)</f>
        <v>0</v>
      </c>
      <c r="AL70" s="107">
        <f>+VLOOKUP($B70,datos9!$A$2:$BG$78,51,FALSE)</f>
        <v>0</v>
      </c>
      <c r="AM70" s="107">
        <f>+VLOOKUP($B70,datos9!$A$2:$BG$78,52,FALSE)</f>
        <v>0</v>
      </c>
      <c r="AN70" s="107">
        <f>+VLOOKUP($B70,datos9!$A$2:$BG$78,53,FALSE)</f>
        <v>0</v>
      </c>
      <c r="AO70" s="407">
        <f t="shared" si="20"/>
        <v>0</v>
      </c>
      <c r="AP70" s="107">
        <f>+VLOOKUP($B70,datos9!$A$2:$BG$78,56,FALSE)</f>
        <v>0</v>
      </c>
      <c r="AQ70" s="108">
        <f t="shared" si="21"/>
        <v>3136287</v>
      </c>
      <c r="AS70" s="109">
        <f t="shared" si="22"/>
        <v>3171665</v>
      </c>
      <c r="AW70" s="107">
        <f t="shared" si="23"/>
        <v>6262</v>
      </c>
    </row>
    <row r="71" spans="2:49" x14ac:dyDescent="0.2">
      <c r="B71" s="17" t="s">
        <v>259</v>
      </c>
      <c r="C71" s="106"/>
      <c r="D71" s="107">
        <f>+VLOOKUP($B71,datos9!$A$2:$BG$78,14,FALSE)</f>
        <v>3772607</v>
      </c>
      <c r="E71" s="107">
        <f>+VLOOKUP($B71,datos9!$A$2:$BG$78,15,FALSE)</f>
        <v>8472493</v>
      </c>
      <c r="F71" s="107">
        <f>+VLOOKUP($B71,datos9!$A$2:$BG$78,16,FALSE)</f>
        <v>0</v>
      </c>
      <c r="G71" s="385">
        <f t="shared" si="12"/>
        <v>12245100</v>
      </c>
      <c r="H71" s="107">
        <f>+VLOOKUP($B71,datos9!$A$2:$BG$78,18,FALSE)</f>
        <v>58180</v>
      </c>
      <c r="I71" s="107">
        <f>+VLOOKUP($B71,datos9!$A$2:$BG$78,19,FALSE)</f>
        <v>647757</v>
      </c>
      <c r="J71" s="107">
        <f>+VLOOKUP($B71,datos9!$A$2:$BG$78,20,FALSE)</f>
        <v>168040</v>
      </c>
      <c r="K71" s="107">
        <f>+VLOOKUP($B71,datos9!$A$2:$BG$78,21,FALSE)</f>
        <v>4000</v>
      </c>
      <c r="L71" s="385">
        <f t="shared" si="13"/>
        <v>877977</v>
      </c>
      <c r="M71" s="107">
        <f>+VLOOKUP($B71,datos9!$A$2:$BG$78,23,FALSE)</f>
        <v>167384</v>
      </c>
      <c r="N71" s="107">
        <f>+VLOOKUP($B71,datos9!$A$2:$BG$78,24,FALSE)</f>
        <v>0</v>
      </c>
      <c r="O71" s="107">
        <f>+VLOOKUP($B71,datos9!$A$2:$BG$78,25,FALSE)</f>
        <v>0</v>
      </c>
      <c r="P71" s="385">
        <f t="shared" si="14"/>
        <v>167384</v>
      </c>
      <c r="Q71" s="107">
        <f>+VLOOKUP($B71,datos9!$A$2:$BG$78,27,FALSE)</f>
        <v>0</v>
      </c>
      <c r="R71" s="107">
        <f>+VLOOKUP($B71,datos9!$A$2:$BG$78,28,FALSE)</f>
        <v>0</v>
      </c>
      <c r="S71" s="107">
        <f>+VLOOKUP($B71,datos9!$A$2:$BG$78,29,FALSE)</f>
        <v>0</v>
      </c>
      <c r="T71" s="107">
        <f>+VLOOKUP($B71,datos9!$A$2:$BG$78,30,FALSE)</f>
        <v>0</v>
      </c>
      <c r="U71" s="385">
        <f t="shared" si="15"/>
        <v>0</v>
      </c>
      <c r="V71" s="107">
        <f>+VLOOKUP($B71,datos9!$A$2:$BG$78,32,FALSE)</f>
        <v>0</v>
      </c>
      <c r="W71" s="107">
        <f>+VLOOKUP($B71,datos9!$A$2:$BG$78,33,FALSE)</f>
        <v>0</v>
      </c>
      <c r="X71" s="404">
        <f t="shared" si="16"/>
        <v>0</v>
      </c>
      <c r="Y71" s="108">
        <f t="shared" si="17"/>
        <v>13290461</v>
      </c>
      <c r="Z71" s="107">
        <f>+VLOOKUP($B71,datos9!$A$2:$BG$78,36,FALSE)</f>
        <v>0</v>
      </c>
      <c r="AA71" s="107">
        <f>+VLOOKUP($B71,datos9!$A$2:$BG$78,37,FALSE)</f>
        <v>0</v>
      </c>
      <c r="AB71" s="107">
        <f>+VLOOKUP($B71,datos9!$A$2:$BG$78,38,FALSE)</f>
        <v>0</v>
      </c>
      <c r="AC71" s="107">
        <f>+VLOOKUP($B71,datos9!$A$2:$BG$78,39,FALSE)</f>
        <v>0</v>
      </c>
      <c r="AD71" s="107">
        <f>+VLOOKUP($B71,datos9!$A$2:$BG$78,40,FALSE)</f>
        <v>0</v>
      </c>
      <c r="AE71" s="385">
        <f t="shared" si="18"/>
        <v>0</v>
      </c>
      <c r="AF71" s="107">
        <f>+VLOOKUP($B71,datos9!$A$2:$BG$78,43,FALSE)</f>
        <v>0</v>
      </c>
      <c r="AG71" s="107">
        <f>+VLOOKUP($B71,datos9!$A$2:$BG$78,45,FALSE)</f>
        <v>0</v>
      </c>
      <c r="AH71" s="107">
        <f>+VLOOKUP($B71,datos9!$A$2:$BG$78,46,FALSE)</f>
        <v>0</v>
      </c>
      <c r="AI71" s="107">
        <f>+VLOOKUP($B71,datos9!$A$2:$BG$78,47,FALSE)</f>
        <v>0</v>
      </c>
      <c r="AJ71" s="385">
        <f t="shared" si="19"/>
        <v>0</v>
      </c>
      <c r="AK71" s="107">
        <f>+VLOOKUP($B71,datos9!$A$2:$BG$78,50,FALSE)</f>
        <v>343890</v>
      </c>
      <c r="AL71" s="107">
        <f>+VLOOKUP($B71,datos9!$A$2:$BG$78,51,FALSE)</f>
        <v>282715</v>
      </c>
      <c r="AM71" s="107">
        <f>+VLOOKUP($B71,datos9!$A$2:$BG$78,52,FALSE)</f>
        <v>4015148</v>
      </c>
      <c r="AN71" s="107">
        <f>+VLOOKUP($B71,datos9!$A$2:$BG$78,53,FALSE)</f>
        <v>0</v>
      </c>
      <c r="AO71" s="407">
        <f t="shared" si="20"/>
        <v>4641753</v>
      </c>
      <c r="AP71" s="107">
        <f>+VLOOKUP($B71,datos9!$A$2:$BG$78,56,FALSE)</f>
        <v>0</v>
      </c>
      <c r="AQ71" s="108">
        <f t="shared" si="21"/>
        <v>4641753</v>
      </c>
      <c r="AS71" s="109">
        <f t="shared" si="22"/>
        <v>17932214</v>
      </c>
      <c r="AW71" s="107">
        <f t="shared" si="23"/>
        <v>3772607</v>
      </c>
    </row>
    <row r="72" spans="2:49" x14ac:dyDescent="0.2">
      <c r="B72" s="17" t="s">
        <v>108</v>
      </c>
      <c r="C72" s="106"/>
      <c r="D72" s="107">
        <f>+VLOOKUP($B72,datos9!$A$2:$BG$78,14,FALSE)</f>
        <v>50206</v>
      </c>
      <c r="E72" s="107">
        <f>+VLOOKUP($B72,datos9!$A$2:$BG$78,15,FALSE)</f>
        <v>0</v>
      </c>
      <c r="F72" s="107">
        <f>+VLOOKUP($B72,datos9!$A$2:$BG$78,16,FALSE)</f>
        <v>5507</v>
      </c>
      <c r="G72" s="385">
        <f t="shared" ref="G72:G81" si="24">SUM(D72:F72)</f>
        <v>55713</v>
      </c>
      <c r="H72" s="107">
        <f>+VLOOKUP($B72,datos9!$A$2:$BG$78,18,FALSE)</f>
        <v>32085</v>
      </c>
      <c r="I72" s="107">
        <f>+VLOOKUP($B72,datos9!$A$2:$BG$78,19,FALSE)</f>
        <v>0</v>
      </c>
      <c r="J72" s="107">
        <f>+VLOOKUP($B72,datos9!$A$2:$BG$78,20,FALSE)</f>
        <v>29608</v>
      </c>
      <c r="K72" s="107">
        <f>+VLOOKUP($B72,datos9!$A$2:$BG$78,21,FALSE)</f>
        <v>43310</v>
      </c>
      <c r="L72" s="385">
        <f t="shared" ref="L72:L81" si="25">SUM(H72:K72)</f>
        <v>105003</v>
      </c>
      <c r="M72" s="107">
        <f>+VLOOKUP($B72,datos9!$A$2:$BG$78,23,FALSE)</f>
        <v>490122</v>
      </c>
      <c r="N72" s="107">
        <f>+VLOOKUP($B72,datos9!$A$2:$BG$78,24,FALSE)</f>
        <v>0</v>
      </c>
      <c r="O72" s="107">
        <f>+VLOOKUP($B72,datos9!$A$2:$BG$78,25,FALSE)</f>
        <v>0</v>
      </c>
      <c r="P72" s="385">
        <f t="shared" ref="P72:P81" si="26">SUM(M72:O72)</f>
        <v>490122</v>
      </c>
      <c r="Q72" s="107">
        <f>+VLOOKUP($B72,datos9!$A$2:$BG$78,27,FALSE)</f>
        <v>0</v>
      </c>
      <c r="R72" s="107">
        <f>+VLOOKUP($B72,datos9!$A$2:$BG$78,28,FALSE)</f>
        <v>0</v>
      </c>
      <c r="S72" s="107">
        <f>+VLOOKUP($B72,datos9!$A$2:$BG$78,29,FALSE)</f>
        <v>0</v>
      </c>
      <c r="T72" s="107">
        <f>+VLOOKUP($B72,datos9!$A$2:$BG$78,30,FALSE)</f>
        <v>0</v>
      </c>
      <c r="U72" s="385">
        <f t="shared" ref="U72:U81" si="27">SUM(Q72:T72)</f>
        <v>0</v>
      </c>
      <c r="V72" s="107">
        <f>+VLOOKUP($B72,datos9!$A$2:$BG$78,32,FALSE)</f>
        <v>99282</v>
      </c>
      <c r="W72" s="107">
        <f>+VLOOKUP($B72,datos9!$A$2:$BG$78,33,FALSE)</f>
        <v>0</v>
      </c>
      <c r="X72" s="404">
        <f t="shared" ref="X72:X81" si="28">SUM(V72:W72)</f>
        <v>99282</v>
      </c>
      <c r="Y72" s="108">
        <f t="shared" ref="Y72:Y81" si="29">+U72+P72+L72+G72+X72</f>
        <v>750120</v>
      </c>
      <c r="Z72" s="107">
        <f>+VLOOKUP($B72,datos9!$A$2:$BG$78,36,FALSE)</f>
        <v>0</v>
      </c>
      <c r="AA72" s="107">
        <f>+VLOOKUP($B72,datos9!$A$2:$BG$78,37,FALSE)</f>
        <v>613929</v>
      </c>
      <c r="AB72" s="107">
        <f>+VLOOKUP($B72,datos9!$A$2:$BG$78,38,FALSE)</f>
        <v>0</v>
      </c>
      <c r="AC72" s="107">
        <f>+VLOOKUP($B72,datos9!$A$2:$BG$78,39,FALSE)</f>
        <v>0</v>
      </c>
      <c r="AD72" s="107">
        <f>+VLOOKUP($B72,datos9!$A$2:$BG$78,40,FALSE)</f>
        <v>0</v>
      </c>
      <c r="AE72" s="385">
        <f t="shared" ref="AE72:AE81" si="30">SUM(Z72:AD72)</f>
        <v>613929</v>
      </c>
      <c r="AF72" s="107">
        <f>+VLOOKUP($B72,datos9!$A$2:$BG$78,43,FALSE)</f>
        <v>0</v>
      </c>
      <c r="AG72" s="107">
        <f>+VLOOKUP($B72,datos9!$A$2:$BG$78,45,FALSE)</f>
        <v>212076</v>
      </c>
      <c r="AH72" s="107">
        <f>+VLOOKUP($B72,datos9!$A$2:$BG$78,46,FALSE)</f>
        <v>0</v>
      </c>
      <c r="AI72" s="107">
        <f>+VLOOKUP($B72,datos9!$A$2:$BG$78,47,FALSE)</f>
        <v>0</v>
      </c>
      <c r="AJ72" s="385">
        <f t="shared" ref="AJ72:AJ81" si="31">SUM(AF72:AI72)</f>
        <v>212076</v>
      </c>
      <c r="AK72" s="107">
        <f>+VLOOKUP($B72,datos9!$A$2:$BG$78,50,FALSE)</f>
        <v>0</v>
      </c>
      <c r="AL72" s="107">
        <f>+VLOOKUP($B72,datos9!$A$2:$BG$78,51,FALSE)</f>
        <v>0</v>
      </c>
      <c r="AM72" s="107">
        <f>+VLOOKUP($B72,datos9!$A$2:$BG$78,52,FALSE)</f>
        <v>0</v>
      </c>
      <c r="AN72" s="107">
        <f>+VLOOKUP($B72,datos9!$A$2:$BG$78,53,FALSE)</f>
        <v>0</v>
      </c>
      <c r="AO72" s="407">
        <f t="shared" ref="AO72:AO81" si="32">SUM(AK72:AN72)</f>
        <v>0</v>
      </c>
      <c r="AP72" s="107">
        <f>+VLOOKUP($B72,datos9!$A$2:$BG$78,56,FALSE)</f>
        <v>0</v>
      </c>
      <c r="AQ72" s="108">
        <f t="shared" ref="AQ72:AQ81" si="33">AO72+AJ72+AE72+AP72</f>
        <v>826005</v>
      </c>
      <c r="AS72" s="109">
        <f t="shared" ref="AS72:AS81" si="34">+AQ72+Y72</f>
        <v>1576125</v>
      </c>
      <c r="AW72" s="107">
        <f t="shared" ref="AW72:AW81" si="35">D72+F72</f>
        <v>55713</v>
      </c>
    </row>
    <row r="73" spans="2:49" x14ac:dyDescent="0.2">
      <c r="B73" s="17" t="s">
        <v>109</v>
      </c>
      <c r="C73" s="106"/>
      <c r="D73" s="107">
        <f>+VLOOKUP($B73,datos9!$A$2:$BG$78,14,FALSE)</f>
        <v>185387</v>
      </c>
      <c r="E73" s="107">
        <f>+VLOOKUP($B73,datos9!$A$2:$BG$78,15,FALSE)</f>
        <v>0</v>
      </c>
      <c r="F73" s="107">
        <f>+VLOOKUP($B73,datos9!$A$2:$BG$78,16,FALSE)</f>
        <v>0</v>
      </c>
      <c r="G73" s="385">
        <f t="shared" si="24"/>
        <v>185387</v>
      </c>
      <c r="H73" s="107">
        <f>+VLOOKUP($B73,datos9!$A$2:$BG$78,18,FALSE)</f>
        <v>970002</v>
      </c>
      <c r="I73" s="107">
        <f>+VLOOKUP($B73,datos9!$A$2:$BG$78,19,FALSE)</f>
        <v>309312</v>
      </c>
      <c r="J73" s="107">
        <f>+VLOOKUP($B73,datos9!$A$2:$BG$78,20,FALSE)</f>
        <v>325673</v>
      </c>
      <c r="K73" s="107">
        <f>+VLOOKUP($B73,datos9!$A$2:$BG$78,21,FALSE)</f>
        <v>490631</v>
      </c>
      <c r="L73" s="385">
        <f t="shared" si="25"/>
        <v>2095618</v>
      </c>
      <c r="M73" s="107">
        <f>+VLOOKUP($B73,datos9!$A$2:$BG$78,23,FALSE)</f>
        <v>0</v>
      </c>
      <c r="N73" s="107">
        <f>+VLOOKUP($B73,datos9!$A$2:$BG$78,24,FALSE)</f>
        <v>0</v>
      </c>
      <c r="O73" s="107">
        <f>+VLOOKUP($B73,datos9!$A$2:$BG$78,25,FALSE)</f>
        <v>0</v>
      </c>
      <c r="P73" s="385">
        <f t="shared" si="26"/>
        <v>0</v>
      </c>
      <c r="Q73" s="107">
        <f>+VLOOKUP($B73,datos9!$A$2:$BG$78,27,FALSE)</f>
        <v>101753</v>
      </c>
      <c r="R73" s="107">
        <f>+VLOOKUP($B73,datos9!$A$2:$BG$78,28,FALSE)</f>
        <v>0</v>
      </c>
      <c r="S73" s="107">
        <f>+VLOOKUP($B73,datos9!$A$2:$BG$78,29,FALSE)</f>
        <v>0</v>
      </c>
      <c r="T73" s="107">
        <f>+VLOOKUP($B73,datos9!$A$2:$BG$78,30,FALSE)</f>
        <v>0</v>
      </c>
      <c r="U73" s="385">
        <f t="shared" si="27"/>
        <v>101753</v>
      </c>
      <c r="V73" s="107">
        <f>+VLOOKUP($B73,datos9!$A$2:$BG$78,32,FALSE)</f>
        <v>100</v>
      </c>
      <c r="W73" s="107">
        <f>+VLOOKUP($B73,datos9!$A$2:$BG$78,33,FALSE)</f>
        <v>66660</v>
      </c>
      <c r="X73" s="404">
        <f t="shared" si="28"/>
        <v>66760</v>
      </c>
      <c r="Y73" s="108">
        <f t="shared" si="29"/>
        <v>2449518</v>
      </c>
      <c r="Z73" s="107">
        <f>+VLOOKUP($B73,datos9!$A$2:$BG$78,36,FALSE)</f>
        <v>0</v>
      </c>
      <c r="AA73" s="107">
        <f>+VLOOKUP($B73,datos9!$A$2:$BG$78,37,FALSE)</f>
        <v>0</v>
      </c>
      <c r="AB73" s="107">
        <f>+VLOOKUP($B73,datos9!$A$2:$BG$78,38,FALSE)</f>
        <v>0</v>
      </c>
      <c r="AC73" s="107">
        <f>+VLOOKUP($B73,datos9!$A$2:$BG$78,39,FALSE)</f>
        <v>0</v>
      </c>
      <c r="AD73" s="107">
        <f>+VLOOKUP($B73,datos9!$A$2:$BG$78,40,FALSE)</f>
        <v>0</v>
      </c>
      <c r="AE73" s="385">
        <f t="shared" si="30"/>
        <v>0</v>
      </c>
      <c r="AF73" s="107">
        <f>+VLOOKUP($B73,datos9!$A$2:$BG$78,43,FALSE)</f>
        <v>194293</v>
      </c>
      <c r="AG73" s="107">
        <f>+VLOOKUP($B73,datos9!$A$2:$BG$78,45,FALSE)</f>
        <v>163521</v>
      </c>
      <c r="AH73" s="107">
        <f>+VLOOKUP($B73,datos9!$A$2:$BG$78,46,FALSE)</f>
        <v>0</v>
      </c>
      <c r="AI73" s="107">
        <f>+VLOOKUP($B73,datos9!$A$2:$BG$78,47,FALSE)</f>
        <v>0</v>
      </c>
      <c r="AJ73" s="385">
        <f t="shared" si="31"/>
        <v>357814</v>
      </c>
      <c r="AK73" s="107">
        <f>+VLOOKUP($B73,datos9!$A$2:$BG$78,50,FALSE)</f>
        <v>0</v>
      </c>
      <c r="AL73" s="107">
        <f>+VLOOKUP($B73,datos9!$A$2:$BG$78,51,FALSE)</f>
        <v>0</v>
      </c>
      <c r="AM73" s="107">
        <f>+VLOOKUP($B73,datos9!$A$2:$BG$78,52,FALSE)</f>
        <v>0</v>
      </c>
      <c r="AN73" s="107">
        <f>+VLOOKUP($B73,datos9!$A$2:$BG$78,53,FALSE)</f>
        <v>0</v>
      </c>
      <c r="AO73" s="407">
        <f t="shared" si="32"/>
        <v>0</v>
      </c>
      <c r="AP73" s="107">
        <f>+VLOOKUP($B73,datos9!$A$2:$BG$78,56,FALSE)</f>
        <v>0</v>
      </c>
      <c r="AQ73" s="108">
        <f t="shared" si="33"/>
        <v>357814</v>
      </c>
      <c r="AS73" s="109">
        <f t="shared" si="34"/>
        <v>2807332</v>
      </c>
      <c r="AW73" s="107">
        <f t="shared" si="35"/>
        <v>185387</v>
      </c>
    </row>
    <row r="74" spans="2:49" x14ac:dyDescent="0.2">
      <c r="B74" s="17" t="s">
        <v>110</v>
      </c>
      <c r="C74" s="106"/>
      <c r="D74" s="107">
        <f>+VLOOKUP($B74,datos9!$A$2:$BG$78,14,FALSE)</f>
        <v>5735</v>
      </c>
      <c r="E74" s="107">
        <f>+VLOOKUP($B74,datos9!$A$2:$BG$78,15,FALSE)</f>
        <v>0</v>
      </c>
      <c r="F74" s="107">
        <f>+VLOOKUP($B74,datos9!$A$2:$BG$78,16,FALSE)</f>
        <v>0</v>
      </c>
      <c r="G74" s="385">
        <f t="shared" si="24"/>
        <v>5735</v>
      </c>
      <c r="H74" s="107">
        <f>+VLOOKUP($B74,datos9!$A$2:$BG$78,18,FALSE)</f>
        <v>0</v>
      </c>
      <c r="I74" s="107">
        <f>+VLOOKUP($B74,datos9!$A$2:$BG$78,19,FALSE)</f>
        <v>0</v>
      </c>
      <c r="J74" s="107">
        <f>+VLOOKUP($B74,datos9!$A$2:$BG$78,20,FALSE)</f>
        <v>0</v>
      </c>
      <c r="K74" s="107">
        <f>+VLOOKUP($B74,datos9!$A$2:$BG$78,21,FALSE)</f>
        <v>0</v>
      </c>
      <c r="L74" s="385">
        <f t="shared" si="25"/>
        <v>0</v>
      </c>
      <c r="M74" s="107">
        <f>+VLOOKUP($B74,datos9!$A$2:$BG$78,23,FALSE)</f>
        <v>0</v>
      </c>
      <c r="N74" s="107">
        <f>+VLOOKUP($B74,datos9!$A$2:$BG$78,24,FALSE)</f>
        <v>0</v>
      </c>
      <c r="O74" s="107">
        <f>+VLOOKUP($B74,datos9!$A$2:$BG$78,25,FALSE)</f>
        <v>0</v>
      </c>
      <c r="P74" s="385">
        <f t="shared" si="26"/>
        <v>0</v>
      </c>
      <c r="Q74" s="107">
        <f>+VLOOKUP($B74,datos9!$A$2:$BG$78,27,FALSE)</f>
        <v>0</v>
      </c>
      <c r="R74" s="107">
        <f>+VLOOKUP($B74,datos9!$A$2:$BG$78,28,FALSE)</f>
        <v>0</v>
      </c>
      <c r="S74" s="107">
        <f>+VLOOKUP($B74,datos9!$A$2:$BG$78,29,FALSE)</f>
        <v>0</v>
      </c>
      <c r="T74" s="107">
        <f>+VLOOKUP($B74,datos9!$A$2:$BG$78,30,FALSE)</f>
        <v>0</v>
      </c>
      <c r="U74" s="385">
        <f t="shared" si="27"/>
        <v>0</v>
      </c>
      <c r="V74" s="107">
        <f>+VLOOKUP($B74,datos9!$A$2:$BG$78,32,FALSE)</f>
        <v>0</v>
      </c>
      <c r="W74" s="107">
        <f>+VLOOKUP($B74,datos9!$A$2:$BG$78,33,FALSE)</f>
        <v>0</v>
      </c>
      <c r="X74" s="404">
        <f t="shared" si="28"/>
        <v>0</v>
      </c>
      <c r="Y74" s="108">
        <f t="shared" si="29"/>
        <v>5735</v>
      </c>
      <c r="Z74" s="107">
        <f>+VLOOKUP($B74,datos9!$A$2:$BG$78,36,FALSE)</f>
        <v>0</v>
      </c>
      <c r="AA74" s="107">
        <f>+VLOOKUP($B74,datos9!$A$2:$BG$78,37,FALSE)</f>
        <v>0</v>
      </c>
      <c r="AB74" s="107">
        <f>+VLOOKUP($B74,datos9!$A$2:$BG$78,38,FALSE)</f>
        <v>0</v>
      </c>
      <c r="AC74" s="107">
        <f>+VLOOKUP($B74,datos9!$A$2:$BG$78,39,FALSE)</f>
        <v>0</v>
      </c>
      <c r="AD74" s="107">
        <f>+VLOOKUP($B74,datos9!$A$2:$BG$78,40,FALSE)</f>
        <v>0</v>
      </c>
      <c r="AE74" s="385">
        <f t="shared" si="30"/>
        <v>0</v>
      </c>
      <c r="AF74" s="107">
        <f>+VLOOKUP($B74,datos9!$A$2:$BG$78,43,FALSE)</f>
        <v>502325</v>
      </c>
      <c r="AG74" s="107">
        <f>+VLOOKUP($B74,datos9!$A$2:$BG$78,45,FALSE)</f>
        <v>47416</v>
      </c>
      <c r="AH74" s="107">
        <f>+VLOOKUP($B74,datos9!$A$2:$BG$78,46,FALSE)</f>
        <v>0</v>
      </c>
      <c r="AI74" s="107">
        <f>+VLOOKUP($B74,datos9!$A$2:$BG$78,47,FALSE)</f>
        <v>0</v>
      </c>
      <c r="AJ74" s="385">
        <f t="shared" si="31"/>
        <v>549741</v>
      </c>
      <c r="AK74" s="107">
        <f>+VLOOKUP($B74,datos9!$A$2:$BG$78,50,FALSE)</f>
        <v>0</v>
      </c>
      <c r="AL74" s="107">
        <f>+VLOOKUP($B74,datos9!$A$2:$BG$78,51,FALSE)</f>
        <v>0</v>
      </c>
      <c r="AM74" s="107">
        <f>+VLOOKUP($B74,datos9!$A$2:$BG$78,52,FALSE)</f>
        <v>0</v>
      </c>
      <c r="AN74" s="107">
        <f>+VLOOKUP($B74,datos9!$A$2:$BG$78,53,FALSE)</f>
        <v>0</v>
      </c>
      <c r="AO74" s="407">
        <f t="shared" si="32"/>
        <v>0</v>
      </c>
      <c r="AP74" s="107">
        <f>+VLOOKUP($B74,datos9!$A$2:$BG$78,56,FALSE)</f>
        <v>0</v>
      </c>
      <c r="AQ74" s="108">
        <f t="shared" si="33"/>
        <v>549741</v>
      </c>
      <c r="AS74" s="109">
        <f t="shared" si="34"/>
        <v>555476</v>
      </c>
      <c r="AW74" s="107">
        <f t="shared" si="35"/>
        <v>5735</v>
      </c>
    </row>
    <row r="75" spans="2:49" x14ac:dyDescent="0.2">
      <c r="B75" s="17" t="s">
        <v>260</v>
      </c>
      <c r="C75" s="106"/>
      <c r="D75" s="107">
        <f>+VLOOKUP($B75,datos9!$A$2:$BG$78,14,FALSE)</f>
        <v>81460</v>
      </c>
      <c r="E75" s="107">
        <f>+VLOOKUP($B75,datos9!$A$2:$BG$78,15,FALSE)</f>
        <v>0</v>
      </c>
      <c r="F75" s="107">
        <f>+VLOOKUP($B75,datos9!$A$2:$BG$78,16,FALSE)</f>
        <v>0</v>
      </c>
      <c r="G75" s="385">
        <f t="shared" si="24"/>
        <v>81460</v>
      </c>
      <c r="H75" s="107">
        <f>+VLOOKUP($B75,datos9!$A$2:$BG$78,18,FALSE)</f>
        <v>0</v>
      </c>
      <c r="I75" s="107">
        <f>+VLOOKUP($B75,datos9!$A$2:$BG$78,19,FALSE)</f>
        <v>0</v>
      </c>
      <c r="J75" s="107">
        <f>+VLOOKUP($B75,datos9!$A$2:$BG$78,20,FALSE)</f>
        <v>88428</v>
      </c>
      <c r="K75" s="107">
        <f>+VLOOKUP($B75,datos9!$A$2:$BG$78,21,FALSE)</f>
        <v>32838</v>
      </c>
      <c r="L75" s="385">
        <f t="shared" si="25"/>
        <v>121266</v>
      </c>
      <c r="M75" s="107">
        <f>+VLOOKUP($B75,datos9!$A$2:$BG$78,23,FALSE)</f>
        <v>0</v>
      </c>
      <c r="N75" s="107">
        <f>+VLOOKUP($B75,datos9!$A$2:$BG$78,24,FALSE)</f>
        <v>0</v>
      </c>
      <c r="O75" s="107">
        <f>+VLOOKUP($B75,datos9!$A$2:$BG$78,25,FALSE)</f>
        <v>0</v>
      </c>
      <c r="P75" s="385">
        <f t="shared" si="26"/>
        <v>0</v>
      </c>
      <c r="Q75" s="107">
        <f>+VLOOKUP($B75,datos9!$A$2:$BG$78,27,FALSE)</f>
        <v>0</v>
      </c>
      <c r="R75" s="107">
        <f>+VLOOKUP($B75,datos9!$A$2:$BG$78,28,FALSE)</f>
        <v>0</v>
      </c>
      <c r="S75" s="107">
        <f>+VLOOKUP($B75,datos9!$A$2:$BG$78,29,FALSE)</f>
        <v>0</v>
      </c>
      <c r="T75" s="107">
        <f>+VLOOKUP($B75,datos9!$A$2:$BG$78,30,FALSE)</f>
        <v>0</v>
      </c>
      <c r="U75" s="385">
        <f t="shared" si="27"/>
        <v>0</v>
      </c>
      <c r="V75" s="107">
        <f>+VLOOKUP($B75,datos9!$A$2:$BG$78,32,FALSE)</f>
        <v>0</v>
      </c>
      <c r="W75" s="107">
        <f>+VLOOKUP($B75,datos9!$A$2:$BG$78,33,FALSE)</f>
        <v>0</v>
      </c>
      <c r="X75" s="404">
        <f t="shared" si="28"/>
        <v>0</v>
      </c>
      <c r="Y75" s="108">
        <f t="shared" si="29"/>
        <v>202726</v>
      </c>
      <c r="Z75" s="107">
        <f>+VLOOKUP($B75,datos9!$A$2:$BG$78,36,FALSE)</f>
        <v>0</v>
      </c>
      <c r="AA75" s="107">
        <f>+VLOOKUP($B75,datos9!$A$2:$BG$78,37,FALSE)</f>
        <v>0</v>
      </c>
      <c r="AB75" s="107">
        <f>+VLOOKUP($B75,datos9!$A$2:$BG$78,38,FALSE)</f>
        <v>0</v>
      </c>
      <c r="AC75" s="107">
        <f>+VLOOKUP($B75,datos9!$A$2:$BG$78,39,FALSE)</f>
        <v>0</v>
      </c>
      <c r="AD75" s="107">
        <f>+VLOOKUP($B75,datos9!$A$2:$BG$78,40,FALSE)</f>
        <v>0</v>
      </c>
      <c r="AE75" s="385">
        <f t="shared" si="30"/>
        <v>0</v>
      </c>
      <c r="AF75" s="107">
        <f>+VLOOKUP($B75,datos9!$A$2:$BG$78,43,FALSE)</f>
        <v>0</v>
      </c>
      <c r="AG75" s="107">
        <f>+VLOOKUP($B75,datos9!$A$2:$BG$78,45,FALSE)</f>
        <v>0</v>
      </c>
      <c r="AH75" s="107">
        <f>+VLOOKUP($B75,datos9!$A$2:$BG$78,46,FALSE)</f>
        <v>0</v>
      </c>
      <c r="AI75" s="107">
        <f>+VLOOKUP($B75,datos9!$A$2:$BG$78,47,FALSE)</f>
        <v>0</v>
      </c>
      <c r="AJ75" s="385">
        <f t="shared" si="31"/>
        <v>0</v>
      </c>
      <c r="AK75" s="107">
        <f>+VLOOKUP($B75,datos9!$A$2:$BG$78,50,FALSE)</f>
        <v>0</v>
      </c>
      <c r="AL75" s="107">
        <f>+VLOOKUP($B75,datos9!$A$2:$BG$78,51,FALSE)</f>
        <v>0</v>
      </c>
      <c r="AM75" s="107">
        <f>+VLOOKUP($B75,datos9!$A$2:$BG$78,52,FALSE)</f>
        <v>0</v>
      </c>
      <c r="AN75" s="107">
        <f>+VLOOKUP($B75,datos9!$A$2:$BG$78,53,FALSE)</f>
        <v>0</v>
      </c>
      <c r="AO75" s="407">
        <f t="shared" si="32"/>
        <v>0</v>
      </c>
      <c r="AP75" s="107">
        <f>+VLOOKUP($B75,datos9!$A$2:$BG$78,56,FALSE)</f>
        <v>0</v>
      </c>
      <c r="AQ75" s="108">
        <f t="shared" si="33"/>
        <v>0</v>
      </c>
      <c r="AS75" s="109">
        <f t="shared" si="34"/>
        <v>202726</v>
      </c>
      <c r="AW75" s="107">
        <f t="shared" si="35"/>
        <v>81460</v>
      </c>
    </row>
    <row r="76" spans="2:49" x14ac:dyDescent="0.2">
      <c r="B76" s="17" t="s">
        <v>261</v>
      </c>
      <c r="C76" s="106"/>
      <c r="D76" s="107">
        <f>+VLOOKUP($B76,datos9!$A$2:$BG$78,14,FALSE)</f>
        <v>17900</v>
      </c>
      <c r="E76" s="107">
        <f>+VLOOKUP($B76,datos9!$A$2:$BG$78,15,FALSE)</f>
        <v>0</v>
      </c>
      <c r="F76" s="107">
        <f>+VLOOKUP($B76,datos9!$A$2:$BG$78,16,FALSE)</f>
        <v>0</v>
      </c>
      <c r="G76" s="385">
        <f t="shared" si="24"/>
        <v>17900</v>
      </c>
      <c r="H76" s="107">
        <f>+VLOOKUP($B76,datos9!$A$2:$BG$78,18,FALSE)</f>
        <v>10000</v>
      </c>
      <c r="I76" s="107">
        <f>+VLOOKUP($B76,datos9!$A$2:$BG$78,19,FALSE)</f>
        <v>0</v>
      </c>
      <c r="J76" s="107">
        <f>+VLOOKUP($B76,datos9!$A$2:$BG$78,20,FALSE)</f>
        <v>0</v>
      </c>
      <c r="K76" s="107">
        <f>+VLOOKUP($B76,datos9!$A$2:$BG$78,21,FALSE)</f>
        <v>0</v>
      </c>
      <c r="L76" s="385">
        <f t="shared" si="25"/>
        <v>10000</v>
      </c>
      <c r="M76" s="107">
        <f>+VLOOKUP($B76,datos9!$A$2:$BG$78,23,FALSE)</f>
        <v>0</v>
      </c>
      <c r="N76" s="107">
        <f>+VLOOKUP($B76,datos9!$A$2:$BG$78,24,FALSE)</f>
        <v>0</v>
      </c>
      <c r="O76" s="107">
        <f>+VLOOKUP($B76,datos9!$A$2:$BG$78,25,FALSE)</f>
        <v>0</v>
      </c>
      <c r="P76" s="385">
        <f t="shared" si="26"/>
        <v>0</v>
      </c>
      <c r="Q76" s="107">
        <f>+VLOOKUP($B76,datos9!$A$2:$BG$78,27,FALSE)</f>
        <v>0</v>
      </c>
      <c r="R76" s="107">
        <f>+VLOOKUP($B76,datos9!$A$2:$BG$78,28,FALSE)</f>
        <v>0</v>
      </c>
      <c r="S76" s="107">
        <f>+VLOOKUP($B76,datos9!$A$2:$BG$78,29,FALSE)</f>
        <v>0</v>
      </c>
      <c r="T76" s="107">
        <f>+VLOOKUP($B76,datos9!$A$2:$BG$78,30,FALSE)</f>
        <v>0</v>
      </c>
      <c r="U76" s="385">
        <f t="shared" si="27"/>
        <v>0</v>
      </c>
      <c r="V76" s="107">
        <f>+VLOOKUP($B76,datos9!$A$2:$BG$78,32,FALSE)</f>
        <v>0</v>
      </c>
      <c r="W76" s="107">
        <f>+VLOOKUP($B76,datos9!$A$2:$BG$78,33,FALSE)</f>
        <v>0</v>
      </c>
      <c r="X76" s="404">
        <f t="shared" si="28"/>
        <v>0</v>
      </c>
      <c r="Y76" s="108">
        <f t="shared" si="29"/>
        <v>27900</v>
      </c>
      <c r="Z76" s="107">
        <f>+VLOOKUP($B76,datos9!$A$2:$BG$78,36,FALSE)</f>
        <v>0</v>
      </c>
      <c r="AA76" s="107">
        <f>+VLOOKUP($B76,datos9!$A$2:$BG$78,37,FALSE)</f>
        <v>0</v>
      </c>
      <c r="AB76" s="107">
        <f>+VLOOKUP($B76,datos9!$A$2:$BG$78,38,FALSE)</f>
        <v>0</v>
      </c>
      <c r="AC76" s="107">
        <f>+VLOOKUP($B76,datos9!$A$2:$BG$78,39,FALSE)</f>
        <v>0</v>
      </c>
      <c r="AD76" s="107">
        <f>+VLOOKUP($B76,datos9!$A$2:$BG$78,40,FALSE)</f>
        <v>0</v>
      </c>
      <c r="AE76" s="385">
        <f t="shared" si="30"/>
        <v>0</v>
      </c>
      <c r="AF76" s="107">
        <f>+VLOOKUP($B76,datos9!$A$2:$BG$78,43,FALSE)</f>
        <v>0</v>
      </c>
      <c r="AG76" s="107">
        <f>+VLOOKUP($B76,datos9!$A$2:$BG$78,45,FALSE)</f>
        <v>0</v>
      </c>
      <c r="AH76" s="107">
        <f>+VLOOKUP($B76,datos9!$A$2:$BG$78,46,FALSE)</f>
        <v>0</v>
      </c>
      <c r="AI76" s="107">
        <f>+VLOOKUP($B76,datos9!$A$2:$BG$78,47,FALSE)</f>
        <v>0</v>
      </c>
      <c r="AJ76" s="385">
        <f t="shared" si="31"/>
        <v>0</v>
      </c>
      <c r="AK76" s="107">
        <f>+VLOOKUP($B76,datos9!$A$2:$BG$78,50,FALSE)</f>
        <v>0</v>
      </c>
      <c r="AL76" s="107">
        <f>+VLOOKUP($B76,datos9!$A$2:$BG$78,51,FALSE)</f>
        <v>0</v>
      </c>
      <c r="AM76" s="107">
        <f>+VLOOKUP($B76,datos9!$A$2:$BG$78,52,FALSE)</f>
        <v>1222628</v>
      </c>
      <c r="AN76" s="107">
        <f>+VLOOKUP($B76,datos9!$A$2:$BG$78,53,FALSE)</f>
        <v>0</v>
      </c>
      <c r="AO76" s="407">
        <f t="shared" si="32"/>
        <v>1222628</v>
      </c>
      <c r="AP76" s="107">
        <f>+VLOOKUP($B76,datos9!$A$2:$BG$78,56,FALSE)</f>
        <v>0</v>
      </c>
      <c r="AQ76" s="108">
        <f t="shared" si="33"/>
        <v>1222628</v>
      </c>
      <c r="AS76" s="109">
        <f t="shared" si="34"/>
        <v>1250528</v>
      </c>
      <c r="AW76" s="107">
        <f t="shared" si="35"/>
        <v>17900</v>
      </c>
    </row>
    <row r="77" spans="2:49" x14ac:dyDescent="0.2">
      <c r="B77" s="17" t="s">
        <v>111</v>
      </c>
      <c r="C77" s="106"/>
      <c r="D77" s="107">
        <f>+VLOOKUP($B77,datos9!$A$2:$BG$78,14,FALSE)</f>
        <v>12389000</v>
      </c>
      <c r="E77" s="107">
        <f>+VLOOKUP($B77,datos9!$A$2:$BG$78,15,FALSE)</f>
        <v>0</v>
      </c>
      <c r="F77" s="107">
        <f>+VLOOKUP($B77,datos9!$A$2:$BG$78,16,FALSE)</f>
        <v>0</v>
      </c>
      <c r="G77" s="385">
        <f t="shared" si="24"/>
        <v>12389000</v>
      </c>
      <c r="H77" s="107">
        <f>+VLOOKUP($B77,datos9!$A$2:$BG$78,18,FALSE)</f>
        <v>5156000</v>
      </c>
      <c r="I77" s="107">
        <f>+VLOOKUP($B77,datos9!$A$2:$BG$78,19,FALSE)</f>
        <v>303000</v>
      </c>
      <c r="J77" s="107">
        <f>+VLOOKUP($B77,datos9!$A$2:$BG$78,20,FALSE)</f>
        <v>0</v>
      </c>
      <c r="K77" s="107">
        <f>+VLOOKUP($B77,datos9!$A$2:$BG$78,21,FALSE)</f>
        <v>1038000</v>
      </c>
      <c r="L77" s="385">
        <f t="shared" si="25"/>
        <v>6497000</v>
      </c>
      <c r="M77" s="107">
        <f>+VLOOKUP($B77,datos9!$A$2:$BG$78,23,FALSE)</f>
        <v>0</v>
      </c>
      <c r="N77" s="107">
        <f>+VLOOKUP($B77,datos9!$A$2:$BG$78,24,FALSE)</f>
        <v>2275000</v>
      </c>
      <c r="O77" s="107">
        <f>+VLOOKUP($B77,datos9!$A$2:$BG$78,25,FALSE)</f>
        <v>0</v>
      </c>
      <c r="P77" s="385">
        <f t="shared" si="26"/>
        <v>2275000</v>
      </c>
      <c r="Q77" s="107">
        <f>+VLOOKUP($B77,datos9!$A$2:$BG$78,27,FALSE)</f>
        <v>0</v>
      </c>
      <c r="R77" s="107">
        <f>+VLOOKUP($B77,datos9!$A$2:$BG$78,28,FALSE)</f>
        <v>0</v>
      </c>
      <c r="S77" s="107">
        <f>+VLOOKUP($B77,datos9!$A$2:$BG$78,29,FALSE)</f>
        <v>0</v>
      </c>
      <c r="T77" s="107">
        <f>+VLOOKUP($B77,datos9!$A$2:$BG$78,30,FALSE)</f>
        <v>0</v>
      </c>
      <c r="U77" s="385">
        <f t="shared" si="27"/>
        <v>0</v>
      </c>
      <c r="V77" s="107">
        <f>+VLOOKUP($B77,datos9!$A$2:$BG$78,32,FALSE)</f>
        <v>0</v>
      </c>
      <c r="W77" s="107">
        <f>+VLOOKUP($B77,datos9!$A$2:$BG$78,33,FALSE)</f>
        <v>0</v>
      </c>
      <c r="X77" s="404">
        <f t="shared" si="28"/>
        <v>0</v>
      </c>
      <c r="Y77" s="108">
        <f t="shared" si="29"/>
        <v>21161000</v>
      </c>
      <c r="Z77" s="107">
        <f>+VLOOKUP($B77,datos9!$A$2:$BG$78,36,FALSE)</f>
        <v>0</v>
      </c>
      <c r="AA77" s="107">
        <f>+VLOOKUP($B77,datos9!$A$2:$BG$78,37,FALSE)</f>
        <v>300000</v>
      </c>
      <c r="AB77" s="107">
        <f>+VLOOKUP($B77,datos9!$A$2:$BG$78,38,FALSE)</f>
        <v>0</v>
      </c>
      <c r="AC77" s="107">
        <f>+VLOOKUP($B77,datos9!$A$2:$BG$78,39,FALSE)</f>
        <v>136000</v>
      </c>
      <c r="AD77" s="107">
        <f>+VLOOKUP($B77,datos9!$A$2:$BG$78,40,FALSE)</f>
        <v>0</v>
      </c>
      <c r="AE77" s="385">
        <f t="shared" si="30"/>
        <v>436000</v>
      </c>
      <c r="AF77" s="107">
        <f>+VLOOKUP($B77,datos9!$A$2:$BG$78,43,FALSE)</f>
        <v>94486</v>
      </c>
      <c r="AG77" s="107">
        <f>+VLOOKUP($B77,datos9!$A$2:$BG$78,45,FALSE)</f>
        <v>409781</v>
      </c>
      <c r="AH77" s="107">
        <f>+VLOOKUP($B77,datos9!$A$2:$BG$78,46,FALSE)</f>
        <v>0</v>
      </c>
      <c r="AI77" s="107">
        <f>+VLOOKUP($B77,datos9!$A$2:$BG$78,47,FALSE)</f>
        <v>0</v>
      </c>
      <c r="AJ77" s="385">
        <f t="shared" si="31"/>
        <v>504267</v>
      </c>
      <c r="AK77" s="107">
        <f>+VLOOKUP($B77,datos9!$A$2:$BG$78,50,FALSE)</f>
        <v>5956980</v>
      </c>
      <c r="AL77" s="107">
        <f>+VLOOKUP($B77,datos9!$A$2:$BG$78,51,FALSE)</f>
        <v>2682255</v>
      </c>
      <c r="AM77" s="107">
        <f>+VLOOKUP($B77,datos9!$A$2:$BG$78,52,FALSE)</f>
        <v>779737</v>
      </c>
      <c r="AN77" s="107">
        <f>+VLOOKUP($B77,datos9!$A$2:$BG$78,53,FALSE)</f>
        <v>0</v>
      </c>
      <c r="AO77" s="407">
        <f t="shared" si="32"/>
        <v>9418972</v>
      </c>
      <c r="AP77" s="107">
        <f>+VLOOKUP($B77,datos9!$A$2:$BG$78,56,FALSE)</f>
        <v>0</v>
      </c>
      <c r="AQ77" s="108">
        <f t="shared" si="33"/>
        <v>10359239</v>
      </c>
      <c r="AS77" s="109">
        <f t="shared" si="34"/>
        <v>31520239</v>
      </c>
      <c r="AW77" s="107">
        <f t="shared" si="35"/>
        <v>12389000</v>
      </c>
    </row>
    <row r="78" spans="2:49" x14ac:dyDescent="0.2">
      <c r="B78" s="17" t="s">
        <v>112</v>
      </c>
      <c r="C78" s="106"/>
      <c r="D78" s="107">
        <f>+VLOOKUP($B78,datos9!$A$2:$BG$78,14,FALSE)</f>
        <v>437129</v>
      </c>
      <c r="E78" s="107">
        <f>+VLOOKUP($B78,datos9!$A$2:$BG$78,15,FALSE)</f>
        <v>0</v>
      </c>
      <c r="F78" s="107">
        <f>+VLOOKUP($B78,datos9!$A$2:$BG$78,16,FALSE)</f>
        <v>0</v>
      </c>
      <c r="G78" s="385">
        <f t="shared" si="24"/>
        <v>437129</v>
      </c>
      <c r="H78" s="107">
        <f>+VLOOKUP($B78,datos9!$A$2:$BG$78,18,FALSE)</f>
        <v>36343</v>
      </c>
      <c r="I78" s="107">
        <f>+VLOOKUP($B78,datos9!$A$2:$BG$78,19,FALSE)</f>
        <v>132167</v>
      </c>
      <c r="J78" s="107">
        <f>+VLOOKUP($B78,datos9!$A$2:$BG$78,20,FALSE)</f>
        <v>531566</v>
      </c>
      <c r="K78" s="107">
        <f>+VLOOKUP($B78,datos9!$A$2:$BG$78,21,FALSE)</f>
        <v>3296</v>
      </c>
      <c r="L78" s="385">
        <f t="shared" si="25"/>
        <v>703372</v>
      </c>
      <c r="M78" s="107">
        <f>+VLOOKUP($B78,datos9!$A$2:$BG$78,23,FALSE)</f>
        <v>146257</v>
      </c>
      <c r="N78" s="107">
        <f>+VLOOKUP($B78,datos9!$A$2:$BG$78,24,FALSE)</f>
        <v>0</v>
      </c>
      <c r="O78" s="107">
        <f>+VLOOKUP($B78,datos9!$A$2:$BG$78,25,FALSE)</f>
        <v>0</v>
      </c>
      <c r="P78" s="385">
        <f t="shared" si="26"/>
        <v>146257</v>
      </c>
      <c r="Q78" s="107">
        <f>+VLOOKUP($B78,datos9!$A$2:$BG$78,27,FALSE)</f>
        <v>0</v>
      </c>
      <c r="R78" s="107">
        <f>+VLOOKUP($B78,datos9!$A$2:$BG$78,28,FALSE)</f>
        <v>0</v>
      </c>
      <c r="S78" s="107">
        <f>+VLOOKUP($B78,datos9!$A$2:$BG$78,29,FALSE)</f>
        <v>0</v>
      </c>
      <c r="T78" s="107">
        <f>+VLOOKUP($B78,datos9!$A$2:$BG$78,30,FALSE)</f>
        <v>0</v>
      </c>
      <c r="U78" s="385">
        <f t="shared" si="27"/>
        <v>0</v>
      </c>
      <c r="V78" s="107">
        <f>+VLOOKUP($B78,datos9!$A$2:$BG$78,32,FALSE)</f>
        <v>1124</v>
      </c>
      <c r="W78" s="107">
        <f>+VLOOKUP($B78,datos9!$A$2:$BG$78,33,FALSE)</f>
        <v>16355</v>
      </c>
      <c r="X78" s="404">
        <f t="shared" si="28"/>
        <v>17479</v>
      </c>
      <c r="Y78" s="108">
        <f t="shared" si="29"/>
        <v>1304237</v>
      </c>
      <c r="Z78" s="107">
        <f>+VLOOKUP($B78,datos9!$A$2:$BG$78,36,FALSE)</f>
        <v>0</v>
      </c>
      <c r="AA78" s="107">
        <f>+VLOOKUP($B78,datos9!$A$2:$BG$78,37,FALSE)</f>
        <v>0</v>
      </c>
      <c r="AB78" s="107">
        <f>+VLOOKUP($B78,datos9!$A$2:$BG$78,38,FALSE)</f>
        <v>0</v>
      </c>
      <c r="AC78" s="107">
        <f>+VLOOKUP($B78,datos9!$A$2:$BG$78,39,FALSE)</f>
        <v>0</v>
      </c>
      <c r="AD78" s="107">
        <f>+VLOOKUP($B78,datos9!$A$2:$BG$78,40,FALSE)</f>
        <v>0</v>
      </c>
      <c r="AE78" s="385">
        <f t="shared" si="30"/>
        <v>0</v>
      </c>
      <c r="AF78" s="107">
        <f>+VLOOKUP($B78,datos9!$A$2:$BG$78,43,FALSE)</f>
        <v>354826</v>
      </c>
      <c r="AG78" s="107">
        <f>+VLOOKUP($B78,datos9!$A$2:$BG$78,45,FALSE)</f>
        <v>334386</v>
      </c>
      <c r="AH78" s="107">
        <f>+VLOOKUP($B78,datos9!$A$2:$BG$78,46,FALSE)</f>
        <v>0</v>
      </c>
      <c r="AI78" s="107">
        <f>+VLOOKUP($B78,datos9!$A$2:$BG$78,47,FALSE)</f>
        <v>0</v>
      </c>
      <c r="AJ78" s="385">
        <f t="shared" si="31"/>
        <v>689212</v>
      </c>
      <c r="AK78" s="107">
        <f>+VLOOKUP($B78,datos9!$A$2:$BG$78,50,FALSE)</f>
        <v>0</v>
      </c>
      <c r="AL78" s="107">
        <f>+VLOOKUP($B78,datos9!$A$2:$BG$78,51,FALSE)</f>
        <v>0</v>
      </c>
      <c r="AM78" s="107">
        <f>+VLOOKUP($B78,datos9!$A$2:$BG$78,52,FALSE)</f>
        <v>0</v>
      </c>
      <c r="AN78" s="107">
        <f>+VLOOKUP($B78,datos9!$A$2:$BG$78,53,FALSE)</f>
        <v>0</v>
      </c>
      <c r="AO78" s="407">
        <f t="shared" si="32"/>
        <v>0</v>
      </c>
      <c r="AP78" s="107">
        <f>+VLOOKUP($B78,datos9!$A$2:$BG$78,56,FALSE)</f>
        <v>0</v>
      </c>
      <c r="AQ78" s="108">
        <f t="shared" si="33"/>
        <v>689212</v>
      </c>
      <c r="AS78" s="109">
        <f t="shared" si="34"/>
        <v>1993449</v>
      </c>
      <c r="AW78" s="107">
        <f t="shared" si="35"/>
        <v>437129</v>
      </c>
    </row>
    <row r="79" spans="2:49" x14ac:dyDescent="0.2">
      <c r="B79" s="17" t="s">
        <v>113</v>
      </c>
      <c r="C79" s="106"/>
      <c r="D79" s="107">
        <f>+VLOOKUP($B79,datos9!$A$2:$BG$78,14,FALSE)</f>
        <v>220214</v>
      </c>
      <c r="E79" s="107">
        <f>+VLOOKUP($B79,datos9!$A$2:$BG$78,15,FALSE)</f>
        <v>0</v>
      </c>
      <c r="F79" s="107">
        <f>+VLOOKUP($B79,datos9!$A$2:$BG$78,16,FALSE)</f>
        <v>0</v>
      </c>
      <c r="G79" s="385">
        <f t="shared" si="24"/>
        <v>220214</v>
      </c>
      <c r="H79" s="107">
        <f>+VLOOKUP($B79,datos9!$A$2:$BG$78,18,FALSE)</f>
        <v>842</v>
      </c>
      <c r="I79" s="107">
        <f>+VLOOKUP($B79,datos9!$A$2:$BG$78,19,FALSE)</f>
        <v>0</v>
      </c>
      <c r="J79" s="107">
        <f>+VLOOKUP($B79,datos9!$A$2:$BG$78,20,FALSE)</f>
        <v>9308</v>
      </c>
      <c r="K79" s="107">
        <f>+VLOOKUP($B79,datos9!$A$2:$BG$78,21,FALSE)</f>
        <v>17455</v>
      </c>
      <c r="L79" s="385">
        <f t="shared" si="25"/>
        <v>27605</v>
      </c>
      <c r="M79" s="107">
        <f>+VLOOKUP($B79,datos9!$A$2:$BG$78,23,FALSE)</f>
        <v>0</v>
      </c>
      <c r="N79" s="107">
        <f>+VLOOKUP($B79,datos9!$A$2:$BG$78,24,FALSE)</f>
        <v>11303</v>
      </c>
      <c r="O79" s="107">
        <f>+VLOOKUP($B79,datos9!$A$2:$BG$78,25,FALSE)</f>
        <v>0</v>
      </c>
      <c r="P79" s="385">
        <f t="shared" si="26"/>
        <v>11303</v>
      </c>
      <c r="Q79" s="107">
        <f>+VLOOKUP($B79,datos9!$A$2:$BG$78,27,FALSE)</f>
        <v>243192</v>
      </c>
      <c r="R79" s="107">
        <f>+VLOOKUP($B79,datos9!$A$2:$BG$78,28,FALSE)</f>
        <v>7954</v>
      </c>
      <c r="S79" s="107">
        <f>+VLOOKUP($B79,datos9!$A$2:$BG$78,29,FALSE)</f>
        <v>0</v>
      </c>
      <c r="T79" s="107">
        <f>+VLOOKUP($B79,datos9!$A$2:$BG$78,30,FALSE)</f>
        <v>1127</v>
      </c>
      <c r="U79" s="385">
        <f t="shared" si="27"/>
        <v>252273</v>
      </c>
      <c r="V79" s="107">
        <f>+VLOOKUP($B79,datos9!$A$2:$BG$78,32,FALSE)</f>
        <v>96835</v>
      </c>
      <c r="W79" s="107">
        <f>+VLOOKUP($B79,datos9!$A$2:$BG$78,33,FALSE)</f>
        <v>12061</v>
      </c>
      <c r="X79" s="404">
        <f t="shared" si="28"/>
        <v>108896</v>
      </c>
      <c r="Y79" s="108">
        <f t="shared" si="29"/>
        <v>620291</v>
      </c>
      <c r="Z79" s="107">
        <f>+VLOOKUP($B79,datos9!$A$2:$BG$78,36,FALSE)</f>
        <v>0</v>
      </c>
      <c r="AA79" s="107">
        <f>+VLOOKUP($B79,datos9!$A$2:$BG$78,37,FALSE)</f>
        <v>0</v>
      </c>
      <c r="AB79" s="107">
        <f>+VLOOKUP($B79,datos9!$A$2:$BG$78,38,FALSE)</f>
        <v>0</v>
      </c>
      <c r="AC79" s="107">
        <f>+VLOOKUP($B79,datos9!$A$2:$BG$78,39,FALSE)</f>
        <v>0</v>
      </c>
      <c r="AD79" s="107">
        <f>+VLOOKUP($B79,datos9!$A$2:$BG$78,40,FALSE)</f>
        <v>0</v>
      </c>
      <c r="AE79" s="385">
        <f t="shared" si="30"/>
        <v>0</v>
      </c>
      <c r="AF79" s="107">
        <f>+VLOOKUP($B79,datos9!$A$2:$BG$78,43,FALSE)</f>
        <v>1240978</v>
      </c>
      <c r="AG79" s="107">
        <f>+VLOOKUP($B79,datos9!$A$2:$BG$78,45,FALSE)</f>
        <v>458358</v>
      </c>
      <c r="AH79" s="107">
        <f>+VLOOKUP($B79,datos9!$A$2:$BG$78,46,FALSE)</f>
        <v>0</v>
      </c>
      <c r="AI79" s="107">
        <f>+VLOOKUP($B79,datos9!$A$2:$BG$78,47,FALSE)</f>
        <v>0</v>
      </c>
      <c r="AJ79" s="385">
        <f t="shared" si="31"/>
        <v>1699336</v>
      </c>
      <c r="AK79" s="107">
        <f>+VLOOKUP($B79,datos9!$A$2:$BG$78,50,FALSE)</f>
        <v>82331</v>
      </c>
      <c r="AL79" s="107">
        <f>+VLOOKUP($B79,datos9!$A$2:$BG$78,51,FALSE)</f>
        <v>0</v>
      </c>
      <c r="AM79" s="107">
        <f>+VLOOKUP($B79,datos9!$A$2:$BG$78,52,FALSE)</f>
        <v>0</v>
      </c>
      <c r="AN79" s="107">
        <f>+VLOOKUP($B79,datos9!$A$2:$BG$78,53,FALSE)</f>
        <v>0</v>
      </c>
      <c r="AO79" s="407">
        <f t="shared" si="32"/>
        <v>82331</v>
      </c>
      <c r="AP79" s="107">
        <f>+VLOOKUP($B79,datos9!$A$2:$BG$78,56,FALSE)</f>
        <v>0</v>
      </c>
      <c r="AQ79" s="108">
        <f t="shared" si="33"/>
        <v>1781667</v>
      </c>
      <c r="AS79" s="109">
        <f t="shared" si="34"/>
        <v>2401958</v>
      </c>
      <c r="AW79" s="107">
        <f t="shared" si="35"/>
        <v>220214</v>
      </c>
    </row>
    <row r="80" spans="2:49" x14ac:dyDescent="0.2">
      <c r="B80" s="17" t="s">
        <v>114</v>
      </c>
      <c r="D80" s="107">
        <f>+VLOOKUP($B80,datos9!$A$2:$BG$78,14,FALSE)</f>
        <v>13069</v>
      </c>
      <c r="E80" s="107">
        <f>+VLOOKUP($B80,datos9!$A$2:$BG$78,15,FALSE)</f>
        <v>0</v>
      </c>
      <c r="F80" s="107">
        <f>+VLOOKUP($B80,datos9!$A$2:$BG$78,16,FALSE)</f>
        <v>0</v>
      </c>
      <c r="G80" s="385">
        <f t="shared" si="24"/>
        <v>13069</v>
      </c>
      <c r="H80" s="107">
        <f>+VLOOKUP($B80,datos9!$A$2:$BG$78,18,FALSE)</f>
        <v>25000</v>
      </c>
      <c r="I80" s="107">
        <f>+VLOOKUP($B80,datos9!$A$2:$BG$78,19,FALSE)</f>
        <v>0</v>
      </c>
      <c r="J80" s="107">
        <f>+VLOOKUP($B80,datos9!$A$2:$BG$78,20,FALSE)</f>
        <v>0</v>
      </c>
      <c r="K80" s="107">
        <f>+VLOOKUP($B80,datos9!$A$2:$BG$78,21,FALSE)</f>
        <v>124502</v>
      </c>
      <c r="L80" s="385">
        <f t="shared" si="25"/>
        <v>149502</v>
      </c>
      <c r="M80" s="107">
        <f>+VLOOKUP($B80,datos9!$A$2:$BG$78,23,FALSE)</f>
        <v>0</v>
      </c>
      <c r="N80" s="107">
        <f>+VLOOKUP($B80,datos9!$A$2:$BG$78,24,FALSE)</f>
        <v>0</v>
      </c>
      <c r="O80" s="107">
        <f>+VLOOKUP($B80,datos9!$A$2:$BG$78,25,FALSE)</f>
        <v>0</v>
      </c>
      <c r="P80" s="385">
        <f t="shared" si="26"/>
        <v>0</v>
      </c>
      <c r="Q80" s="107">
        <f>+VLOOKUP($B80,datos9!$A$2:$BG$78,27,FALSE)</f>
        <v>0</v>
      </c>
      <c r="R80" s="107">
        <f>+VLOOKUP($B80,datos9!$A$2:$BG$78,28,FALSE)</f>
        <v>0</v>
      </c>
      <c r="S80" s="107">
        <f>+VLOOKUP($B80,datos9!$A$2:$BG$78,29,FALSE)</f>
        <v>0</v>
      </c>
      <c r="T80" s="107">
        <f>+VLOOKUP($B80,datos9!$A$2:$BG$78,30,FALSE)</f>
        <v>0</v>
      </c>
      <c r="U80" s="385">
        <f t="shared" si="27"/>
        <v>0</v>
      </c>
      <c r="V80" s="107">
        <f>+VLOOKUP($B80,datos9!$A$2:$BG$78,32,FALSE)</f>
        <v>0</v>
      </c>
      <c r="W80" s="107">
        <f>+VLOOKUP($B80,datos9!$A$2:$BG$78,33,FALSE)</f>
        <v>0</v>
      </c>
      <c r="X80" s="404">
        <f t="shared" si="28"/>
        <v>0</v>
      </c>
      <c r="Y80" s="108">
        <f t="shared" si="29"/>
        <v>162571</v>
      </c>
      <c r="Z80" s="107">
        <f>+VLOOKUP($B80,datos9!$A$2:$BG$78,36,FALSE)</f>
        <v>0</v>
      </c>
      <c r="AA80" s="107">
        <f>+VLOOKUP($B80,datos9!$A$2:$BG$78,37,FALSE)</f>
        <v>0</v>
      </c>
      <c r="AB80" s="107">
        <f>+VLOOKUP($B80,datos9!$A$2:$BG$78,38,FALSE)</f>
        <v>0</v>
      </c>
      <c r="AC80" s="107">
        <f>+VLOOKUP($B80,datos9!$A$2:$BG$78,39,FALSE)</f>
        <v>0</v>
      </c>
      <c r="AD80" s="107">
        <f>+VLOOKUP($B80,datos9!$A$2:$BG$78,40,FALSE)</f>
        <v>0</v>
      </c>
      <c r="AE80" s="385">
        <f t="shared" si="30"/>
        <v>0</v>
      </c>
      <c r="AF80" s="107">
        <f>+VLOOKUP($B80,datos9!$A$2:$BG$78,43,FALSE)</f>
        <v>0</v>
      </c>
      <c r="AG80" s="107">
        <f>+VLOOKUP($B80,datos9!$A$2:$BG$78,45,FALSE)</f>
        <v>20000</v>
      </c>
      <c r="AH80" s="107">
        <f>+VLOOKUP($B80,datos9!$A$2:$BG$78,46,FALSE)</f>
        <v>0</v>
      </c>
      <c r="AI80" s="107">
        <f>+VLOOKUP($B80,datos9!$A$2:$BG$78,47,FALSE)</f>
        <v>0</v>
      </c>
      <c r="AJ80" s="385">
        <f t="shared" si="31"/>
        <v>20000</v>
      </c>
      <c r="AK80" s="107">
        <f>+VLOOKUP($B80,datos9!$A$2:$BG$78,50,FALSE)</f>
        <v>0</v>
      </c>
      <c r="AL80" s="107">
        <f>+VLOOKUP($B80,datos9!$A$2:$BG$78,51,FALSE)</f>
        <v>0</v>
      </c>
      <c r="AM80" s="107">
        <f>+VLOOKUP($B80,datos9!$A$2:$BG$78,52,FALSE)</f>
        <v>0</v>
      </c>
      <c r="AN80" s="107">
        <f>+VLOOKUP($B80,datos9!$A$2:$BG$78,53,FALSE)</f>
        <v>0</v>
      </c>
      <c r="AO80" s="407">
        <f t="shared" si="32"/>
        <v>0</v>
      </c>
      <c r="AP80" s="107">
        <f>+VLOOKUP($B80,datos9!$A$2:$BG$78,56,FALSE)</f>
        <v>0</v>
      </c>
      <c r="AQ80" s="108">
        <f t="shared" si="33"/>
        <v>20000</v>
      </c>
      <c r="AS80" s="109">
        <f t="shared" si="34"/>
        <v>182571</v>
      </c>
      <c r="AW80" s="107">
        <f t="shared" si="35"/>
        <v>13069</v>
      </c>
    </row>
    <row r="81" spans="1:60" x14ac:dyDescent="0.2">
      <c r="B81" s="17" t="s">
        <v>262</v>
      </c>
      <c r="C81" s="106"/>
      <c r="D81" s="107">
        <f>+VLOOKUP($B81,datos9!$A$2:$BG$78,14,FALSE)</f>
        <v>122605</v>
      </c>
      <c r="E81" s="107">
        <f>+VLOOKUP($B81,datos9!$A$2:$BG$78,15,FALSE)</f>
        <v>0</v>
      </c>
      <c r="F81" s="107">
        <f>+VLOOKUP($B81,datos9!$A$2:$BG$78,16,FALSE)</f>
        <v>0</v>
      </c>
      <c r="G81" s="385">
        <f t="shared" si="24"/>
        <v>122605</v>
      </c>
      <c r="H81" s="107">
        <f>+VLOOKUP($B81,datos9!$A$2:$BG$78,18,FALSE)</f>
        <v>21095</v>
      </c>
      <c r="I81" s="107">
        <f>+VLOOKUP($B81,datos9!$A$2:$BG$78,19,FALSE)</f>
        <v>0</v>
      </c>
      <c r="J81" s="107">
        <f>+VLOOKUP($B81,datos9!$A$2:$BG$78,20,FALSE)</f>
        <v>0</v>
      </c>
      <c r="K81" s="107">
        <f>+VLOOKUP($B81,datos9!$A$2:$BG$78,21,FALSE)</f>
        <v>0</v>
      </c>
      <c r="L81" s="385">
        <f t="shared" si="25"/>
        <v>21095</v>
      </c>
      <c r="M81" s="107">
        <f>+VLOOKUP($B81,datos9!$A$2:$BG$78,23,FALSE)</f>
        <v>0</v>
      </c>
      <c r="N81" s="107">
        <f>+VLOOKUP($B81,datos9!$A$2:$BG$78,24,FALSE)</f>
        <v>0</v>
      </c>
      <c r="O81" s="107">
        <f>+VLOOKUP($B81,datos9!$A$2:$BG$78,25,FALSE)</f>
        <v>0</v>
      </c>
      <c r="P81" s="385">
        <f t="shared" si="26"/>
        <v>0</v>
      </c>
      <c r="Q81" s="107">
        <f>+VLOOKUP($B81,datos9!$A$2:$BG$78,27,FALSE)</f>
        <v>0</v>
      </c>
      <c r="R81" s="107">
        <f>+VLOOKUP($B81,datos9!$A$2:$BG$78,28,FALSE)</f>
        <v>0</v>
      </c>
      <c r="S81" s="107">
        <f>+VLOOKUP($B81,datos9!$A$2:$BG$78,29,FALSE)</f>
        <v>0</v>
      </c>
      <c r="T81" s="107">
        <f>+VLOOKUP($B81,datos9!$A$2:$BG$78,30,FALSE)</f>
        <v>0</v>
      </c>
      <c r="U81" s="385">
        <f t="shared" si="27"/>
        <v>0</v>
      </c>
      <c r="V81" s="107">
        <f>+VLOOKUP($B81,datos9!$A$2:$BG$78,32,FALSE)</f>
        <v>0</v>
      </c>
      <c r="W81" s="107">
        <f>+VLOOKUP($B81,datos9!$A$2:$BG$78,33,FALSE)</f>
        <v>0</v>
      </c>
      <c r="X81" s="404">
        <f t="shared" si="28"/>
        <v>0</v>
      </c>
      <c r="Y81" s="108">
        <f t="shared" si="29"/>
        <v>143700</v>
      </c>
      <c r="Z81" s="107">
        <f>+VLOOKUP($B81,datos9!$A$2:$BG$78,36,FALSE)</f>
        <v>0</v>
      </c>
      <c r="AA81" s="107">
        <f>+VLOOKUP($B81,datos9!$A$2:$BG$78,37,FALSE)</f>
        <v>0</v>
      </c>
      <c r="AB81" s="107">
        <f>+VLOOKUP($B81,datos9!$A$2:$BG$78,38,FALSE)</f>
        <v>0</v>
      </c>
      <c r="AC81" s="107">
        <f>+VLOOKUP($B81,datos9!$A$2:$BG$78,39,FALSE)</f>
        <v>0</v>
      </c>
      <c r="AD81" s="107">
        <f>+VLOOKUP($B81,datos9!$A$2:$BG$78,40,FALSE)</f>
        <v>0</v>
      </c>
      <c r="AE81" s="385">
        <f t="shared" si="30"/>
        <v>0</v>
      </c>
      <c r="AF81" s="107">
        <f>+VLOOKUP($B81,datos9!$A$2:$BG$78,43,FALSE)</f>
        <v>189997</v>
      </c>
      <c r="AG81" s="107">
        <f>+VLOOKUP($B81,datos9!$A$2:$BG$78,45,FALSE)</f>
        <v>18453</v>
      </c>
      <c r="AH81" s="107">
        <f>+VLOOKUP($B81,datos9!$A$2:$BG$78,46,FALSE)</f>
        <v>0</v>
      </c>
      <c r="AI81" s="107">
        <f>+VLOOKUP($B81,datos9!$A$2:$BG$78,47,FALSE)</f>
        <v>0</v>
      </c>
      <c r="AJ81" s="385">
        <f t="shared" si="31"/>
        <v>208450</v>
      </c>
      <c r="AK81" s="107">
        <f>+VLOOKUP($B81,datos9!$A$2:$BG$78,50,FALSE)</f>
        <v>0</v>
      </c>
      <c r="AL81" s="107">
        <f>+VLOOKUP($B81,datos9!$A$2:$BG$78,51,FALSE)</f>
        <v>0</v>
      </c>
      <c r="AM81" s="107">
        <f>+VLOOKUP($B81,datos9!$A$2:$BG$78,52,FALSE)</f>
        <v>0</v>
      </c>
      <c r="AN81" s="107">
        <f>+VLOOKUP($B81,datos9!$A$2:$BG$78,53,FALSE)</f>
        <v>0</v>
      </c>
      <c r="AO81" s="407">
        <f t="shared" si="32"/>
        <v>0</v>
      </c>
      <c r="AP81" s="107">
        <f>+VLOOKUP($B81,datos9!$A$2:$BG$78,56,FALSE)</f>
        <v>0</v>
      </c>
      <c r="AQ81" s="108">
        <f t="shared" si="33"/>
        <v>208450</v>
      </c>
      <c r="AS81" s="109">
        <f t="shared" si="34"/>
        <v>352150</v>
      </c>
      <c r="AW81" s="107">
        <f t="shared" si="35"/>
        <v>122605</v>
      </c>
    </row>
    <row r="82" spans="1:60" s="11" customFormat="1" x14ac:dyDescent="0.2">
      <c r="G82" s="386"/>
      <c r="L82" s="386"/>
      <c r="P82" s="386"/>
      <c r="U82" s="386"/>
      <c r="X82" s="386"/>
      <c r="AE82" s="386"/>
      <c r="AJ82" s="386"/>
      <c r="AO82" s="386"/>
    </row>
    <row r="83" spans="1:60" s="111" customFormat="1" hidden="1" x14ac:dyDescent="0.2">
      <c r="B83" s="110">
        <v>1</v>
      </c>
      <c r="C83" s="110">
        <v>2</v>
      </c>
      <c r="G83" s="387"/>
      <c r="L83" s="387"/>
      <c r="P83" s="387"/>
      <c r="U83" s="387"/>
      <c r="X83" s="387"/>
      <c r="AE83" s="387"/>
      <c r="AJ83" s="387"/>
      <c r="AO83" s="387"/>
    </row>
    <row r="84" spans="1:60" x14ac:dyDescent="0.2">
      <c r="D84" s="123">
        <f t="shared" ref="D84:AQ84" si="36">SUM(D8:D81)</f>
        <v>101521289</v>
      </c>
      <c r="E84" s="123">
        <f t="shared" si="36"/>
        <v>54994246</v>
      </c>
      <c r="F84" s="123">
        <f t="shared" si="36"/>
        <v>1392890</v>
      </c>
      <c r="G84" s="388">
        <f t="shared" si="36"/>
        <v>157908425</v>
      </c>
      <c r="H84" s="123">
        <f t="shared" si="36"/>
        <v>34995547</v>
      </c>
      <c r="I84" s="123">
        <f t="shared" si="36"/>
        <v>10811002</v>
      </c>
      <c r="J84" s="123">
        <f t="shared" si="36"/>
        <v>9500376</v>
      </c>
      <c r="K84" s="123">
        <f t="shared" si="36"/>
        <v>40990542</v>
      </c>
      <c r="L84" s="388">
        <f t="shared" si="36"/>
        <v>96297467</v>
      </c>
      <c r="M84" s="123">
        <f t="shared" si="36"/>
        <v>15484079</v>
      </c>
      <c r="N84" s="123">
        <f t="shared" si="36"/>
        <v>6629827</v>
      </c>
      <c r="O84" s="123">
        <f t="shared" si="36"/>
        <v>3158627</v>
      </c>
      <c r="P84" s="388">
        <f t="shared" si="36"/>
        <v>25272533</v>
      </c>
      <c r="Q84" s="123">
        <f t="shared" si="36"/>
        <v>8951707</v>
      </c>
      <c r="R84" s="123">
        <f t="shared" si="36"/>
        <v>69560</v>
      </c>
      <c r="S84" s="123">
        <f t="shared" si="36"/>
        <v>59708</v>
      </c>
      <c r="T84" s="123">
        <f t="shared" si="36"/>
        <v>769379</v>
      </c>
      <c r="U84" s="388">
        <f t="shared" si="36"/>
        <v>9850354</v>
      </c>
      <c r="V84" s="123">
        <f t="shared" si="36"/>
        <v>2170605</v>
      </c>
      <c r="W84" s="123">
        <f t="shared" si="36"/>
        <v>36146101</v>
      </c>
      <c r="X84" s="388">
        <f t="shared" si="36"/>
        <v>38316706</v>
      </c>
      <c r="Y84" s="123">
        <f t="shared" si="36"/>
        <v>327645485</v>
      </c>
      <c r="Z84" s="123">
        <f t="shared" si="36"/>
        <v>2159563</v>
      </c>
      <c r="AA84" s="123">
        <f t="shared" si="36"/>
        <v>12249940</v>
      </c>
      <c r="AB84" s="123">
        <f t="shared" si="36"/>
        <v>0</v>
      </c>
      <c r="AC84" s="123">
        <f t="shared" si="36"/>
        <v>1479918</v>
      </c>
      <c r="AD84" s="123">
        <f t="shared" si="36"/>
        <v>2672253</v>
      </c>
      <c r="AE84" s="388">
        <f t="shared" si="36"/>
        <v>18561674</v>
      </c>
      <c r="AF84" s="123">
        <f t="shared" si="36"/>
        <v>42084760</v>
      </c>
      <c r="AG84" s="123">
        <f t="shared" si="36"/>
        <v>22432332</v>
      </c>
      <c r="AH84" s="123">
        <f t="shared" si="36"/>
        <v>436536</v>
      </c>
      <c r="AI84" s="123">
        <f t="shared" si="36"/>
        <v>325098</v>
      </c>
      <c r="AJ84" s="388">
        <f t="shared" si="36"/>
        <v>65278726</v>
      </c>
      <c r="AK84" s="123">
        <f t="shared" si="36"/>
        <v>34198465</v>
      </c>
      <c r="AL84" s="123">
        <f t="shared" si="36"/>
        <v>56657469</v>
      </c>
      <c r="AM84" s="123">
        <f t="shared" si="36"/>
        <v>36807976</v>
      </c>
      <c r="AN84" s="123">
        <f t="shared" si="36"/>
        <v>23222790</v>
      </c>
      <c r="AO84" s="388">
        <f t="shared" si="36"/>
        <v>150886700</v>
      </c>
      <c r="AP84" s="123">
        <f t="shared" si="36"/>
        <v>1008163</v>
      </c>
      <c r="AQ84" s="123">
        <f t="shared" si="36"/>
        <v>235735263</v>
      </c>
      <c r="AR84" s="123" t="s">
        <v>65</v>
      </c>
      <c r="AS84" s="123">
        <f>SUM(AS8:AS81)</f>
        <v>563380748</v>
      </c>
      <c r="AT84" s="11"/>
      <c r="AU84" s="11"/>
      <c r="AV84" s="11"/>
      <c r="AW84" s="123">
        <f>SUM(AW8:AW81)</f>
        <v>102914179</v>
      </c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</row>
    <row r="85" spans="1:60" x14ac:dyDescent="0.2">
      <c r="D85" s="112"/>
      <c r="E85" s="112"/>
      <c r="F85" s="26"/>
      <c r="G85" s="389" t="s">
        <v>65</v>
      </c>
      <c r="H85" s="26"/>
      <c r="I85" s="112"/>
      <c r="J85" s="112"/>
      <c r="K85" s="26"/>
      <c r="L85" s="389"/>
      <c r="M85" s="112"/>
      <c r="N85" s="112"/>
      <c r="O85" s="112"/>
      <c r="P85" s="397" t="s">
        <v>65</v>
      </c>
      <c r="Q85" s="26"/>
      <c r="R85" s="112"/>
      <c r="S85" s="112"/>
      <c r="T85" s="26"/>
      <c r="U85" s="389"/>
      <c r="V85" s="26"/>
      <c r="W85" s="113"/>
      <c r="X85" s="405"/>
      <c r="Y85" s="26"/>
      <c r="Z85" s="112"/>
      <c r="AA85" s="112"/>
      <c r="AB85" s="112"/>
      <c r="AC85" s="112"/>
      <c r="AD85" s="26"/>
      <c r="AE85" s="389"/>
      <c r="AF85" s="112"/>
      <c r="AG85" s="112"/>
      <c r="AH85" s="112"/>
      <c r="AI85" s="112"/>
      <c r="AJ85" s="397"/>
      <c r="AK85" s="112"/>
      <c r="AL85" s="112"/>
      <c r="AM85" s="112"/>
      <c r="AN85" s="112"/>
      <c r="AO85" s="397"/>
      <c r="AP85" s="112"/>
      <c r="AQ85" s="26"/>
      <c r="AR85" s="112"/>
      <c r="AS85" s="26"/>
      <c r="AT85" s="11"/>
      <c r="AU85" s="11"/>
      <c r="AV85" s="11"/>
      <c r="AW85" s="112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</row>
    <row r="86" spans="1:60" x14ac:dyDescent="0.2">
      <c r="D86" s="110"/>
      <c r="E86" s="110"/>
      <c r="F86" s="110"/>
      <c r="G86" s="390"/>
      <c r="H86" s="110"/>
      <c r="I86" s="110"/>
      <c r="J86" s="110"/>
      <c r="K86" s="110"/>
      <c r="L86" s="390"/>
      <c r="M86" s="110"/>
      <c r="N86" s="110"/>
      <c r="O86" s="110"/>
      <c r="P86" s="390"/>
      <c r="Q86" s="110"/>
      <c r="R86" s="110"/>
      <c r="S86" s="110"/>
      <c r="T86" s="110"/>
      <c r="U86" s="390"/>
      <c r="V86" s="110"/>
      <c r="W86" s="110"/>
      <c r="X86" s="406"/>
      <c r="Y86" s="110"/>
      <c r="Z86" s="114"/>
      <c r="AA86" s="114"/>
      <c r="AB86" s="114"/>
      <c r="AC86" s="110"/>
      <c r="AD86" s="110"/>
      <c r="AE86" s="390"/>
      <c r="AF86" s="110"/>
      <c r="AG86" s="110"/>
      <c r="AH86" s="110"/>
      <c r="AI86" s="110"/>
      <c r="AJ86" s="390"/>
      <c r="AK86" s="110"/>
      <c r="AL86" s="110"/>
      <c r="AM86" s="110"/>
      <c r="AN86" s="110"/>
      <c r="AO86" s="390"/>
      <c r="AP86" s="110"/>
      <c r="AQ86" s="110"/>
      <c r="AR86" s="110"/>
      <c r="AS86" s="110"/>
      <c r="AT86" s="111"/>
      <c r="AU86" s="111"/>
      <c r="AV86" s="111"/>
      <c r="AW86" s="110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</row>
    <row r="87" spans="1:60" x14ac:dyDescent="0.2">
      <c r="D87" s="115">
        <f>D84/G84</f>
        <v>0.64291242851671782</v>
      </c>
      <c r="E87" s="115">
        <f>E84/G84</f>
        <v>0.34826669951270806</v>
      </c>
      <c r="F87" s="115">
        <f>F84/G84</f>
        <v>8.8208719705740839E-3</v>
      </c>
      <c r="G87" s="391">
        <f>SUM(D87:F87)</f>
        <v>1</v>
      </c>
      <c r="H87" s="115">
        <f>H84/L84</f>
        <v>0.3634108776713722</v>
      </c>
      <c r="I87" s="115">
        <f>I84/L84</f>
        <v>0.11226673283109305</v>
      </c>
      <c r="J87" s="115">
        <f>J84/L84</f>
        <v>9.8656551371179887E-2</v>
      </c>
      <c r="K87" s="115">
        <f>K84/L84</f>
        <v>0.42566583812635489</v>
      </c>
      <c r="L87" s="391">
        <f>SUM(H87:K87)</f>
        <v>1</v>
      </c>
      <c r="M87" s="116">
        <f>M84/P84</f>
        <v>0.61268409462557627</v>
      </c>
      <c r="N87" s="116">
        <f>N84/P84</f>
        <v>0.26233330074195571</v>
      </c>
      <c r="O87" s="116">
        <f>O84/P84</f>
        <v>0.12498260463246798</v>
      </c>
      <c r="P87" s="391">
        <f>SUM(M87:O87)</f>
        <v>1</v>
      </c>
      <c r="Z87" s="12" t="s">
        <v>65</v>
      </c>
      <c r="AS87" s="10" t="s">
        <v>65</v>
      </c>
      <c r="AW87" s="115"/>
    </row>
    <row r="88" spans="1:60" x14ac:dyDescent="0.2">
      <c r="D88" s="118">
        <f>D84+F84</f>
        <v>102914179</v>
      </c>
      <c r="J88" s="12" t="s">
        <v>65</v>
      </c>
      <c r="L88" s="393">
        <f>L84+P84</f>
        <v>121570000</v>
      </c>
      <c r="N88" s="115">
        <f>N84/P88</f>
        <v>0.67731094205479236</v>
      </c>
      <c r="O88" s="115">
        <f>O84/P88</f>
        <v>0.32268905794520769</v>
      </c>
      <c r="P88" s="393">
        <f>SUM(N84:O84)</f>
        <v>9788454</v>
      </c>
      <c r="AW88" s="118"/>
    </row>
    <row r="89" spans="1:60" x14ac:dyDescent="0.2">
      <c r="F89" s="10" t="s">
        <v>65</v>
      </c>
      <c r="L89" s="391">
        <f>L84/L88</f>
        <v>0.7921153820843958</v>
      </c>
    </row>
    <row r="90" spans="1:60" x14ac:dyDescent="0.2">
      <c r="L90" s="391">
        <f>P84/L88</f>
        <v>0.20788461791560417</v>
      </c>
    </row>
    <row r="91" spans="1:60" s="298" customFormat="1" x14ac:dyDescent="0.2">
      <c r="A91" s="298" t="s">
        <v>65</v>
      </c>
      <c r="B91" s="298">
        <v>1</v>
      </c>
      <c r="C91" s="298">
        <v>2</v>
      </c>
      <c r="D91" s="298">
        <v>3</v>
      </c>
      <c r="E91" s="298">
        <v>4</v>
      </c>
      <c r="F91" s="298">
        <v>5</v>
      </c>
      <c r="G91" s="392">
        <v>6</v>
      </c>
      <c r="H91" s="298">
        <v>7</v>
      </c>
      <c r="I91" s="298">
        <v>8</v>
      </c>
      <c r="J91" s="298">
        <v>9</v>
      </c>
      <c r="K91" s="298">
        <v>10</v>
      </c>
      <c r="L91" s="392">
        <v>11</v>
      </c>
      <c r="M91" s="298">
        <v>12</v>
      </c>
      <c r="N91" s="298">
        <v>13</v>
      </c>
      <c r="O91" s="298">
        <v>14</v>
      </c>
      <c r="P91" s="392">
        <v>15</v>
      </c>
      <c r="Q91" s="298">
        <v>16</v>
      </c>
      <c r="R91" s="298">
        <v>17</v>
      </c>
      <c r="S91" s="298">
        <v>18</v>
      </c>
      <c r="T91" s="298">
        <v>19</v>
      </c>
      <c r="U91" s="392">
        <v>20</v>
      </c>
      <c r="V91" s="298">
        <v>21</v>
      </c>
      <c r="W91" s="298">
        <v>22</v>
      </c>
      <c r="X91" s="392">
        <v>23</v>
      </c>
      <c r="Y91" s="298">
        <v>24</v>
      </c>
      <c r="Z91" s="298">
        <v>25</v>
      </c>
      <c r="AA91" s="298">
        <v>26</v>
      </c>
      <c r="AB91" s="298">
        <v>27</v>
      </c>
      <c r="AC91" s="298">
        <v>28</v>
      </c>
      <c r="AD91" s="298">
        <v>29</v>
      </c>
      <c r="AE91" s="392">
        <v>30</v>
      </c>
      <c r="AF91" s="298">
        <v>31</v>
      </c>
      <c r="AG91" s="298">
        <v>32</v>
      </c>
      <c r="AH91" s="298">
        <v>33</v>
      </c>
      <c r="AI91" s="298">
        <v>34</v>
      </c>
      <c r="AJ91" s="392">
        <v>35</v>
      </c>
      <c r="AK91" s="298">
        <v>36</v>
      </c>
      <c r="AL91" s="298">
        <v>37</v>
      </c>
      <c r="AM91" s="298">
        <v>38</v>
      </c>
      <c r="AN91" s="298">
        <v>39</v>
      </c>
      <c r="AO91" s="392">
        <v>40</v>
      </c>
      <c r="AP91" s="298">
        <v>41</v>
      </c>
      <c r="AQ91" s="298">
        <v>42</v>
      </c>
      <c r="AR91" s="298">
        <v>43</v>
      </c>
      <c r="AS91" s="298">
        <v>44</v>
      </c>
      <c r="AT91" s="298">
        <v>45</v>
      </c>
      <c r="AU91" s="298">
        <v>46</v>
      </c>
      <c r="AV91" s="298">
        <v>47</v>
      </c>
      <c r="AW91" s="298">
        <v>48</v>
      </c>
    </row>
  </sheetData>
  <sortState ref="A8:BH81">
    <sortCondition ref="B8:B81"/>
  </sortState>
  <mergeCells count="12">
    <mergeCell ref="AQ4:AQ6"/>
    <mergeCell ref="D5:G5"/>
    <mergeCell ref="H5:L5"/>
    <mergeCell ref="M5:P5"/>
    <mergeCell ref="Q5:U5"/>
    <mergeCell ref="V5:X5"/>
    <mergeCell ref="Z5:AE5"/>
    <mergeCell ref="AF5:AJ5"/>
    <mergeCell ref="AK5:AO5"/>
    <mergeCell ref="D4:W4"/>
    <mergeCell ref="Y4:Y6"/>
    <mergeCell ref="Z4:A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27" sqref="A27"/>
    </sheetView>
  </sheetViews>
  <sheetFormatPr baseColWidth="10" defaultColWidth="9.140625" defaultRowHeight="12.75" x14ac:dyDescent="0.2"/>
  <cols>
    <col min="1" max="1" width="33.42578125" customWidth="1"/>
    <col min="2" max="2" width="11.7109375" customWidth="1"/>
    <col min="3" max="3" width="11.42578125" customWidth="1"/>
    <col min="4" max="4" width="6.5703125" hidden="1" customWidth="1"/>
    <col min="5" max="5" width="11.42578125" customWidth="1"/>
    <col min="6" max="6" width="8.140625" style="229" hidden="1" customWidth="1"/>
    <col min="7" max="7" width="11.42578125" style="229" customWidth="1"/>
    <col min="8" max="8" width="8.140625" style="229" hidden="1" customWidth="1"/>
    <col min="9" max="9" width="3" style="229" customWidth="1"/>
    <col min="10" max="11" width="10.28515625" customWidth="1"/>
    <col min="12" max="257" width="11.42578125" customWidth="1"/>
  </cols>
  <sheetData>
    <row r="1" spans="1:17" x14ac:dyDescent="0.2">
      <c r="A1" s="360"/>
      <c r="B1" s="360"/>
      <c r="C1" s="360"/>
      <c r="D1" s="31"/>
      <c r="E1" s="31"/>
      <c r="F1" s="31"/>
      <c r="G1" s="31"/>
      <c r="H1" s="31"/>
      <c r="I1" s="31"/>
      <c r="J1" s="126"/>
      <c r="K1" s="126"/>
      <c r="L1" s="31"/>
      <c r="M1" s="31"/>
      <c r="N1" s="31"/>
      <c r="O1" s="31"/>
      <c r="P1" s="31"/>
      <c r="Q1" s="266"/>
    </row>
    <row r="2" spans="1:17" ht="15" customHeight="1" x14ac:dyDescent="0.2">
      <c r="A2" s="359" t="s">
        <v>179</v>
      </c>
      <c r="B2" s="359"/>
      <c r="C2" s="359"/>
      <c r="D2" s="359"/>
      <c r="E2" s="270"/>
      <c r="F2" s="270"/>
      <c r="G2" s="270"/>
      <c r="H2" s="270"/>
      <c r="I2" s="270"/>
      <c r="J2" s="233"/>
      <c r="K2" s="233"/>
      <c r="L2" s="266"/>
      <c r="M2" s="266"/>
      <c r="N2" s="266"/>
      <c r="O2" s="266"/>
      <c r="P2" s="266"/>
      <c r="Q2" s="32"/>
    </row>
    <row r="3" spans="1:17" ht="21" x14ac:dyDescent="0.2">
      <c r="A3" s="270"/>
      <c r="B3" s="277">
        <v>2016</v>
      </c>
      <c r="C3" s="359">
        <v>2015</v>
      </c>
      <c r="D3" s="359"/>
      <c r="E3" s="359">
        <v>2014</v>
      </c>
      <c r="F3" s="359"/>
      <c r="G3" s="359">
        <v>2013</v>
      </c>
      <c r="H3" s="359"/>
      <c r="I3" s="270"/>
      <c r="J3" s="270" t="s">
        <v>180</v>
      </c>
      <c r="K3" s="270" t="s">
        <v>181</v>
      </c>
      <c r="L3" s="266"/>
      <c r="M3" s="266"/>
      <c r="N3" s="266"/>
      <c r="O3" s="266"/>
      <c r="P3" s="266"/>
      <c r="Q3" s="32"/>
    </row>
    <row r="4" spans="1:17" x14ac:dyDescent="0.2">
      <c r="A4" s="234"/>
      <c r="B4" s="235" t="s">
        <v>127</v>
      </c>
      <c r="C4" s="235" t="s">
        <v>127</v>
      </c>
      <c r="D4" s="236" t="s">
        <v>128</v>
      </c>
      <c r="E4" s="235" t="s">
        <v>127</v>
      </c>
      <c r="F4" s="236" t="s">
        <v>128</v>
      </c>
      <c r="G4" s="235" t="s">
        <v>127</v>
      </c>
      <c r="H4" s="236" t="s">
        <v>128</v>
      </c>
      <c r="I4" s="236"/>
      <c r="J4" s="238"/>
      <c r="K4" s="238"/>
      <c r="L4" s="35"/>
      <c r="M4" s="35"/>
      <c r="N4" s="35"/>
      <c r="O4" s="35"/>
      <c r="P4" s="35"/>
      <c r="Q4" s="32"/>
    </row>
    <row r="5" spans="1:17" x14ac:dyDescent="0.2">
      <c r="A5" s="234" t="s">
        <v>182</v>
      </c>
      <c r="B5" s="239">
        <f>SUM(B6:B8)</f>
        <v>157.90842499999999</v>
      </c>
      <c r="C5" s="239">
        <f>SUM(C6:C8)</f>
        <v>154.80995867999999</v>
      </c>
      <c r="D5" s="240">
        <f>C5/C50</f>
        <v>0.31050685722636984</v>
      </c>
      <c r="E5" s="239">
        <f>SUM(E6:E8)</f>
        <v>147.32748608</v>
      </c>
      <c r="F5" s="240">
        <f>E5/E50</f>
        <v>0.23728330764569872</v>
      </c>
      <c r="G5" s="239">
        <f>SUM(G6:G8)</f>
        <v>112.56353006999998</v>
      </c>
      <c r="H5" s="240">
        <f>G5/G50</f>
        <v>0.23639013029074729</v>
      </c>
      <c r="I5" s="240"/>
      <c r="J5" s="237">
        <f>(E5-G5)/G5</f>
        <v>0.30883853756524271</v>
      </c>
      <c r="K5" s="237">
        <f>(C5-G5)/G5</f>
        <v>0.37531186685179635</v>
      </c>
      <c r="L5" s="35"/>
      <c r="M5" s="35"/>
      <c r="N5" s="35"/>
      <c r="O5" s="35"/>
      <c r="P5" s="35"/>
      <c r="Q5" s="32"/>
    </row>
    <row r="6" spans="1:17" ht="21" x14ac:dyDescent="0.2">
      <c r="A6" s="242" t="s">
        <v>183</v>
      </c>
      <c r="B6" s="243">
        <f>Fondos!D84/1000000</f>
        <v>101.521289</v>
      </c>
      <c r="C6" s="243">
        <v>91.950120510000005</v>
      </c>
      <c r="D6" s="240" t="s">
        <v>65</v>
      </c>
      <c r="E6" s="243">
        <v>89.30231947</v>
      </c>
      <c r="F6" s="240" t="s">
        <v>65</v>
      </c>
      <c r="G6" s="243">
        <v>71.682838359999991</v>
      </c>
      <c r="H6" s="240" t="s">
        <v>65</v>
      </c>
      <c r="I6" s="240"/>
      <c r="J6" s="240">
        <f t="shared" ref="J6:J50" si="0">(E6-G6)/G6</f>
        <v>0.24579776014884927</v>
      </c>
      <c r="K6" s="240">
        <f t="shared" ref="K6:K50" si="1">(C6-G6)/G6</f>
        <v>0.28273548611754518</v>
      </c>
      <c r="L6" s="35"/>
      <c r="M6" s="35"/>
      <c r="N6" s="35"/>
      <c r="O6" s="35"/>
      <c r="P6" s="35"/>
      <c r="Q6" s="32"/>
    </row>
    <row r="7" spans="1:17" x14ac:dyDescent="0.2">
      <c r="A7" s="244" t="s">
        <v>149</v>
      </c>
      <c r="B7" s="243">
        <f>Fondos!E84/1000000</f>
        <v>54.994245999999997</v>
      </c>
      <c r="C7" s="243">
        <v>55.912554239999999</v>
      </c>
      <c r="D7" s="240" t="s">
        <v>65</v>
      </c>
      <c r="E7" s="243">
        <v>56.795790519999997</v>
      </c>
      <c r="F7" s="240" t="s">
        <v>65</v>
      </c>
      <c r="G7" s="243">
        <v>37.077631340000003</v>
      </c>
      <c r="H7" s="240" t="s">
        <v>65</v>
      </c>
      <c r="I7" s="240"/>
      <c r="J7" s="240">
        <f t="shared" si="0"/>
        <v>0.53180741237716811</v>
      </c>
      <c r="K7" s="240">
        <f t="shared" si="1"/>
        <v>0.5079861420295354</v>
      </c>
      <c r="L7" s="35"/>
      <c r="M7" s="35"/>
      <c r="N7" s="35"/>
      <c r="O7" s="35"/>
      <c r="P7" s="35"/>
      <c r="Q7" s="32"/>
    </row>
    <row r="8" spans="1:17" x14ac:dyDescent="0.2">
      <c r="A8" s="245" t="s">
        <v>150</v>
      </c>
      <c r="B8" s="243">
        <f>Fondos!F84/1000000</f>
        <v>1.39289</v>
      </c>
      <c r="C8" s="243">
        <v>6.9472839300000002</v>
      </c>
      <c r="D8" s="240" t="s">
        <v>65</v>
      </c>
      <c r="E8" s="243">
        <v>1.2293760899999999</v>
      </c>
      <c r="F8" s="240" t="s">
        <v>65</v>
      </c>
      <c r="G8" s="243">
        <v>3.8030603699999999</v>
      </c>
      <c r="H8" s="240" t="s">
        <v>65</v>
      </c>
      <c r="I8" s="240"/>
      <c r="J8" s="240">
        <f t="shared" si="0"/>
        <v>-0.67674031690430414</v>
      </c>
      <c r="K8" s="240">
        <f t="shared" si="1"/>
        <v>0.82676141162597439</v>
      </c>
      <c r="L8" s="35"/>
      <c r="M8" s="35"/>
      <c r="N8" s="35"/>
      <c r="O8" s="35"/>
      <c r="P8" s="35"/>
      <c r="Q8" s="32"/>
    </row>
    <row r="9" spans="1:17" x14ac:dyDescent="0.2">
      <c r="A9" s="234" t="s">
        <v>184</v>
      </c>
      <c r="B9" s="239">
        <f>SUM(B10:B13)</f>
        <v>96.297466999999997</v>
      </c>
      <c r="C9" s="239">
        <f>SUM(C10:C13)</f>
        <v>90.925300880000009</v>
      </c>
      <c r="D9" s="240">
        <f>C9/C50</f>
        <v>0.18237153255088565</v>
      </c>
      <c r="E9" s="239">
        <f>SUM(E10:E13)</f>
        <v>79.008233850000011</v>
      </c>
      <c r="F9" s="240">
        <f>E9/E50</f>
        <v>0.12724940578292979</v>
      </c>
      <c r="G9" s="239">
        <f>SUM(G10:G13)</f>
        <v>75.570691929999995</v>
      </c>
      <c r="H9" s="240">
        <f>G9/G50</f>
        <v>0.15870296267703596</v>
      </c>
      <c r="I9" s="240"/>
      <c r="J9" s="237">
        <f t="shared" si="0"/>
        <v>4.5487765590186191E-2</v>
      </c>
      <c r="K9" s="237">
        <f t="shared" si="1"/>
        <v>0.20318206116496537</v>
      </c>
      <c r="L9" s="35"/>
      <c r="M9" s="35"/>
      <c r="N9" s="35"/>
      <c r="O9" s="35"/>
      <c r="P9" s="35"/>
      <c r="Q9" s="32"/>
    </row>
    <row r="10" spans="1:17" x14ac:dyDescent="0.2">
      <c r="A10" s="246" t="s">
        <v>153</v>
      </c>
      <c r="B10" s="243">
        <f>Fondos!I84/1000000</f>
        <v>10.811002</v>
      </c>
      <c r="C10" s="243">
        <v>20.880984880000003</v>
      </c>
      <c r="D10" s="240" t="s">
        <v>65</v>
      </c>
      <c r="E10" s="243">
        <v>10.421425189999999</v>
      </c>
      <c r="F10" s="240" t="s">
        <v>65</v>
      </c>
      <c r="G10" s="243">
        <v>7.5872099200000003</v>
      </c>
      <c r="H10" s="240" t="s">
        <v>65</v>
      </c>
      <c r="I10" s="240"/>
      <c r="J10" s="240">
        <f t="shared" si="0"/>
        <v>0.37355171398763654</v>
      </c>
      <c r="K10" s="240">
        <f t="shared" si="1"/>
        <v>1.7521295838879338</v>
      </c>
      <c r="L10" s="35"/>
      <c r="M10" s="35"/>
      <c r="N10" s="35"/>
      <c r="O10" s="35"/>
      <c r="P10" s="35"/>
      <c r="Q10" s="32"/>
    </row>
    <row r="11" spans="1:17" x14ac:dyDescent="0.2">
      <c r="A11" s="244" t="s">
        <v>185</v>
      </c>
      <c r="B11" s="243">
        <f>Fondos!J84/1000000</f>
        <v>9.5003759999999993</v>
      </c>
      <c r="C11" s="243">
        <v>14.032930910000001</v>
      </c>
      <c r="D11" s="240" t="s">
        <v>65</v>
      </c>
      <c r="E11" s="243">
        <v>6.29273974</v>
      </c>
      <c r="F11" s="240" t="s">
        <v>65</v>
      </c>
      <c r="G11" s="243">
        <v>9.4685271499999981</v>
      </c>
      <c r="H11" s="240" t="s">
        <v>65</v>
      </c>
      <c r="I11" s="240"/>
      <c r="J11" s="240">
        <f t="shared" si="0"/>
        <v>-0.33540458401706108</v>
      </c>
      <c r="K11" s="240">
        <f t="shared" si="1"/>
        <v>0.48206058742726465</v>
      </c>
      <c r="L11" s="35"/>
      <c r="M11" s="35"/>
      <c r="N11" s="35"/>
      <c r="O11" s="35"/>
      <c r="P11" s="35"/>
      <c r="Q11" s="32"/>
    </row>
    <row r="12" spans="1:17" x14ac:dyDescent="0.2">
      <c r="A12" s="244" t="s">
        <v>186</v>
      </c>
      <c r="B12" s="243">
        <f>Fondos!H84/1000000</f>
        <v>34.995547000000002</v>
      </c>
      <c r="C12" s="243">
        <v>3.7978730700000005</v>
      </c>
      <c r="D12" s="240" t="s">
        <v>65</v>
      </c>
      <c r="E12" s="243">
        <v>15.56131669</v>
      </c>
      <c r="F12" s="240" t="s">
        <v>65</v>
      </c>
      <c r="G12" s="243">
        <v>15.46641149</v>
      </c>
      <c r="H12" s="240" t="s">
        <v>65</v>
      </c>
      <c r="I12" s="240"/>
      <c r="J12" s="240">
        <f t="shared" si="0"/>
        <v>6.1362133072278332E-3</v>
      </c>
      <c r="K12" s="240">
        <f t="shared" si="1"/>
        <v>-0.75444381054677345</v>
      </c>
      <c r="L12" s="35"/>
      <c r="M12" s="35"/>
      <c r="N12" s="35"/>
      <c r="O12" s="35"/>
      <c r="P12" s="35"/>
      <c r="Q12" s="32"/>
    </row>
    <row r="13" spans="1:17" x14ac:dyDescent="0.2">
      <c r="A13" s="245" t="s">
        <v>155</v>
      </c>
      <c r="B13" s="243">
        <f>Fondos!K84/1000000</f>
        <v>40.990541999999998</v>
      </c>
      <c r="C13" s="243">
        <v>52.21351202000001</v>
      </c>
      <c r="D13" s="240" t="s">
        <v>65</v>
      </c>
      <c r="E13" s="243">
        <v>46.732752230000003</v>
      </c>
      <c r="F13" s="240" t="s">
        <v>65</v>
      </c>
      <c r="G13" s="243">
        <v>43.048543369999997</v>
      </c>
      <c r="H13" s="240" t="s">
        <v>65</v>
      </c>
      <c r="I13" s="240"/>
      <c r="J13" s="240">
        <f t="shared" si="0"/>
        <v>8.5582660215339251E-2</v>
      </c>
      <c r="K13" s="240">
        <f t="shared" si="1"/>
        <v>0.21289846142359761</v>
      </c>
      <c r="L13" s="35"/>
      <c r="M13" s="35"/>
      <c r="N13" s="35"/>
      <c r="O13" s="35"/>
      <c r="P13" s="35"/>
      <c r="Q13" s="56"/>
    </row>
    <row r="14" spans="1:17" x14ac:dyDescent="0.2">
      <c r="A14" s="234" t="s">
        <v>187</v>
      </c>
      <c r="B14" s="238">
        <f>SUM(B15:B17)</f>
        <v>25.272532999999999</v>
      </c>
      <c r="C14" s="238">
        <f>SUM(C15:C17)</f>
        <v>26.522388320000001</v>
      </c>
      <c r="D14" s="240">
        <f>C14/C50</f>
        <v>5.3196729161355392E-2</v>
      </c>
      <c r="E14" s="238">
        <f>SUM(E15:E17)</f>
        <v>25.51059618</v>
      </c>
      <c r="F14" s="240">
        <f>E14/E50</f>
        <v>4.1086960774700039E-2</v>
      </c>
      <c r="G14" s="238">
        <f>SUM(G15:G17)</f>
        <v>18.273326389999998</v>
      </c>
      <c r="H14" s="240">
        <f>G14/G50</f>
        <v>3.8375075865968271E-2</v>
      </c>
      <c r="I14" s="240"/>
      <c r="J14" s="237">
        <f t="shared" si="0"/>
        <v>0.39605650528743191</v>
      </c>
      <c r="K14" s="237">
        <f t="shared" si="1"/>
        <v>0.45142639900058201</v>
      </c>
      <c r="L14" s="35"/>
      <c r="M14" s="35"/>
      <c r="N14" s="35"/>
      <c r="O14" s="35"/>
      <c r="P14" s="35"/>
      <c r="Q14" s="32"/>
    </row>
    <row r="15" spans="1:17" x14ac:dyDescent="0.2">
      <c r="A15" s="242" t="s">
        <v>188</v>
      </c>
      <c r="B15" s="243">
        <f>Fondos!M84/1000000</f>
        <v>15.484078999999999</v>
      </c>
      <c r="C15" s="243">
        <v>20.179361080000003</v>
      </c>
      <c r="D15" s="240" t="s">
        <v>65</v>
      </c>
      <c r="E15" s="243">
        <v>21.87409328</v>
      </c>
      <c r="F15" s="240" t="s">
        <v>65</v>
      </c>
      <c r="G15" s="243">
        <v>15.715955409999999</v>
      </c>
      <c r="H15" s="240" t="s">
        <v>65</v>
      </c>
      <c r="I15" s="240"/>
      <c r="J15" s="240">
        <f t="shared" si="0"/>
        <v>0.39183986651435793</v>
      </c>
      <c r="K15" s="240">
        <f t="shared" si="1"/>
        <v>0.28400472981489605</v>
      </c>
      <c r="L15" s="35"/>
      <c r="M15" s="35"/>
      <c r="N15" s="35"/>
      <c r="O15" s="35"/>
      <c r="P15" s="35"/>
      <c r="Q15" s="32"/>
    </row>
    <row r="16" spans="1:17" x14ac:dyDescent="0.2">
      <c r="A16" s="246" t="s">
        <v>157</v>
      </c>
      <c r="B16" s="243">
        <f>Fondos!N84/1000000</f>
        <v>6.6298269999999997</v>
      </c>
      <c r="C16" s="243">
        <v>6.0465932599999999</v>
      </c>
      <c r="D16" s="240" t="s">
        <v>65</v>
      </c>
      <c r="E16" s="243">
        <v>3.3651010800000001</v>
      </c>
      <c r="F16" s="240" t="s">
        <v>65</v>
      </c>
      <c r="G16" s="243">
        <v>1.9091946299999998</v>
      </c>
      <c r="H16" s="240" t="s">
        <v>65</v>
      </c>
      <c r="I16" s="240"/>
      <c r="J16" s="240">
        <f t="shared" si="0"/>
        <v>0.76257623351894743</v>
      </c>
      <c r="K16" s="240">
        <f t="shared" si="1"/>
        <v>2.1670910681327449</v>
      </c>
      <c r="L16" s="35"/>
      <c r="M16" s="35"/>
      <c r="N16" s="35"/>
      <c r="O16" s="35"/>
      <c r="P16" s="35"/>
      <c r="Q16" s="32"/>
    </row>
    <row r="17" spans="1:17" x14ac:dyDescent="0.2">
      <c r="A17" s="244" t="s">
        <v>158</v>
      </c>
      <c r="B17" s="243">
        <f>Fondos!O84/1000000</f>
        <v>3.1586270000000001</v>
      </c>
      <c r="C17" s="243">
        <v>0.29643397999999999</v>
      </c>
      <c r="D17" s="240" t="s">
        <v>65</v>
      </c>
      <c r="E17" s="243">
        <v>0.27140182000000002</v>
      </c>
      <c r="F17" s="240" t="s">
        <v>65</v>
      </c>
      <c r="G17" s="243">
        <v>0.64817635000000007</v>
      </c>
      <c r="H17" s="240" t="s">
        <v>65</v>
      </c>
      <c r="I17" s="240"/>
      <c r="J17" s="240">
        <f t="shared" si="0"/>
        <v>-0.5812839823606647</v>
      </c>
      <c r="K17" s="240">
        <f t="shared" si="1"/>
        <v>-0.54266461588732762</v>
      </c>
      <c r="L17" s="35"/>
      <c r="M17" s="35"/>
      <c r="N17" s="35"/>
      <c r="O17" s="35"/>
      <c r="P17" s="35"/>
      <c r="Q17" s="32"/>
    </row>
    <row r="18" spans="1:17" x14ac:dyDescent="0.2">
      <c r="A18" s="234" t="s">
        <v>189</v>
      </c>
      <c r="B18" s="238">
        <f>SUM(B19:B22)</f>
        <v>9.8503540000000012</v>
      </c>
      <c r="C18" s="238">
        <f>SUM(C19:C22)</f>
        <v>9.5150072899999998</v>
      </c>
      <c r="D18" s="240">
        <f>C18/C50</f>
        <v>1.9084528122709127E-2</v>
      </c>
      <c r="E18" s="238">
        <f>SUM(E19:E22)</f>
        <v>9.009119870000001</v>
      </c>
      <c r="F18" s="240">
        <f>E18/E50</f>
        <v>1.4509945283186273E-2</v>
      </c>
      <c r="G18" s="238">
        <f>SUM(G19:G22)</f>
        <v>8.385659930000001</v>
      </c>
      <c r="H18" s="240">
        <f>G18/G50</f>
        <v>1.7610386260930803E-2</v>
      </c>
      <c r="I18" s="240"/>
      <c r="J18" s="237">
        <f t="shared" si="0"/>
        <v>7.4348345294751289E-2</v>
      </c>
      <c r="K18" s="237">
        <f t="shared" si="1"/>
        <v>0.13467602662489542</v>
      </c>
      <c r="L18" s="35"/>
      <c r="M18" s="35"/>
      <c r="N18" s="35"/>
      <c r="O18" s="35"/>
      <c r="P18" s="35"/>
      <c r="Q18" s="32"/>
    </row>
    <row r="19" spans="1:17" x14ac:dyDescent="0.2">
      <c r="A19" s="246" t="s">
        <v>190</v>
      </c>
      <c r="B19" s="243">
        <f>Fondos!Q84/1000000</f>
        <v>8.9517070000000007</v>
      </c>
      <c r="C19" s="243">
        <v>8.6907495299999997</v>
      </c>
      <c r="D19" s="240" t="s">
        <v>65</v>
      </c>
      <c r="E19" s="243">
        <v>8.2859736900000005</v>
      </c>
      <c r="F19" s="240" t="s">
        <v>65</v>
      </c>
      <c r="G19" s="243">
        <v>7.7050642600000003</v>
      </c>
      <c r="H19" s="240" t="s">
        <v>65</v>
      </c>
      <c r="I19" s="240"/>
      <c r="J19" s="240">
        <f t="shared" si="0"/>
        <v>7.5393197304755522E-2</v>
      </c>
      <c r="K19" s="240">
        <f t="shared" si="1"/>
        <v>0.12792693697794019</v>
      </c>
      <c r="L19" s="35"/>
      <c r="M19" s="35"/>
      <c r="N19" s="35"/>
      <c r="O19" s="35"/>
      <c r="P19" s="35"/>
      <c r="Q19" s="32"/>
    </row>
    <row r="20" spans="1:17" x14ac:dyDescent="0.2">
      <c r="A20" s="244" t="s">
        <v>160</v>
      </c>
      <c r="B20" s="243">
        <f>Fondos!R84/1000000</f>
        <v>6.9559999999999997E-2</v>
      </c>
      <c r="C20" s="243">
        <v>7.4680300000000005E-2</v>
      </c>
      <c r="D20" s="240" t="s">
        <v>65</v>
      </c>
      <c r="E20" s="243">
        <v>7.6356190000000004E-2</v>
      </c>
      <c r="F20" s="240" t="s">
        <v>65</v>
      </c>
      <c r="G20" s="243">
        <v>9.0694429999999993E-2</v>
      </c>
      <c r="H20" s="240" t="s">
        <v>65</v>
      </c>
      <c r="I20" s="240"/>
      <c r="J20" s="240">
        <f t="shared" si="0"/>
        <v>-0.15809394248356806</v>
      </c>
      <c r="K20" s="240">
        <f t="shared" si="1"/>
        <v>-0.17657236502837043</v>
      </c>
      <c r="L20" s="35"/>
      <c r="M20" s="35"/>
      <c r="N20" s="35"/>
      <c r="O20" s="35"/>
      <c r="P20" s="35"/>
      <c r="Q20" s="32"/>
    </row>
    <row r="21" spans="1:17" x14ac:dyDescent="0.2">
      <c r="A21" s="244" t="s">
        <v>161</v>
      </c>
      <c r="B21" s="243">
        <f>Fondos!S84/1000000</f>
        <v>5.9707999999999997E-2</v>
      </c>
      <c r="C21" s="243">
        <v>7.330565E-2</v>
      </c>
      <c r="D21" s="240" t="s">
        <v>65</v>
      </c>
      <c r="E21" s="243">
        <v>9.2774919999999997E-2</v>
      </c>
      <c r="F21" s="240" t="s">
        <v>65</v>
      </c>
      <c r="G21" s="243">
        <v>0.2028741</v>
      </c>
      <c r="H21" s="240" t="s">
        <v>65</v>
      </c>
      <c r="I21" s="240"/>
      <c r="J21" s="240">
        <f t="shared" si="0"/>
        <v>-0.54269707173069404</v>
      </c>
      <c r="K21" s="240">
        <f t="shared" si="1"/>
        <v>-0.63866432432725517</v>
      </c>
      <c r="L21" s="35"/>
      <c r="M21" s="35"/>
      <c r="N21" s="35"/>
      <c r="O21" s="35"/>
      <c r="P21" s="35"/>
      <c r="Q21" s="32"/>
    </row>
    <row r="22" spans="1:17" x14ac:dyDescent="0.2">
      <c r="A22" s="244" t="s">
        <v>162</v>
      </c>
      <c r="B22" s="243">
        <f>Fondos!T84/1000000</f>
        <v>0.76937900000000004</v>
      </c>
      <c r="C22" s="243">
        <v>0.67627180999999992</v>
      </c>
      <c r="D22" s="240" t="s">
        <v>65</v>
      </c>
      <c r="E22" s="243">
        <v>0.55401507000000005</v>
      </c>
      <c r="F22" s="240" t="s">
        <v>65</v>
      </c>
      <c r="G22" s="243">
        <v>0.38702713999999999</v>
      </c>
      <c r="H22" s="240" t="s">
        <v>65</v>
      </c>
      <c r="I22" s="240"/>
      <c r="J22" s="240">
        <f t="shared" si="0"/>
        <v>0.43146310101146929</v>
      </c>
      <c r="K22" s="240">
        <f t="shared" si="1"/>
        <v>0.74734983701659763</v>
      </c>
      <c r="L22" s="35"/>
      <c r="M22" s="35"/>
      <c r="N22" s="35"/>
      <c r="O22" s="35"/>
      <c r="P22" s="35"/>
      <c r="Q22" s="32"/>
    </row>
    <row r="23" spans="1:17" x14ac:dyDescent="0.2">
      <c r="A23" s="247" t="s">
        <v>143</v>
      </c>
      <c r="B23" s="238">
        <f>Fondos!V84/1000000</f>
        <v>2.1706050000000001</v>
      </c>
      <c r="C23" s="238">
        <v>1.21758992</v>
      </c>
      <c r="D23" s="240">
        <f>C23/C50</f>
        <v>2.442155677020733E-3</v>
      </c>
      <c r="E23" s="238">
        <v>1.0883638999999998</v>
      </c>
      <c r="F23" s="240">
        <f>E23/E50</f>
        <v>1.7529016002753232E-3</v>
      </c>
      <c r="G23" s="238">
        <v>1.1183156500000002</v>
      </c>
      <c r="H23" s="240">
        <f>G23/G50</f>
        <v>2.3485295996428395E-3</v>
      </c>
      <c r="I23" s="240"/>
      <c r="J23" s="237">
        <f t="shared" si="0"/>
        <v>-2.6782912319970112E-2</v>
      </c>
      <c r="K23" s="237">
        <f t="shared" si="1"/>
        <v>8.8771242716669266E-2</v>
      </c>
      <c r="L23" s="35"/>
      <c r="M23" s="35"/>
      <c r="N23" s="35"/>
      <c r="O23" s="35"/>
      <c r="P23" s="35"/>
      <c r="Q23" s="32"/>
    </row>
    <row r="24" spans="1:17" x14ac:dyDescent="0.2">
      <c r="A24" s="234" t="s">
        <v>191</v>
      </c>
      <c r="B24" s="238">
        <f>Fondos!W84/1000000</f>
        <v>36.146101000000002</v>
      </c>
      <c r="C24" s="238">
        <v>16.742976049999999</v>
      </c>
      <c r="D24" s="240">
        <f>C24/C50</f>
        <v>3.3581876245106945E-2</v>
      </c>
      <c r="E24" s="238">
        <v>14.315052549999999</v>
      </c>
      <c r="F24" s="240">
        <f>E24/E50</f>
        <v>2.3055596131882315E-2</v>
      </c>
      <c r="G24" s="238">
        <v>13.654313</v>
      </c>
      <c r="H24" s="240">
        <f>G24/G50</f>
        <v>2.8674872110828468E-2</v>
      </c>
      <c r="I24" s="240"/>
      <c r="J24" s="237">
        <f t="shared" si="0"/>
        <v>4.8390537846905869E-2</v>
      </c>
      <c r="K24" s="237">
        <f t="shared" si="1"/>
        <v>0.22620420741783195</v>
      </c>
      <c r="L24" s="35"/>
      <c r="M24" s="35"/>
      <c r="N24" s="35"/>
      <c r="O24" s="35"/>
      <c r="P24" s="35"/>
      <c r="Q24" s="30"/>
    </row>
    <row r="25" spans="1:17" x14ac:dyDescent="0.2">
      <c r="A25" s="248" t="s">
        <v>124</v>
      </c>
      <c r="B25" s="238">
        <f>B24+B23+B18+B14+B9+B5</f>
        <v>327.64548500000001</v>
      </c>
      <c r="C25" s="238">
        <f>C24+C23+C18+C14+C9+C5</f>
        <v>299.73322113999996</v>
      </c>
      <c r="D25" s="240">
        <f>C25/C50</f>
        <v>0.6011836789834476</v>
      </c>
      <c r="E25" s="238">
        <f>E24+E23+E18+E14+E9+E5</f>
        <v>276.25885243000005</v>
      </c>
      <c r="F25" s="240">
        <f>F24+F23+F18+F14+F9+F5</f>
        <v>0.44493811721867249</v>
      </c>
      <c r="G25" s="238">
        <f>G24+G23+G18+G14+G9+G5</f>
        <v>229.56583696999996</v>
      </c>
      <c r="H25" s="240">
        <f>G25/G50</f>
        <v>0.48210195680515361</v>
      </c>
      <c r="I25" s="240"/>
      <c r="J25" s="237">
        <f t="shared" si="0"/>
        <v>0.20339705627062446</v>
      </c>
      <c r="K25" s="237">
        <f t="shared" si="1"/>
        <v>0.30565255308075118</v>
      </c>
      <c r="L25" s="35"/>
      <c r="M25" s="35"/>
      <c r="N25" s="35"/>
      <c r="O25" s="35"/>
      <c r="P25" s="35"/>
      <c r="Q25" s="30"/>
    </row>
    <row r="26" spans="1:17" x14ac:dyDescent="0.2">
      <c r="A26" s="361"/>
      <c r="B26" s="361"/>
      <c r="C26" s="362"/>
      <c r="D26" s="362"/>
      <c r="E26" s="271"/>
      <c r="F26" s="271"/>
      <c r="G26" s="271"/>
      <c r="H26" s="271"/>
      <c r="I26" s="271"/>
      <c r="J26" s="237"/>
      <c r="K26" s="230" t="s">
        <v>65</v>
      </c>
      <c r="L26" s="271"/>
      <c r="M26" s="271"/>
      <c r="N26" s="271"/>
      <c r="O26" s="271"/>
      <c r="P26" s="271"/>
      <c r="Q26" s="30"/>
    </row>
    <row r="27" spans="1:17" x14ac:dyDescent="0.2">
      <c r="A27" s="43"/>
      <c r="B27" s="43"/>
      <c r="C27" s="44"/>
      <c r="D27" s="32"/>
      <c r="E27" s="32"/>
      <c r="F27" s="32"/>
      <c r="G27" s="32"/>
      <c r="H27" s="32"/>
      <c r="I27" s="32"/>
      <c r="J27" s="237"/>
      <c r="K27" s="230" t="s">
        <v>65</v>
      </c>
      <c r="L27" s="32"/>
      <c r="M27" s="32"/>
      <c r="N27" s="32"/>
      <c r="O27" s="32"/>
      <c r="P27" s="32"/>
      <c r="Q27" s="32"/>
    </row>
    <row r="28" spans="1:17" ht="15" customHeight="1" x14ac:dyDescent="0.2">
      <c r="A28" s="359" t="s">
        <v>192</v>
      </c>
      <c r="B28" s="359"/>
      <c r="C28" s="359"/>
      <c r="D28" s="359"/>
      <c r="E28" s="270"/>
      <c r="F28" s="270"/>
      <c r="G28" s="270"/>
      <c r="H28" s="270"/>
      <c r="I28" s="270"/>
      <c r="J28" s="237" t="s">
        <v>65</v>
      </c>
      <c r="K28" s="240" t="s">
        <v>65</v>
      </c>
      <c r="L28" s="266"/>
      <c r="M28" s="266"/>
      <c r="N28" s="266"/>
      <c r="O28" s="266"/>
      <c r="P28" s="266"/>
      <c r="Q28" s="32"/>
    </row>
    <row r="29" spans="1:17" x14ac:dyDescent="0.2">
      <c r="A29" s="249"/>
      <c r="B29" s="250" t="s">
        <v>127</v>
      </c>
      <c r="C29" s="250" t="s">
        <v>127</v>
      </c>
      <c r="D29" s="251" t="s">
        <v>128</v>
      </c>
      <c r="E29" s="250" t="s">
        <v>127</v>
      </c>
      <c r="F29" s="251" t="s">
        <v>128</v>
      </c>
      <c r="G29" s="250" t="s">
        <v>127</v>
      </c>
      <c r="H29" s="251" t="s">
        <v>128</v>
      </c>
      <c r="I29" s="251"/>
      <c r="J29" s="237" t="s">
        <v>65</v>
      </c>
      <c r="K29" s="240" t="s">
        <v>65</v>
      </c>
      <c r="L29" s="46"/>
      <c r="M29" s="46"/>
      <c r="N29" s="46"/>
      <c r="O29" s="46"/>
      <c r="P29" s="46"/>
      <c r="Q29" s="32"/>
    </row>
    <row r="30" spans="1:17" x14ac:dyDescent="0.2">
      <c r="A30" s="234" t="s">
        <v>193</v>
      </c>
      <c r="B30" s="252">
        <f>SUM(B31:B35)</f>
        <v>18.561674</v>
      </c>
      <c r="C30" s="252">
        <f>SUM(C31:C35)</f>
        <v>31.515468210000005</v>
      </c>
      <c r="D30" s="240">
        <f>C30/C50</f>
        <v>6.3211495380167029E-2</v>
      </c>
      <c r="E30" s="252">
        <f>SUM(E31:E35)</f>
        <v>154.32868246999999</v>
      </c>
      <c r="F30" s="240">
        <f>E30/E50</f>
        <v>0.24855932328336622</v>
      </c>
      <c r="G30" s="252">
        <f>SUM(G31:G35)</f>
        <v>70.309389280000005</v>
      </c>
      <c r="H30" s="253">
        <f>G30/G50</f>
        <v>0.14765391314776907</v>
      </c>
      <c r="I30" s="253"/>
      <c r="J30" s="237">
        <f t="shared" si="0"/>
        <v>1.1949939268481153</v>
      </c>
      <c r="K30" s="237">
        <f t="shared" si="1"/>
        <v>-0.55176017694460611</v>
      </c>
      <c r="L30" s="47"/>
      <c r="M30" s="47"/>
      <c r="N30" s="47"/>
      <c r="O30" s="47"/>
      <c r="P30" s="47"/>
      <c r="Q30" s="32"/>
    </row>
    <row r="31" spans="1:17" x14ac:dyDescent="0.2">
      <c r="A31" s="246" t="s">
        <v>194</v>
      </c>
      <c r="B31" s="243">
        <f>Fondos!Z84/1000000</f>
        <v>2.1595629999999999</v>
      </c>
      <c r="C31" s="254">
        <v>7.2666076799999999</v>
      </c>
      <c r="D31" s="255"/>
      <c r="E31" s="254">
        <v>137.95422431</v>
      </c>
      <c r="F31" s="255"/>
      <c r="G31" s="254">
        <v>55.626654660000007</v>
      </c>
      <c r="H31" s="253" t="s">
        <v>65</v>
      </c>
      <c r="I31" s="253"/>
      <c r="J31" s="240">
        <f t="shared" si="0"/>
        <v>1.480002170779471</v>
      </c>
      <c r="K31" s="240">
        <f t="shared" si="1"/>
        <v>-0.86936824217787678</v>
      </c>
      <c r="L31" s="47"/>
      <c r="M31" s="47"/>
      <c r="N31" s="47"/>
      <c r="O31" s="47"/>
      <c r="P31" s="47"/>
      <c r="Q31" s="32"/>
    </row>
    <row r="32" spans="1:17" x14ac:dyDescent="0.2">
      <c r="A32" s="246" t="s">
        <v>195</v>
      </c>
      <c r="B32" s="243">
        <f>Fondos!AA84/1000000</f>
        <v>12.24994</v>
      </c>
      <c r="C32" s="254">
        <v>13.998477540000001</v>
      </c>
      <c r="D32" s="255"/>
      <c r="E32" s="254">
        <v>14.836251989999999</v>
      </c>
      <c r="F32" s="255"/>
      <c r="G32" s="254">
        <v>9.200121799999998</v>
      </c>
      <c r="H32" s="253" t="s">
        <v>65</v>
      </c>
      <c r="I32" s="253"/>
      <c r="J32" s="240">
        <f t="shared" si="0"/>
        <v>0.61261473625273122</v>
      </c>
      <c r="K32" s="240">
        <f t="shared" si="1"/>
        <v>0.52155350160690317</v>
      </c>
      <c r="L32" s="47"/>
      <c r="M32" s="47"/>
      <c r="N32" s="47"/>
      <c r="O32" s="47"/>
      <c r="P32" s="47"/>
      <c r="Q32" s="32"/>
    </row>
    <row r="33" spans="1:17" x14ac:dyDescent="0.2">
      <c r="A33" s="246" t="s">
        <v>196</v>
      </c>
      <c r="B33" s="243">
        <f>0</f>
        <v>0</v>
      </c>
      <c r="C33" s="254">
        <v>1.15E-2</v>
      </c>
      <c r="D33" s="255"/>
      <c r="E33" s="254">
        <v>2.64E-2</v>
      </c>
      <c r="F33" s="255"/>
      <c r="G33" s="254">
        <v>1.7182850000000001</v>
      </c>
      <c r="H33" s="253" t="s">
        <v>65</v>
      </c>
      <c r="I33" s="253"/>
      <c r="J33" s="240">
        <f t="shared" si="0"/>
        <v>-0.98463584329724119</v>
      </c>
      <c r="K33" s="240">
        <f t="shared" si="1"/>
        <v>-0.99330728022417702</v>
      </c>
      <c r="L33" s="47"/>
      <c r="M33" s="47"/>
      <c r="N33" s="47"/>
      <c r="O33" s="47"/>
      <c r="P33" s="47"/>
      <c r="Q33" s="32"/>
    </row>
    <row r="34" spans="1:17" x14ac:dyDescent="0.2">
      <c r="A34" s="244" t="s">
        <v>167</v>
      </c>
      <c r="B34" s="243">
        <f>Fondos!AC84/1000000</f>
        <v>1.4799180000000001</v>
      </c>
      <c r="C34" s="254">
        <v>8.8064419600000008</v>
      </c>
      <c r="D34" s="256"/>
      <c r="E34" s="254">
        <v>8.9666059999999992E-2</v>
      </c>
      <c r="F34" s="256"/>
      <c r="G34" s="254">
        <v>0.87686412999999996</v>
      </c>
      <c r="H34" s="253" t="s">
        <v>65</v>
      </c>
      <c r="I34" s="253"/>
      <c r="J34" s="240">
        <f t="shared" si="0"/>
        <v>-0.89774235604779495</v>
      </c>
      <c r="K34" s="240">
        <f t="shared" si="1"/>
        <v>9.0431089135782088</v>
      </c>
      <c r="L34" s="47"/>
      <c r="M34" s="47"/>
      <c r="N34" s="47"/>
      <c r="O34" s="47"/>
      <c r="P34" s="47"/>
      <c r="Q34" s="32"/>
    </row>
    <row r="35" spans="1:17" x14ac:dyDescent="0.2">
      <c r="A35" s="244" t="s">
        <v>197</v>
      </c>
      <c r="B35" s="243">
        <f>Fondos!AD84/1000000</f>
        <v>2.672253</v>
      </c>
      <c r="C35" s="254">
        <v>1.4324410300000001</v>
      </c>
      <c r="D35" s="256"/>
      <c r="E35" s="254">
        <v>1.4221401100000002</v>
      </c>
      <c r="F35" s="256"/>
      <c r="G35" s="254">
        <v>2.8874636900000001</v>
      </c>
      <c r="H35" s="253" t="s">
        <v>65</v>
      </c>
      <c r="I35" s="253"/>
      <c r="J35" s="240">
        <f t="shared" si="0"/>
        <v>-0.5074777511747689</v>
      </c>
      <c r="K35" s="240">
        <f t="shared" si="1"/>
        <v>-0.50391028813248906</v>
      </c>
      <c r="L35" s="47"/>
      <c r="M35" s="47"/>
      <c r="N35" s="47"/>
      <c r="O35" s="47"/>
      <c r="P35" s="47"/>
      <c r="Q35" s="32"/>
    </row>
    <row r="36" spans="1:17" x14ac:dyDescent="0.2">
      <c r="A36" s="234" t="s">
        <v>145</v>
      </c>
      <c r="B36" s="252">
        <f>SUM(B37:B40)</f>
        <v>65.278726000000006</v>
      </c>
      <c r="C36" s="252">
        <f>SUM(C37:C40)</f>
        <v>53.805427379999998</v>
      </c>
      <c r="D36" s="240">
        <f>C36/C50</f>
        <v>0.10791911773595643</v>
      </c>
      <c r="E36" s="252">
        <f>SUM(E37:E40)</f>
        <v>60.162101099999994</v>
      </c>
      <c r="F36" s="240">
        <f>E36/E50</f>
        <v>9.68961238921245E-2</v>
      </c>
      <c r="G36" s="252">
        <f>SUM(G37:G40)</f>
        <v>56.330950460000011</v>
      </c>
      <c r="H36" s="253">
        <f>G36/G50</f>
        <v>0.11829835747297682</v>
      </c>
      <c r="I36" s="253"/>
      <c r="J36" s="237">
        <f t="shared" si="0"/>
        <v>6.8011468095508898E-2</v>
      </c>
      <c r="K36" s="240">
        <f t="shared" si="1"/>
        <v>-4.4833667093782836E-2</v>
      </c>
      <c r="L36" s="47"/>
      <c r="M36" s="47"/>
      <c r="N36" s="47"/>
      <c r="O36" s="47"/>
      <c r="P36" s="47"/>
      <c r="Q36" s="32"/>
    </row>
    <row r="37" spans="1:17" x14ac:dyDescent="0.2">
      <c r="A37" s="246" t="s">
        <v>198</v>
      </c>
      <c r="B37" s="243">
        <f>Fondos!AF84/1000000</f>
        <v>42.084760000000003</v>
      </c>
      <c r="C37" s="257">
        <v>36.606961089999999</v>
      </c>
      <c r="D37" s="255"/>
      <c r="E37" s="257">
        <v>44.158893699999993</v>
      </c>
      <c r="F37" s="255"/>
      <c r="G37" s="257">
        <v>24.928301770000004</v>
      </c>
      <c r="H37" s="253" t="s">
        <v>65</v>
      </c>
      <c r="I37" s="253"/>
      <c r="J37" s="240">
        <f t="shared" si="0"/>
        <v>0.77143610132091178</v>
      </c>
      <c r="K37" s="240">
        <f t="shared" si="1"/>
        <v>0.46848996886160499</v>
      </c>
      <c r="L37" s="47"/>
      <c r="M37" s="47"/>
      <c r="N37" s="47"/>
      <c r="O37" s="47"/>
      <c r="P37" s="47"/>
      <c r="Q37" s="32"/>
    </row>
    <row r="38" spans="1:17" x14ac:dyDescent="0.2">
      <c r="A38" s="244" t="s">
        <v>199</v>
      </c>
      <c r="B38" s="243">
        <f>Fondos!AG84/1000000</f>
        <v>22.432331999999999</v>
      </c>
      <c r="C38" s="254">
        <v>15.964335900000004</v>
      </c>
      <c r="D38" s="256"/>
      <c r="E38" s="254">
        <v>14.83118011</v>
      </c>
      <c r="F38" s="256"/>
      <c r="G38" s="254">
        <v>18.384364619999999</v>
      </c>
      <c r="H38" s="253" t="s">
        <v>65</v>
      </c>
      <c r="I38" s="253"/>
      <c r="J38" s="240">
        <f t="shared" si="0"/>
        <v>-0.19327208654981515</v>
      </c>
      <c r="K38" s="240">
        <f t="shared" si="1"/>
        <v>-0.13163515683143559</v>
      </c>
      <c r="L38" s="47"/>
      <c r="M38" s="47"/>
      <c r="N38" s="47"/>
      <c r="O38" s="47"/>
      <c r="P38" s="47"/>
      <c r="Q38" s="32"/>
    </row>
    <row r="39" spans="1:17" x14ac:dyDescent="0.2">
      <c r="A39" s="244" t="s">
        <v>171</v>
      </c>
      <c r="B39" s="243">
        <f>Fondos!AH84/1000000</f>
        <v>0.43653599999999998</v>
      </c>
      <c r="C39" s="254">
        <v>0.64619078000000008</v>
      </c>
      <c r="D39" s="256"/>
      <c r="E39" s="254">
        <v>0.67802030999999996</v>
      </c>
      <c r="F39" s="256"/>
      <c r="G39" s="254">
        <v>12.487748520000002</v>
      </c>
      <c r="H39" s="253" t="s">
        <v>65</v>
      </c>
      <c r="I39" s="253"/>
      <c r="J39" s="240">
        <f t="shared" si="0"/>
        <v>-0.94570515982812253</v>
      </c>
      <c r="K39" s="240">
        <f t="shared" si="1"/>
        <v>-0.94825402041328111</v>
      </c>
      <c r="L39" s="47"/>
      <c r="M39" s="47"/>
      <c r="N39" s="47"/>
      <c r="O39" s="47"/>
      <c r="P39" s="47"/>
      <c r="Q39" s="32"/>
    </row>
    <row r="40" spans="1:17" x14ac:dyDescent="0.2">
      <c r="A40" s="244" t="s">
        <v>200</v>
      </c>
      <c r="B40" s="243">
        <f>Fondos!AI84/1000000</f>
        <v>0.325098</v>
      </c>
      <c r="C40" s="254">
        <v>0.58793960999999995</v>
      </c>
      <c r="D40" s="256"/>
      <c r="E40" s="254">
        <v>0.49400697999999998</v>
      </c>
      <c r="F40" s="256"/>
      <c r="G40" s="254">
        <v>0.53053554999999997</v>
      </c>
      <c r="H40" s="253" t="s">
        <v>65</v>
      </c>
      <c r="I40" s="253"/>
      <c r="J40" s="240">
        <f t="shared" si="0"/>
        <v>-6.8852256931698511E-2</v>
      </c>
      <c r="K40" s="240">
        <f t="shared" si="1"/>
        <v>0.10820021391591945</v>
      </c>
      <c r="L40" s="47"/>
      <c r="M40" s="47"/>
      <c r="N40" s="47"/>
      <c r="O40" s="47"/>
      <c r="P40" s="47"/>
      <c r="Q40" s="32"/>
    </row>
    <row r="41" spans="1:17" x14ac:dyDescent="0.2">
      <c r="A41" s="234" t="s">
        <v>146</v>
      </c>
      <c r="B41" s="252">
        <f>SUM(B42:B45)</f>
        <v>150.88669999999999</v>
      </c>
      <c r="C41" s="252">
        <f>SUM(C42:C45)</f>
        <v>112.35423861000001</v>
      </c>
      <c r="D41" s="240">
        <f>C41/C50</f>
        <v>0.22535217904789615</v>
      </c>
      <c r="E41" s="252">
        <f>SUM(E42:E45)</f>
        <v>128.97968516</v>
      </c>
      <c r="F41" s="240">
        <f>E41/E50</f>
        <v>0.20773263108044232</v>
      </c>
      <c r="G41" s="252">
        <f>SUM(G42:G45)</f>
        <v>106.72611822999998</v>
      </c>
      <c r="H41" s="253">
        <f>G41/G50</f>
        <v>0.22413121708359904</v>
      </c>
      <c r="I41" s="253"/>
      <c r="J41" s="237">
        <f t="shared" si="0"/>
        <v>0.208510974624248</v>
      </c>
      <c r="K41" s="240">
        <f t="shared" si="1"/>
        <v>5.2734236692382586E-2</v>
      </c>
      <c r="L41" s="47"/>
      <c r="M41" s="47"/>
      <c r="N41" s="47"/>
      <c r="O41" s="47"/>
      <c r="P41" s="47"/>
      <c r="Q41" s="32"/>
    </row>
    <row r="42" spans="1:17" x14ac:dyDescent="0.2">
      <c r="A42" s="246" t="s">
        <v>173</v>
      </c>
      <c r="B42" s="243">
        <f>Fondos!AK84/1000000</f>
        <v>34.198464999999999</v>
      </c>
      <c r="C42" s="257">
        <v>6.760271190000001</v>
      </c>
      <c r="D42" s="240"/>
      <c r="E42" s="257">
        <v>15.048314909999998</v>
      </c>
      <c r="F42" s="240"/>
      <c r="G42" s="257">
        <v>22.641699249999999</v>
      </c>
      <c r="H42" s="253" t="s">
        <v>65</v>
      </c>
      <c r="I42" s="253"/>
      <c r="J42" s="240">
        <f t="shared" si="0"/>
        <v>-0.33537166341435265</v>
      </c>
      <c r="K42" s="240">
        <f t="shared" si="1"/>
        <v>-0.7014238589005195</v>
      </c>
      <c r="L42" s="47"/>
      <c r="M42" s="47"/>
      <c r="N42" s="47"/>
      <c r="O42" s="47"/>
      <c r="P42" s="47"/>
      <c r="Q42" s="32"/>
    </row>
    <row r="43" spans="1:17" x14ac:dyDescent="0.2">
      <c r="A43" s="244" t="s">
        <v>174</v>
      </c>
      <c r="B43" s="243">
        <f>Fondos!AL84/1000000</f>
        <v>56.657468999999999</v>
      </c>
      <c r="C43" s="254">
        <v>51.779121000000004</v>
      </c>
      <c r="D43" s="240"/>
      <c r="E43" s="254">
        <v>53.347754420000001</v>
      </c>
      <c r="F43" s="240"/>
      <c r="G43" s="254">
        <v>55.693215009999989</v>
      </c>
      <c r="H43" s="253" t="s">
        <v>65</v>
      </c>
      <c r="I43" s="253"/>
      <c r="J43" s="240">
        <f t="shared" si="0"/>
        <v>-4.2113937749487955E-2</v>
      </c>
      <c r="K43" s="240">
        <f t="shared" si="1"/>
        <v>-7.02795485823038E-2</v>
      </c>
      <c r="L43" s="47"/>
      <c r="M43" s="47"/>
      <c r="N43" s="47"/>
      <c r="O43" s="47"/>
      <c r="P43" s="47"/>
      <c r="Q43" s="32"/>
    </row>
    <row r="44" spans="1:17" ht="21" x14ac:dyDescent="0.2">
      <c r="A44" s="244" t="s">
        <v>201</v>
      </c>
      <c r="B44" s="243">
        <f>Fondos!AM84/1000000</f>
        <v>36.807975999999996</v>
      </c>
      <c r="C44" s="254">
        <v>23.697146539999999</v>
      </c>
      <c r="D44" s="240"/>
      <c r="E44" s="254">
        <v>25.646214459999996</v>
      </c>
      <c r="F44" s="240"/>
      <c r="G44" s="254">
        <v>18.894608350000002</v>
      </c>
      <c r="H44" s="253"/>
      <c r="I44" s="253"/>
      <c r="J44" s="240">
        <f t="shared" si="0"/>
        <v>0.357329772860838</v>
      </c>
      <c r="K44" s="240">
        <f t="shared" si="1"/>
        <v>0.25417505888657366</v>
      </c>
      <c r="L44" s="47"/>
      <c r="M44" s="47"/>
      <c r="N44" s="47"/>
      <c r="O44" s="47"/>
      <c r="P44" s="47"/>
      <c r="Q44" s="32"/>
    </row>
    <row r="45" spans="1:17" x14ac:dyDescent="0.2">
      <c r="A45" s="246" t="s">
        <v>202</v>
      </c>
      <c r="B45" s="243">
        <f>Fondos!AN84/1000000</f>
        <v>23.22279</v>
      </c>
      <c r="C45" s="257">
        <v>30.11769988</v>
      </c>
      <c r="D45" s="240"/>
      <c r="E45" s="257">
        <v>34.937401370000003</v>
      </c>
      <c r="F45" s="240"/>
      <c r="G45" s="257">
        <v>9.496595619999999</v>
      </c>
      <c r="H45" s="253"/>
      <c r="I45" s="253"/>
      <c r="J45" s="240">
        <f t="shared" si="0"/>
        <v>2.6789395661347539</v>
      </c>
      <c r="K45" s="240">
        <f t="shared" si="1"/>
        <v>2.1714206948615975</v>
      </c>
      <c r="L45" s="47"/>
      <c r="M45" s="47"/>
      <c r="N45" s="47"/>
      <c r="O45" s="47"/>
      <c r="P45" s="47"/>
      <c r="Q45" s="32"/>
    </row>
    <row r="46" spans="1:17" x14ac:dyDescent="0.2">
      <c r="A46" s="234" t="s">
        <v>203</v>
      </c>
      <c r="B46" s="243">
        <f>Fondos!AP84/1000000</f>
        <v>1.0081629999999999</v>
      </c>
      <c r="C46" s="252">
        <v>1.1634316499999999</v>
      </c>
      <c r="D46" s="240">
        <f>C46/C50</f>
        <v>2.3335288525327953E-3</v>
      </c>
      <c r="E46" s="252">
        <v>1.1634316499999999</v>
      </c>
      <c r="F46" s="240">
        <f>E46/E50</f>
        <v>1.8738045253944569E-3</v>
      </c>
      <c r="G46" s="252">
        <v>13.24465006</v>
      </c>
      <c r="H46" s="253">
        <f>G46/G50</f>
        <v>2.7814555490501543E-2</v>
      </c>
      <c r="I46" s="253"/>
      <c r="J46" s="237">
        <f t="shared" si="0"/>
        <v>-0.91215837000377498</v>
      </c>
      <c r="K46" s="240">
        <f t="shared" si="1"/>
        <v>-0.91215837000377498</v>
      </c>
      <c r="L46" s="47"/>
      <c r="M46" s="47"/>
      <c r="N46" s="47"/>
      <c r="O46" s="47"/>
      <c r="P46" s="47"/>
      <c r="Q46" s="32"/>
    </row>
    <row r="47" spans="1:17" x14ac:dyDescent="0.2">
      <c r="A47" s="258" t="s">
        <v>204</v>
      </c>
      <c r="B47" s="252">
        <f>B46+B41+B36+B30</f>
        <v>235.735263</v>
      </c>
      <c r="C47" s="252">
        <f>C46+C41+C36+C30</f>
        <v>198.83856585000001</v>
      </c>
      <c r="D47" s="240">
        <f>C47/C50</f>
        <v>0.3988163210165524</v>
      </c>
      <c r="E47" s="252">
        <f>E46+E41+E36+E30</f>
        <v>344.63390038</v>
      </c>
      <c r="F47" s="240">
        <f>E47/E50</f>
        <v>0.55506188278132751</v>
      </c>
      <c r="G47" s="252">
        <f>G46+G41+G36+G30</f>
        <v>246.61110803</v>
      </c>
      <c r="H47" s="253">
        <f>G47/G50</f>
        <v>0.51789804319484645</v>
      </c>
      <c r="I47" s="253"/>
      <c r="J47" s="237">
        <f t="shared" si="0"/>
        <v>0.39747922602933045</v>
      </c>
      <c r="K47" s="240">
        <f t="shared" si="1"/>
        <v>-0.19371610046936127</v>
      </c>
      <c r="L47" s="47"/>
      <c r="M47" s="47"/>
      <c r="N47" s="47"/>
      <c r="O47" s="47"/>
      <c r="P47" s="47"/>
      <c r="Q47" s="32"/>
    </row>
    <row r="48" spans="1:17" x14ac:dyDescent="0.2">
      <c r="A48" s="33"/>
      <c r="B48" s="33"/>
      <c r="C48" s="29"/>
      <c r="D48" s="51"/>
      <c r="E48" s="51"/>
      <c r="F48" s="51"/>
      <c r="G48" s="51"/>
      <c r="H48" s="51"/>
      <c r="I48" s="51"/>
      <c r="J48" s="237" t="s">
        <v>65</v>
      </c>
      <c r="K48" s="230" t="s">
        <v>65</v>
      </c>
      <c r="L48" s="51"/>
      <c r="M48" s="51"/>
      <c r="N48" s="51"/>
      <c r="O48" s="51"/>
      <c r="P48" s="51"/>
      <c r="Q48" s="32"/>
    </row>
    <row r="49" spans="1:17" x14ac:dyDescent="0.2">
      <c r="A49" s="271"/>
      <c r="B49" s="278"/>
      <c r="C49" s="52"/>
      <c r="D49" s="53"/>
      <c r="E49" s="53"/>
      <c r="F49" s="53"/>
      <c r="G49" s="53"/>
      <c r="H49" s="53"/>
      <c r="I49" s="53"/>
      <c r="J49" s="237" t="s">
        <v>65</v>
      </c>
      <c r="K49" s="230" t="s">
        <v>65</v>
      </c>
      <c r="L49" s="53"/>
      <c r="M49" s="53"/>
      <c r="N49" s="53"/>
      <c r="O49" s="53"/>
      <c r="P49" s="53"/>
      <c r="Q49" s="32"/>
    </row>
    <row r="50" spans="1:17" x14ac:dyDescent="0.2">
      <c r="A50" s="261" t="s">
        <v>205</v>
      </c>
      <c r="B50" s="262">
        <f>B47+B25</f>
        <v>563.38074800000004</v>
      </c>
      <c r="C50" s="262">
        <f>C47+C25</f>
        <v>498.57178698999996</v>
      </c>
      <c r="D50" s="260" t="s">
        <v>65</v>
      </c>
      <c r="E50" s="262">
        <f>E47+E25</f>
        <v>620.89275281000005</v>
      </c>
      <c r="F50" s="260" t="s">
        <v>65</v>
      </c>
      <c r="G50" s="262">
        <f>G47+G25</f>
        <v>476.17694499999993</v>
      </c>
      <c r="H50" s="260" t="s">
        <v>65</v>
      </c>
      <c r="I50" s="259"/>
      <c r="J50" s="241">
        <f t="shared" si="0"/>
        <v>0.30391183220766838</v>
      </c>
      <c r="K50" s="241">
        <f t="shared" si="1"/>
        <v>4.7030504574302807E-2</v>
      </c>
      <c r="L50" s="47"/>
      <c r="M50" s="47"/>
      <c r="N50" s="47"/>
      <c r="O50" s="47"/>
      <c r="P50" s="47"/>
      <c r="Q50" s="32"/>
    </row>
  </sheetData>
  <mergeCells count="7">
    <mergeCell ref="A28:D28"/>
    <mergeCell ref="G3:H3"/>
    <mergeCell ref="A1:C1"/>
    <mergeCell ref="A2:D2"/>
    <mergeCell ref="C3:D3"/>
    <mergeCell ref="E3:F3"/>
    <mergeCell ref="A26:D26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1"/>
  <sheetViews>
    <sheetView showGridLines="0" topLeftCell="A43" workbookViewId="0">
      <selection activeCell="G48" sqref="G48"/>
    </sheetView>
  </sheetViews>
  <sheetFormatPr baseColWidth="10" defaultColWidth="11.42578125" defaultRowHeight="12.75" x14ac:dyDescent="0.2"/>
  <cols>
    <col min="1" max="1" width="1.42578125" style="32" customWidth="1"/>
    <col min="2" max="2" width="19" style="43" customWidth="1"/>
    <col min="3" max="3" width="15.7109375" style="44" customWidth="1"/>
    <col min="4" max="4" width="9" style="32" customWidth="1"/>
    <col min="5" max="5" width="10.85546875" style="32" customWidth="1"/>
    <col min="6" max="6" width="10" style="32" customWidth="1"/>
    <col min="7" max="7" width="9" style="32" customWidth="1"/>
    <col min="8" max="8" width="11.85546875" style="32" customWidth="1"/>
    <col min="9" max="9" width="10" style="32" customWidth="1"/>
    <col min="10" max="10" width="9.5703125" style="32" customWidth="1"/>
    <col min="11" max="12" width="11.42578125" style="32"/>
    <col min="13" max="13" width="11.5703125" style="32" bestFit="1" customWidth="1"/>
    <col min="14" max="16384" width="11.42578125" style="32"/>
  </cols>
  <sheetData>
    <row r="1" spans="2:14" s="30" customFormat="1" ht="14.25" customHeight="1" x14ac:dyDescent="0.2">
      <c r="B1" s="360"/>
      <c r="C1" s="360"/>
      <c r="D1" s="31"/>
      <c r="E1" s="31"/>
      <c r="F1" s="31"/>
      <c r="G1" s="266"/>
      <c r="H1" s="126"/>
      <c r="I1" s="266"/>
      <c r="J1" s="266"/>
    </row>
    <row r="2" spans="2:14" ht="15.75" customHeight="1" x14ac:dyDescent="0.2">
      <c r="B2" s="339" t="s">
        <v>179</v>
      </c>
      <c r="C2" s="339"/>
      <c r="D2" s="339"/>
      <c r="E2" s="266"/>
      <c r="F2" s="266"/>
    </row>
    <row r="3" spans="2:14" ht="29.25" customHeight="1" x14ac:dyDescent="0.2">
      <c r="B3" s="266"/>
      <c r="C3" s="339">
        <v>2016</v>
      </c>
      <c r="D3" s="339"/>
      <c r="E3" s="339">
        <v>2015</v>
      </c>
      <c r="F3" s="339"/>
      <c r="H3" s="276" t="s">
        <v>264</v>
      </c>
    </row>
    <row r="4" spans="2:14" ht="16.5" customHeight="1" x14ac:dyDescent="0.2">
      <c r="B4" s="33"/>
      <c r="C4" s="34" t="s">
        <v>127</v>
      </c>
      <c r="D4" s="35" t="s">
        <v>128</v>
      </c>
      <c r="E4" s="34" t="s">
        <v>127</v>
      </c>
      <c r="F4" s="35" t="s">
        <v>128</v>
      </c>
      <c r="H4" s="34"/>
    </row>
    <row r="5" spans="2:14" ht="25.5" customHeight="1" x14ac:dyDescent="0.2">
      <c r="B5" s="33" t="s">
        <v>182</v>
      </c>
      <c r="C5" s="34">
        <f>SUM(C6:C8)</f>
        <v>157.90842499999999</v>
      </c>
      <c r="D5" s="35">
        <f>C5/$C$50</f>
        <v>0.28028722238126602</v>
      </c>
      <c r="E5" s="34">
        <v>154.80995867999999</v>
      </c>
      <c r="F5" s="35">
        <v>0.31050685722636978</v>
      </c>
      <c r="H5" s="34">
        <f>C5-E5</f>
        <v>3.09846632</v>
      </c>
    </row>
    <row r="6" spans="2:14" ht="51" x14ac:dyDescent="0.2">
      <c r="B6" s="36" t="s">
        <v>183</v>
      </c>
      <c r="C6" s="37">
        <f>Fondos!$D$84/1000000</f>
        <v>101.521289</v>
      </c>
      <c r="D6" s="35"/>
      <c r="E6" s="37">
        <v>91.950120510000005</v>
      </c>
      <c r="F6" s="35"/>
      <c r="H6" s="37">
        <f t="shared" ref="H6:H47" si="0">C6-E6</f>
        <v>9.5711684899999909</v>
      </c>
      <c r="N6" s="127" t="s">
        <v>65</v>
      </c>
    </row>
    <row r="7" spans="2:14" ht="25.5" x14ac:dyDescent="0.2">
      <c r="B7" s="264" t="s">
        <v>149</v>
      </c>
      <c r="C7" s="37">
        <f>Fondos!$E$84/1000000</f>
        <v>54.994245999999997</v>
      </c>
      <c r="D7" s="35"/>
      <c r="E7" s="37">
        <v>55.912554239999999</v>
      </c>
      <c r="F7" s="35"/>
      <c r="H7" s="37">
        <f t="shared" si="0"/>
        <v>-0.91830824000000177</v>
      </c>
      <c r="N7" s="127" t="s">
        <v>65</v>
      </c>
    </row>
    <row r="8" spans="2:14" ht="25.5" x14ac:dyDescent="0.2">
      <c r="B8" s="38" t="s">
        <v>150</v>
      </c>
      <c r="C8" s="37">
        <f>Fondos!$F$84/1000000</f>
        <v>1.39289</v>
      </c>
      <c r="D8" s="35"/>
      <c r="E8" s="37">
        <v>6.9472839300000002</v>
      </c>
      <c r="F8" s="35"/>
      <c r="H8" s="37">
        <f t="shared" si="0"/>
        <v>-5.5543939299999998</v>
      </c>
    </row>
    <row r="9" spans="2:14" ht="25.5" x14ac:dyDescent="0.2">
      <c r="B9" s="33" t="s">
        <v>184</v>
      </c>
      <c r="C9" s="39">
        <f>SUM(C10:C13)</f>
        <v>96.297467000000012</v>
      </c>
      <c r="D9" s="35">
        <f>C9/$C$50</f>
        <v>0.17092786244800826</v>
      </c>
      <c r="E9" s="39">
        <v>90.925300880000009</v>
      </c>
      <c r="F9" s="35">
        <v>0.18237153255088565</v>
      </c>
      <c r="H9" s="34">
        <f t="shared" si="0"/>
        <v>5.3721661200000028</v>
      </c>
      <c r="L9" s="56"/>
    </row>
    <row r="10" spans="2:14" ht="24.75" customHeight="1" x14ac:dyDescent="0.2">
      <c r="B10" s="40" t="s">
        <v>153</v>
      </c>
      <c r="C10" s="37">
        <f>Fondos!$H$84/1000000</f>
        <v>34.995547000000002</v>
      </c>
      <c r="D10" s="35"/>
      <c r="E10" s="37">
        <v>20.880984880000003</v>
      </c>
      <c r="F10" s="35"/>
      <c r="H10" s="37">
        <f t="shared" si="0"/>
        <v>14.114562119999999</v>
      </c>
    </row>
    <row r="11" spans="2:14" ht="25.5" x14ac:dyDescent="0.2">
      <c r="B11" s="264" t="s">
        <v>185</v>
      </c>
      <c r="C11" s="37">
        <f>Fondos!$I$84/1000000</f>
        <v>10.811002</v>
      </c>
      <c r="D11" s="35"/>
      <c r="E11" s="37">
        <v>14.032930910000001</v>
      </c>
      <c r="F11" s="35"/>
      <c r="H11" s="37">
        <f t="shared" si="0"/>
        <v>-3.2219289100000008</v>
      </c>
    </row>
    <row r="12" spans="2:14" ht="25.5" customHeight="1" x14ac:dyDescent="0.2">
      <c r="B12" s="264" t="s">
        <v>186</v>
      </c>
      <c r="C12" s="37">
        <f>Fondos!$J$84/1000000</f>
        <v>9.5003759999999993</v>
      </c>
      <c r="D12" s="35"/>
      <c r="E12" s="37">
        <v>3.7978730700000005</v>
      </c>
      <c r="F12" s="35"/>
      <c r="H12" s="37">
        <f t="shared" si="0"/>
        <v>5.7025029299999987</v>
      </c>
      <c r="L12" s="32" t="s">
        <v>65</v>
      </c>
      <c r="M12" s="32" t="s">
        <v>65</v>
      </c>
    </row>
    <row r="13" spans="2:14" ht="22.5" customHeight="1" x14ac:dyDescent="0.2">
      <c r="B13" s="38" t="s">
        <v>155</v>
      </c>
      <c r="C13" s="37">
        <f>Fondos!$K$84/1000000</f>
        <v>40.990541999999998</v>
      </c>
      <c r="D13" s="35"/>
      <c r="E13" s="37">
        <v>52.21351202000001</v>
      </c>
      <c r="F13" s="35"/>
      <c r="G13" s="56"/>
      <c r="H13" s="37">
        <f t="shared" si="0"/>
        <v>-11.222970020000012</v>
      </c>
      <c r="L13" s="32" t="s">
        <v>65</v>
      </c>
      <c r="M13" s="32" t="s">
        <v>65</v>
      </c>
    </row>
    <row r="14" spans="2:14" ht="34.5" customHeight="1" x14ac:dyDescent="0.2">
      <c r="B14" s="33" t="s">
        <v>187</v>
      </c>
      <c r="C14" s="34">
        <f>SUM(C15:C17)</f>
        <v>25.272532999999999</v>
      </c>
      <c r="D14" s="35">
        <f>C14/$C$50</f>
        <v>4.48587089454466E-2</v>
      </c>
      <c r="E14" s="34">
        <v>26.522388320000001</v>
      </c>
      <c r="F14" s="35">
        <v>5.3196729161355386E-2</v>
      </c>
      <c r="H14" s="34">
        <f t="shared" si="0"/>
        <v>-1.2498553200000018</v>
      </c>
    </row>
    <row r="15" spans="2:14" ht="27" customHeight="1" x14ac:dyDescent="0.2">
      <c r="B15" s="36" t="s">
        <v>188</v>
      </c>
      <c r="C15" s="37">
        <f>Fondos!$M$84/1000000</f>
        <v>15.484078999999999</v>
      </c>
      <c r="D15" s="35"/>
      <c r="E15" s="37">
        <v>20.179361080000003</v>
      </c>
      <c r="F15" s="35"/>
      <c r="H15" s="37">
        <f t="shared" si="0"/>
        <v>-4.6952820800000037</v>
      </c>
    </row>
    <row r="16" spans="2:14" ht="14.25" customHeight="1" x14ac:dyDescent="0.2">
      <c r="B16" s="40" t="s">
        <v>157</v>
      </c>
      <c r="C16" s="37">
        <f>Fondos!$N$84/1000000</f>
        <v>6.6298269999999997</v>
      </c>
      <c r="D16" s="35"/>
      <c r="E16" s="37">
        <v>6.0465932599999999</v>
      </c>
      <c r="F16" s="35"/>
      <c r="H16" s="37">
        <f t="shared" si="0"/>
        <v>0.58323373999999983</v>
      </c>
    </row>
    <row r="17" spans="2:8" ht="14.25" customHeight="1" x14ac:dyDescent="0.2">
      <c r="B17" s="264" t="s">
        <v>158</v>
      </c>
      <c r="C17" s="37">
        <f>Fondos!$O$84/1000000</f>
        <v>3.1586270000000001</v>
      </c>
      <c r="D17" s="35"/>
      <c r="E17" s="37">
        <v>0.29643397999999999</v>
      </c>
      <c r="F17" s="35"/>
      <c r="H17" s="37">
        <f t="shared" si="0"/>
        <v>2.8621930200000003</v>
      </c>
    </row>
    <row r="18" spans="2:8" ht="32.25" customHeight="1" x14ac:dyDescent="0.2">
      <c r="B18" s="33" t="s">
        <v>189</v>
      </c>
      <c r="C18" s="34">
        <f>SUM(C19:C22)</f>
        <v>9.8503540000000012</v>
      </c>
      <c r="D18" s="35">
        <f>C18/$C$50</f>
        <v>1.7484363878192018E-2</v>
      </c>
      <c r="E18" s="34">
        <v>9.5150072899999998</v>
      </c>
      <c r="F18" s="35">
        <v>1.9084528122709127E-2</v>
      </c>
      <c r="H18" s="34">
        <f t="shared" si="0"/>
        <v>0.33534671000000138</v>
      </c>
    </row>
    <row r="19" spans="2:8" ht="14.25" customHeight="1" x14ac:dyDescent="0.2">
      <c r="B19" s="40" t="s">
        <v>190</v>
      </c>
      <c r="C19" s="37">
        <f>Fondos!$Q$84/1000000</f>
        <v>8.9517070000000007</v>
      </c>
      <c r="D19" s="35"/>
      <c r="E19" s="37">
        <v>8.6907495299999997</v>
      </c>
      <c r="F19" s="35"/>
      <c r="H19" s="37">
        <f t="shared" si="0"/>
        <v>0.26095747000000102</v>
      </c>
    </row>
    <row r="20" spans="2:8" ht="14.25" customHeight="1" x14ac:dyDescent="0.2">
      <c r="B20" s="264" t="s">
        <v>160</v>
      </c>
      <c r="C20" s="37">
        <f>Fondos!$R$84/1000000</f>
        <v>6.9559999999999997E-2</v>
      </c>
      <c r="D20" s="35"/>
      <c r="E20" s="37">
        <v>7.4680300000000005E-2</v>
      </c>
      <c r="F20" s="35"/>
      <c r="H20" s="37">
        <f t="shared" si="0"/>
        <v>-5.1203000000000082E-3</v>
      </c>
    </row>
    <row r="21" spans="2:8" ht="14.25" customHeight="1" x14ac:dyDescent="0.2">
      <c r="B21" s="264" t="s">
        <v>161</v>
      </c>
      <c r="C21" s="37">
        <f>Fondos!$S$84/1000000</f>
        <v>5.9707999999999997E-2</v>
      </c>
      <c r="D21" s="35"/>
      <c r="E21" s="37">
        <v>7.330565E-2</v>
      </c>
      <c r="F21" s="35"/>
      <c r="H21" s="37">
        <f t="shared" si="0"/>
        <v>-1.3597650000000003E-2</v>
      </c>
    </row>
    <row r="22" spans="2:8" ht="14.25" customHeight="1" x14ac:dyDescent="0.2">
      <c r="B22" s="264" t="s">
        <v>162</v>
      </c>
      <c r="C22" s="37">
        <f>Fondos!$T$84/1000000</f>
        <v>0.76937900000000004</v>
      </c>
      <c r="D22" s="35"/>
      <c r="E22" s="37">
        <v>0.67627180999999992</v>
      </c>
      <c r="F22" s="35"/>
      <c r="H22" s="37">
        <f t="shared" si="0"/>
        <v>9.3107190000000117E-2</v>
      </c>
    </row>
    <row r="23" spans="2:8" ht="19.5" customHeight="1" x14ac:dyDescent="0.2">
      <c r="B23" s="41" t="s">
        <v>143</v>
      </c>
      <c r="C23" s="34">
        <f>Fondos!$V$84/1000000</f>
        <v>2.1706050000000001</v>
      </c>
      <c r="D23" s="35">
        <f>C23/$C$50</f>
        <v>3.8528206860203181E-3</v>
      </c>
      <c r="E23" s="34">
        <v>1.21758992</v>
      </c>
      <c r="F23" s="35">
        <v>2.4421556770207326E-3</v>
      </c>
      <c r="H23" s="34">
        <f t="shared" si="0"/>
        <v>0.95301508000000013</v>
      </c>
    </row>
    <row r="24" spans="2:8" s="30" customFormat="1" ht="36.75" customHeight="1" x14ac:dyDescent="0.2">
      <c r="B24" s="33" t="s">
        <v>191</v>
      </c>
      <c r="C24" s="34">
        <f>Fondos!$W$84/1000000</f>
        <v>36.146101000000002</v>
      </c>
      <c r="D24" s="35">
        <f>C24/$C$50</f>
        <v>6.4159276170367111E-2</v>
      </c>
      <c r="E24" s="34">
        <v>16.742976049999999</v>
      </c>
      <c r="F24" s="35">
        <v>3.3581876245106938E-2</v>
      </c>
      <c r="H24" s="34">
        <f t="shared" si="0"/>
        <v>19.403124950000002</v>
      </c>
    </row>
    <row r="25" spans="2:8" s="30" customFormat="1" ht="27.75" customHeight="1" x14ac:dyDescent="0.2">
      <c r="B25" s="42" t="s">
        <v>124</v>
      </c>
      <c r="C25" s="34">
        <f>C5+C9+C14+C18+C23+C24</f>
        <v>327.64548500000001</v>
      </c>
      <c r="D25" s="35">
        <f>C25/$C$50</f>
        <v>0.58157025450930033</v>
      </c>
      <c r="E25" s="34">
        <v>299.73322114000001</v>
      </c>
      <c r="F25" s="35">
        <v>0.6011836789834476</v>
      </c>
      <c r="H25" s="34">
        <f t="shared" si="0"/>
        <v>27.912263859999996</v>
      </c>
    </row>
    <row r="26" spans="2:8" s="30" customFormat="1" ht="23.25" customHeight="1" x14ac:dyDescent="0.2">
      <c r="B26" s="361"/>
      <c r="C26" s="362"/>
      <c r="D26" s="362"/>
      <c r="E26" s="271"/>
      <c r="F26" s="271"/>
      <c r="H26" s="34" t="s">
        <v>65</v>
      </c>
    </row>
    <row r="27" spans="2:8" ht="16.5" customHeight="1" x14ac:dyDescent="0.2">
      <c r="H27" s="34" t="s">
        <v>65</v>
      </c>
    </row>
    <row r="28" spans="2:8" ht="16.5" customHeight="1" x14ac:dyDescent="0.2">
      <c r="B28" s="339" t="s">
        <v>192</v>
      </c>
      <c r="C28" s="339"/>
      <c r="D28" s="339"/>
      <c r="E28" s="266"/>
      <c r="F28" s="266"/>
      <c r="H28" s="34" t="s">
        <v>65</v>
      </c>
    </row>
    <row r="29" spans="2:8" ht="24.75" customHeight="1" x14ac:dyDescent="0.2">
      <c r="B29" s="57"/>
      <c r="C29" s="45" t="s">
        <v>127</v>
      </c>
      <c r="D29" s="46" t="s">
        <v>128</v>
      </c>
      <c r="E29" s="45" t="s">
        <v>127</v>
      </c>
      <c r="F29" s="46" t="s">
        <v>128</v>
      </c>
      <c r="H29" s="34" t="s">
        <v>65</v>
      </c>
    </row>
    <row r="30" spans="2:8" x14ac:dyDescent="0.2">
      <c r="B30" s="33" t="s">
        <v>193</v>
      </c>
      <c r="C30" s="29">
        <f>SUM(C31:C35)</f>
        <v>18.561674</v>
      </c>
      <c r="D30" s="47">
        <f>+C30/$C$50</f>
        <v>3.2946944079814383E-2</v>
      </c>
      <c r="E30" s="29">
        <v>31.515468210000005</v>
      </c>
      <c r="F30" s="47">
        <v>6.3211495380167029E-2</v>
      </c>
      <c r="H30" s="34">
        <f t="shared" si="0"/>
        <v>-12.953794210000005</v>
      </c>
    </row>
    <row r="31" spans="2:8" x14ac:dyDescent="0.2">
      <c r="B31" s="40" t="s">
        <v>194</v>
      </c>
      <c r="C31" s="48">
        <f>Fondos!$Z$84/1000000</f>
        <v>2.1595629999999999</v>
      </c>
      <c r="D31" s="49"/>
      <c r="E31" s="48">
        <v>7.2666076799999999</v>
      </c>
      <c r="F31" s="47"/>
      <c r="H31" s="37">
        <f t="shared" si="0"/>
        <v>-5.1070446799999996</v>
      </c>
    </row>
    <row r="32" spans="2:8" ht="25.5" x14ac:dyDescent="0.2">
      <c r="B32" s="40" t="s">
        <v>195</v>
      </c>
      <c r="C32" s="48">
        <f>Fondos!$AA$84/1000000</f>
        <v>12.24994</v>
      </c>
      <c r="D32" s="49"/>
      <c r="E32" s="48">
        <v>13.998477540000001</v>
      </c>
      <c r="F32" s="47"/>
      <c r="H32" s="37">
        <f t="shared" si="0"/>
        <v>-1.7485375400000009</v>
      </c>
    </row>
    <row r="33" spans="2:8" x14ac:dyDescent="0.2">
      <c r="B33" s="40" t="s">
        <v>196</v>
      </c>
      <c r="C33" s="48">
        <f>Fondos!$AB$84/1000000</f>
        <v>0</v>
      </c>
      <c r="D33" s="49"/>
      <c r="E33" s="48">
        <v>1.15E-2</v>
      </c>
      <c r="F33" s="47"/>
      <c r="H33" s="37">
        <f t="shared" si="0"/>
        <v>-1.15E-2</v>
      </c>
    </row>
    <row r="34" spans="2:8" x14ac:dyDescent="0.2">
      <c r="B34" s="264" t="s">
        <v>167</v>
      </c>
      <c r="C34" s="48">
        <f>Fondos!$AC$84/1000000</f>
        <v>1.4799180000000001</v>
      </c>
      <c r="D34" s="50"/>
      <c r="E34" s="48">
        <v>8.8064419600000008</v>
      </c>
      <c r="F34" s="47"/>
      <c r="H34" s="37">
        <f t="shared" si="0"/>
        <v>-7.3265239600000012</v>
      </c>
    </row>
    <row r="35" spans="2:8" ht="38.25" x14ac:dyDescent="0.2">
      <c r="B35" s="264" t="s">
        <v>197</v>
      </c>
      <c r="C35" s="48">
        <f>Fondos!$AD$84/1000000</f>
        <v>2.672253</v>
      </c>
      <c r="D35" s="50"/>
      <c r="E35" s="48">
        <v>1.4324410300000001</v>
      </c>
      <c r="F35" s="47"/>
      <c r="H35" s="37">
        <f t="shared" si="0"/>
        <v>1.2398119699999999</v>
      </c>
    </row>
    <row r="36" spans="2:8" ht="25.5" x14ac:dyDescent="0.2">
      <c r="B36" s="33" t="s">
        <v>145</v>
      </c>
      <c r="C36" s="29">
        <f>SUM(C37:C40)</f>
        <v>65.278726000000006</v>
      </c>
      <c r="D36" s="47">
        <f>+C36/$C$50</f>
        <v>0.1158696427446967</v>
      </c>
      <c r="E36" s="29">
        <v>53.805427379999998</v>
      </c>
      <c r="F36" s="47">
        <v>0.10791911773595642</v>
      </c>
      <c r="H36" s="34">
        <f t="shared" si="0"/>
        <v>11.473298620000008</v>
      </c>
    </row>
    <row r="37" spans="2:8" ht="25.5" x14ac:dyDescent="0.2">
      <c r="B37" s="40" t="s">
        <v>198</v>
      </c>
      <c r="C37" s="28">
        <f>Fondos!$AF$84/1000000</f>
        <v>42.084760000000003</v>
      </c>
      <c r="D37" s="49"/>
      <c r="E37" s="28">
        <v>36.606961089999999</v>
      </c>
      <c r="F37" s="47"/>
      <c r="H37" s="37">
        <f t="shared" si="0"/>
        <v>5.4777989100000042</v>
      </c>
    </row>
    <row r="38" spans="2:8" ht="25.5" x14ac:dyDescent="0.2">
      <c r="B38" s="264" t="s">
        <v>199</v>
      </c>
      <c r="C38" s="48">
        <f>Fondos!$AG$84/1000000</f>
        <v>22.432331999999999</v>
      </c>
      <c r="D38" s="50"/>
      <c r="E38" s="48">
        <v>15.964335900000004</v>
      </c>
      <c r="F38" s="47"/>
      <c r="H38" s="37">
        <f t="shared" si="0"/>
        <v>6.4679960999999953</v>
      </c>
    </row>
    <row r="39" spans="2:8" ht="25.5" x14ac:dyDescent="0.2">
      <c r="B39" s="264" t="s">
        <v>171</v>
      </c>
      <c r="C39" s="48">
        <f>Fondos!$AH$84/1000000</f>
        <v>0.43653599999999998</v>
      </c>
      <c r="D39" s="50"/>
      <c r="E39" s="48">
        <v>0.64619078000000008</v>
      </c>
      <c r="F39" s="47"/>
      <c r="H39" s="37">
        <f t="shared" si="0"/>
        <v>-0.2096547800000001</v>
      </c>
    </row>
    <row r="40" spans="2:8" ht="25.5" x14ac:dyDescent="0.2">
      <c r="B40" s="264" t="s">
        <v>200</v>
      </c>
      <c r="C40" s="48">
        <f>Fondos!$AI$84/1000000</f>
        <v>0.325098</v>
      </c>
      <c r="D40" s="50"/>
      <c r="E40" s="48">
        <v>0.58793960999999995</v>
      </c>
      <c r="F40" s="47"/>
      <c r="H40" s="37">
        <f t="shared" si="0"/>
        <v>-0.26284160999999995</v>
      </c>
    </row>
    <row r="41" spans="2:8" ht="25.5" x14ac:dyDescent="0.2">
      <c r="B41" s="33" t="s">
        <v>146</v>
      </c>
      <c r="C41" s="29">
        <f>SUM(C42:C45)</f>
        <v>150.88669999999999</v>
      </c>
      <c r="D41" s="47">
        <f>+C41/$C$50</f>
        <v>0.26782367082234765</v>
      </c>
      <c r="E41" s="29">
        <v>112.35423861000001</v>
      </c>
      <c r="F41" s="47">
        <v>0.22535217904789612</v>
      </c>
      <c r="H41" s="34">
        <f t="shared" si="0"/>
        <v>38.53246138999998</v>
      </c>
    </row>
    <row r="42" spans="2:8" x14ac:dyDescent="0.2">
      <c r="B42" s="40" t="s">
        <v>173</v>
      </c>
      <c r="C42" s="28">
        <f>Fondos!$AK$84/1000000</f>
        <v>34.198464999999999</v>
      </c>
      <c r="D42" s="49"/>
      <c r="E42" s="28">
        <v>6.760271190000001</v>
      </c>
      <c r="F42" s="47"/>
      <c r="H42" s="37">
        <f t="shared" si="0"/>
        <v>27.438193809999998</v>
      </c>
    </row>
    <row r="43" spans="2:8" x14ac:dyDescent="0.2">
      <c r="B43" s="264" t="s">
        <v>174</v>
      </c>
      <c r="C43" s="48">
        <f>Fondos!$AL$84/1000000</f>
        <v>56.657468999999999</v>
      </c>
      <c r="D43" s="50"/>
      <c r="E43" s="48">
        <v>51.779121000000004</v>
      </c>
      <c r="F43" s="47"/>
      <c r="H43" s="37">
        <f t="shared" si="0"/>
        <v>4.8783479999999955</v>
      </c>
    </row>
    <row r="44" spans="2:8" ht="38.25" x14ac:dyDescent="0.2">
      <c r="B44" s="264" t="s">
        <v>201</v>
      </c>
      <c r="C44" s="48">
        <f>Fondos!$AM$84/1000000</f>
        <v>36.807975999999996</v>
      </c>
      <c r="D44" s="50"/>
      <c r="E44" s="48">
        <v>23.697146539999999</v>
      </c>
      <c r="F44" s="47"/>
      <c r="H44" s="37">
        <f t="shared" si="0"/>
        <v>13.110829459999998</v>
      </c>
    </row>
    <row r="45" spans="2:8" ht="25.5" x14ac:dyDescent="0.2">
      <c r="B45" s="40" t="s">
        <v>202</v>
      </c>
      <c r="C45" s="28">
        <f>Fondos!$AN$84/1000000</f>
        <v>23.22279</v>
      </c>
      <c r="D45" s="49"/>
      <c r="E45" s="28">
        <v>30.11769988</v>
      </c>
      <c r="F45" s="47"/>
      <c r="H45" s="37">
        <f t="shared" si="0"/>
        <v>-6.8949098800000002</v>
      </c>
    </row>
    <row r="46" spans="2:8" x14ac:dyDescent="0.2">
      <c r="B46" s="33" t="s">
        <v>203</v>
      </c>
      <c r="C46" s="29">
        <f>Fondos!$AP$84/1000000</f>
        <v>1.0081629999999999</v>
      </c>
      <c r="D46" s="47">
        <f>+C46/$C$50</f>
        <v>1.7894878438409114E-3</v>
      </c>
      <c r="E46" s="29">
        <v>1.1634316499999999</v>
      </c>
      <c r="F46" s="47">
        <v>2.3335288525327953E-3</v>
      </c>
      <c r="H46" s="34">
        <f t="shared" si="0"/>
        <v>-0.15526865000000001</v>
      </c>
    </row>
    <row r="47" spans="2:8" ht="18.75" customHeight="1" x14ac:dyDescent="0.2">
      <c r="B47" s="58" t="s">
        <v>204</v>
      </c>
      <c r="C47" s="29">
        <f>+C30+C36+C41+C46</f>
        <v>235.735263</v>
      </c>
      <c r="D47" s="47">
        <f>+C47/$C$50</f>
        <v>0.41842974549069961</v>
      </c>
      <c r="E47" s="29">
        <v>198.83856585000001</v>
      </c>
      <c r="F47" s="47">
        <v>0.39881632101655234</v>
      </c>
      <c r="H47" s="34">
        <f t="shared" si="0"/>
        <v>36.896697149999994</v>
      </c>
    </row>
    <row r="48" spans="2:8" x14ac:dyDescent="0.2">
      <c r="B48" s="33"/>
      <c r="C48" s="29"/>
      <c r="D48" s="51"/>
      <c r="E48" s="51"/>
      <c r="F48" s="51"/>
      <c r="H48" s="34" t="s">
        <v>65</v>
      </c>
    </row>
    <row r="49" spans="2:13" ht="32.25" customHeight="1" x14ac:dyDescent="0.2">
      <c r="B49" s="271"/>
      <c r="C49" s="52"/>
      <c r="D49" s="53"/>
      <c r="E49" s="53"/>
      <c r="F49" s="53"/>
      <c r="H49" s="34" t="s">
        <v>65</v>
      </c>
    </row>
    <row r="50" spans="2:13" ht="38.25" x14ac:dyDescent="0.2">
      <c r="B50" s="129" t="s">
        <v>205</v>
      </c>
      <c r="C50" s="54">
        <f>C25+C47</f>
        <v>563.38074800000004</v>
      </c>
      <c r="D50" s="55">
        <f>+C50/$C$50</f>
        <v>1</v>
      </c>
      <c r="E50" s="54">
        <f>E25+E47</f>
        <v>498.57178699000002</v>
      </c>
      <c r="F50" s="55">
        <f>+E50/$E$50</f>
        <v>1</v>
      </c>
      <c r="H50" s="34">
        <f>C50-E50</f>
        <v>64.808961010000019</v>
      </c>
    </row>
    <row r="51" spans="2:13" x14ac:dyDescent="0.2">
      <c r="D51" s="56"/>
      <c r="E51" s="56"/>
      <c r="F51" s="56"/>
    </row>
    <row r="56" spans="2:13" ht="25.5" customHeight="1" x14ac:dyDescent="0.2">
      <c r="L56" s="363" t="s">
        <v>288</v>
      </c>
      <c r="M56" s="363"/>
    </row>
    <row r="57" spans="2:13" x14ac:dyDescent="0.2">
      <c r="B57" s="228"/>
      <c r="C57" s="170">
        <v>2008</v>
      </c>
      <c r="D57" s="170">
        <v>2009</v>
      </c>
      <c r="E57" s="170">
        <v>2010</v>
      </c>
      <c r="F57" s="170">
        <v>2011</v>
      </c>
      <c r="G57" s="170">
        <v>2012</v>
      </c>
      <c r="H57" s="170">
        <v>2013</v>
      </c>
      <c r="I57" s="170">
        <v>2014</v>
      </c>
      <c r="J57" s="170">
        <v>2015</v>
      </c>
      <c r="K57" s="170">
        <v>2016</v>
      </c>
      <c r="L57" s="319" t="s">
        <v>289</v>
      </c>
      <c r="M57" s="319" t="s">
        <v>128</v>
      </c>
    </row>
    <row r="58" spans="2:13" x14ac:dyDescent="0.2">
      <c r="B58" s="43" t="s">
        <v>132</v>
      </c>
      <c r="C58" s="280">
        <v>0.57240666433742671</v>
      </c>
      <c r="D58" s="280">
        <v>0.59320985542244509</v>
      </c>
      <c r="E58" s="280">
        <v>0.58303578302139003</v>
      </c>
      <c r="F58" s="280">
        <v>0.41081811396342283</v>
      </c>
      <c r="G58" s="280">
        <v>0.50312020858832696</v>
      </c>
      <c r="H58" s="280">
        <v>0.50658436520445571</v>
      </c>
      <c r="I58" s="280">
        <v>0.54414994889494284</v>
      </c>
      <c r="J58" s="280">
        <v>0.39881632101655234</v>
      </c>
      <c r="K58" s="141">
        <f>C47/C50</f>
        <v>0.41842974549069961</v>
      </c>
      <c r="L58" s="320"/>
      <c r="M58" s="316"/>
    </row>
    <row r="59" spans="2:13" x14ac:dyDescent="0.2">
      <c r="B59" s="43" t="s">
        <v>133</v>
      </c>
      <c r="C59" s="281">
        <v>0.42759333566257335</v>
      </c>
      <c r="D59" s="281">
        <v>0.40679014457755497</v>
      </c>
      <c r="E59" s="281">
        <v>0.41696421697861002</v>
      </c>
      <c r="F59" s="281">
        <v>0.58918188603657717</v>
      </c>
      <c r="G59" s="281">
        <v>0.49687979141167293</v>
      </c>
      <c r="H59" s="281">
        <v>0.49341563479554423</v>
      </c>
      <c r="I59" s="281">
        <v>0.45585005110505727</v>
      </c>
      <c r="J59" s="281">
        <v>0.6011836789834476</v>
      </c>
      <c r="K59" s="141">
        <f>C25/C50</f>
        <v>0.58157025450930033</v>
      </c>
      <c r="L59" s="321"/>
      <c r="M59" s="316"/>
    </row>
    <row r="60" spans="2:13" x14ac:dyDescent="0.2">
      <c r="B60" s="227" t="s">
        <v>134</v>
      </c>
      <c r="C60" s="282">
        <v>625.3882853099999</v>
      </c>
      <c r="D60" s="282">
        <v>648.65075400000001</v>
      </c>
      <c r="E60" s="282">
        <v>817.3001569999999</v>
      </c>
      <c r="F60" s="282">
        <v>530.519499</v>
      </c>
      <c r="G60" s="313">
        <v>458.06621561999998</v>
      </c>
      <c r="H60" s="282">
        <v>465.25853819999998</v>
      </c>
      <c r="I60" s="282">
        <v>606.03010081999992</v>
      </c>
      <c r="J60" s="282">
        <v>498.57178699000002</v>
      </c>
      <c r="K60" s="171">
        <f>SUM(K61:K62)</f>
        <v>563.38074800000004</v>
      </c>
      <c r="L60" s="284">
        <f>+K60-G60</f>
        <v>105.31453238000006</v>
      </c>
      <c r="M60" s="318">
        <f>+L60/G60</f>
        <v>0.22991115430212453</v>
      </c>
    </row>
    <row r="61" spans="2:13" x14ac:dyDescent="0.2">
      <c r="B61" s="43" t="s">
        <v>132</v>
      </c>
      <c r="C61" s="283">
        <v>357.97642230999998</v>
      </c>
      <c r="D61" s="283">
        <v>384.78602000000001</v>
      </c>
      <c r="E61" s="283">
        <v>476.51523699999996</v>
      </c>
      <c r="F61" s="314">
        <v>217.94701999999998</v>
      </c>
      <c r="G61" s="283">
        <v>230.46236994999995</v>
      </c>
      <c r="H61" s="283">
        <v>235.69270122999998</v>
      </c>
      <c r="I61" s="283">
        <v>329.77124838999998</v>
      </c>
      <c r="J61" s="283">
        <v>198.83856585000001</v>
      </c>
      <c r="K61" s="149">
        <f>C47</f>
        <v>235.735263</v>
      </c>
      <c r="L61" s="283">
        <f t="shared" ref="L61:L62" si="1">+K61-G61</f>
        <v>5.2728930500000502</v>
      </c>
      <c r="M61" s="317">
        <f t="shared" ref="M61:M62" si="2">+L61/G61</f>
        <v>2.2879626947965661E-2</v>
      </c>
    </row>
    <row r="62" spans="2:13" x14ac:dyDescent="0.2">
      <c r="B62" s="227" t="s">
        <v>133</v>
      </c>
      <c r="C62" s="284">
        <v>267.41186299999998</v>
      </c>
      <c r="D62" s="284">
        <v>263.86473400000006</v>
      </c>
      <c r="E62" s="284">
        <v>340.78492</v>
      </c>
      <c r="F62" s="284">
        <v>312.57247899999999</v>
      </c>
      <c r="G62" s="315">
        <v>227.60384567</v>
      </c>
      <c r="H62" s="284">
        <v>229.56583696999996</v>
      </c>
      <c r="I62" s="284">
        <v>276.25885242999999</v>
      </c>
      <c r="J62" s="284">
        <v>299.73322114000001</v>
      </c>
      <c r="K62" s="157">
        <f>C25</f>
        <v>327.64548500000001</v>
      </c>
      <c r="L62" s="284">
        <f t="shared" si="1"/>
        <v>100.04163933000001</v>
      </c>
      <c r="M62" s="318">
        <f t="shared" si="2"/>
        <v>0.43954283388976279</v>
      </c>
    </row>
    <row r="63" spans="2:13" x14ac:dyDescent="0.2">
      <c r="C63" s="92"/>
      <c r="D63" s="92"/>
    </row>
    <row r="64" spans="2:13" x14ac:dyDescent="0.2">
      <c r="C64" s="92"/>
      <c r="D64" s="92"/>
    </row>
    <row r="65" spans="3:15" x14ac:dyDescent="0.2">
      <c r="C65" s="92"/>
      <c r="D65" s="92"/>
      <c r="L65" s="322">
        <v>2007</v>
      </c>
      <c r="M65" s="170">
        <v>2016</v>
      </c>
      <c r="N65" s="363" t="s">
        <v>288</v>
      </c>
      <c r="O65" s="363"/>
    </row>
    <row r="66" spans="3:15" x14ac:dyDescent="0.2">
      <c r="C66" s="92"/>
      <c r="D66" s="92"/>
      <c r="L66" s="323">
        <v>0.54400000000000004</v>
      </c>
      <c r="M66" s="141">
        <f>+K58</f>
        <v>0.41842974549069961</v>
      </c>
      <c r="N66" s="323"/>
      <c r="O66" s="323"/>
    </row>
    <row r="67" spans="3:15" x14ac:dyDescent="0.2">
      <c r="C67" s="92"/>
      <c r="D67" s="92"/>
      <c r="L67" s="323">
        <v>0.45600000000000002</v>
      </c>
      <c r="M67" s="141">
        <f>+K59</f>
        <v>0.58157025450930033</v>
      </c>
      <c r="N67" s="323"/>
      <c r="O67" s="323"/>
    </row>
    <row r="68" spans="3:15" x14ac:dyDescent="0.2">
      <c r="C68" s="92"/>
      <c r="D68" s="92"/>
      <c r="L68" s="326">
        <f>SUM(L69:L70)</f>
        <v>668.81999999999994</v>
      </c>
      <c r="M68" s="326">
        <f>SUM(M69:M70)</f>
        <v>563.38074800000004</v>
      </c>
      <c r="N68" s="324">
        <f>+M68-L68</f>
        <v>-105.4392519999999</v>
      </c>
      <c r="O68" s="328">
        <f>+N68/L68</f>
        <v>-0.15764966956729748</v>
      </c>
    </row>
    <row r="69" spans="3:15" ht="25.5" x14ac:dyDescent="0.2">
      <c r="C69" s="92"/>
      <c r="D69" s="92"/>
      <c r="K69" s="325" t="s">
        <v>132</v>
      </c>
      <c r="L69" s="324">
        <v>363.54</v>
      </c>
      <c r="M69" s="149">
        <f>+K61</f>
        <v>235.735263</v>
      </c>
      <c r="N69" s="324">
        <f t="shared" ref="N69:N70" si="3">+M69-L69</f>
        <v>-127.80473700000002</v>
      </c>
      <c r="O69" s="328">
        <f>+N69/L69</f>
        <v>-0.35155618914012216</v>
      </c>
    </row>
    <row r="70" spans="3:15" ht="25.5" x14ac:dyDescent="0.2">
      <c r="C70" s="92"/>
      <c r="D70" s="92"/>
      <c r="K70" s="325" t="s">
        <v>133</v>
      </c>
      <c r="L70" s="327">
        <v>305.27999999999997</v>
      </c>
      <c r="M70" s="157">
        <f>+K62</f>
        <v>327.64548500000001</v>
      </c>
      <c r="N70" s="324">
        <f t="shared" si="3"/>
        <v>22.365485000000035</v>
      </c>
      <c r="O70" s="328">
        <f>+N70/L70</f>
        <v>7.3262201912998023E-2</v>
      </c>
    </row>
    <row r="71" spans="3:15" x14ac:dyDescent="0.2">
      <c r="C71" s="92"/>
      <c r="D71" s="92"/>
    </row>
    <row r="72" spans="3:15" x14ac:dyDescent="0.2">
      <c r="C72" s="92"/>
      <c r="D72" s="92"/>
    </row>
    <row r="73" spans="3:15" x14ac:dyDescent="0.2">
      <c r="C73" s="92"/>
      <c r="D73" s="92"/>
    </row>
    <row r="74" spans="3:15" x14ac:dyDescent="0.2">
      <c r="C74" s="92"/>
      <c r="D74" s="92"/>
    </row>
    <row r="75" spans="3:15" x14ac:dyDescent="0.2">
      <c r="C75" s="92"/>
      <c r="D75" s="92"/>
    </row>
    <row r="76" spans="3:15" x14ac:dyDescent="0.2">
      <c r="C76" s="92"/>
      <c r="D76" s="92"/>
    </row>
    <row r="77" spans="3:15" x14ac:dyDescent="0.2">
      <c r="C77" s="92"/>
      <c r="D77" s="92"/>
    </row>
    <row r="78" spans="3:15" x14ac:dyDescent="0.2">
      <c r="C78" s="92"/>
      <c r="D78" s="92"/>
    </row>
    <row r="79" spans="3:15" x14ac:dyDescent="0.2">
      <c r="C79" s="92"/>
      <c r="D79" s="92"/>
    </row>
    <row r="80" spans="3:15" x14ac:dyDescent="0.2">
      <c r="C80" s="92"/>
      <c r="D80" s="92"/>
    </row>
    <row r="81" spans="3:4" x14ac:dyDescent="0.2">
      <c r="C81" s="92"/>
      <c r="D81" s="92"/>
    </row>
  </sheetData>
  <mergeCells count="8">
    <mergeCell ref="L56:M56"/>
    <mergeCell ref="N65:O65"/>
    <mergeCell ref="E3:F3"/>
    <mergeCell ref="B1:C1"/>
    <mergeCell ref="B28:D28"/>
    <mergeCell ref="B2:D2"/>
    <mergeCell ref="B26:D26"/>
    <mergeCell ref="C3:D3"/>
  </mergeCells>
  <phoneticPr fontId="0" type="noConversion"/>
  <pageMargins left="0.75" right="0.75" top="1" bottom="1" header="0" footer="0"/>
  <pageSetup paperSize="9" orientation="portrait" r:id="rId1"/>
  <headerFooter alignWithMargins="0"/>
  <ignoredErrors>
    <ignoredError sqref="M6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71"/>
  <sheetViews>
    <sheetView showGridLines="0" topLeftCell="A2" workbookViewId="0">
      <selection activeCell="D34" sqref="D34"/>
    </sheetView>
  </sheetViews>
  <sheetFormatPr baseColWidth="10" defaultColWidth="11.42578125" defaultRowHeight="12.75" x14ac:dyDescent="0.2"/>
  <cols>
    <col min="1" max="1" width="1.42578125" style="32" customWidth="1"/>
    <col min="2" max="2" width="33" style="32" customWidth="1"/>
    <col min="3" max="3" width="9.7109375" style="32" customWidth="1"/>
    <col min="4" max="4" width="8.28515625" style="32" customWidth="1"/>
    <col min="5" max="5" width="11" style="130" customWidth="1"/>
    <col min="6" max="6" width="8.5703125" style="131" customWidth="1"/>
    <col min="7" max="8" width="2.5703125" style="32" customWidth="1"/>
    <col min="9" max="9" width="24" style="32" customWidth="1"/>
    <col min="10" max="10" width="9.85546875" style="32" customWidth="1"/>
    <col min="11" max="16" width="11.42578125" style="32"/>
    <col min="17" max="17" width="11.5703125" style="32" bestFit="1" customWidth="1"/>
    <col min="18" max="18" width="11.42578125" style="32"/>
    <col min="19" max="19" width="11.5703125" style="32" bestFit="1" customWidth="1"/>
    <col min="20" max="20" width="12" style="32" bestFit="1" customWidth="1"/>
    <col min="21" max="23" width="11.42578125" style="32"/>
    <col min="24" max="24" width="8.28515625" style="32" customWidth="1"/>
    <col min="25" max="16384" width="11.42578125" style="32"/>
  </cols>
  <sheetData>
    <row r="1" spans="2:26" ht="7.5" hidden="1" customHeight="1" x14ac:dyDescent="0.2"/>
    <row r="2" spans="2:26" ht="33" customHeight="1" x14ac:dyDescent="0.2">
      <c r="B2" s="339" t="s">
        <v>209</v>
      </c>
      <c r="C2" s="339"/>
      <c r="D2" s="339"/>
      <c r="E2" s="339"/>
      <c r="F2" s="339"/>
      <c r="G2" s="339"/>
      <c r="H2" s="339"/>
      <c r="I2" s="339"/>
    </row>
    <row r="3" spans="2:26" s="30" customFormat="1" ht="7.5" customHeight="1" x14ac:dyDescent="0.2">
      <c r="B3" s="266"/>
      <c r="C3" s="266"/>
      <c r="D3" s="266"/>
      <c r="E3" s="266"/>
      <c r="F3" s="266"/>
      <c r="G3" s="266"/>
      <c r="H3" s="266"/>
      <c r="I3" s="266"/>
    </row>
    <row r="4" spans="2:26" s="30" customFormat="1" ht="31.5" customHeight="1" x14ac:dyDescent="0.2">
      <c r="B4" s="366" t="s">
        <v>265</v>
      </c>
      <c r="C4" s="367"/>
      <c r="D4" s="367"/>
      <c r="E4" s="367"/>
      <c r="F4" s="368"/>
      <c r="G4" s="266"/>
      <c r="H4" s="266"/>
      <c r="I4" s="132"/>
      <c r="J4" s="133">
        <v>2003</v>
      </c>
      <c r="K4" s="134">
        <v>2004</v>
      </c>
      <c r="L4" s="134">
        <v>2005</v>
      </c>
      <c r="M4" s="135">
        <v>2006</v>
      </c>
      <c r="N4" s="135">
        <v>2007</v>
      </c>
      <c r="O4" s="135">
        <v>2008</v>
      </c>
      <c r="P4" s="135">
        <v>2009</v>
      </c>
      <c r="Q4" s="135">
        <v>2010</v>
      </c>
      <c r="R4" s="135">
        <v>2011</v>
      </c>
      <c r="S4" s="135">
        <v>2012</v>
      </c>
      <c r="T4" s="135">
        <v>2013</v>
      </c>
      <c r="U4" s="135">
        <v>2014</v>
      </c>
      <c r="V4" s="135">
        <v>2015</v>
      </c>
      <c r="W4" s="136">
        <v>2016</v>
      </c>
    </row>
    <row r="5" spans="2:26" s="143" customFormat="1" ht="20.25" customHeight="1" x14ac:dyDescent="0.2">
      <c r="B5" s="265"/>
      <c r="C5" s="266">
        <v>2016</v>
      </c>
      <c r="D5" s="266">
        <v>2015</v>
      </c>
      <c r="E5" s="339" t="s">
        <v>266</v>
      </c>
      <c r="F5" s="365"/>
      <c r="G5" s="137"/>
      <c r="H5" s="137"/>
      <c r="I5" s="138" t="s">
        <v>132</v>
      </c>
      <c r="J5" s="139">
        <v>0.55000000000000004</v>
      </c>
      <c r="K5" s="140">
        <v>0.49171916493098994</v>
      </c>
      <c r="L5" s="141">
        <v>0.42841117606835422</v>
      </c>
      <c r="M5" s="141">
        <v>0.54</v>
      </c>
      <c r="N5" s="141">
        <v>0.54400000000000004</v>
      </c>
      <c r="O5" s="141">
        <v>0.57240666433742671</v>
      </c>
      <c r="P5" s="141">
        <v>0.59320985542244509</v>
      </c>
      <c r="Q5" s="141">
        <v>0.58303578302139003</v>
      </c>
      <c r="R5" s="141">
        <v>0.41081811396342283</v>
      </c>
      <c r="S5" s="141">
        <v>0.50312020858832696</v>
      </c>
      <c r="T5" s="141">
        <v>0.50658436520445571</v>
      </c>
      <c r="U5" s="141">
        <v>0.55506188278132751</v>
      </c>
      <c r="V5" s="141">
        <v>0.39881632101655234</v>
      </c>
      <c r="W5" s="142">
        <f>'Totales fondos'!D47</f>
        <v>0.41842974549069961</v>
      </c>
    </row>
    <row r="6" spans="2:26" x14ac:dyDescent="0.2">
      <c r="B6" s="144"/>
      <c r="C6" s="46" t="s">
        <v>210</v>
      </c>
      <c r="D6" s="46" t="s">
        <v>210</v>
      </c>
      <c r="E6" s="46" t="s">
        <v>127</v>
      </c>
      <c r="F6" s="145" t="s">
        <v>128</v>
      </c>
      <c r="G6" s="30"/>
      <c r="H6" s="30"/>
      <c r="I6" s="138" t="s">
        <v>133</v>
      </c>
      <c r="J6" s="139">
        <v>0.45</v>
      </c>
      <c r="K6" s="140">
        <v>0.50828083506901012</v>
      </c>
      <c r="L6" s="141">
        <v>0.5715888239316459</v>
      </c>
      <c r="M6" s="141">
        <v>0.46</v>
      </c>
      <c r="N6" s="141">
        <v>0.45600000000000002</v>
      </c>
      <c r="O6" s="141">
        <v>0.42759333566257335</v>
      </c>
      <c r="P6" s="141">
        <v>0.40679014457755497</v>
      </c>
      <c r="Q6" s="141">
        <v>0.41696421697861002</v>
      </c>
      <c r="R6" s="141">
        <v>0.58918188603657717</v>
      </c>
      <c r="S6" s="141">
        <v>0.49687979141167293</v>
      </c>
      <c r="T6" s="141">
        <v>0.49341563479554423</v>
      </c>
      <c r="U6" s="141">
        <v>0.44493811721867238</v>
      </c>
      <c r="V6" s="141">
        <v>0.6011836789834476</v>
      </c>
      <c r="W6" s="142">
        <f>'Totales fondos'!D25</f>
        <v>0.58157025450930033</v>
      </c>
      <c r="Y6" s="292" t="s">
        <v>211</v>
      </c>
      <c r="Z6" s="292" t="s">
        <v>212</v>
      </c>
    </row>
    <row r="7" spans="2:26" ht="15.75" customHeight="1" x14ac:dyDescent="0.2">
      <c r="B7" s="146" t="s">
        <v>133</v>
      </c>
      <c r="C7" s="272"/>
      <c r="D7" s="272"/>
      <c r="E7" s="272"/>
      <c r="F7" s="147"/>
      <c r="G7" s="30"/>
      <c r="H7" s="30"/>
      <c r="I7" s="148" t="s">
        <v>134</v>
      </c>
      <c r="J7" s="181">
        <v>410.81748090132356</v>
      </c>
      <c r="K7" s="181">
        <v>447.79105418244274</v>
      </c>
      <c r="L7" s="181">
        <v>538.28622099999995</v>
      </c>
      <c r="M7" s="181">
        <f>SUM(M8:M9)</f>
        <v>656.03</v>
      </c>
      <c r="N7" s="181">
        <f>SUM(N8:N9)</f>
        <v>668.81999999999994</v>
      </c>
      <c r="O7" s="181">
        <v>625.3882853099999</v>
      </c>
      <c r="P7" s="181">
        <v>648.65075400000001</v>
      </c>
      <c r="Q7" s="181">
        <v>817.3001569999999</v>
      </c>
      <c r="R7" s="181">
        <v>530.519499</v>
      </c>
      <c r="S7" s="181">
        <v>458.06621561999998</v>
      </c>
      <c r="T7" s="181">
        <v>465.25853819999998</v>
      </c>
      <c r="U7" s="181">
        <v>620.89275281000005</v>
      </c>
      <c r="V7" s="181">
        <v>498.57178699000002</v>
      </c>
      <c r="W7" s="225">
        <f>SUM(W8:W9)</f>
        <v>563.38074800000004</v>
      </c>
      <c r="Y7" s="32">
        <v>2010</v>
      </c>
      <c r="Z7" s="93">
        <f>Q15</f>
        <v>723.36202900000001</v>
      </c>
    </row>
    <row r="8" spans="2:26" ht="14.25" customHeight="1" x14ac:dyDescent="0.2">
      <c r="B8" s="152" t="s">
        <v>182</v>
      </c>
      <c r="C8" s="93">
        <f>'Totales fondos'!C5</f>
        <v>157.90842499999999</v>
      </c>
      <c r="D8" s="153">
        <v>154.80995867999999</v>
      </c>
      <c r="E8" s="154">
        <f t="shared" ref="E8:E13" si="0">C8-D8</f>
        <v>3.09846632</v>
      </c>
      <c r="F8" s="155">
        <f t="shared" ref="F8:F13" si="1">(C8-D8)/D8</f>
        <v>2.0014644706447385E-2</v>
      </c>
      <c r="G8" s="30"/>
      <c r="H8" s="30"/>
      <c r="I8" s="138" t="s">
        <v>132</v>
      </c>
      <c r="J8" s="149">
        <v>225.94961449572799</v>
      </c>
      <c r="K8" s="149">
        <v>220.18744322615842</v>
      </c>
      <c r="L8" s="149">
        <v>230.607833</v>
      </c>
      <c r="M8" s="149">
        <v>361.29</v>
      </c>
      <c r="N8" s="149">
        <v>363.54</v>
      </c>
      <c r="O8" s="149">
        <v>357.97642230999998</v>
      </c>
      <c r="P8" s="149">
        <v>384.78602000000001</v>
      </c>
      <c r="Q8" s="149">
        <v>476.51523699999996</v>
      </c>
      <c r="R8" s="149">
        <v>217.94701999999998</v>
      </c>
      <c r="S8" s="149">
        <v>230.46236994999995</v>
      </c>
      <c r="T8" s="149">
        <v>235.69270122999998</v>
      </c>
      <c r="U8" s="149">
        <v>344.63390038</v>
      </c>
      <c r="V8" s="149">
        <v>198.83856585000001</v>
      </c>
      <c r="W8" s="150">
        <f>'Totales fondos'!C47</f>
        <v>235.735263</v>
      </c>
      <c r="Y8" s="20">
        <v>2011</v>
      </c>
      <c r="Z8" s="93">
        <f>R15</f>
        <v>732.10098799999992</v>
      </c>
    </row>
    <row r="9" spans="2:26" ht="14.25" customHeight="1" x14ac:dyDescent="0.2">
      <c r="B9" s="152" t="s">
        <v>184</v>
      </c>
      <c r="C9" s="149">
        <f>'Totales fondos'!C9</f>
        <v>96.297467000000012</v>
      </c>
      <c r="D9" s="153">
        <v>90.925300880000009</v>
      </c>
      <c r="E9" s="154">
        <f t="shared" si="0"/>
        <v>5.3721661200000028</v>
      </c>
      <c r="F9" s="155">
        <f t="shared" si="1"/>
        <v>5.9083292197075019E-2</v>
      </c>
      <c r="G9" s="30"/>
      <c r="H9" s="30"/>
      <c r="I9" s="156" t="s">
        <v>133</v>
      </c>
      <c r="J9" s="157">
        <v>184.86786640559561</v>
      </c>
      <c r="K9" s="157">
        <v>227.60361095628434</v>
      </c>
      <c r="L9" s="157">
        <v>307.67838799999998</v>
      </c>
      <c r="M9" s="157">
        <v>294.74</v>
      </c>
      <c r="N9" s="157">
        <v>305.27999999999997</v>
      </c>
      <c r="O9" s="157">
        <v>267.41186299999998</v>
      </c>
      <c r="P9" s="157">
        <v>263.86473400000006</v>
      </c>
      <c r="Q9" s="157">
        <v>340.78492</v>
      </c>
      <c r="R9" s="157">
        <v>312.57247899999999</v>
      </c>
      <c r="S9" s="157">
        <v>227.60384567</v>
      </c>
      <c r="T9" s="157">
        <v>229.56583696999996</v>
      </c>
      <c r="U9" s="157">
        <v>276.25885242999999</v>
      </c>
      <c r="V9" s="157">
        <v>299.73322114000001</v>
      </c>
      <c r="W9" s="158">
        <f>'Totales fondos'!C25</f>
        <v>327.64548500000001</v>
      </c>
      <c r="Y9" s="20">
        <v>2012</v>
      </c>
      <c r="Z9" s="93">
        <f>S15</f>
        <v>545.75176579000004</v>
      </c>
    </row>
    <row r="10" spans="2:26" ht="14.25" customHeight="1" x14ac:dyDescent="0.2">
      <c r="B10" s="152" t="s">
        <v>187</v>
      </c>
      <c r="C10" s="149">
        <f>'Totales fondos'!C14</f>
        <v>25.272532999999999</v>
      </c>
      <c r="D10" s="153">
        <v>26.522388320000001</v>
      </c>
      <c r="E10" s="154">
        <f t="shared" si="0"/>
        <v>-1.2498553200000018</v>
      </c>
      <c r="F10" s="155">
        <f t="shared" si="1"/>
        <v>-4.7124538895975329E-2</v>
      </c>
      <c r="G10" s="30"/>
      <c r="H10" s="30"/>
      <c r="I10" s="30" t="s">
        <v>213</v>
      </c>
      <c r="P10" s="183">
        <f t="shared" ref="P10:R11" si="2">(P8-O8)/O8</f>
        <v>7.4892076737901728E-2</v>
      </c>
      <c r="Q10" s="183">
        <f t="shared" si="2"/>
        <v>0.23839020191014201</v>
      </c>
      <c r="R10" s="183">
        <f t="shared" si="2"/>
        <v>-0.54262318793386255</v>
      </c>
      <c r="S10" s="183">
        <f t="shared" ref="S10:T11" si="3">(S8-R8)/R8</f>
        <v>5.7423817724142193E-2</v>
      </c>
      <c r="T10" s="183">
        <f t="shared" si="3"/>
        <v>2.2694947036840669E-2</v>
      </c>
      <c r="U10" s="183">
        <v>0.46221710974278363</v>
      </c>
      <c r="V10" s="183">
        <v>-0.42304408930532728</v>
      </c>
      <c r="W10" s="183">
        <f>(W8-U8)/U8</f>
        <v>-0.31598353284434949</v>
      </c>
      <c r="Y10" s="32">
        <v>2013</v>
      </c>
      <c r="Z10" s="93">
        <f>T15</f>
        <v>503.94739817999988</v>
      </c>
    </row>
    <row r="11" spans="2:26" ht="14.25" customHeight="1" x14ac:dyDescent="0.2">
      <c r="B11" s="152" t="s">
        <v>189</v>
      </c>
      <c r="C11" s="149">
        <f>'Totales fondos'!C18</f>
        <v>9.8503540000000012</v>
      </c>
      <c r="D11" s="153">
        <v>9.5150072899999998</v>
      </c>
      <c r="E11" s="154">
        <f t="shared" si="0"/>
        <v>0.33534671000000138</v>
      </c>
      <c r="F11" s="155">
        <f t="shared" si="1"/>
        <v>3.5243978252380445E-2</v>
      </c>
      <c r="G11" s="30"/>
      <c r="H11" s="30"/>
      <c r="I11" s="30" t="s">
        <v>214</v>
      </c>
      <c r="J11" s="93"/>
      <c r="P11" s="183">
        <f t="shared" si="2"/>
        <v>-1.3264665823744429E-2</v>
      </c>
      <c r="Q11" s="183">
        <f t="shared" si="2"/>
        <v>0.29151370413903027</v>
      </c>
      <c r="R11" s="183">
        <f t="shared" si="2"/>
        <v>-8.2786647366908175E-2</v>
      </c>
      <c r="S11" s="183">
        <f t="shared" si="3"/>
        <v>-0.27183657883712786</v>
      </c>
      <c r="T11" s="183">
        <f t="shared" si="3"/>
        <v>8.6202027660140356E-3</v>
      </c>
      <c r="U11" s="183">
        <v>0.20339705627062421</v>
      </c>
      <c r="V11" s="183">
        <v>8.4972367413811978E-2</v>
      </c>
      <c r="W11" s="183">
        <f>(W9-U9)/U9</f>
        <v>0.18600899887188466</v>
      </c>
      <c r="Y11" s="32">
        <v>2014</v>
      </c>
      <c r="Z11" s="93">
        <f>U15</f>
        <v>574.79751962</v>
      </c>
    </row>
    <row r="12" spans="2:26" ht="14.25" customHeight="1" x14ac:dyDescent="0.2">
      <c r="B12" s="152" t="s">
        <v>191</v>
      </c>
      <c r="C12" s="93">
        <f>'Totales fondos'!C23+'Totales fondos'!C24</f>
        <v>38.316706000000003</v>
      </c>
      <c r="D12" s="153">
        <v>17.960565969999998</v>
      </c>
      <c r="E12" s="154">
        <f t="shared" si="0"/>
        <v>20.356140030000006</v>
      </c>
      <c r="F12" s="155">
        <f t="shared" si="1"/>
        <v>1.1333796531802727</v>
      </c>
      <c r="G12" s="30"/>
      <c r="H12" s="30"/>
      <c r="I12" s="30" t="s">
        <v>65</v>
      </c>
      <c r="Y12" s="32">
        <v>2015</v>
      </c>
      <c r="Z12" s="93">
        <f>V15</f>
        <v>553.75446443999999</v>
      </c>
    </row>
    <row r="13" spans="2:26" ht="12.75" customHeight="1" x14ac:dyDescent="0.2">
      <c r="B13" s="146" t="s">
        <v>215</v>
      </c>
      <c r="C13" s="128">
        <f>SUM(C8:C12)</f>
        <v>327.64548500000001</v>
      </c>
      <c r="D13" s="160">
        <f>SUM(D8:D12)</f>
        <v>299.73322114000001</v>
      </c>
      <c r="E13" s="224">
        <f t="shared" si="0"/>
        <v>27.912263859999996</v>
      </c>
      <c r="F13" s="155">
        <f t="shared" si="1"/>
        <v>9.3123690973723194E-2</v>
      </c>
      <c r="G13" s="30"/>
      <c r="H13" s="30"/>
      <c r="I13" s="161" t="s">
        <v>206</v>
      </c>
      <c r="J13" s="162"/>
      <c r="K13" s="162"/>
      <c r="L13" s="162"/>
      <c r="M13" s="162">
        <v>262.56</v>
      </c>
      <c r="N13" s="162">
        <v>333.16</v>
      </c>
      <c r="O13" s="163">
        <v>376.64164999999997</v>
      </c>
      <c r="P13" s="163">
        <v>404.21496599999995</v>
      </c>
      <c r="Q13" s="163">
        <v>411.8</v>
      </c>
      <c r="R13" s="163">
        <v>373.59837199999998</v>
      </c>
      <c r="S13" s="163">
        <v>312.52822587000003</v>
      </c>
      <c r="T13" s="163">
        <v>278.23514241999993</v>
      </c>
      <c r="U13" s="163">
        <v>296.84194337638002</v>
      </c>
      <c r="V13" s="163">
        <v>257.57064429000002</v>
      </c>
      <c r="W13" s="184">
        <f>'Totales ingresos'!D17</f>
        <v>255.673564</v>
      </c>
      <c r="Y13" s="32">
        <v>2016</v>
      </c>
      <c r="Z13" s="93">
        <f>W15</f>
        <v>563.91819240000007</v>
      </c>
    </row>
    <row r="14" spans="2:26" x14ac:dyDescent="0.2">
      <c r="B14" s="164"/>
      <c r="C14" s="160"/>
      <c r="D14" s="160"/>
      <c r="E14" s="160"/>
      <c r="F14" s="159"/>
      <c r="G14" s="30"/>
      <c r="H14" s="30"/>
      <c r="I14" s="165" t="s">
        <v>207</v>
      </c>
      <c r="J14" s="130"/>
      <c r="K14" s="130"/>
      <c r="L14" s="130"/>
      <c r="M14" s="130">
        <v>270.38</v>
      </c>
      <c r="N14" s="130">
        <v>296.12</v>
      </c>
      <c r="O14" s="149">
        <v>268.83795600000002</v>
      </c>
      <c r="P14" s="149">
        <v>270.25202899999999</v>
      </c>
      <c r="Q14" s="149">
        <v>311.562029</v>
      </c>
      <c r="R14" s="149">
        <v>344.48292099999998</v>
      </c>
      <c r="S14" s="149">
        <v>233.22353991999998</v>
      </c>
      <c r="T14" s="149">
        <v>225.71225575999995</v>
      </c>
      <c r="U14" s="149">
        <v>277.95557624361999</v>
      </c>
      <c r="V14" s="149">
        <v>296.18382015000003</v>
      </c>
      <c r="W14" s="150">
        <f>'Totales ingresos'!D18</f>
        <v>308.24462840000007</v>
      </c>
    </row>
    <row r="15" spans="2:26" ht="16.5" customHeight="1" x14ac:dyDescent="0.2">
      <c r="B15" s="146" t="s">
        <v>132</v>
      </c>
      <c r="C15" s="166"/>
      <c r="D15" s="166"/>
      <c r="E15" s="166"/>
      <c r="F15" s="159"/>
      <c r="G15" s="30"/>
      <c r="H15" s="30"/>
      <c r="I15" s="167" t="s">
        <v>216</v>
      </c>
      <c r="J15" s="168"/>
      <c r="K15" s="168"/>
      <c r="L15" s="168"/>
      <c r="M15" s="169">
        <v>549.29999999999995</v>
      </c>
      <c r="N15" s="170">
        <v>644.73</v>
      </c>
      <c r="O15" s="171">
        <v>659.69287899999995</v>
      </c>
      <c r="P15" s="171">
        <v>688.36316299999999</v>
      </c>
      <c r="Q15" s="171">
        <f>SUM(Q13:Q14)</f>
        <v>723.36202900000001</v>
      </c>
      <c r="R15" s="171">
        <v>732.10098799999992</v>
      </c>
      <c r="S15" s="171">
        <f>SUM(S13:S14)</f>
        <v>545.75176579000004</v>
      </c>
      <c r="T15" s="171">
        <f>SUM(T13:T14)</f>
        <v>503.94739817999988</v>
      </c>
      <c r="U15" s="171">
        <v>574.79751962</v>
      </c>
      <c r="V15" s="171">
        <v>553.75446443999999</v>
      </c>
      <c r="W15" s="172">
        <f>'Totales ingresos'!D19</f>
        <v>563.91819240000007</v>
      </c>
    </row>
    <row r="16" spans="2:26" x14ac:dyDescent="0.2">
      <c r="B16" s="152" t="s">
        <v>193</v>
      </c>
      <c r="C16" s="93">
        <f>'Totales fondos'!C30</f>
        <v>18.561674</v>
      </c>
      <c r="D16" s="153">
        <v>31.515468210000005</v>
      </c>
      <c r="E16" s="154">
        <f>C16-D16</f>
        <v>-12.953794210000005</v>
      </c>
      <c r="F16" s="155">
        <f>(C16-D16)/D16</f>
        <v>-0.41102972431454171</v>
      </c>
      <c r="G16" s="30"/>
      <c r="H16" s="30"/>
      <c r="I16" s="369"/>
      <c r="J16" s="369"/>
      <c r="K16" s="369"/>
      <c r="L16" s="369"/>
      <c r="O16" s="93"/>
    </row>
    <row r="17" spans="2:16" x14ac:dyDescent="0.2">
      <c r="B17" s="152" t="s">
        <v>145</v>
      </c>
      <c r="C17" s="93">
        <f>'Totales fondos'!C36</f>
        <v>65.278726000000006</v>
      </c>
      <c r="D17" s="153">
        <v>53.805427379999998</v>
      </c>
      <c r="E17" s="154">
        <f>C17-D17</f>
        <v>11.473298620000008</v>
      </c>
      <c r="F17" s="155">
        <f t="shared" ref="F17:F22" si="4">(C17-D17)/D17</f>
        <v>0.21323682718789713</v>
      </c>
      <c r="G17" s="30"/>
      <c r="H17" s="30"/>
      <c r="I17" s="173"/>
      <c r="J17" s="57"/>
      <c r="K17" s="57"/>
      <c r="L17" s="57"/>
      <c r="M17" s="57"/>
    </row>
    <row r="18" spans="2:16" ht="13.5" customHeight="1" x14ac:dyDescent="0.2">
      <c r="B18" s="152" t="s">
        <v>146</v>
      </c>
      <c r="C18" s="93">
        <f>'Totales fondos'!C41</f>
        <v>150.88669999999999</v>
      </c>
      <c r="D18" s="153">
        <v>112.35423861000001</v>
      </c>
      <c r="E18" s="154">
        <f>C18-D18</f>
        <v>38.53246138999998</v>
      </c>
      <c r="F18" s="155">
        <f t="shared" si="4"/>
        <v>0.34295512004449136</v>
      </c>
      <c r="G18" s="30"/>
      <c r="H18" s="30"/>
      <c r="I18" s="57"/>
      <c r="J18" s="130"/>
      <c r="K18" s="45"/>
      <c r="L18" s="45"/>
      <c r="M18" s="45"/>
      <c r="O18" s="93"/>
    </row>
    <row r="19" spans="2:16" ht="13.5" customHeight="1" x14ac:dyDescent="0.2">
      <c r="B19" s="152" t="s">
        <v>147</v>
      </c>
      <c r="C19" s="93">
        <f>'Totales fondos'!C46</f>
        <v>1.0081629999999999</v>
      </c>
      <c r="D19" s="153">
        <v>1.1634316499999999</v>
      </c>
      <c r="E19" s="154">
        <f>C19-D19</f>
        <v>-0.15526865000000001</v>
      </c>
      <c r="F19" s="155">
        <f t="shared" si="4"/>
        <v>-0.13345747470425101</v>
      </c>
      <c r="G19" s="30"/>
      <c r="H19" s="30"/>
      <c r="I19" s="57"/>
      <c r="J19" s="130"/>
      <c r="K19" s="45"/>
      <c r="L19" s="45"/>
      <c r="M19" s="45"/>
      <c r="O19" s="93"/>
    </row>
    <row r="20" spans="2:16" x14ac:dyDescent="0.2">
      <c r="B20" s="146" t="s">
        <v>217</v>
      </c>
      <c r="C20" s="128">
        <f>SUM(C16:C19)</f>
        <v>235.735263</v>
      </c>
      <c r="D20" s="128">
        <v>198.83856585000001</v>
      </c>
      <c r="E20" s="224">
        <f>C20-D20</f>
        <v>36.896697149999994</v>
      </c>
      <c r="F20" s="155">
        <f t="shared" si="4"/>
        <v>0.18556107057136065</v>
      </c>
      <c r="G20" s="30"/>
      <c r="H20" s="30"/>
      <c r="I20" s="33"/>
      <c r="J20" s="29"/>
      <c r="K20" s="29"/>
      <c r="L20" s="29"/>
      <c r="M20" s="29"/>
      <c r="O20" s="93"/>
    </row>
    <row r="21" spans="2:16" x14ac:dyDescent="0.2">
      <c r="B21" s="174"/>
      <c r="C21" s="272"/>
      <c r="D21" s="272"/>
      <c r="E21" s="272"/>
      <c r="F21" s="155"/>
      <c r="G21" s="30"/>
      <c r="H21" s="30"/>
      <c r="I21" s="33"/>
      <c r="J21" s="29"/>
      <c r="K21" s="29"/>
      <c r="L21" s="29"/>
      <c r="M21" s="29"/>
      <c r="O21" s="93"/>
    </row>
    <row r="22" spans="2:16" x14ac:dyDescent="0.2">
      <c r="B22" s="175" t="s">
        <v>218</v>
      </c>
      <c r="C22" s="176">
        <f>C13+C20</f>
        <v>563.38074800000004</v>
      </c>
      <c r="D22" s="176">
        <v>498.57178699000002</v>
      </c>
      <c r="E22" s="177">
        <f>C22-D22</f>
        <v>64.808961010000019</v>
      </c>
      <c r="F22" s="155">
        <f t="shared" si="4"/>
        <v>0.12998922662926354</v>
      </c>
      <c r="G22" s="30"/>
      <c r="H22" s="30"/>
      <c r="I22" s="36"/>
      <c r="J22" s="28"/>
      <c r="K22" s="28"/>
      <c r="L22" s="28"/>
      <c r="M22" s="28"/>
      <c r="O22" s="93"/>
    </row>
    <row r="23" spans="2:16" x14ac:dyDescent="0.2">
      <c r="B23" s="364"/>
      <c r="C23" s="364"/>
      <c r="D23" s="364"/>
      <c r="E23" s="364"/>
      <c r="F23" s="364"/>
      <c r="I23" s="40"/>
      <c r="J23" s="28"/>
      <c r="K23" s="28"/>
      <c r="L23" s="28"/>
      <c r="M23" s="28"/>
      <c r="O23" s="93"/>
      <c r="P23" s="20"/>
    </row>
    <row r="24" spans="2:16" x14ac:dyDescent="0.2">
      <c r="C24" s="178"/>
      <c r="D24" s="127"/>
      <c r="E24" s="178"/>
      <c r="I24" s="264"/>
      <c r="J24" s="48"/>
      <c r="K24" s="48"/>
      <c r="L24" s="28"/>
      <c r="M24" s="28"/>
      <c r="P24" s="20"/>
    </row>
    <row r="25" spans="2:16" x14ac:dyDescent="0.2">
      <c r="B25" s="179"/>
      <c r="C25" s="178"/>
      <c r="D25" s="178"/>
      <c r="I25" s="180"/>
      <c r="J25" s="181"/>
      <c r="K25" s="181"/>
      <c r="L25" s="29"/>
      <c r="M25" s="29"/>
      <c r="P25" s="20"/>
    </row>
    <row r="26" spans="2:16" ht="26.25" customHeight="1" x14ac:dyDescent="0.2">
      <c r="B26" s="179"/>
      <c r="C26" s="178"/>
      <c r="D26" s="178"/>
      <c r="I26" s="58"/>
      <c r="J26" s="29"/>
      <c r="K26" s="29"/>
      <c r="L26" s="29"/>
      <c r="M26" s="29"/>
      <c r="P26" s="20"/>
    </row>
    <row r="27" spans="2:16" x14ac:dyDescent="0.2">
      <c r="B27" s="179"/>
      <c r="C27" s="178"/>
      <c r="D27" s="178"/>
      <c r="P27" s="182"/>
    </row>
    <row r="28" spans="2:16" x14ac:dyDescent="0.2">
      <c r="B28" s="179"/>
      <c r="C28" s="178"/>
      <c r="D28" s="178"/>
      <c r="P28" s="20"/>
    </row>
    <row r="29" spans="2:16" x14ac:dyDescent="0.2">
      <c r="B29" s="179"/>
      <c r="C29" s="178"/>
      <c r="D29" s="178"/>
      <c r="P29" s="20"/>
    </row>
    <row r="30" spans="2:16" x14ac:dyDescent="0.2">
      <c r="B30" s="179"/>
      <c r="C30" s="178"/>
      <c r="D30" s="178"/>
      <c r="P30" s="20"/>
    </row>
    <row r="31" spans="2:16" x14ac:dyDescent="0.2">
      <c r="B31" s="179"/>
      <c r="C31" s="178"/>
      <c r="D31" s="155"/>
      <c r="P31" s="20"/>
    </row>
    <row r="32" spans="2:16" x14ac:dyDescent="0.2">
      <c r="B32" s="179"/>
      <c r="C32" s="178"/>
      <c r="D32" s="178"/>
      <c r="P32" s="182"/>
    </row>
    <row r="33" spans="2:18" x14ac:dyDescent="0.2">
      <c r="B33" s="179"/>
      <c r="C33" s="178"/>
      <c r="D33" s="178"/>
      <c r="P33" s="20"/>
    </row>
    <row r="34" spans="2:18" x14ac:dyDescent="0.2">
      <c r="B34" s="179"/>
      <c r="C34" s="178"/>
      <c r="D34" s="178"/>
      <c r="N34" s="151"/>
      <c r="O34" s="151"/>
      <c r="P34" s="20"/>
      <c r="Q34" s="151"/>
      <c r="R34" s="151"/>
    </row>
    <row r="35" spans="2:18" x14ac:dyDescent="0.2">
      <c r="B35" s="179"/>
      <c r="C35" s="178"/>
      <c r="D35" s="178"/>
      <c r="N35" s="151"/>
      <c r="O35" s="151"/>
      <c r="P35" s="20"/>
      <c r="Q35" s="151"/>
      <c r="R35" s="151"/>
    </row>
    <row r="36" spans="2:18" x14ac:dyDescent="0.2">
      <c r="B36" s="179"/>
      <c r="C36" s="178"/>
      <c r="D36" s="178"/>
      <c r="N36" s="151"/>
      <c r="O36" s="151"/>
      <c r="P36" s="20"/>
      <c r="Q36" s="151"/>
      <c r="R36" s="151"/>
    </row>
    <row r="37" spans="2:18" x14ac:dyDescent="0.2">
      <c r="B37" s="179"/>
      <c r="C37" s="178"/>
      <c r="D37" s="178"/>
      <c r="P37" s="182"/>
    </row>
    <row r="38" spans="2:18" x14ac:dyDescent="0.2">
      <c r="P38" s="20"/>
    </row>
    <row r="39" spans="2:18" x14ac:dyDescent="0.2">
      <c r="P39" s="20"/>
    </row>
    <row r="40" spans="2:18" x14ac:dyDescent="0.2">
      <c r="P40" s="182"/>
    </row>
    <row r="41" spans="2:18" x14ac:dyDescent="0.2">
      <c r="P41" s="20"/>
    </row>
    <row r="42" spans="2:18" x14ac:dyDescent="0.2">
      <c r="P42" s="20"/>
    </row>
    <row r="43" spans="2:18" x14ac:dyDescent="0.2">
      <c r="P43" s="182"/>
    </row>
    <row r="44" spans="2:18" x14ac:dyDescent="0.2">
      <c r="P44" s="20"/>
    </row>
    <row r="45" spans="2:18" x14ac:dyDescent="0.2">
      <c r="P45" s="20"/>
    </row>
    <row r="46" spans="2:18" x14ac:dyDescent="0.2">
      <c r="P46" s="20"/>
    </row>
    <row r="47" spans="2:18" x14ac:dyDescent="0.2">
      <c r="P47" s="20"/>
    </row>
    <row r="48" spans="2:18" x14ac:dyDescent="0.2">
      <c r="P48" s="182"/>
    </row>
    <row r="49" spans="9:18" x14ac:dyDescent="0.2">
      <c r="P49" s="20"/>
    </row>
    <row r="50" spans="9:18" x14ac:dyDescent="0.2">
      <c r="P50" s="20"/>
    </row>
    <row r="51" spans="9:18" x14ac:dyDescent="0.2">
      <c r="P51" s="182"/>
    </row>
    <row r="52" spans="9:18" x14ac:dyDescent="0.2">
      <c r="P52" s="20"/>
    </row>
    <row r="59" spans="9:18" x14ac:dyDescent="0.2">
      <c r="I59" s="168"/>
      <c r="J59" s="168">
        <v>2008</v>
      </c>
      <c r="K59" s="168">
        <v>2009</v>
      </c>
      <c r="L59" s="168">
        <v>2010</v>
      </c>
      <c r="M59" s="168">
        <v>2011</v>
      </c>
      <c r="N59" s="168">
        <v>2012</v>
      </c>
      <c r="O59" s="168">
        <v>2013</v>
      </c>
      <c r="P59" s="168">
        <v>2014</v>
      </c>
      <c r="Q59" s="168">
        <v>2015</v>
      </c>
      <c r="R59" s="168">
        <v>2016</v>
      </c>
    </row>
    <row r="60" spans="9:18" x14ac:dyDescent="0.2">
      <c r="I60" s="32" t="s">
        <v>132</v>
      </c>
      <c r="J60" s="56">
        <v>0.57240666433742671</v>
      </c>
      <c r="K60" s="56">
        <v>0.59320985542244509</v>
      </c>
      <c r="L60" s="56">
        <v>0.58303578302139003</v>
      </c>
      <c r="M60" s="56">
        <v>0.41081811396342283</v>
      </c>
      <c r="N60" s="56">
        <v>0.50312020858832696</v>
      </c>
      <c r="O60" s="56">
        <v>0.50658436520445571</v>
      </c>
      <c r="P60" s="56">
        <v>0.55506188278132751</v>
      </c>
      <c r="Q60" s="56">
        <v>0.39881632101655234</v>
      </c>
      <c r="R60" s="56">
        <v>0.41676113462661113</v>
      </c>
    </row>
    <row r="61" spans="9:18" x14ac:dyDescent="0.2">
      <c r="I61" s="32" t="s">
        <v>133</v>
      </c>
      <c r="J61" s="56">
        <v>0.42759333566257335</v>
      </c>
      <c r="K61" s="56">
        <v>0.40679014457755497</v>
      </c>
      <c r="L61" s="56">
        <v>0.41696421697861002</v>
      </c>
      <c r="M61" s="56">
        <v>0.58918188603657717</v>
      </c>
      <c r="N61" s="56">
        <v>0.49687979141167293</v>
      </c>
      <c r="O61" s="56">
        <v>0.49341563479554423</v>
      </c>
      <c r="P61" s="56">
        <v>0.44493811721867238</v>
      </c>
      <c r="Q61" s="56">
        <v>0.6011836789834476</v>
      </c>
      <c r="R61" s="56">
        <v>0.58323886537338887</v>
      </c>
    </row>
    <row r="62" spans="9:18" x14ac:dyDescent="0.2">
      <c r="I62" s="226" t="s">
        <v>134</v>
      </c>
      <c r="J62" s="232">
        <v>625.3882853099999</v>
      </c>
      <c r="K62" s="232">
        <v>648.65075400000001</v>
      </c>
      <c r="L62" s="232">
        <v>817.3001569999999</v>
      </c>
      <c r="M62" s="232">
        <v>530.519499</v>
      </c>
      <c r="N62" s="232">
        <v>458.06621561999998</v>
      </c>
      <c r="O62" s="232">
        <v>465.25853819999998</v>
      </c>
      <c r="P62" s="232">
        <v>620.89275281000005</v>
      </c>
      <c r="Q62" s="232">
        <v>498.57178699000002</v>
      </c>
      <c r="R62" s="232">
        <v>561.76895000000002</v>
      </c>
    </row>
    <row r="63" spans="9:18" x14ac:dyDescent="0.2">
      <c r="I63" s="32" t="s">
        <v>132</v>
      </c>
      <c r="J63" s="231">
        <v>357.97642230999998</v>
      </c>
      <c r="K63" s="231">
        <v>384.78602000000001</v>
      </c>
      <c r="L63" s="231">
        <v>476.51523699999996</v>
      </c>
      <c r="M63" s="231">
        <v>217.94701999999998</v>
      </c>
      <c r="N63" s="231">
        <v>230.46236994999995</v>
      </c>
      <c r="O63" s="231">
        <v>235.69270122999998</v>
      </c>
      <c r="P63" s="231">
        <v>344.63390038</v>
      </c>
      <c r="Q63" s="231">
        <v>198.83856585000001</v>
      </c>
      <c r="R63" s="231">
        <f>C20</f>
        <v>235.735263</v>
      </c>
    </row>
    <row r="64" spans="9:18" x14ac:dyDescent="0.2">
      <c r="I64" s="32" t="s">
        <v>133</v>
      </c>
      <c r="J64" s="231">
        <v>267.41186299999998</v>
      </c>
      <c r="K64" s="231">
        <v>263.86473400000006</v>
      </c>
      <c r="L64" s="231">
        <v>340.78492</v>
      </c>
      <c r="M64" s="231">
        <v>312.57247899999999</v>
      </c>
      <c r="N64" s="231">
        <v>227.60384567</v>
      </c>
      <c r="O64" s="231">
        <v>229.56583696999996</v>
      </c>
      <c r="P64" s="231">
        <v>276.25885242999999</v>
      </c>
      <c r="Q64" s="231">
        <v>299.73322114000001</v>
      </c>
      <c r="R64" s="231">
        <v>327.64548500000001</v>
      </c>
    </row>
    <row r="68" spans="9:18" x14ac:dyDescent="0.2">
      <c r="I68" s="168"/>
      <c r="J68" s="168">
        <v>2008</v>
      </c>
      <c r="K68" s="168">
        <v>2009</v>
      </c>
      <c r="L68" s="168">
        <v>2010</v>
      </c>
      <c r="M68" s="168">
        <v>2011</v>
      </c>
      <c r="N68" s="168">
        <v>2012</v>
      </c>
      <c r="O68" s="168">
        <v>2013</v>
      </c>
      <c r="P68" s="168">
        <v>2014</v>
      </c>
      <c r="Q68" s="168">
        <v>2015</v>
      </c>
      <c r="R68" s="168">
        <v>2016</v>
      </c>
    </row>
    <row r="69" spans="9:18" x14ac:dyDescent="0.2">
      <c r="I69" s="226" t="s">
        <v>216</v>
      </c>
      <c r="J69" s="232">
        <v>659.69287899999995</v>
      </c>
      <c r="K69" s="232">
        <v>688.36316299999999</v>
      </c>
      <c r="L69" s="232">
        <v>723.36202900000001</v>
      </c>
      <c r="M69" s="232">
        <v>732.10098799999992</v>
      </c>
      <c r="N69" s="232">
        <v>545.75176579000004</v>
      </c>
      <c r="O69" s="232">
        <v>503.94739817999988</v>
      </c>
      <c r="P69" s="232">
        <v>574.79751962</v>
      </c>
      <c r="Q69" s="232">
        <v>553.75446443999999</v>
      </c>
      <c r="R69" s="232">
        <f>SUM(R70:R71)</f>
        <v>486.60224299999999</v>
      </c>
    </row>
    <row r="70" spans="9:18" x14ac:dyDescent="0.2">
      <c r="I70" s="32" t="s">
        <v>206</v>
      </c>
      <c r="J70" s="231">
        <v>376.64164999999997</v>
      </c>
      <c r="K70" s="231">
        <v>404.21496599999995</v>
      </c>
      <c r="L70" s="231">
        <v>411.8</v>
      </c>
      <c r="M70" s="231">
        <v>373.59837199999998</v>
      </c>
      <c r="N70" s="231">
        <v>312.52822587000003</v>
      </c>
      <c r="O70" s="231">
        <v>278.23514241999993</v>
      </c>
      <c r="P70" s="231">
        <v>296.84194337638002</v>
      </c>
      <c r="Q70" s="231">
        <v>257.57064429000002</v>
      </c>
      <c r="R70" s="231">
        <v>254.670086</v>
      </c>
    </row>
    <row r="71" spans="9:18" x14ac:dyDescent="0.2">
      <c r="I71" s="32" t="s">
        <v>207</v>
      </c>
      <c r="J71" s="231">
        <v>268.83795600000002</v>
      </c>
      <c r="K71" s="231">
        <v>270.25202899999999</v>
      </c>
      <c r="L71" s="231">
        <v>311.562029</v>
      </c>
      <c r="M71" s="231">
        <v>344.48292099999998</v>
      </c>
      <c r="N71" s="231">
        <v>233.22353991999998</v>
      </c>
      <c r="O71" s="231">
        <v>225.71225575999995</v>
      </c>
      <c r="P71" s="231">
        <v>277.95557624361999</v>
      </c>
      <c r="Q71" s="231">
        <v>296.18382015000003</v>
      </c>
      <c r="R71" s="231">
        <v>231.93215699999999</v>
      </c>
    </row>
  </sheetData>
  <mergeCells count="5">
    <mergeCell ref="B23:F23"/>
    <mergeCell ref="E5:F5"/>
    <mergeCell ref="B2:I2"/>
    <mergeCell ref="B4:F4"/>
    <mergeCell ref="I16:L16"/>
  </mergeCells>
  <phoneticPr fontId="0" type="noConversion"/>
  <pageMargins left="0.19685039370078741" right="0.19685039370078741" top="0.39370078740157483" bottom="0.98425196850393704" header="0" footer="0"/>
  <pageSetup paperSize="9" scale="86"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workbookViewId="0">
      <selection activeCell="A36" sqref="A36"/>
    </sheetView>
  </sheetViews>
  <sheetFormatPr baseColWidth="10" defaultColWidth="11.42578125" defaultRowHeight="14.25" x14ac:dyDescent="0.2"/>
  <cols>
    <col min="1" max="1" width="39.5703125" style="3" customWidth="1"/>
    <col min="2" max="2" width="15.7109375" style="10" customWidth="1"/>
    <col min="3" max="3" width="14.85546875" style="12" customWidth="1"/>
    <col min="4" max="4" width="14.5703125" style="12" bestFit="1" customWidth="1"/>
    <col min="5" max="5" width="14.28515625" style="12" bestFit="1" customWidth="1"/>
    <col min="6" max="6" width="14.42578125" style="12" customWidth="1"/>
    <col min="7" max="8" width="13" style="12" bestFit="1" customWidth="1"/>
    <col min="9" max="9" width="14.28515625" style="10" bestFit="1" customWidth="1"/>
    <col min="10" max="10" width="13" style="12" bestFit="1" customWidth="1"/>
    <col min="11" max="11" width="13.85546875" style="12" customWidth="1"/>
    <col min="12" max="12" width="13" style="12" bestFit="1" customWidth="1"/>
    <col min="13" max="13" width="11.7109375" style="12" customWidth="1"/>
    <col min="14" max="14" width="12.42578125" style="70" bestFit="1" customWidth="1"/>
    <col min="15" max="16384" width="11.42578125" style="3"/>
  </cols>
  <sheetData>
    <row r="1" spans="1:18" ht="51" x14ac:dyDescent="0.2">
      <c r="A1" s="59" t="s">
        <v>219</v>
      </c>
      <c r="B1" s="60" t="s">
        <v>220</v>
      </c>
      <c r="C1" s="61" t="s">
        <v>221</v>
      </c>
      <c r="D1" s="61" t="s">
        <v>222</v>
      </c>
      <c r="E1" s="61" t="s">
        <v>223</v>
      </c>
      <c r="F1" s="61" t="s">
        <v>224</v>
      </c>
      <c r="G1" s="61" t="s">
        <v>189</v>
      </c>
      <c r="H1" s="61" t="s">
        <v>191</v>
      </c>
      <c r="I1" s="60" t="s">
        <v>225</v>
      </c>
      <c r="J1" s="61" t="s">
        <v>226</v>
      </c>
      <c r="K1" s="61" t="s">
        <v>227</v>
      </c>
      <c r="L1" s="61" t="s">
        <v>228</v>
      </c>
      <c r="M1" s="62" t="s">
        <v>229</v>
      </c>
      <c r="N1" s="63" t="s">
        <v>151</v>
      </c>
    </row>
    <row r="2" spans="1:18" ht="12.75" x14ac:dyDescent="0.2">
      <c r="A2" s="17" t="s">
        <v>58</v>
      </c>
      <c r="B2" s="64">
        <f t="shared" ref="B2:B65" si="0">SUM(C2:H2)</f>
        <v>16457164</v>
      </c>
      <c r="C2" s="65">
        <f>+VLOOKUP($A2,Fondos!$B$8:$AS$81,3,FALSE)</f>
        <v>9537702</v>
      </c>
      <c r="D2" s="65">
        <f>+VLOOKUP($A2,Fondos!$B$8:$AS$81,4,FALSE)</f>
        <v>0</v>
      </c>
      <c r="E2" s="65">
        <f>+VLOOKUP($A2,Fondos!$B$8:$AS$81,11,FALSE)</f>
        <v>0</v>
      </c>
      <c r="F2" s="65">
        <f>+VLOOKUP($A2,Fondos!$B$8:$AS$81,15,FALSE)</f>
        <v>4792698</v>
      </c>
      <c r="G2" s="65">
        <f>+VLOOKUP($A2,Fondos!$B$8:$AS$81,20,FALSE)</f>
        <v>0</v>
      </c>
      <c r="H2" s="65">
        <f>+VLOOKUP($A2,Fondos!$B$8:$AS$81,23,FALSE)</f>
        <v>2126764</v>
      </c>
      <c r="I2" s="64">
        <f t="shared" ref="I2:I65" si="1">SUM(J2:M2)</f>
        <v>69252185</v>
      </c>
      <c r="J2" s="65">
        <f>+VLOOKUP($A2,Fondos!$B$8:$BE$81,30,FALSE)</f>
        <v>2963302</v>
      </c>
      <c r="K2" s="65">
        <f>+VLOOKUP($A2,Fondos!$B$8:$BE$82,35,FALSE)</f>
        <v>0</v>
      </c>
      <c r="L2" s="65">
        <f>+VLOOKUP($A2,Fondos!$B$8:$BE$82,40,FALSE)</f>
        <v>66288883</v>
      </c>
      <c r="M2" s="65">
        <f>+VLOOKUP($A2,Fondos!$B$8:$BE$82,41,FALSE)</f>
        <v>0</v>
      </c>
      <c r="N2" s="64">
        <f>+B2+I2</f>
        <v>85709349</v>
      </c>
      <c r="O2" s="12" t="str">
        <f t="shared" ref="O2:O65" si="2">+A2</f>
        <v>Accion Contra el Hambre</v>
      </c>
      <c r="P2" s="12"/>
      <c r="R2" s="12"/>
    </row>
    <row r="3" spans="1:18" ht="12.75" x14ac:dyDescent="0.2">
      <c r="A3" s="17" t="s">
        <v>59</v>
      </c>
      <c r="B3" s="64">
        <f t="shared" si="0"/>
        <v>535106</v>
      </c>
      <c r="C3" s="65">
        <f>+VLOOKUP($A3,Fondos!$B$8:$AS$81,3,FALSE)</f>
        <v>85632</v>
      </c>
      <c r="D3" s="65">
        <f>+VLOOKUP($A3,Fondos!$B$8:$AS$81,4,FALSE)</f>
        <v>19245</v>
      </c>
      <c r="E3" s="65">
        <f>+VLOOKUP($A3,Fondos!$B$8:$AS$81,11,FALSE)</f>
        <v>430229</v>
      </c>
      <c r="F3" s="65">
        <f>+VLOOKUP($A3,Fondos!$B$8:$AS$81,15,FALSE)</f>
        <v>0</v>
      </c>
      <c r="G3" s="65">
        <f>+VLOOKUP($A3,Fondos!$B$8:$AS$81,20,FALSE)</f>
        <v>0</v>
      </c>
      <c r="H3" s="65">
        <f>+VLOOKUP($A3,Fondos!$B$8:$AS$81,23,FALSE)</f>
        <v>0</v>
      </c>
      <c r="I3" s="64">
        <f t="shared" si="1"/>
        <v>12198</v>
      </c>
      <c r="J3" s="65">
        <f>+VLOOKUP($A3,Fondos!$B$8:$BE$81,30,FALSE)</f>
        <v>0</v>
      </c>
      <c r="K3" s="65">
        <f>+VLOOKUP($A3,Fondos!$B$8:$BE$82,35,FALSE)</f>
        <v>12198</v>
      </c>
      <c r="L3" s="65">
        <f>+VLOOKUP($A3,Fondos!$B$8:$BE$82,40,FALSE)</f>
        <v>0</v>
      </c>
      <c r="M3" s="65">
        <f>+VLOOKUP($A3,Fondos!$B$8:$BE$82,41,FALSE)</f>
        <v>0</v>
      </c>
      <c r="N3" s="64">
        <f t="shared" ref="N3:N67" si="3">+B3+I3</f>
        <v>547304</v>
      </c>
      <c r="O3" s="12" t="str">
        <f t="shared" si="2"/>
        <v>Accion Verapaz</v>
      </c>
    </row>
    <row r="4" spans="1:18" ht="12.75" x14ac:dyDescent="0.2">
      <c r="A4" s="17" t="s">
        <v>60</v>
      </c>
      <c r="B4" s="64">
        <f t="shared" si="0"/>
        <v>0</v>
      </c>
      <c r="C4" s="65">
        <f>+VLOOKUP($A4,Fondos!$B$8:$AS$81,3,FALSE)</f>
        <v>0</v>
      </c>
      <c r="D4" s="65" t="str">
        <f>+VLOOKUP($A4,Fondos!$B$8:$AS$81,4,FALSE)</f>
        <v xml:space="preserve"> </v>
      </c>
      <c r="E4" s="65">
        <f>+VLOOKUP($A4,Fondos!$B$8:$AS$81,11,FALSE)</f>
        <v>0</v>
      </c>
      <c r="F4" s="65">
        <f>+VLOOKUP($A4,Fondos!$B$8:$AS$81,15,FALSE)</f>
        <v>0</v>
      </c>
      <c r="G4" s="65">
        <f>+VLOOKUP($A4,Fondos!$B$8:$AS$81,20,FALSE)</f>
        <v>0</v>
      </c>
      <c r="H4" s="65">
        <f>+VLOOKUP($A4,Fondos!$B$8:$AS$81,23,FALSE)</f>
        <v>0</v>
      </c>
      <c r="I4" s="64">
        <f t="shared" si="1"/>
        <v>0</v>
      </c>
      <c r="J4" s="65">
        <f>+VLOOKUP($A4,Fondos!$B$8:$BE$81,30,FALSE)</f>
        <v>0</v>
      </c>
      <c r="K4" s="65">
        <f>+VLOOKUP($A4,Fondos!$B$8:$BE$82,35,FALSE)</f>
        <v>0</v>
      </c>
      <c r="L4" s="65">
        <f>+VLOOKUP($A4,Fondos!$B$8:$BE$82,40,FALSE)</f>
        <v>0</v>
      </c>
      <c r="M4" s="65">
        <f>+VLOOKUP($A4,Fondos!$B$8:$BE$82,41,FALSE)</f>
        <v>0</v>
      </c>
      <c r="N4" s="64">
        <f t="shared" si="3"/>
        <v>0</v>
      </c>
      <c r="O4" s="12" t="str">
        <f t="shared" si="2"/>
        <v>ADRA</v>
      </c>
    </row>
    <row r="5" spans="1:18" ht="12.75" x14ac:dyDescent="0.2">
      <c r="A5" s="17" t="s">
        <v>61</v>
      </c>
      <c r="B5" s="64">
        <f t="shared" si="0"/>
        <v>972729</v>
      </c>
      <c r="C5" s="65">
        <f>+VLOOKUP($A5,Fondos!$B$8:$AS$81,3,FALSE)</f>
        <v>40303</v>
      </c>
      <c r="D5" s="65">
        <f>+VLOOKUP($A5,Fondos!$B$8:$AS$81,4,FALSE)</f>
        <v>0</v>
      </c>
      <c r="E5" s="65">
        <f>+VLOOKUP($A5,Fondos!$B$8:$AS$81,11,FALSE)</f>
        <v>82862</v>
      </c>
      <c r="F5" s="65">
        <f>+VLOOKUP($A5,Fondos!$B$8:$AS$81,15,FALSE)</f>
        <v>502155</v>
      </c>
      <c r="G5" s="65">
        <f>+VLOOKUP($A5,Fondos!$B$8:$AS$81,20,FALSE)</f>
        <v>347409</v>
      </c>
      <c r="H5" s="65">
        <f>+VLOOKUP($A5,Fondos!$B$8:$AS$81,23,FALSE)</f>
        <v>0</v>
      </c>
      <c r="I5" s="64">
        <f t="shared" si="1"/>
        <v>1548249</v>
      </c>
      <c r="J5" s="65">
        <f>+VLOOKUP($A5,Fondos!$B$8:$BE$81,30,FALSE)</f>
        <v>850615</v>
      </c>
      <c r="K5" s="65">
        <f>+VLOOKUP($A5,Fondos!$B$8:$BE$82,35,FALSE)</f>
        <v>367634</v>
      </c>
      <c r="L5" s="65">
        <f>+VLOOKUP($A5,Fondos!$B$8:$BE$82,40,FALSE)</f>
        <v>330000</v>
      </c>
      <c r="M5" s="65">
        <f>+VLOOKUP($A5,Fondos!$B$8:$BE$82,41,FALSE)</f>
        <v>0</v>
      </c>
      <c r="N5" s="64">
        <f t="shared" si="3"/>
        <v>2520978</v>
      </c>
      <c r="O5" s="12" t="str">
        <f t="shared" si="2"/>
        <v>AIDA</v>
      </c>
    </row>
    <row r="6" spans="1:18" ht="12.75" x14ac:dyDescent="0.2">
      <c r="A6" s="17" t="s">
        <v>62</v>
      </c>
      <c r="B6" s="64">
        <f t="shared" si="0"/>
        <v>64207</v>
      </c>
      <c r="C6" s="65">
        <f>+VLOOKUP($A6,Fondos!$B$8:$AS$81,3,FALSE)</f>
        <v>0</v>
      </c>
      <c r="D6" s="65">
        <f>+VLOOKUP($A6,Fondos!$B$8:$AS$81,4,FALSE)</f>
        <v>0</v>
      </c>
      <c r="E6" s="65">
        <f>+VLOOKUP($A6,Fondos!$B$8:$AS$81,11,FALSE)</f>
        <v>14640</v>
      </c>
      <c r="F6" s="65">
        <f>+VLOOKUP($A6,Fondos!$B$8:$AS$81,15,FALSE)</f>
        <v>42000</v>
      </c>
      <c r="G6" s="65">
        <f>+VLOOKUP($A6,Fondos!$B$8:$AS$81,20,FALSE)</f>
        <v>0</v>
      </c>
      <c r="H6" s="65">
        <f>+VLOOKUP($A6,Fondos!$B$8:$AS$81,23,FALSE)</f>
        <v>7567</v>
      </c>
      <c r="I6" s="64">
        <f t="shared" si="1"/>
        <v>799898</v>
      </c>
      <c r="J6" s="65">
        <f>+VLOOKUP($A6,Fondos!$B$8:$BE$81,30,FALSE)</f>
        <v>356300</v>
      </c>
      <c r="K6" s="65">
        <f>+VLOOKUP($A6,Fondos!$B$8:$BE$82,35,FALSE)</f>
        <v>443598</v>
      </c>
      <c r="L6" s="65">
        <f>+VLOOKUP($A6,Fondos!$B$8:$BE$82,40,FALSE)</f>
        <v>0</v>
      </c>
      <c r="M6" s="65">
        <f>+VLOOKUP($A6,Fondos!$B$8:$BE$82,41,FALSE)</f>
        <v>0</v>
      </c>
      <c r="N6" s="64">
        <f t="shared" si="3"/>
        <v>864105</v>
      </c>
      <c r="O6" s="12" t="str">
        <f t="shared" si="2"/>
        <v>AIETI</v>
      </c>
    </row>
    <row r="7" spans="1:18" ht="12.75" x14ac:dyDescent="0.2">
      <c r="A7" s="17" t="s">
        <v>63</v>
      </c>
      <c r="B7" s="64">
        <f t="shared" si="0"/>
        <v>9341434</v>
      </c>
      <c r="C7" s="65">
        <f>+VLOOKUP($A7,Fondos!$B$8:$AS$81,3,FALSE)</f>
        <v>711673</v>
      </c>
      <c r="D7" s="65">
        <f>+VLOOKUP($A7,Fondos!$B$8:$AS$81,4,FALSE)</f>
        <v>61320</v>
      </c>
      <c r="E7" s="65">
        <f>+VLOOKUP($A7,Fondos!$B$8:$AS$81,11,FALSE)</f>
        <v>8361696</v>
      </c>
      <c r="F7" s="65">
        <f>+VLOOKUP($A7,Fondos!$B$8:$AS$81,15,FALSE)</f>
        <v>127500</v>
      </c>
      <c r="G7" s="65">
        <f>+VLOOKUP($A7,Fondos!$B$8:$AS$81,20,FALSE)</f>
        <v>10810</v>
      </c>
      <c r="H7" s="65">
        <f>+VLOOKUP($A7,Fondos!$B$8:$AS$81,23,FALSE)</f>
        <v>68435</v>
      </c>
      <c r="I7" s="64">
        <f t="shared" si="1"/>
        <v>4151215</v>
      </c>
      <c r="J7" s="65">
        <f>+VLOOKUP($A7,Fondos!$B$8:$BE$81,30,FALSE)</f>
        <v>449053</v>
      </c>
      <c r="K7" s="65">
        <f>+VLOOKUP($A7,Fondos!$B$8:$BE$82,35,FALSE)</f>
        <v>3702162</v>
      </c>
      <c r="L7" s="65">
        <f>+VLOOKUP($A7,Fondos!$B$8:$BE$82,40,FALSE)</f>
        <v>0</v>
      </c>
      <c r="M7" s="65">
        <f>+VLOOKUP($A7,Fondos!$B$8:$BE$82,41,FALSE)</f>
        <v>0</v>
      </c>
      <c r="N7" s="64">
        <f t="shared" si="3"/>
        <v>13492649</v>
      </c>
      <c r="O7" s="12" t="str">
        <f t="shared" si="2"/>
        <v>ALBOAN</v>
      </c>
    </row>
    <row r="8" spans="1:18" ht="12.75" x14ac:dyDescent="0.2">
      <c r="A8" s="17" t="s">
        <v>64</v>
      </c>
      <c r="B8" s="64">
        <f t="shared" si="0"/>
        <v>1223722</v>
      </c>
      <c r="C8" s="65">
        <f>+VLOOKUP($A8,Fondos!$B$8:$AS$81,3,FALSE)</f>
        <v>340852</v>
      </c>
      <c r="D8" s="65">
        <f>+VLOOKUP($A8,Fondos!$B$8:$AS$81,4,FALSE)</f>
        <v>0</v>
      </c>
      <c r="E8" s="65">
        <f>+VLOOKUP($A8,Fondos!$B$8:$AS$81,11,FALSE)</f>
        <v>697346</v>
      </c>
      <c r="F8" s="65">
        <f>+VLOOKUP($A8,Fondos!$B$8:$AS$81,15,FALSE)</f>
        <v>61000</v>
      </c>
      <c r="G8" s="65">
        <f>+VLOOKUP($A8,Fondos!$B$8:$AS$81,20,FALSE)</f>
        <v>91198</v>
      </c>
      <c r="H8" s="65">
        <f>+VLOOKUP($A8,Fondos!$B$8:$AS$81,23,FALSE)</f>
        <v>33326</v>
      </c>
      <c r="I8" s="64">
        <f t="shared" si="1"/>
        <v>5601611</v>
      </c>
      <c r="J8" s="65">
        <f>+VLOOKUP($A8,Fondos!$B$8:$BE$81,30,FALSE)</f>
        <v>672760</v>
      </c>
      <c r="K8" s="65">
        <f>+VLOOKUP($A8,Fondos!$B$8:$BE$82,35,FALSE)</f>
        <v>2624786</v>
      </c>
      <c r="L8" s="65">
        <f>+VLOOKUP($A8,Fondos!$B$8:$BE$82,40,FALSE)</f>
        <v>2304065</v>
      </c>
      <c r="M8" s="65">
        <f>+VLOOKUP($A8,Fondos!$B$8:$BE$82,41,FALSE)</f>
        <v>0</v>
      </c>
      <c r="N8" s="64">
        <f t="shared" si="3"/>
        <v>6825333</v>
      </c>
      <c r="O8" s="12" t="str">
        <f t="shared" si="2"/>
        <v>Alianza por la Solidaridad</v>
      </c>
    </row>
    <row r="9" spans="1:18" ht="12.75" x14ac:dyDescent="0.2">
      <c r="A9" s="17" t="s">
        <v>245</v>
      </c>
      <c r="B9" s="64">
        <f t="shared" si="0"/>
        <v>3940</v>
      </c>
      <c r="C9" s="65">
        <f>+VLOOKUP($A9,Fondos!$B$8:$AS$81,3,FALSE)</f>
        <v>3940</v>
      </c>
      <c r="D9" s="65">
        <f>+VLOOKUP($A9,Fondos!$B$8:$AS$81,4,FALSE)</f>
        <v>0</v>
      </c>
      <c r="E9" s="65">
        <f>+VLOOKUP($A9,Fondos!$B$8:$AS$81,11,FALSE)</f>
        <v>0</v>
      </c>
      <c r="F9" s="65">
        <f>+VLOOKUP($A9,Fondos!$B$8:$AS$81,15,FALSE)</f>
        <v>0</v>
      </c>
      <c r="G9" s="65">
        <f>+VLOOKUP($A9,Fondos!$B$8:$AS$81,20,FALSE)</f>
        <v>0</v>
      </c>
      <c r="H9" s="65">
        <f>+VLOOKUP($A9,Fondos!$B$8:$AS$81,23,FALSE)</f>
        <v>0</v>
      </c>
      <c r="I9" s="64">
        <f t="shared" si="1"/>
        <v>2374478</v>
      </c>
      <c r="J9" s="65">
        <f>+VLOOKUP($A9,Fondos!$B$8:$BE$81,30,FALSE)</f>
        <v>625825</v>
      </c>
      <c r="K9" s="65">
        <f>+VLOOKUP($A9,Fondos!$B$8:$BE$82,35,FALSE)</f>
        <v>323653</v>
      </c>
      <c r="L9" s="65">
        <f>+VLOOKUP($A9,Fondos!$B$8:$BE$82,40,FALSE)</f>
        <v>1425000</v>
      </c>
      <c r="M9" s="65">
        <f>+VLOOKUP($A9,Fondos!$B$8:$BE$82,41,FALSE)</f>
        <v>0</v>
      </c>
      <c r="N9" s="64">
        <f t="shared" si="3"/>
        <v>2378418</v>
      </c>
      <c r="O9" s="12" t="str">
        <f t="shared" si="2"/>
        <v>Amigos de la Tierra España</v>
      </c>
    </row>
    <row r="10" spans="1:18" ht="12.75" x14ac:dyDescent="0.2">
      <c r="A10" s="17" t="s">
        <v>246</v>
      </c>
      <c r="B10" s="64">
        <f t="shared" si="0"/>
        <v>362993</v>
      </c>
      <c r="C10" s="65">
        <f>+VLOOKUP($A10,Fondos!$B$8:$AS$81,3,FALSE)</f>
        <v>45139</v>
      </c>
      <c r="D10" s="65">
        <f>+VLOOKUP($A10,Fondos!$B$8:$AS$81,4,FALSE)</f>
        <v>0</v>
      </c>
      <c r="E10" s="65">
        <f>+VLOOKUP($A10,Fondos!$B$8:$AS$81,11,FALSE)</f>
        <v>70662</v>
      </c>
      <c r="F10" s="65">
        <f>+VLOOKUP($A10,Fondos!$B$8:$AS$81,15,FALSE)</f>
        <v>247192</v>
      </c>
      <c r="G10" s="65">
        <f>+VLOOKUP($A10,Fondos!$B$8:$AS$81,20,FALSE)</f>
        <v>0</v>
      </c>
      <c r="H10" s="65">
        <f>+VLOOKUP($A10,Fondos!$B$8:$AS$81,23,FALSE)</f>
        <v>0</v>
      </c>
      <c r="I10" s="64">
        <f t="shared" si="1"/>
        <v>461169</v>
      </c>
      <c r="J10" s="65">
        <f>+VLOOKUP($A10,Fondos!$B$8:$BE$81,30,FALSE)</f>
        <v>291470</v>
      </c>
      <c r="K10" s="65">
        <f>+VLOOKUP($A10,Fondos!$B$8:$BE$82,35,FALSE)</f>
        <v>169699</v>
      </c>
      <c r="L10" s="65">
        <f>+VLOOKUP($A10,Fondos!$B$8:$BE$82,40,FALSE)</f>
        <v>0</v>
      </c>
      <c r="M10" s="65">
        <f>+VLOOKUP($A10,Fondos!$B$8:$BE$82,41,FALSE)</f>
        <v>0</v>
      </c>
      <c r="N10" s="64">
        <f t="shared" si="3"/>
        <v>824162</v>
      </c>
      <c r="O10" s="12" t="str">
        <f t="shared" si="2"/>
        <v>Amref Salud Africa</v>
      </c>
    </row>
    <row r="11" spans="1:18" ht="12.75" x14ac:dyDescent="0.2">
      <c r="A11" s="17" t="s">
        <v>247</v>
      </c>
      <c r="B11" s="64">
        <f t="shared" si="0"/>
        <v>121374</v>
      </c>
      <c r="C11" s="65">
        <f>+VLOOKUP($A11,Fondos!$B$8:$AS$81,3,FALSE)</f>
        <v>84415</v>
      </c>
      <c r="D11" s="65">
        <f>+VLOOKUP($A11,Fondos!$B$8:$AS$81,4,FALSE)</f>
        <v>0</v>
      </c>
      <c r="E11" s="65">
        <f>+VLOOKUP($A11,Fondos!$B$8:$AS$81,11,FALSE)</f>
        <v>36959</v>
      </c>
      <c r="F11" s="65">
        <f>+VLOOKUP($A11,Fondos!$B$8:$AS$81,15,FALSE)</f>
        <v>0</v>
      </c>
      <c r="G11" s="65">
        <f>+VLOOKUP($A11,Fondos!$B$8:$AS$81,20,FALSE)</f>
        <v>0</v>
      </c>
      <c r="H11" s="65">
        <f>+VLOOKUP($A11,Fondos!$B$8:$AS$81,23,FALSE)</f>
        <v>0</v>
      </c>
      <c r="I11" s="64">
        <f t="shared" si="1"/>
        <v>828000</v>
      </c>
      <c r="J11" s="65">
        <f>+VLOOKUP($A11,Fondos!$B$8:$BE$81,30,FALSE)</f>
        <v>828000</v>
      </c>
      <c r="K11" s="65">
        <f>+VLOOKUP($A11,Fondos!$B$8:$BE$82,35,FALSE)</f>
        <v>0</v>
      </c>
      <c r="L11" s="65">
        <f>+VLOOKUP($A11,Fondos!$B$8:$BE$82,40,FALSE)</f>
        <v>0</v>
      </c>
      <c r="M11" s="65">
        <f>+VLOOKUP($A11,Fondos!$B$8:$BE$82,41,FALSE)</f>
        <v>0</v>
      </c>
      <c r="N11" s="64">
        <f t="shared" si="3"/>
        <v>949374</v>
      </c>
      <c r="O11" s="12" t="str">
        <f t="shared" si="2"/>
        <v>Arquitectura Sin Fronteras España ASFE</v>
      </c>
    </row>
    <row r="12" spans="1:18" ht="12.75" x14ac:dyDescent="0.2">
      <c r="A12" s="17" t="s">
        <v>248</v>
      </c>
      <c r="B12" s="64">
        <f t="shared" si="0"/>
        <v>251271</v>
      </c>
      <c r="C12" s="65">
        <f>+VLOOKUP($A12,Fondos!$B$8:$AS$81,3,FALSE)</f>
        <v>130414</v>
      </c>
      <c r="D12" s="65">
        <f>+VLOOKUP($A12,Fondos!$B$8:$AS$81,4,FALSE)</f>
        <v>0</v>
      </c>
      <c r="E12" s="65">
        <f>+VLOOKUP($A12,Fondos!$B$8:$AS$81,11,FALSE)</f>
        <v>0</v>
      </c>
      <c r="F12" s="65">
        <f>+VLOOKUP($A12,Fondos!$B$8:$AS$81,15,FALSE)</f>
        <v>120857</v>
      </c>
      <c r="G12" s="65">
        <f>+VLOOKUP($A12,Fondos!$B$8:$AS$81,20,FALSE)</f>
        <v>0</v>
      </c>
      <c r="H12" s="65">
        <f>+VLOOKUP($A12,Fondos!$B$8:$AS$81,23,FALSE)</f>
        <v>0</v>
      </c>
      <c r="I12" s="64">
        <f t="shared" si="1"/>
        <v>5044731</v>
      </c>
      <c r="J12" s="65">
        <f>+VLOOKUP($A12,Fondos!$B$8:$BE$81,30,FALSE)</f>
        <v>219845</v>
      </c>
      <c r="K12" s="65">
        <f>+VLOOKUP($A12,Fondos!$B$8:$BE$82,35,FALSE)</f>
        <v>4824886</v>
      </c>
      <c r="L12" s="65">
        <f>+VLOOKUP($A12,Fondos!$B$8:$BE$82,40,FALSE)</f>
        <v>0</v>
      </c>
      <c r="M12" s="65">
        <f>+VLOOKUP($A12,Fondos!$B$8:$BE$82,41,FALSE)</f>
        <v>0</v>
      </c>
      <c r="N12" s="64">
        <f t="shared" si="3"/>
        <v>5296002</v>
      </c>
      <c r="O12" s="12" t="str">
        <f t="shared" si="2"/>
        <v>Asamblea de Cooperacion Por la Paz</v>
      </c>
    </row>
    <row r="13" spans="1:18" ht="12.75" x14ac:dyDescent="0.2">
      <c r="A13" s="17" t="s">
        <v>66</v>
      </c>
      <c r="B13" s="64">
        <f t="shared" si="0"/>
        <v>102864</v>
      </c>
      <c r="C13" s="65">
        <f>+VLOOKUP($A13,Fondos!$B$8:$AS$81,3,FALSE)</f>
        <v>84098</v>
      </c>
      <c r="D13" s="65">
        <f>+VLOOKUP($A13,Fondos!$B$8:$AS$81,4,FALSE)</f>
        <v>0</v>
      </c>
      <c r="E13" s="65">
        <f>+VLOOKUP($A13,Fondos!$B$8:$AS$81,11,FALSE)</f>
        <v>18766</v>
      </c>
      <c r="F13" s="65">
        <f>+VLOOKUP($A13,Fondos!$B$8:$AS$81,15,FALSE)</f>
        <v>0</v>
      </c>
      <c r="G13" s="65">
        <f>+VLOOKUP($A13,Fondos!$B$8:$AS$81,20,FALSE)</f>
        <v>0</v>
      </c>
      <c r="H13" s="65">
        <f>+VLOOKUP($A13,Fondos!$B$8:$AS$81,23,FALSE)</f>
        <v>0</v>
      </c>
      <c r="I13" s="64">
        <f t="shared" si="1"/>
        <v>1370607</v>
      </c>
      <c r="J13" s="65">
        <f>+VLOOKUP($A13,Fondos!$B$8:$BE$81,30,FALSE)</f>
        <v>0</v>
      </c>
      <c r="K13" s="65">
        <f>+VLOOKUP($A13,Fondos!$B$8:$BE$82,35,FALSE)</f>
        <v>1370607</v>
      </c>
      <c r="L13" s="65">
        <f>+VLOOKUP($A13,Fondos!$B$8:$BE$82,40,FALSE)</f>
        <v>0</v>
      </c>
      <c r="M13" s="65">
        <f>+VLOOKUP($A13,Fondos!$B$8:$BE$82,41,FALSE)</f>
        <v>0</v>
      </c>
      <c r="N13" s="64">
        <f t="shared" si="3"/>
        <v>1473471</v>
      </c>
      <c r="O13" s="12" t="str">
        <f t="shared" si="2"/>
        <v>Asociacion Entrepueblos</v>
      </c>
    </row>
    <row r="14" spans="1:18" ht="12.75" x14ac:dyDescent="0.2">
      <c r="A14" s="17" t="s">
        <v>249</v>
      </c>
      <c r="B14" s="64">
        <f t="shared" si="0"/>
        <v>621090</v>
      </c>
      <c r="C14" s="65">
        <f>+VLOOKUP($A14,Fondos!$B$8:$AS$81,3,FALSE)</f>
        <v>157146</v>
      </c>
      <c r="D14" s="65">
        <f>+VLOOKUP($A14,Fondos!$B$8:$AS$81,4,FALSE)</f>
        <v>0</v>
      </c>
      <c r="E14" s="65">
        <f>+VLOOKUP($A14,Fondos!$B$8:$AS$81,11,FALSE)</f>
        <v>411732</v>
      </c>
      <c r="F14" s="65">
        <f>+VLOOKUP($A14,Fondos!$B$8:$AS$81,15,FALSE)</f>
        <v>52212</v>
      </c>
      <c r="G14" s="65">
        <f>+VLOOKUP($A14,Fondos!$B$8:$AS$81,20,FALSE)</f>
        <v>0</v>
      </c>
      <c r="H14" s="65">
        <f>+VLOOKUP($A14,Fondos!$B$8:$AS$81,23,FALSE)</f>
        <v>0</v>
      </c>
      <c r="I14" s="64">
        <f t="shared" si="1"/>
        <v>326794</v>
      </c>
      <c r="J14" s="65">
        <f>+VLOOKUP($A14,Fondos!$B$8:$BE$81,30,FALSE)</f>
        <v>0</v>
      </c>
      <c r="K14" s="65">
        <f>+VLOOKUP($A14,Fondos!$B$8:$BE$82,35,FALSE)</f>
        <v>326794</v>
      </c>
      <c r="L14" s="65">
        <f>+VLOOKUP($A14,Fondos!$B$8:$BE$82,40,FALSE)</f>
        <v>0</v>
      </c>
      <c r="M14" s="65">
        <f>+VLOOKUP($A14,Fondos!$B$8:$BE$82,41,FALSE)</f>
        <v>0</v>
      </c>
      <c r="N14" s="64">
        <f t="shared" si="3"/>
        <v>947884</v>
      </c>
      <c r="O14" s="12" t="str">
        <f t="shared" si="2"/>
        <v>Asociacion FONTILLES</v>
      </c>
    </row>
    <row r="15" spans="1:18" ht="12.75" x14ac:dyDescent="0.2">
      <c r="A15" s="17" t="s">
        <v>250</v>
      </c>
      <c r="B15" s="64">
        <f t="shared" si="0"/>
        <v>812347</v>
      </c>
      <c r="C15" s="65">
        <f>+VLOOKUP($A15,Fondos!$B$8:$AS$81,3,FALSE)</f>
        <v>328591</v>
      </c>
      <c r="D15" s="65">
        <f>+VLOOKUP($A15,Fondos!$B$8:$AS$81,4,FALSE)</f>
        <v>0</v>
      </c>
      <c r="E15" s="65">
        <f>+VLOOKUP($A15,Fondos!$B$8:$AS$81,11,FALSE)</f>
        <v>204312</v>
      </c>
      <c r="F15" s="65">
        <f>+VLOOKUP($A15,Fondos!$B$8:$AS$81,15,FALSE)</f>
        <v>279444</v>
      </c>
      <c r="G15" s="65">
        <f>+VLOOKUP($A15,Fondos!$B$8:$AS$81,20,FALSE)</f>
        <v>0</v>
      </c>
      <c r="H15" s="65">
        <f>+VLOOKUP($A15,Fondos!$B$8:$AS$81,23,FALSE)</f>
        <v>0</v>
      </c>
      <c r="I15" s="64">
        <f t="shared" si="1"/>
        <v>73315</v>
      </c>
      <c r="J15" s="65">
        <f>+VLOOKUP($A15,Fondos!$B$8:$BE$81,30,FALSE)</f>
        <v>0</v>
      </c>
      <c r="K15" s="65">
        <f>+VLOOKUP($A15,Fondos!$B$8:$BE$82,35,FALSE)</f>
        <v>73315</v>
      </c>
      <c r="L15" s="65">
        <f>+VLOOKUP($A15,Fondos!$B$8:$BE$82,40,FALSE)</f>
        <v>0</v>
      </c>
      <c r="M15" s="65">
        <f>+VLOOKUP($A15,Fondos!$B$8:$BE$82,41,FALSE)</f>
        <v>0</v>
      </c>
      <c r="N15" s="64">
        <f t="shared" si="3"/>
        <v>885662</v>
      </c>
      <c r="O15" s="12" t="str">
        <f t="shared" si="2"/>
        <v>Asociacion Nuevos Caminos</v>
      </c>
    </row>
    <row r="16" spans="1:18" ht="12.75" x14ac:dyDescent="0.2">
      <c r="A16" s="17" t="s">
        <v>67</v>
      </c>
      <c r="B16" s="64">
        <f t="shared" si="0"/>
        <v>28419134</v>
      </c>
      <c r="C16" s="65">
        <f>+VLOOKUP($A16,Fondos!$B$8:$AS$81,3,FALSE)</f>
        <v>1482207</v>
      </c>
      <c r="D16" s="65">
        <f>+VLOOKUP($A16,Fondos!$B$8:$AS$81,4,FALSE)</f>
        <v>24810801</v>
      </c>
      <c r="E16" s="65">
        <f>+VLOOKUP($A16,Fondos!$B$8:$AS$81,11,FALSE)</f>
        <v>1157713</v>
      </c>
      <c r="F16" s="65">
        <f>+VLOOKUP($A16,Fondos!$B$8:$AS$81,15,FALSE)</f>
        <v>389576</v>
      </c>
      <c r="G16" s="65">
        <f>+VLOOKUP($A16,Fondos!$B$8:$AS$81,20,FALSE)</f>
        <v>35760</v>
      </c>
      <c r="H16" s="65">
        <f>+VLOOKUP($A16,Fondos!$B$8:$AS$81,23,FALSE)</f>
        <v>543077</v>
      </c>
      <c r="I16" s="64">
        <f t="shared" si="1"/>
        <v>3130319</v>
      </c>
      <c r="J16" s="65">
        <f>+VLOOKUP($A16,Fondos!$B$8:$BE$81,30,FALSE)</f>
        <v>312887</v>
      </c>
      <c r="K16" s="65">
        <f>+VLOOKUP($A16,Fondos!$B$8:$BE$82,35,FALSE)</f>
        <v>1580539</v>
      </c>
      <c r="L16" s="65">
        <f>+VLOOKUP($A16,Fondos!$B$8:$BE$82,40,FALSE)</f>
        <v>1236893</v>
      </c>
      <c r="M16" s="65">
        <f>+VLOOKUP($A16,Fondos!$B$8:$BE$82,41,FALSE)</f>
        <v>0</v>
      </c>
      <c r="N16" s="64">
        <f t="shared" si="3"/>
        <v>31549453</v>
      </c>
      <c r="O16" s="12" t="str">
        <f t="shared" si="2"/>
        <v>Ayuda en Accion</v>
      </c>
    </row>
    <row r="17" spans="1:15" ht="12.75" x14ac:dyDescent="0.2">
      <c r="A17" s="17" t="s">
        <v>68</v>
      </c>
      <c r="B17" s="64">
        <f t="shared" si="0"/>
        <v>19466143</v>
      </c>
      <c r="C17" s="65">
        <f>+VLOOKUP($A17,Fondos!$B$8:$AS$81,3,FALSE)</f>
        <v>0</v>
      </c>
      <c r="D17" s="65">
        <f>+VLOOKUP($A17,Fondos!$B$8:$AS$81,4,FALSE)</f>
        <v>0</v>
      </c>
      <c r="E17" s="65">
        <f>+VLOOKUP($A17,Fondos!$B$8:$AS$81,11,FALSE)</f>
        <v>16816729</v>
      </c>
      <c r="F17" s="65">
        <f>+VLOOKUP($A17,Fondos!$B$8:$AS$81,15,FALSE)</f>
        <v>2649414</v>
      </c>
      <c r="G17" s="65">
        <f>+VLOOKUP($A17,Fondos!$B$8:$AS$81,20,FALSE)</f>
        <v>0</v>
      </c>
      <c r="H17" s="65">
        <f>+VLOOKUP($A17,Fondos!$B$8:$AS$81,23,FALSE)</f>
        <v>0</v>
      </c>
      <c r="I17" s="64">
        <f t="shared" si="1"/>
        <v>423552</v>
      </c>
      <c r="J17" s="65">
        <f>+VLOOKUP($A17,Fondos!$B$8:$BE$81,30,FALSE)</f>
        <v>301297</v>
      </c>
      <c r="K17" s="65">
        <f>+VLOOKUP($A17,Fondos!$B$8:$BE$82,35,FALSE)</f>
        <v>122255</v>
      </c>
      <c r="L17" s="65">
        <f>+VLOOKUP($A17,Fondos!$B$8:$BE$82,40,FALSE)</f>
        <v>0</v>
      </c>
      <c r="M17" s="65">
        <f>+VLOOKUP($A17,Fondos!$B$8:$BE$82,41,FALSE)</f>
        <v>0</v>
      </c>
      <c r="N17" s="64">
        <f t="shared" si="3"/>
        <v>19889695</v>
      </c>
      <c r="O17" s="12" t="str">
        <f t="shared" si="2"/>
        <v>Caritas Española</v>
      </c>
    </row>
    <row r="18" spans="1:15" ht="12.75" x14ac:dyDescent="0.2">
      <c r="A18" s="17" t="s">
        <v>69</v>
      </c>
      <c r="B18" s="64">
        <f t="shared" si="0"/>
        <v>409191</v>
      </c>
      <c r="C18" s="65">
        <f>+VLOOKUP($A18,Fondos!$B$8:$AS$81,3,FALSE)</f>
        <v>18678</v>
      </c>
      <c r="D18" s="65">
        <f>+VLOOKUP($A18,Fondos!$B$8:$AS$81,4,FALSE)</f>
        <v>0</v>
      </c>
      <c r="E18" s="65">
        <f>+VLOOKUP($A18,Fondos!$B$8:$AS$81,11,FALSE)</f>
        <v>28667</v>
      </c>
      <c r="F18" s="65">
        <f>+VLOOKUP($A18,Fondos!$B$8:$AS$81,15,FALSE)</f>
        <v>265790</v>
      </c>
      <c r="G18" s="65">
        <f>+VLOOKUP($A18,Fondos!$B$8:$AS$81,20,FALSE)</f>
        <v>0</v>
      </c>
      <c r="H18" s="65">
        <f>+VLOOKUP($A18,Fondos!$B$8:$AS$81,23,FALSE)</f>
        <v>96056</v>
      </c>
      <c r="I18" s="64">
        <f t="shared" si="1"/>
        <v>729401</v>
      </c>
      <c r="J18" s="65">
        <f>+VLOOKUP($A18,Fondos!$B$8:$BE$81,30,FALSE)</f>
        <v>308031</v>
      </c>
      <c r="K18" s="65">
        <f>+VLOOKUP($A18,Fondos!$B$8:$BE$82,35,FALSE)</f>
        <v>270091</v>
      </c>
      <c r="L18" s="65">
        <f>+VLOOKUP($A18,Fondos!$B$8:$BE$82,40,FALSE)</f>
        <v>151279</v>
      </c>
      <c r="M18" s="65">
        <f>+VLOOKUP($A18,Fondos!$B$8:$BE$82,41,FALSE)</f>
        <v>0</v>
      </c>
      <c r="N18" s="64">
        <f t="shared" si="3"/>
        <v>1138592</v>
      </c>
      <c r="O18" s="12" t="str">
        <f t="shared" si="2"/>
        <v>CERAI</v>
      </c>
    </row>
    <row r="19" spans="1:15" ht="12.75" x14ac:dyDescent="0.2">
      <c r="A19" s="17" t="s">
        <v>70</v>
      </c>
      <c r="B19" s="64">
        <f t="shared" si="0"/>
        <v>1048431</v>
      </c>
      <c r="C19" s="65">
        <f>+VLOOKUP($A19,Fondos!$B$8:$AS$81,3,FALSE)</f>
        <v>77458</v>
      </c>
      <c r="D19" s="65">
        <f>+VLOOKUP($A19,Fondos!$B$8:$AS$81,4,FALSE)</f>
        <v>0</v>
      </c>
      <c r="E19" s="65">
        <f>+VLOOKUP($A19,Fondos!$B$8:$AS$81,11,FALSE)</f>
        <v>207280</v>
      </c>
      <c r="F19" s="65">
        <f>+VLOOKUP($A19,Fondos!$B$8:$AS$81,15,FALSE)</f>
        <v>762973</v>
      </c>
      <c r="G19" s="65">
        <f>+VLOOKUP($A19,Fondos!$B$8:$AS$81,20,FALSE)</f>
        <v>720</v>
      </c>
      <c r="H19" s="65">
        <f>+VLOOKUP($A19,Fondos!$B$8:$AS$81,23,FALSE)</f>
        <v>0</v>
      </c>
      <c r="I19" s="64">
        <f t="shared" si="1"/>
        <v>2691601</v>
      </c>
      <c r="J19" s="65">
        <f>+VLOOKUP($A19,Fondos!$B$8:$BE$81,30,FALSE)</f>
        <v>314994</v>
      </c>
      <c r="K19" s="65">
        <f>+VLOOKUP($A19,Fondos!$B$8:$BE$82,35,FALSE)</f>
        <v>1315013</v>
      </c>
      <c r="L19" s="65">
        <f>+VLOOKUP($A19,Fondos!$B$8:$BE$82,40,FALSE)</f>
        <v>423431</v>
      </c>
      <c r="M19" s="65">
        <f>+VLOOKUP($A19,Fondos!$B$8:$BE$82,41,FALSE)</f>
        <v>638163</v>
      </c>
      <c r="N19" s="64">
        <f t="shared" si="3"/>
        <v>3740032</v>
      </c>
      <c r="O19" s="12" t="str">
        <f t="shared" si="2"/>
        <v>CESAL</v>
      </c>
    </row>
    <row r="20" spans="1:15" ht="12.75" x14ac:dyDescent="0.2">
      <c r="A20" s="17" t="s">
        <v>71</v>
      </c>
      <c r="B20" s="64">
        <f t="shared" si="0"/>
        <v>1739495</v>
      </c>
      <c r="C20" s="65">
        <f>+VLOOKUP($A20,Fondos!$B$8:$AS$81,3,FALSE)</f>
        <v>188853</v>
      </c>
      <c r="D20" s="65">
        <f>+VLOOKUP($A20,Fondos!$B$8:$AS$81,4,FALSE)</f>
        <v>0</v>
      </c>
      <c r="E20" s="65">
        <f>+VLOOKUP($A20,Fondos!$B$8:$AS$81,11,FALSE)</f>
        <v>172418</v>
      </c>
      <c r="F20" s="65">
        <f>+VLOOKUP($A20,Fondos!$B$8:$AS$81,15,FALSE)</f>
        <v>1378224</v>
      </c>
      <c r="G20" s="65">
        <f>+VLOOKUP($A20,Fondos!$B$8:$AS$81,20,FALSE)</f>
        <v>0</v>
      </c>
      <c r="H20" s="65">
        <f>+VLOOKUP($A20,Fondos!$B$8:$AS$81,23,FALSE)</f>
        <v>0</v>
      </c>
      <c r="I20" s="64">
        <f t="shared" si="1"/>
        <v>2419058</v>
      </c>
      <c r="J20" s="65">
        <f>+VLOOKUP($A20,Fondos!$B$8:$BE$81,30,FALSE)</f>
        <v>300000</v>
      </c>
      <c r="K20" s="65">
        <f>+VLOOKUP($A20,Fondos!$B$8:$BE$82,35,FALSE)</f>
        <v>1846138</v>
      </c>
      <c r="L20" s="65">
        <f>+VLOOKUP($A20,Fondos!$B$8:$BE$82,40,FALSE)</f>
        <v>272920</v>
      </c>
      <c r="M20" s="65">
        <f>+VLOOKUP($A20,Fondos!$B$8:$BE$82,41,FALSE)</f>
        <v>0</v>
      </c>
      <c r="N20" s="64">
        <f t="shared" si="3"/>
        <v>4158553</v>
      </c>
      <c r="O20" s="12" t="str">
        <f t="shared" si="2"/>
        <v>CODESPA</v>
      </c>
    </row>
    <row r="21" spans="1:15" ht="12.75" x14ac:dyDescent="0.2">
      <c r="A21" s="17" t="s">
        <v>72</v>
      </c>
      <c r="B21" s="64">
        <f t="shared" si="0"/>
        <v>7943</v>
      </c>
      <c r="C21" s="65">
        <f>+VLOOKUP($A21,Fondos!$B$8:$AS$81,3,FALSE)</f>
        <v>2277</v>
      </c>
      <c r="D21" s="65">
        <f>+VLOOKUP($A21,Fondos!$B$8:$AS$81,4,FALSE)</f>
        <v>0</v>
      </c>
      <c r="E21" s="65">
        <f>+VLOOKUP($A21,Fondos!$B$8:$AS$81,11,FALSE)</f>
        <v>3416</v>
      </c>
      <c r="F21" s="65">
        <f>+VLOOKUP($A21,Fondos!$B$8:$AS$81,15,FALSE)</f>
        <v>2250</v>
      </c>
      <c r="G21" s="65">
        <f>+VLOOKUP($A21,Fondos!$B$8:$AS$81,20,FALSE)</f>
        <v>0</v>
      </c>
      <c r="H21" s="65">
        <f>+VLOOKUP($A21,Fondos!$B$8:$AS$81,23,FALSE)</f>
        <v>0</v>
      </c>
      <c r="I21" s="64">
        <f t="shared" si="1"/>
        <v>0</v>
      </c>
      <c r="J21" s="65">
        <f>+VLOOKUP($A21,Fondos!$B$8:$BE$81,30,FALSE)</f>
        <v>0</v>
      </c>
      <c r="K21" s="65">
        <f>+VLOOKUP($A21,Fondos!$B$8:$BE$82,35,FALSE)</f>
        <v>0</v>
      </c>
      <c r="L21" s="65">
        <f>+VLOOKUP($A21,Fondos!$B$8:$BE$82,40,FALSE)</f>
        <v>0</v>
      </c>
      <c r="M21" s="65">
        <f>+VLOOKUP($A21,Fondos!$B$8:$BE$82,41,FALSE)</f>
        <v>0</v>
      </c>
      <c r="N21" s="64">
        <f t="shared" si="3"/>
        <v>7943</v>
      </c>
      <c r="O21" s="12" t="str">
        <f t="shared" si="2"/>
        <v>Comision General Justicia y Paz</v>
      </c>
    </row>
    <row r="22" spans="1:15" ht="12.75" x14ac:dyDescent="0.2">
      <c r="A22" s="17" t="s">
        <v>73</v>
      </c>
      <c r="B22" s="64">
        <f t="shared" si="0"/>
        <v>61385</v>
      </c>
      <c r="C22" s="65">
        <f>+VLOOKUP($A22,Fondos!$B$8:$AS$81,3,FALSE)</f>
        <v>11242</v>
      </c>
      <c r="D22" s="65">
        <f>+VLOOKUP($A22,Fondos!$B$8:$AS$81,4,FALSE)</f>
        <v>0</v>
      </c>
      <c r="E22" s="65">
        <f>+VLOOKUP($A22,Fondos!$B$8:$AS$81,11,FALSE)</f>
        <v>6855</v>
      </c>
      <c r="F22" s="65">
        <f>+VLOOKUP($A22,Fondos!$B$8:$AS$81,15,FALSE)</f>
        <v>0</v>
      </c>
      <c r="G22" s="65">
        <f>+VLOOKUP($A22,Fondos!$B$8:$AS$81,20,FALSE)</f>
        <v>0</v>
      </c>
      <c r="H22" s="65">
        <f>+VLOOKUP($A22,Fondos!$B$8:$AS$81,23,FALSE)</f>
        <v>43288</v>
      </c>
      <c r="I22" s="64">
        <f t="shared" si="1"/>
        <v>128728</v>
      </c>
      <c r="J22" s="65">
        <f>+VLOOKUP($A22,Fondos!$B$8:$BE$81,30,FALSE)</f>
        <v>0</v>
      </c>
      <c r="K22" s="65">
        <f>+VLOOKUP($A22,Fondos!$B$8:$BE$82,35,FALSE)</f>
        <v>128728</v>
      </c>
      <c r="L22" s="65">
        <f>+VLOOKUP($A22,Fondos!$B$8:$BE$82,40,FALSE)</f>
        <v>0</v>
      </c>
      <c r="M22" s="65">
        <f>+VLOOKUP($A22,Fondos!$B$8:$BE$82,41,FALSE)</f>
        <v>0</v>
      </c>
      <c r="N22" s="64">
        <f t="shared" si="3"/>
        <v>190113</v>
      </c>
      <c r="O22" s="12" t="str">
        <f t="shared" si="2"/>
        <v>COOPERACCIO</v>
      </c>
    </row>
    <row r="23" spans="1:15" ht="12.75" x14ac:dyDescent="0.2">
      <c r="A23" s="17" t="s">
        <v>74</v>
      </c>
      <c r="B23" s="64">
        <f t="shared" si="0"/>
        <v>138210</v>
      </c>
      <c r="C23" s="65">
        <f>+VLOOKUP($A23,Fondos!$B$8:$AS$81,3,FALSE)</f>
        <v>0</v>
      </c>
      <c r="D23" s="65">
        <f>+VLOOKUP($A23,Fondos!$B$8:$AS$81,4,FALSE)</f>
        <v>0</v>
      </c>
      <c r="E23" s="65">
        <f>+VLOOKUP($A23,Fondos!$B$8:$AS$81,11,FALSE)</f>
        <v>0</v>
      </c>
      <c r="F23" s="65">
        <f>+VLOOKUP($A23,Fondos!$B$8:$AS$81,15,FALSE)</f>
        <v>138210</v>
      </c>
      <c r="G23" s="65">
        <f>+VLOOKUP($A23,Fondos!$B$8:$AS$81,20,FALSE)</f>
        <v>0</v>
      </c>
      <c r="H23" s="65">
        <f>+VLOOKUP($A23,Fondos!$B$8:$AS$81,23,FALSE)</f>
        <v>0</v>
      </c>
      <c r="I23" s="64">
        <f t="shared" si="1"/>
        <v>0</v>
      </c>
      <c r="J23" s="65">
        <f>+VLOOKUP($A23,Fondos!$B$8:$BE$81,30,FALSE)</f>
        <v>0</v>
      </c>
      <c r="K23" s="65">
        <f>+VLOOKUP($A23,Fondos!$B$8:$BE$82,35,FALSE)</f>
        <v>0</v>
      </c>
      <c r="L23" s="65">
        <f>+VLOOKUP($A23,Fondos!$B$8:$BE$82,40,FALSE)</f>
        <v>0</v>
      </c>
      <c r="M23" s="65">
        <f>+VLOOKUP($A23,Fondos!$B$8:$BE$82,41,FALSE)</f>
        <v>0</v>
      </c>
      <c r="N23" s="64">
        <f t="shared" si="3"/>
        <v>138210</v>
      </c>
      <c r="O23" s="12" t="str">
        <f t="shared" si="2"/>
        <v>Cooperacion Internacional</v>
      </c>
    </row>
    <row r="24" spans="1:15" ht="12.75" x14ac:dyDescent="0.2">
      <c r="A24" s="17" t="s">
        <v>75</v>
      </c>
      <c r="B24" s="64">
        <f t="shared" si="0"/>
        <v>12551593</v>
      </c>
      <c r="C24" s="65">
        <f>+VLOOKUP($A24,Fondos!$B$8:$AS$81,3,FALSE)</f>
        <v>7508040</v>
      </c>
      <c r="D24" s="65">
        <f>+VLOOKUP($A24,Fondos!$B$8:$AS$81,4,FALSE)</f>
        <v>0</v>
      </c>
      <c r="E24" s="65">
        <f>+VLOOKUP($A24,Fondos!$B$8:$AS$81,11,FALSE)</f>
        <v>5043553</v>
      </c>
      <c r="F24" s="65">
        <f>+VLOOKUP($A24,Fondos!$B$8:$AS$81,15,FALSE)</f>
        <v>0</v>
      </c>
      <c r="G24" s="65">
        <f>+VLOOKUP($A24,Fondos!$B$8:$AS$81,20,FALSE)</f>
        <v>0</v>
      </c>
      <c r="H24" s="65">
        <f>+VLOOKUP($A24,Fondos!$B$8:$AS$81,23,FALSE)</f>
        <v>0</v>
      </c>
      <c r="I24" s="64">
        <f t="shared" si="1"/>
        <v>15250278</v>
      </c>
      <c r="J24" s="65">
        <f>+VLOOKUP($A24,Fondos!$B$8:$BE$81,30,FALSE)</f>
        <v>3442463</v>
      </c>
      <c r="K24" s="65">
        <f>+VLOOKUP($A24,Fondos!$B$8:$BE$82,35,FALSE)</f>
        <v>3968479</v>
      </c>
      <c r="L24" s="65">
        <f>+VLOOKUP($A24,Fondos!$B$8:$BE$82,40,FALSE)</f>
        <v>7839336</v>
      </c>
      <c r="M24" s="65">
        <f>+VLOOKUP($A24,Fondos!$B$8:$BE$82,41,FALSE)</f>
        <v>0</v>
      </c>
      <c r="N24" s="64">
        <f t="shared" si="3"/>
        <v>27801871</v>
      </c>
      <c r="O24" s="12" t="str">
        <f t="shared" si="2"/>
        <v>Cruz Roja Española</v>
      </c>
    </row>
    <row r="25" spans="1:15" ht="12.75" x14ac:dyDescent="0.2">
      <c r="A25" s="17" t="s">
        <v>76</v>
      </c>
      <c r="B25" s="64">
        <f t="shared" si="0"/>
        <v>413082</v>
      </c>
      <c r="C25" s="65">
        <f>+VLOOKUP($A25,Fondos!$B$8:$AS$81,3,FALSE)</f>
        <v>21006</v>
      </c>
      <c r="D25" s="65">
        <f>+VLOOKUP($A25,Fondos!$B$8:$AS$81,4,FALSE)</f>
        <v>0</v>
      </c>
      <c r="E25" s="65">
        <f>+VLOOKUP($A25,Fondos!$B$8:$AS$81,11,FALSE)</f>
        <v>22102</v>
      </c>
      <c r="F25" s="65">
        <f>+VLOOKUP($A25,Fondos!$B$8:$AS$81,15,FALSE)</f>
        <v>369605</v>
      </c>
      <c r="G25" s="65">
        <f>+VLOOKUP($A25,Fondos!$B$8:$AS$81,20,FALSE)</f>
        <v>0</v>
      </c>
      <c r="H25" s="65">
        <f>+VLOOKUP($A25,Fondos!$B$8:$AS$81,23,FALSE)</f>
        <v>369</v>
      </c>
      <c r="I25" s="64">
        <f t="shared" si="1"/>
        <v>361472</v>
      </c>
      <c r="J25" s="65">
        <f>+VLOOKUP($A25,Fondos!$B$8:$BE$81,30,FALSE)</f>
        <v>99737</v>
      </c>
      <c r="K25" s="65">
        <f>+VLOOKUP($A25,Fondos!$B$8:$BE$82,35,FALSE)</f>
        <v>250715</v>
      </c>
      <c r="L25" s="65">
        <f>+VLOOKUP($A25,Fondos!$B$8:$BE$82,40,FALSE)</f>
        <v>11020</v>
      </c>
      <c r="M25" s="65">
        <f>+VLOOKUP($A25,Fondos!$B$8:$BE$82,41,FALSE)</f>
        <v>0</v>
      </c>
      <c r="N25" s="64">
        <f t="shared" si="3"/>
        <v>774554</v>
      </c>
      <c r="O25" s="12" t="str">
        <f t="shared" si="2"/>
        <v>Economistas sin Fronteras</v>
      </c>
    </row>
    <row r="26" spans="1:15" ht="12.75" x14ac:dyDescent="0.2">
      <c r="A26" s="17" t="s">
        <v>77</v>
      </c>
      <c r="B26" s="64">
        <f t="shared" si="0"/>
        <v>112906</v>
      </c>
      <c r="C26" s="65">
        <f>+VLOOKUP($A26,Fondos!$B$8:$AS$81,3,FALSE)</f>
        <v>29848</v>
      </c>
      <c r="D26" s="65">
        <f>+VLOOKUP($A26,Fondos!$B$8:$AS$81,4,FALSE)</f>
        <v>0</v>
      </c>
      <c r="E26" s="65">
        <f>+VLOOKUP($A26,Fondos!$B$8:$AS$81,11,FALSE)</f>
        <v>83058</v>
      </c>
      <c r="F26" s="65">
        <f>+VLOOKUP($A26,Fondos!$B$8:$AS$81,15,FALSE)</f>
        <v>0</v>
      </c>
      <c r="G26" s="65">
        <f>+VLOOKUP($A26,Fondos!$B$8:$AS$81,20,FALSE)</f>
        <v>0</v>
      </c>
      <c r="H26" s="65">
        <f>+VLOOKUP($A26,Fondos!$B$8:$AS$81,23,FALSE)</f>
        <v>0</v>
      </c>
      <c r="I26" s="64">
        <f t="shared" si="1"/>
        <v>0</v>
      </c>
      <c r="J26" s="65">
        <f>+VLOOKUP($A26,Fondos!$B$8:$BE$81,30,FALSE)</f>
        <v>0</v>
      </c>
      <c r="K26" s="65">
        <f>+VLOOKUP($A26,Fondos!$B$8:$BE$82,35,FALSE)</f>
        <v>0</v>
      </c>
      <c r="L26" s="65">
        <f>+VLOOKUP($A26,Fondos!$B$8:$BE$82,40,FALSE)</f>
        <v>0</v>
      </c>
      <c r="M26" s="65">
        <f>+VLOOKUP($A26,Fondos!$B$8:$BE$82,41,FALSE)</f>
        <v>0</v>
      </c>
      <c r="N26" s="64">
        <f t="shared" si="3"/>
        <v>112906</v>
      </c>
      <c r="O26" s="12" t="str">
        <f t="shared" si="2"/>
        <v>Edificando Comunidad de Nazaret</v>
      </c>
    </row>
    <row r="27" spans="1:15" ht="12.75" x14ac:dyDescent="0.2">
      <c r="A27" s="17" t="s">
        <v>78</v>
      </c>
      <c r="B27" s="64">
        <f t="shared" si="0"/>
        <v>26814057</v>
      </c>
      <c r="C27" s="65">
        <f>+VLOOKUP($A27,Fondos!$B$8:$AS$81,3,FALSE)</f>
        <v>3258713</v>
      </c>
      <c r="D27" s="65">
        <f>+VLOOKUP($A27,Fondos!$B$8:$AS$81,4,FALSE)</f>
        <v>21033388</v>
      </c>
      <c r="E27" s="65">
        <f>+VLOOKUP($A27,Fondos!$B$8:$AS$81,11,FALSE)</f>
        <v>1215658</v>
      </c>
      <c r="F27" s="65">
        <f>+VLOOKUP($A27,Fondos!$B$8:$AS$81,15,FALSE)</f>
        <v>943423</v>
      </c>
      <c r="G27" s="65">
        <f>+VLOOKUP($A27,Fondos!$B$8:$AS$81,20,FALSE)</f>
        <v>12100</v>
      </c>
      <c r="H27" s="65">
        <f>+VLOOKUP($A27,Fondos!$B$8:$AS$81,23,FALSE)</f>
        <v>350775</v>
      </c>
      <c r="I27" s="64">
        <f t="shared" si="1"/>
        <v>437488</v>
      </c>
      <c r="J27" s="65">
        <f>+VLOOKUP($A27,Fondos!$B$8:$BE$81,30,FALSE)</f>
        <v>0</v>
      </c>
      <c r="K27" s="65">
        <f>+VLOOKUP($A27,Fondos!$B$8:$BE$82,35,FALSE)</f>
        <v>437488</v>
      </c>
      <c r="L27" s="65">
        <f>+VLOOKUP($A27,Fondos!$B$8:$BE$82,40,FALSE)</f>
        <v>0</v>
      </c>
      <c r="M27" s="65">
        <f>+VLOOKUP($A27,Fondos!$B$8:$BE$82,41,FALSE)</f>
        <v>0</v>
      </c>
      <c r="N27" s="64">
        <f t="shared" si="3"/>
        <v>27251545</v>
      </c>
      <c r="O27" s="12" t="str">
        <f t="shared" si="2"/>
        <v>Educo</v>
      </c>
    </row>
    <row r="28" spans="1:15" ht="12.75" x14ac:dyDescent="0.2">
      <c r="A28" s="17" t="s">
        <v>79</v>
      </c>
      <c r="B28" s="64">
        <f t="shared" si="0"/>
        <v>244857</v>
      </c>
      <c r="C28" s="65">
        <f>+VLOOKUP($A28,Fondos!$B$8:$AS$81,3,FALSE)</f>
        <v>0</v>
      </c>
      <c r="D28" s="65">
        <f>+VLOOKUP($A28,Fondos!$B$8:$AS$81,4,FALSE)</f>
        <v>0</v>
      </c>
      <c r="E28" s="65">
        <f>+VLOOKUP($A28,Fondos!$B$8:$AS$81,11,FALSE)</f>
        <v>0</v>
      </c>
      <c r="F28" s="65">
        <f>+VLOOKUP($A28,Fondos!$B$8:$AS$81,15,FALSE)</f>
        <v>0</v>
      </c>
      <c r="G28" s="65">
        <f>+VLOOKUP($A28,Fondos!$B$8:$AS$81,20,FALSE)</f>
        <v>0</v>
      </c>
      <c r="H28" s="65">
        <f>+VLOOKUP($A28,Fondos!$B$8:$AS$81,23,FALSE)</f>
        <v>244857</v>
      </c>
      <c r="I28" s="64">
        <f t="shared" si="1"/>
        <v>542502</v>
      </c>
      <c r="J28" s="65">
        <f>+VLOOKUP($A28,Fondos!$B$8:$BE$81,30,FALSE)</f>
        <v>0</v>
      </c>
      <c r="K28" s="65">
        <f>+VLOOKUP($A28,Fondos!$B$8:$BE$82,35,FALSE)</f>
        <v>542502</v>
      </c>
      <c r="L28" s="65">
        <f>+VLOOKUP($A28,Fondos!$B$8:$BE$82,40,FALSE)</f>
        <v>0</v>
      </c>
      <c r="M28" s="65">
        <f>+VLOOKUP($A28,Fondos!$B$8:$BE$82,41,FALSE)</f>
        <v>0</v>
      </c>
      <c r="N28" s="64">
        <f t="shared" si="3"/>
        <v>787359</v>
      </c>
      <c r="O28" s="12" t="str">
        <f t="shared" si="2"/>
        <v>FAD</v>
      </c>
    </row>
    <row r="29" spans="1:15" ht="12.75" x14ac:dyDescent="0.2">
      <c r="A29" s="17" t="s">
        <v>80</v>
      </c>
      <c r="B29" s="64">
        <f t="shared" si="0"/>
        <v>366930</v>
      </c>
      <c r="C29" s="65">
        <f>+VLOOKUP($A29,Fondos!$B$8:$AS$81,3,FALSE)</f>
        <v>74385</v>
      </c>
      <c r="D29" s="65">
        <f>+VLOOKUP($A29,Fondos!$B$8:$AS$81,4,FALSE)</f>
        <v>0</v>
      </c>
      <c r="E29" s="65">
        <f>+VLOOKUP($A29,Fondos!$B$8:$AS$81,11,FALSE)</f>
        <v>177303</v>
      </c>
      <c r="F29" s="65">
        <f>+VLOOKUP($A29,Fondos!$B$8:$AS$81,15,FALSE)</f>
        <v>73588</v>
      </c>
      <c r="G29" s="65">
        <f>+VLOOKUP($A29,Fondos!$B$8:$AS$81,20,FALSE)</f>
        <v>0</v>
      </c>
      <c r="H29" s="65">
        <f>+VLOOKUP($A29,Fondos!$B$8:$AS$81,23,FALSE)</f>
        <v>41654</v>
      </c>
      <c r="I29" s="64">
        <f t="shared" si="1"/>
        <v>71317</v>
      </c>
      <c r="J29" s="65">
        <f>+VLOOKUP($A29,Fondos!$B$8:$BE$81,30,FALSE)</f>
        <v>0</v>
      </c>
      <c r="K29" s="65">
        <f>+VLOOKUP($A29,Fondos!$B$8:$BE$82,35,FALSE)</f>
        <v>71317</v>
      </c>
      <c r="L29" s="65">
        <f>+VLOOKUP($A29,Fondos!$B$8:$BE$82,40,FALSE)</f>
        <v>0</v>
      </c>
      <c r="M29" s="65">
        <f>+VLOOKUP($A29,Fondos!$B$8:$BE$82,41,FALSE)</f>
        <v>0</v>
      </c>
      <c r="N29" s="64">
        <f t="shared" si="3"/>
        <v>438247</v>
      </c>
      <c r="O29" s="12" t="str">
        <f t="shared" si="2"/>
        <v>Farmaceuticos Sin Fronteras de España</v>
      </c>
    </row>
    <row r="30" spans="1:15" ht="12.75" x14ac:dyDescent="0.2">
      <c r="A30" s="17" t="s">
        <v>81</v>
      </c>
      <c r="B30" s="64">
        <f t="shared" si="0"/>
        <v>3276841</v>
      </c>
      <c r="C30" s="65">
        <f>+VLOOKUP($A30,Fondos!$B$8:$AS$81,3,FALSE)</f>
        <v>315596</v>
      </c>
      <c r="D30" s="65">
        <f>+VLOOKUP($A30,Fondos!$B$8:$AS$81,4,FALSE)</f>
        <v>0</v>
      </c>
      <c r="E30" s="65">
        <f>+VLOOKUP($A30,Fondos!$B$8:$AS$81,11,FALSE)</f>
        <v>1145203</v>
      </c>
      <c r="F30" s="65">
        <f>+VLOOKUP($A30,Fondos!$B$8:$AS$81,15,FALSE)</f>
        <v>186746</v>
      </c>
      <c r="G30" s="65">
        <f>+VLOOKUP($A30,Fondos!$B$8:$AS$81,20,FALSE)</f>
        <v>1629296</v>
      </c>
      <c r="H30" s="65">
        <f>+VLOOKUP($A30,Fondos!$B$8:$AS$81,23,FALSE)</f>
        <v>0</v>
      </c>
      <c r="I30" s="64">
        <f t="shared" si="1"/>
        <v>5347102</v>
      </c>
      <c r="J30" s="65">
        <f>+VLOOKUP($A30,Fondos!$B$8:$BE$81,30,FALSE)</f>
        <v>447127</v>
      </c>
      <c r="K30" s="65">
        <f>+VLOOKUP($A30,Fondos!$B$8:$BE$82,35,FALSE)</f>
        <v>4899975</v>
      </c>
      <c r="L30" s="65">
        <f>+VLOOKUP($A30,Fondos!$B$8:$BE$82,40,FALSE)</f>
        <v>0</v>
      </c>
      <c r="M30" s="65">
        <f>+VLOOKUP($A30,Fondos!$B$8:$BE$82,41,FALSE)</f>
        <v>0</v>
      </c>
      <c r="N30" s="64">
        <f t="shared" si="3"/>
        <v>8623943</v>
      </c>
      <c r="O30" s="12" t="str">
        <f t="shared" si="2"/>
        <v>Farmamundi</v>
      </c>
    </row>
    <row r="31" spans="1:15" ht="12.75" x14ac:dyDescent="0.2">
      <c r="A31" s="17" t="s">
        <v>82</v>
      </c>
      <c r="B31" s="64">
        <f t="shared" si="0"/>
        <v>36629</v>
      </c>
      <c r="C31" s="65">
        <f>+VLOOKUP($A31,Fondos!$B$8:$AS$81,3,FALSE)</f>
        <v>4603</v>
      </c>
      <c r="D31" s="65">
        <f>+VLOOKUP($A31,Fondos!$B$8:$AS$81,4,FALSE)</f>
        <v>0</v>
      </c>
      <c r="E31" s="65">
        <f>+VLOOKUP($A31,Fondos!$B$8:$AS$81,11,FALSE)</f>
        <v>21658</v>
      </c>
      <c r="F31" s="65">
        <f>+VLOOKUP($A31,Fondos!$B$8:$AS$81,15,FALSE)</f>
        <v>0</v>
      </c>
      <c r="G31" s="65">
        <f>+VLOOKUP($A31,Fondos!$B$8:$AS$81,20,FALSE)</f>
        <v>0</v>
      </c>
      <c r="H31" s="65">
        <f>+VLOOKUP($A31,Fondos!$B$8:$AS$81,23,FALSE)</f>
        <v>10368</v>
      </c>
      <c r="I31" s="64">
        <f t="shared" si="1"/>
        <v>320510</v>
      </c>
      <c r="J31" s="65">
        <f>+VLOOKUP($A31,Fondos!$B$8:$BE$81,30,FALSE)</f>
        <v>320510</v>
      </c>
      <c r="K31" s="65">
        <f>+VLOOKUP($A31,Fondos!$B$8:$BE$82,35,FALSE)</f>
        <v>0</v>
      </c>
      <c r="L31" s="65">
        <f>+VLOOKUP($A31,Fondos!$B$8:$BE$82,40,FALSE)</f>
        <v>0</v>
      </c>
      <c r="M31" s="65">
        <f>+VLOOKUP($A31,Fondos!$B$8:$BE$82,41,FALSE)</f>
        <v>0</v>
      </c>
      <c r="N31" s="64">
        <f t="shared" si="3"/>
        <v>357139</v>
      </c>
      <c r="O31" s="12" t="str">
        <f t="shared" si="2"/>
        <v>FERE-CECA</v>
      </c>
    </row>
    <row r="32" spans="1:15" ht="12.75" x14ac:dyDescent="0.2">
      <c r="A32" s="17" t="s">
        <v>83</v>
      </c>
      <c r="B32" s="64">
        <f t="shared" si="0"/>
        <v>549810</v>
      </c>
      <c r="C32" s="65">
        <f>+VLOOKUP($A32,Fondos!$B$8:$AS$81,3,FALSE)</f>
        <v>139716</v>
      </c>
      <c r="D32" s="65">
        <f>+VLOOKUP($A32,Fondos!$B$8:$AS$81,4,FALSE)</f>
        <v>0</v>
      </c>
      <c r="E32" s="65">
        <f>+VLOOKUP($A32,Fondos!$B$8:$AS$81,11,FALSE)</f>
        <v>368831</v>
      </c>
      <c r="F32" s="65">
        <f>+VLOOKUP($A32,Fondos!$B$8:$AS$81,15,FALSE)</f>
        <v>41263</v>
      </c>
      <c r="G32" s="65">
        <f>+VLOOKUP($A32,Fondos!$B$8:$AS$81,20,FALSE)</f>
        <v>0</v>
      </c>
      <c r="H32" s="65">
        <f>+VLOOKUP($A32,Fondos!$B$8:$AS$81,23,FALSE)</f>
        <v>0</v>
      </c>
      <c r="I32" s="64">
        <f t="shared" si="1"/>
        <v>53567</v>
      </c>
      <c r="J32" s="65">
        <f>+VLOOKUP($A32,Fondos!$B$8:$BE$81,30,FALSE)</f>
        <v>0</v>
      </c>
      <c r="K32" s="65">
        <f>+VLOOKUP($A32,Fondos!$B$8:$BE$82,35,FALSE)</f>
        <v>53567</v>
      </c>
      <c r="L32" s="65">
        <f>+VLOOKUP($A32,Fondos!$B$8:$BE$82,40,FALSE)</f>
        <v>0</v>
      </c>
      <c r="M32" s="65">
        <f>+VLOOKUP($A32,Fondos!$B$8:$BE$82,41,FALSE)</f>
        <v>0</v>
      </c>
      <c r="N32" s="64">
        <f t="shared" si="3"/>
        <v>603377</v>
      </c>
      <c r="O32" s="12" t="str">
        <f t="shared" si="2"/>
        <v>FISC-COMPAÑIA DE MARIA</v>
      </c>
    </row>
    <row r="33" spans="1:15" ht="12.75" x14ac:dyDescent="0.2">
      <c r="A33" s="17" t="s">
        <v>84</v>
      </c>
      <c r="B33" s="64">
        <f t="shared" si="0"/>
        <v>1716350</v>
      </c>
      <c r="C33" s="65">
        <f>+VLOOKUP($A33,Fondos!$B$8:$AS$81,3,FALSE)</f>
        <v>76651</v>
      </c>
      <c r="D33" s="65">
        <f>+VLOOKUP($A33,Fondos!$B$8:$AS$81,4,FALSE)</f>
        <v>0</v>
      </c>
      <c r="E33" s="65">
        <f>+VLOOKUP($A33,Fondos!$B$8:$AS$81,11,FALSE)</f>
        <v>78875</v>
      </c>
      <c r="F33" s="65">
        <f>+VLOOKUP($A33,Fondos!$B$8:$AS$81,15,FALSE)</f>
        <v>520666</v>
      </c>
      <c r="G33" s="65">
        <f>+VLOOKUP($A33,Fondos!$B$8:$AS$81,20,FALSE)</f>
        <v>1040158</v>
      </c>
      <c r="H33" s="65">
        <f>+VLOOKUP($A33,Fondos!$B$8:$AS$81,23,FALSE)</f>
        <v>0</v>
      </c>
      <c r="I33" s="64">
        <f t="shared" si="1"/>
        <v>1578963</v>
      </c>
      <c r="J33" s="65">
        <f>+VLOOKUP($A33,Fondos!$B$8:$BE$81,30,FALSE)</f>
        <v>0</v>
      </c>
      <c r="K33" s="65">
        <f>+VLOOKUP($A33,Fondos!$B$8:$BE$82,35,FALSE)</f>
        <v>1578963</v>
      </c>
      <c r="L33" s="65">
        <f>+VLOOKUP($A33,Fondos!$B$8:$BE$82,40,FALSE)</f>
        <v>0</v>
      </c>
      <c r="M33" s="65">
        <f>+VLOOKUP($A33,Fondos!$B$8:$BE$82,41,FALSE)</f>
        <v>0</v>
      </c>
      <c r="N33" s="64">
        <f t="shared" si="3"/>
        <v>3295313</v>
      </c>
      <c r="O33" s="12" t="str">
        <f t="shared" si="2"/>
        <v>Fundacion Adsis</v>
      </c>
    </row>
    <row r="34" spans="1:15" ht="12.75" x14ac:dyDescent="0.2">
      <c r="A34" s="17" t="s">
        <v>251</v>
      </c>
      <c r="B34" s="64">
        <f t="shared" si="0"/>
        <v>7989637</v>
      </c>
      <c r="C34" s="65">
        <f>+VLOOKUP($A34,Fondos!$B$8:$AS$81,3,FALSE)</f>
        <v>7023113</v>
      </c>
      <c r="D34" s="65">
        <f>+VLOOKUP($A34,Fondos!$B$8:$AS$81,4,FALSE)</f>
        <v>0</v>
      </c>
      <c r="E34" s="65">
        <f>+VLOOKUP($A34,Fondos!$B$8:$AS$81,11,FALSE)</f>
        <v>878524</v>
      </c>
      <c r="F34" s="65">
        <f>+VLOOKUP($A34,Fondos!$B$8:$AS$81,15,FALSE)</f>
        <v>88000</v>
      </c>
      <c r="G34" s="65">
        <f>+VLOOKUP($A34,Fondos!$B$8:$AS$81,20,FALSE)</f>
        <v>0</v>
      </c>
      <c r="H34" s="65">
        <f>+VLOOKUP($A34,Fondos!$B$8:$AS$81,23,FALSE)</f>
        <v>0</v>
      </c>
      <c r="I34" s="64">
        <f t="shared" si="1"/>
        <v>258000</v>
      </c>
      <c r="J34" s="65">
        <f>+VLOOKUP($A34,Fondos!$B$8:$BE$81,30,FALSE)</f>
        <v>31000</v>
      </c>
      <c r="K34" s="65">
        <f>+VLOOKUP($A34,Fondos!$B$8:$BE$82,35,FALSE)</f>
        <v>227000</v>
      </c>
      <c r="L34" s="65">
        <f>+VLOOKUP($A34,Fondos!$B$8:$BE$82,40,FALSE)</f>
        <v>0</v>
      </c>
      <c r="M34" s="65">
        <f>+VLOOKUP($A34,Fondos!$B$8:$BE$82,41,FALSE)</f>
        <v>0</v>
      </c>
      <c r="N34" s="64">
        <f t="shared" si="3"/>
        <v>8247637</v>
      </c>
      <c r="O34" s="12" t="str">
        <f t="shared" si="2"/>
        <v>Fundacion Anesvad</v>
      </c>
    </row>
    <row r="35" spans="1:15" ht="12.75" x14ac:dyDescent="0.2">
      <c r="A35" s="17" t="s">
        <v>85</v>
      </c>
      <c r="B35" s="64">
        <f t="shared" si="0"/>
        <v>857912</v>
      </c>
      <c r="C35" s="65">
        <f>+VLOOKUP($A35,Fondos!$B$8:$AS$81,3,FALSE)</f>
        <v>15367</v>
      </c>
      <c r="D35" s="65">
        <f>+VLOOKUP($A35,Fondos!$B$8:$AS$81,4,FALSE)</f>
        <v>0</v>
      </c>
      <c r="E35" s="65">
        <f>+VLOOKUP($A35,Fondos!$B$8:$AS$81,11,FALSE)</f>
        <v>0</v>
      </c>
      <c r="F35" s="65">
        <f>+VLOOKUP($A35,Fondos!$B$8:$AS$81,15,FALSE)</f>
        <v>0</v>
      </c>
      <c r="G35" s="65">
        <f>+VLOOKUP($A35,Fondos!$B$8:$AS$81,20,FALSE)</f>
        <v>0</v>
      </c>
      <c r="H35" s="65">
        <f>+VLOOKUP($A35,Fondos!$B$8:$AS$81,23,FALSE)</f>
        <v>842545</v>
      </c>
      <c r="I35" s="64">
        <f t="shared" si="1"/>
        <v>791274</v>
      </c>
      <c r="J35" s="65">
        <f>+VLOOKUP($A35,Fondos!$B$8:$BE$81,30,FALSE)</f>
        <v>174032</v>
      </c>
      <c r="K35" s="65">
        <f>+VLOOKUP($A35,Fondos!$B$8:$BE$82,35,FALSE)</f>
        <v>388300</v>
      </c>
      <c r="L35" s="65">
        <f>+VLOOKUP($A35,Fondos!$B$8:$BE$82,40,FALSE)</f>
        <v>228942</v>
      </c>
      <c r="M35" s="65">
        <f>+VLOOKUP($A35,Fondos!$B$8:$BE$82,41,FALSE)</f>
        <v>0</v>
      </c>
      <c r="N35" s="64">
        <f t="shared" si="3"/>
        <v>1649186</v>
      </c>
      <c r="O35" s="12" t="str">
        <f t="shared" si="2"/>
        <v>Fundacion CIDEAL</v>
      </c>
    </row>
    <row r="36" spans="1:15" ht="12.75" x14ac:dyDescent="0.2">
      <c r="A36" s="17" t="s">
        <v>252</v>
      </c>
      <c r="B36" s="64">
        <f t="shared" si="0"/>
        <v>321274</v>
      </c>
      <c r="C36" s="65">
        <f>+VLOOKUP($A36,Fondos!$B$8:$AS$81,3,FALSE)</f>
        <v>29214</v>
      </c>
      <c r="D36" s="65">
        <f>+VLOOKUP($A36,Fondos!$B$8:$AS$81,4,FALSE)</f>
        <v>0</v>
      </c>
      <c r="E36" s="65">
        <f>+VLOOKUP($A36,Fondos!$B$8:$AS$81,11,FALSE)</f>
        <v>292060</v>
      </c>
      <c r="F36" s="65">
        <f>+VLOOKUP($A36,Fondos!$B$8:$AS$81,15,FALSE)</f>
        <v>0</v>
      </c>
      <c r="G36" s="65">
        <f>+VLOOKUP($A36,Fondos!$B$8:$AS$81,20,FALSE)</f>
        <v>0</v>
      </c>
      <c r="H36" s="65">
        <f>+VLOOKUP($A36,Fondos!$B$8:$AS$81,23,FALSE)</f>
        <v>0</v>
      </c>
      <c r="I36" s="64">
        <f t="shared" si="1"/>
        <v>0</v>
      </c>
      <c r="J36" s="65">
        <f>+VLOOKUP($A36,Fondos!$B$8:$BE$81,30,FALSE)</f>
        <v>0</v>
      </c>
      <c r="K36" s="65">
        <f>+VLOOKUP($A36,Fondos!$B$8:$BE$82,35,FALSE)</f>
        <v>0</v>
      </c>
      <c r="L36" s="65">
        <f>+VLOOKUP($A36,Fondos!$B$8:$BE$82,40,FALSE)</f>
        <v>0</v>
      </c>
      <c r="M36" s="65">
        <f>+VLOOKUP($A36,Fondos!$B$8:$BE$82,41,FALSE)</f>
        <v>0</v>
      </c>
      <c r="N36" s="64">
        <f t="shared" si="3"/>
        <v>321274</v>
      </c>
      <c r="O36" s="12" t="str">
        <f t="shared" si="2"/>
        <v>Fundacion Esperanza y Alegria</v>
      </c>
    </row>
    <row r="37" spans="1:15" ht="12.75" customHeight="1" x14ac:dyDescent="0.2">
      <c r="A37" s="17" t="s">
        <v>253</v>
      </c>
      <c r="B37" s="64">
        <f t="shared" si="0"/>
        <v>78705</v>
      </c>
      <c r="C37" s="65">
        <f>+VLOOKUP($A37,Fondos!$B$8:$AS$81,3,FALSE)</f>
        <v>4415</v>
      </c>
      <c r="D37" s="65">
        <f>+VLOOKUP($A37,Fondos!$B$8:$AS$81,4,FALSE)</f>
        <v>0</v>
      </c>
      <c r="E37" s="65">
        <f>+VLOOKUP($A37,Fondos!$B$8:$AS$81,11,FALSE)</f>
        <v>30800</v>
      </c>
      <c r="F37" s="65">
        <f>+VLOOKUP($A37,Fondos!$B$8:$AS$81,15,FALSE)</f>
        <v>43490</v>
      </c>
      <c r="G37" s="65">
        <f>+VLOOKUP($A37,Fondos!$B$8:$AS$81,20,FALSE)</f>
        <v>0</v>
      </c>
      <c r="H37" s="65">
        <f>+VLOOKUP($A37,Fondos!$B$8:$AS$81,23,FALSE)</f>
        <v>0</v>
      </c>
      <c r="I37" s="64">
        <f t="shared" si="1"/>
        <v>133201</v>
      </c>
      <c r="J37" s="65">
        <f>+VLOOKUP($A37,Fondos!$B$8:$BE$81,30,FALSE)</f>
        <v>133201</v>
      </c>
      <c r="K37" s="65">
        <f>+VLOOKUP($A37,Fondos!$B$8:$BE$82,35,FALSE)</f>
        <v>0</v>
      </c>
      <c r="L37" s="65">
        <f>+VLOOKUP($A37,Fondos!$B$8:$BE$82,40,FALSE)</f>
        <v>0</v>
      </c>
      <c r="M37" s="65">
        <f>+VLOOKUP($A37,Fondos!$B$8:$BE$82,41,FALSE)</f>
        <v>0</v>
      </c>
      <c r="N37" s="64">
        <f t="shared" si="3"/>
        <v>211906</v>
      </c>
      <c r="O37" s="12" t="str">
        <f t="shared" si="2"/>
        <v>Fundacion de Religiosos para la Salud</v>
      </c>
    </row>
    <row r="38" spans="1:15" ht="12.75" customHeight="1" x14ac:dyDescent="0.2">
      <c r="A38" s="17" t="s">
        <v>86</v>
      </c>
      <c r="B38" s="64">
        <f t="shared" si="0"/>
        <v>61430</v>
      </c>
      <c r="C38" s="65">
        <f>+VLOOKUP($A38,Fondos!$B$8:$AS$81,3,FALSE)</f>
        <v>0</v>
      </c>
      <c r="D38" s="65">
        <f>+VLOOKUP($A38,Fondos!$B$8:$AS$81,4,FALSE)</f>
        <v>3040</v>
      </c>
      <c r="E38" s="65">
        <f>+VLOOKUP($A38,Fondos!$B$8:$AS$81,11,FALSE)</f>
        <v>58390</v>
      </c>
      <c r="F38" s="65">
        <f>+VLOOKUP($A38,Fondos!$B$8:$AS$81,15,FALSE)</f>
        <v>0</v>
      </c>
      <c r="G38" s="65">
        <f>+VLOOKUP($A38,Fondos!$B$8:$AS$81,20,FALSE)</f>
        <v>0</v>
      </c>
      <c r="H38" s="65">
        <f>+VLOOKUP($A38,Fondos!$B$8:$AS$81,23,FALSE)</f>
        <v>0</v>
      </c>
      <c r="I38" s="64">
        <f t="shared" si="1"/>
        <v>0</v>
      </c>
      <c r="J38" s="65">
        <f>+VLOOKUP($A38,Fondos!$B$8:$BE$81,30,FALSE)</f>
        <v>0</v>
      </c>
      <c r="K38" s="65">
        <f>+VLOOKUP($A38,Fondos!$B$8:$BE$82,35,FALSE)</f>
        <v>0</v>
      </c>
      <c r="L38" s="65">
        <f>+VLOOKUP($A38,Fondos!$B$8:$BE$82,40,FALSE)</f>
        <v>0</v>
      </c>
      <c r="M38" s="65">
        <f>+VLOOKUP($A38,Fondos!$B$8:$BE$82,41,FALSE)</f>
        <v>0</v>
      </c>
      <c r="N38" s="64">
        <f t="shared" si="3"/>
        <v>61430</v>
      </c>
      <c r="O38" s="12" t="str">
        <f t="shared" si="2"/>
        <v>Fundacion del Valle</v>
      </c>
    </row>
    <row r="39" spans="1:15" ht="12.75" customHeight="1" x14ac:dyDescent="0.2">
      <c r="A39" s="17" t="s">
        <v>87</v>
      </c>
      <c r="B39" s="64">
        <f t="shared" si="0"/>
        <v>11747929</v>
      </c>
      <c r="C39" s="65">
        <f>+VLOOKUP($A39,Fondos!$B$8:$AS$81,3,FALSE)</f>
        <v>3275419</v>
      </c>
      <c r="D39" s="65">
        <f>+VLOOKUP($A39,Fondos!$B$8:$AS$81,4,FALSE)</f>
        <v>0</v>
      </c>
      <c r="E39" s="65">
        <f>+VLOOKUP($A39,Fondos!$B$8:$AS$81,11,FALSE)</f>
        <v>8398158</v>
      </c>
      <c r="F39" s="65">
        <f>+VLOOKUP($A39,Fondos!$B$8:$AS$81,15,FALSE)</f>
        <v>0</v>
      </c>
      <c r="G39" s="65">
        <f>+VLOOKUP($A39,Fondos!$B$8:$AS$81,20,FALSE)</f>
        <v>0</v>
      </c>
      <c r="H39" s="65">
        <f>+VLOOKUP($A39,Fondos!$B$8:$AS$81,23,FALSE)</f>
        <v>74352</v>
      </c>
      <c r="I39" s="64">
        <f t="shared" si="1"/>
        <v>1614303</v>
      </c>
      <c r="J39" s="65">
        <f>+VLOOKUP($A39,Fondos!$B$8:$BE$81,30,FALSE)</f>
        <v>0</v>
      </c>
      <c r="K39" s="65">
        <f>+VLOOKUP($A39,Fondos!$B$8:$BE$82,35,FALSE)</f>
        <v>1589150</v>
      </c>
      <c r="L39" s="65">
        <f>+VLOOKUP($A39,Fondos!$B$8:$BE$82,40,FALSE)</f>
        <v>25153</v>
      </c>
      <c r="M39" s="65">
        <f>+VLOOKUP($A39,Fondos!$B$8:$BE$82,41,FALSE)</f>
        <v>0</v>
      </c>
      <c r="N39" s="64">
        <f t="shared" si="3"/>
        <v>13362232</v>
      </c>
      <c r="O39" s="12" t="str">
        <f t="shared" si="2"/>
        <v>Fundacion Entreculturas</v>
      </c>
    </row>
    <row r="40" spans="1:15" ht="12.75" x14ac:dyDescent="0.2">
      <c r="A40" s="17" t="s">
        <v>88</v>
      </c>
      <c r="B40" s="64">
        <f t="shared" si="0"/>
        <v>0</v>
      </c>
      <c r="C40" s="65">
        <f>+VLOOKUP($A40,Fondos!$B$8:$AS$81,3,FALSE)</f>
        <v>0</v>
      </c>
      <c r="D40" s="65">
        <f>+VLOOKUP($A40,Fondos!$B$8:$AS$81,4,FALSE)</f>
        <v>0</v>
      </c>
      <c r="E40" s="65">
        <f>+VLOOKUP($A40,Fondos!$B$8:$AS$81,11,FALSE)</f>
        <v>0</v>
      </c>
      <c r="F40" s="65">
        <f>+VLOOKUP($A40,Fondos!$B$8:$AS$81,15,FALSE)</f>
        <v>0</v>
      </c>
      <c r="G40" s="65">
        <f>+VLOOKUP($A40,Fondos!$B$8:$AS$81,20,FALSE)</f>
        <v>0</v>
      </c>
      <c r="H40" s="65">
        <f>+VLOOKUP($A40,Fondos!$B$8:$AS$81,23,FALSE)</f>
        <v>0</v>
      </c>
      <c r="I40" s="64">
        <f t="shared" si="1"/>
        <v>0</v>
      </c>
      <c r="J40" s="65">
        <f>+VLOOKUP($A40,Fondos!$B$8:$BE$81,30,FALSE)</f>
        <v>0</v>
      </c>
      <c r="K40" s="65">
        <f>+VLOOKUP($A40,Fondos!$B$8:$BE$82,35,FALSE)</f>
        <v>0</v>
      </c>
      <c r="L40" s="65">
        <f>+VLOOKUP($A40,Fondos!$B$8:$BE$82,40,FALSE)</f>
        <v>0</v>
      </c>
      <c r="M40" s="65">
        <f>+VLOOKUP($A40,Fondos!$B$8:$BE$82,41,FALSE)</f>
        <v>0</v>
      </c>
      <c r="N40" s="64">
        <f t="shared" si="3"/>
        <v>0</v>
      </c>
      <c r="O40" s="12" t="str">
        <f t="shared" si="2"/>
        <v>Fundacion Iberoamerica-Europa</v>
      </c>
    </row>
    <row r="41" spans="1:15" ht="12.75" x14ac:dyDescent="0.2">
      <c r="A41" s="17" t="s">
        <v>89</v>
      </c>
      <c r="B41" s="64">
        <f t="shared" si="0"/>
        <v>464706</v>
      </c>
      <c r="C41" s="65">
        <f>+VLOOKUP($A41,Fondos!$B$8:$AS$81,3,FALSE)</f>
        <v>0</v>
      </c>
      <c r="D41" s="65">
        <f>+VLOOKUP($A41,Fondos!$B$8:$AS$81,4,FALSE)</f>
        <v>377446</v>
      </c>
      <c r="E41" s="65">
        <f>+VLOOKUP($A41,Fondos!$B$8:$AS$81,11,FALSE)</f>
        <v>87260</v>
      </c>
      <c r="F41" s="65">
        <f>+VLOOKUP($A41,Fondos!$B$8:$AS$81,15,FALSE)</f>
        <v>0</v>
      </c>
      <c r="G41" s="65">
        <f>+VLOOKUP($A41,Fondos!$B$8:$AS$81,20,FALSE)</f>
        <v>0</v>
      </c>
      <c r="H41" s="65">
        <f>+VLOOKUP($A41,Fondos!$B$8:$AS$81,23,FALSE)</f>
        <v>0</v>
      </c>
      <c r="I41" s="64">
        <f t="shared" si="1"/>
        <v>100812</v>
      </c>
      <c r="J41" s="65">
        <f>+VLOOKUP($A41,Fondos!$B$8:$BE$81,30,FALSE)</f>
        <v>0</v>
      </c>
      <c r="K41" s="65">
        <f>+VLOOKUP($A41,Fondos!$B$8:$BE$82,35,FALSE)</f>
        <v>100812</v>
      </c>
      <c r="L41" s="65">
        <f>+VLOOKUP($A41,Fondos!$B$8:$BE$82,40,FALSE)</f>
        <v>0</v>
      </c>
      <c r="M41" s="65">
        <f>+VLOOKUP($A41,Fondos!$B$8:$BE$82,41,FALSE)</f>
        <v>0</v>
      </c>
      <c r="N41" s="64">
        <f t="shared" si="3"/>
        <v>565518</v>
      </c>
      <c r="O41" s="12" t="str">
        <f t="shared" si="2"/>
        <v>Fundacion Madreselva</v>
      </c>
    </row>
    <row r="42" spans="1:15" ht="12.75" x14ac:dyDescent="0.2">
      <c r="A42" s="17" t="s">
        <v>90</v>
      </c>
      <c r="B42" s="64">
        <f t="shared" si="0"/>
        <v>387782</v>
      </c>
      <c r="C42" s="65">
        <f>+VLOOKUP($A42,Fondos!$B$8:$AS$81,3,FALSE)</f>
        <v>92739</v>
      </c>
      <c r="D42" s="65">
        <f>+VLOOKUP($A42,Fondos!$B$8:$AS$81,4,FALSE)</f>
        <v>0</v>
      </c>
      <c r="E42" s="65">
        <f>+VLOOKUP($A42,Fondos!$B$8:$AS$81,11,FALSE)</f>
        <v>109410</v>
      </c>
      <c r="F42" s="65">
        <f>+VLOOKUP($A42,Fondos!$B$8:$AS$81,15,FALSE)</f>
        <v>185633</v>
      </c>
      <c r="G42" s="65">
        <f>+VLOOKUP($A42,Fondos!$B$8:$AS$81,20,FALSE)</f>
        <v>0</v>
      </c>
      <c r="H42" s="65">
        <f>+VLOOKUP($A42,Fondos!$B$8:$AS$81,23,FALSE)</f>
        <v>0</v>
      </c>
      <c r="I42" s="64">
        <f t="shared" si="1"/>
        <v>222782</v>
      </c>
      <c r="J42" s="65">
        <f>+VLOOKUP($A42,Fondos!$B$8:$BE$81,30,FALSE)</f>
        <v>15747</v>
      </c>
      <c r="K42" s="65">
        <f>+VLOOKUP($A42,Fondos!$B$8:$BE$82,35,FALSE)</f>
        <v>207035</v>
      </c>
      <c r="L42" s="65">
        <f>+VLOOKUP($A42,Fondos!$B$8:$BE$82,40,FALSE)</f>
        <v>0</v>
      </c>
      <c r="M42" s="65">
        <f>+VLOOKUP($A42,Fondos!$B$8:$BE$82,41,FALSE)</f>
        <v>0</v>
      </c>
      <c r="N42" s="64">
        <f t="shared" si="3"/>
        <v>610564</v>
      </c>
      <c r="O42" s="12" t="str">
        <f t="shared" si="2"/>
        <v>Fundacion Mainel</v>
      </c>
    </row>
    <row r="43" spans="1:15" ht="12.75" x14ac:dyDescent="0.2">
      <c r="A43" s="17" t="s">
        <v>91</v>
      </c>
      <c r="B43" s="64">
        <f t="shared" si="0"/>
        <v>458279</v>
      </c>
      <c r="C43" s="65">
        <f>+VLOOKUP($A43,Fondos!$B$8:$AS$81,3,FALSE)</f>
        <v>0</v>
      </c>
      <c r="D43" s="65">
        <f>+VLOOKUP($A43,Fondos!$B$8:$AS$81,4,FALSE)</f>
        <v>0</v>
      </c>
      <c r="E43" s="65">
        <f>+VLOOKUP($A43,Fondos!$B$8:$AS$81,11,FALSE)</f>
        <v>6000</v>
      </c>
      <c r="F43" s="65">
        <f>+VLOOKUP($A43,Fondos!$B$8:$AS$81,15,FALSE)</f>
        <v>449349</v>
      </c>
      <c r="G43" s="65">
        <f>+VLOOKUP($A43,Fondos!$B$8:$AS$81,20,FALSE)</f>
        <v>0</v>
      </c>
      <c r="H43" s="65">
        <f>+VLOOKUP($A43,Fondos!$B$8:$AS$81,23,FALSE)</f>
        <v>2930</v>
      </c>
      <c r="I43" s="64">
        <f t="shared" si="1"/>
        <v>120599</v>
      </c>
      <c r="J43" s="65">
        <f>+VLOOKUP($A43,Fondos!$B$8:$BE$81,30,FALSE)</f>
        <v>0</v>
      </c>
      <c r="K43" s="65">
        <f>+VLOOKUP($A43,Fondos!$B$8:$BE$82,35,FALSE)</f>
        <v>120599</v>
      </c>
      <c r="L43" s="65">
        <f>+VLOOKUP($A43,Fondos!$B$8:$BE$82,40,FALSE)</f>
        <v>0</v>
      </c>
      <c r="M43" s="65">
        <f>+VLOOKUP($A43,Fondos!$B$8:$BE$82,41,FALSE)</f>
        <v>0</v>
      </c>
      <c r="N43" s="64">
        <f t="shared" si="3"/>
        <v>578878</v>
      </c>
      <c r="O43" s="12" t="str">
        <f t="shared" si="2"/>
        <v>Fundacion para el Desarrollo de la Enfermeria - FUDEN</v>
      </c>
    </row>
    <row r="44" spans="1:15" ht="12.75" x14ac:dyDescent="0.2">
      <c r="A44" s="17" t="s">
        <v>254</v>
      </c>
      <c r="B44" s="64">
        <f t="shared" si="0"/>
        <v>53031</v>
      </c>
      <c r="C44" s="65">
        <f>+VLOOKUP($A44,Fondos!$B$8:$AS$81,3,FALSE)</f>
        <v>0</v>
      </c>
      <c r="D44" s="65">
        <f>+VLOOKUP($A44,Fondos!$B$8:$AS$81,4,FALSE)</f>
        <v>0</v>
      </c>
      <c r="E44" s="65">
        <f>+VLOOKUP($A44,Fondos!$B$8:$AS$81,11,FALSE)</f>
        <v>53031</v>
      </c>
      <c r="F44" s="65">
        <f>+VLOOKUP($A44,Fondos!$B$8:$AS$81,15,FALSE)</f>
        <v>0</v>
      </c>
      <c r="G44" s="65">
        <f>+VLOOKUP($A44,Fondos!$B$8:$AS$81,20,FALSE)</f>
        <v>0</v>
      </c>
      <c r="H44" s="65">
        <f>+VLOOKUP($A44,Fondos!$B$8:$AS$81,23,FALSE)</f>
        <v>0</v>
      </c>
      <c r="I44" s="64">
        <f t="shared" si="1"/>
        <v>0</v>
      </c>
      <c r="J44" s="65">
        <f>+VLOOKUP($A44,Fondos!$B$8:$BE$81,30,FALSE)</f>
        <v>0</v>
      </c>
      <c r="K44" s="65">
        <f>+VLOOKUP($A44,Fondos!$B$8:$BE$82,35,FALSE)</f>
        <v>0</v>
      </c>
      <c r="L44" s="65">
        <f>+VLOOKUP($A44,Fondos!$B$8:$BE$82,40,FALSE)</f>
        <v>0</v>
      </c>
      <c r="M44" s="65">
        <f>+VLOOKUP($A44,Fondos!$B$8:$BE$82,41,FALSE)</f>
        <v>0</v>
      </c>
      <c r="N44" s="64">
        <f t="shared" si="3"/>
        <v>53031</v>
      </c>
      <c r="O44" s="12" t="str">
        <f t="shared" si="2"/>
        <v>Fundacion 1 de Mayo</v>
      </c>
    </row>
    <row r="45" spans="1:15" ht="12.75" x14ac:dyDescent="0.2">
      <c r="A45" s="17" t="s">
        <v>92</v>
      </c>
      <c r="B45" s="64">
        <f t="shared" si="0"/>
        <v>736956</v>
      </c>
      <c r="C45" s="65">
        <f>+VLOOKUP($A45,Fondos!$B$8:$AS$81,3,FALSE)</f>
        <v>39489</v>
      </c>
      <c r="D45" s="65">
        <f>+VLOOKUP($A45,Fondos!$B$8:$AS$81,4,FALSE)</f>
        <v>216513</v>
      </c>
      <c r="E45" s="65">
        <f>+VLOOKUP($A45,Fondos!$B$8:$AS$81,11,FALSE)</f>
        <v>452813</v>
      </c>
      <c r="F45" s="65">
        <f>+VLOOKUP($A45,Fondos!$B$8:$AS$81,15,FALSE)</f>
        <v>0</v>
      </c>
      <c r="G45" s="65">
        <f>+VLOOKUP($A45,Fondos!$B$8:$AS$81,20,FALSE)</f>
        <v>28141</v>
      </c>
      <c r="H45" s="65">
        <f>+VLOOKUP($A45,Fondos!$B$8:$AS$81,23,FALSE)</f>
        <v>0</v>
      </c>
      <c r="I45" s="64">
        <f t="shared" si="1"/>
        <v>514521</v>
      </c>
      <c r="J45" s="65">
        <f>+VLOOKUP($A45,Fondos!$B$8:$BE$81,30,FALSE)</f>
        <v>0</v>
      </c>
      <c r="K45" s="65">
        <f>+VLOOKUP($A45,Fondos!$B$8:$BE$82,35,FALSE)</f>
        <v>514521</v>
      </c>
      <c r="L45" s="65">
        <f>+VLOOKUP($A45,Fondos!$B$8:$BE$82,40,FALSE)</f>
        <v>0</v>
      </c>
      <c r="M45" s="65">
        <f>+VLOOKUP($A45,Fondos!$B$8:$BE$82,41,FALSE)</f>
        <v>0</v>
      </c>
      <c r="N45" s="64">
        <f t="shared" si="3"/>
        <v>1251477</v>
      </c>
      <c r="O45" s="12" t="str">
        <f t="shared" si="2"/>
        <v>Fundacion PROCLADE</v>
      </c>
    </row>
    <row r="46" spans="1:15" ht="12.75" x14ac:dyDescent="0.2">
      <c r="A46" s="17" t="s">
        <v>255</v>
      </c>
      <c r="B46" s="64">
        <f t="shared" si="0"/>
        <v>0</v>
      </c>
      <c r="C46" s="65">
        <f>+VLOOKUP($A46,Fondos!$B$8:$AS$81,3,FALSE)</f>
        <v>0</v>
      </c>
      <c r="D46" s="65">
        <f>+VLOOKUP($A46,Fondos!$B$8:$AS$81,4,FALSE)</f>
        <v>0</v>
      </c>
      <c r="E46" s="65">
        <f>+VLOOKUP($A46,Fondos!$B$8:$AS$81,11,FALSE)</f>
        <v>0</v>
      </c>
      <c r="F46" s="65">
        <f>+VLOOKUP($A46,Fondos!$B$8:$AS$81,15,FALSE)</f>
        <v>0</v>
      </c>
      <c r="G46" s="65">
        <f>+VLOOKUP($A46,Fondos!$B$8:$AS$81,20,FALSE)</f>
        <v>0</v>
      </c>
      <c r="H46" s="65">
        <f>+VLOOKUP($A46,Fondos!$B$8:$AS$81,23,FALSE)</f>
        <v>0</v>
      </c>
      <c r="I46" s="64">
        <f t="shared" si="1"/>
        <v>0</v>
      </c>
      <c r="J46" s="65">
        <f>+VLOOKUP($A46,Fondos!$B$8:$BE$81,30,FALSE)</f>
        <v>0</v>
      </c>
      <c r="K46" s="65">
        <f>+VLOOKUP($A46,Fondos!$B$8:$BE$82,35,FALSE)</f>
        <v>0</v>
      </c>
      <c r="L46" s="65">
        <f>+VLOOKUP($A46,Fondos!$B$8:$BE$82,40,FALSE)</f>
        <v>0</v>
      </c>
      <c r="M46" s="65">
        <f>+VLOOKUP($A46,Fondos!$B$8:$BE$82,41,FALSE)</f>
        <v>0</v>
      </c>
      <c r="N46" s="64">
        <f t="shared" si="3"/>
        <v>0</v>
      </c>
      <c r="O46" s="12" t="str">
        <f t="shared" si="2"/>
        <v>Fundacion Promocion Social</v>
      </c>
    </row>
    <row r="47" spans="1:15" ht="12.75" x14ac:dyDescent="0.2">
      <c r="A47" s="17" t="s">
        <v>256</v>
      </c>
      <c r="B47" s="64">
        <f t="shared" si="0"/>
        <v>647746</v>
      </c>
      <c r="C47" s="65">
        <f>+VLOOKUP($A47,Fondos!$B$8:$AS$81,3,FALSE)</f>
        <v>53806</v>
      </c>
      <c r="D47" s="65">
        <f>+VLOOKUP($A47,Fondos!$B$8:$AS$81,4,FALSE)</f>
        <v>0</v>
      </c>
      <c r="E47" s="65">
        <f>+VLOOKUP($A47,Fondos!$B$8:$AS$81,11,FALSE)</f>
        <v>537295</v>
      </c>
      <c r="F47" s="65">
        <f>+VLOOKUP($A47,Fondos!$B$8:$AS$81,15,FALSE)</f>
        <v>56645</v>
      </c>
      <c r="G47" s="65">
        <f>+VLOOKUP($A47,Fondos!$B$8:$AS$81,20,FALSE)</f>
        <v>0</v>
      </c>
      <c r="H47" s="65">
        <f>+VLOOKUP($A47,Fondos!$B$8:$AS$81,23,FALSE)</f>
        <v>0</v>
      </c>
      <c r="I47" s="64">
        <f t="shared" si="1"/>
        <v>260586</v>
      </c>
      <c r="J47" s="65">
        <f>+VLOOKUP($A47,Fondos!$B$8:$BE$81,30,FALSE)</f>
        <v>0</v>
      </c>
      <c r="K47" s="65">
        <f>+VLOOKUP($A47,Fondos!$B$8:$BE$82,35,FALSE)</f>
        <v>260586</v>
      </c>
      <c r="L47" s="65">
        <f>+VLOOKUP($A47,Fondos!$B$8:$BE$82,40,FALSE)</f>
        <v>0</v>
      </c>
      <c r="M47" s="65">
        <f>+VLOOKUP($A47,Fondos!$B$8:$BE$82,41,FALSE)</f>
        <v>0</v>
      </c>
      <c r="N47" s="64">
        <f t="shared" si="3"/>
        <v>908332</v>
      </c>
      <c r="O47" s="12" t="str">
        <f t="shared" si="2"/>
        <v>Fundacion Tierra de Hombres</v>
      </c>
    </row>
    <row r="48" spans="1:15" ht="12.75" x14ac:dyDescent="0.2">
      <c r="A48" s="17" t="s">
        <v>257</v>
      </c>
      <c r="B48" s="64">
        <f t="shared" si="0"/>
        <v>0</v>
      </c>
      <c r="C48" s="65">
        <f>+VLOOKUP($A48,Fondos!$B$8:$AS$81,3,FALSE)</f>
        <v>0</v>
      </c>
      <c r="D48" s="65">
        <f>+VLOOKUP($A48,Fondos!$B$8:$AS$81,4,FALSE)</f>
        <v>0</v>
      </c>
      <c r="E48" s="65">
        <f>+VLOOKUP($A48,Fondos!$B$8:$AS$81,11,FALSE)</f>
        <v>0</v>
      </c>
      <c r="F48" s="65">
        <f>+VLOOKUP($A48,Fondos!$B$8:$AS$81,15,FALSE)</f>
        <v>0</v>
      </c>
      <c r="G48" s="65">
        <f>+VLOOKUP($A48,Fondos!$B$8:$AS$81,20,FALSE)</f>
        <v>0</v>
      </c>
      <c r="H48" s="65">
        <f>+VLOOKUP($A48,Fondos!$B$8:$AS$81,23,FALSE)</f>
        <v>0</v>
      </c>
      <c r="I48" s="64">
        <f t="shared" si="1"/>
        <v>1590401</v>
      </c>
      <c r="J48" s="65">
        <f>+VLOOKUP($A48,Fondos!$B$8:$BE$81,30,FALSE)</f>
        <v>449670</v>
      </c>
      <c r="K48" s="65">
        <f>+VLOOKUP($A48,Fondos!$B$8:$BE$82,35,FALSE)</f>
        <v>721462</v>
      </c>
      <c r="L48" s="65">
        <f>+VLOOKUP($A48,Fondos!$B$8:$BE$82,40,FALSE)</f>
        <v>49269</v>
      </c>
      <c r="M48" s="65">
        <f>+VLOOKUP($A48,Fondos!$B$8:$BE$82,41,FALSE)</f>
        <v>370000</v>
      </c>
      <c r="N48" s="64">
        <f t="shared" si="3"/>
        <v>1590401</v>
      </c>
      <c r="O48" s="12" t="str">
        <f t="shared" si="2"/>
        <v>Humanismo y Democracia</v>
      </c>
    </row>
    <row r="49" spans="1:15" ht="12.75" x14ac:dyDescent="0.2">
      <c r="A49" s="17" t="s">
        <v>93</v>
      </c>
      <c r="B49" s="64">
        <f t="shared" si="0"/>
        <v>270470</v>
      </c>
      <c r="C49" s="65">
        <f>+VLOOKUP($A49,Fondos!$B$8:$AS$81,3,FALSE)</f>
        <v>190122</v>
      </c>
      <c r="D49" s="65">
        <f>+VLOOKUP($A49,Fondos!$B$8:$AS$81,4,FALSE)</f>
        <v>0</v>
      </c>
      <c r="E49" s="65">
        <f>+VLOOKUP($A49,Fondos!$B$8:$AS$81,11,FALSE)</f>
        <v>10348</v>
      </c>
      <c r="F49" s="65">
        <f>+VLOOKUP($A49,Fondos!$B$8:$AS$81,15,FALSE)</f>
        <v>70000</v>
      </c>
      <c r="G49" s="65">
        <f>+VLOOKUP($A49,Fondos!$B$8:$AS$81,20,FALSE)</f>
        <v>0</v>
      </c>
      <c r="H49" s="65">
        <f>+VLOOKUP($A49,Fondos!$B$8:$AS$81,23,FALSE)</f>
        <v>0</v>
      </c>
      <c r="I49" s="64">
        <f t="shared" si="1"/>
        <v>21389</v>
      </c>
      <c r="J49" s="65">
        <f>+VLOOKUP($A49,Fondos!$B$8:$BE$81,30,FALSE)</f>
        <v>0</v>
      </c>
      <c r="K49" s="65">
        <f>+VLOOKUP($A49,Fondos!$B$8:$BE$82,35,FALSE)</f>
        <v>0</v>
      </c>
      <c r="L49" s="65">
        <f>+VLOOKUP($A49,Fondos!$B$8:$BE$82,40,FALSE)</f>
        <v>21389</v>
      </c>
      <c r="M49" s="65">
        <f>+VLOOKUP($A49,Fondos!$B$8:$BE$82,41,FALSE)</f>
        <v>0</v>
      </c>
      <c r="N49" s="64">
        <f t="shared" si="3"/>
        <v>291859</v>
      </c>
      <c r="O49" s="12" t="str">
        <f t="shared" si="2"/>
        <v>InspirAction</v>
      </c>
    </row>
    <row r="50" spans="1:15" ht="12.75" x14ac:dyDescent="0.2">
      <c r="A50" s="17" t="s">
        <v>94</v>
      </c>
      <c r="B50" s="64">
        <f t="shared" si="0"/>
        <v>959078</v>
      </c>
      <c r="C50" s="65">
        <f>+VLOOKUP($A50,Fondos!$B$8:$AS$81,3,FALSE)</f>
        <v>445962</v>
      </c>
      <c r="D50" s="65">
        <f>+VLOOKUP($A50,Fondos!$B$8:$AS$81,4,FALSE)</f>
        <v>0</v>
      </c>
      <c r="E50" s="65">
        <f>+VLOOKUP($A50,Fondos!$B$8:$AS$81,11,FALSE)</f>
        <v>448501</v>
      </c>
      <c r="F50" s="65">
        <f>+VLOOKUP($A50,Fondos!$B$8:$AS$81,15,FALSE)</f>
        <v>54391</v>
      </c>
      <c r="G50" s="65">
        <f>+VLOOKUP($A50,Fondos!$B$8:$AS$81,20,FALSE)</f>
        <v>48</v>
      </c>
      <c r="H50" s="65">
        <f>+VLOOKUP($A50,Fondos!$B$8:$AS$81,23,FALSE)</f>
        <v>10176</v>
      </c>
      <c r="I50" s="64">
        <f t="shared" si="1"/>
        <v>2000822</v>
      </c>
      <c r="J50" s="65">
        <f>+VLOOKUP($A50,Fondos!$B$8:$BE$81,30,FALSE)</f>
        <v>270512</v>
      </c>
      <c r="K50" s="65">
        <f>+VLOOKUP($A50,Fondos!$B$8:$BE$82,35,FALSE)</f>
        <v>1730310</v>
      </c>
      <c r="L50" s="65">
        <f>+VLOOKUP($A50,Fondos!$B$8:$BE$82,40,FALSE)</f>
        <v>0</v>
      </c>
      <c r="M50" s="65">
        <f>+VLOOKUP($A50,Fondos!$B$8:$BE$82,41,FALSE)</f>
        <v>0</v>
      </c>
      <c r="N50" s="64">
        <f t="shared" si="3"/>
        <v>2959900</v>
      </c>
      <c r="O50" s="12" t="str">
        <f t="shared" si="2"/>
        <v>InteRed</v>
      </c>
    </row>
    <row r="51" spans="1:15" ht="12.75" x14ac:dyDescent="0.2">
      <c r="A51" s="17" t="s">
        <v>95</v>
      </c>
      <c r="B51" s="64">
        <f t="shared" si="0"/>
        <v>511879</v>
      </c>
      <c r="C51" s="65">
        <f>+VLOOKUP($A51,Fondos!$B$8:$AS$81,3,FALSE)</f>
        <v>3206</v>
      </c>
      <c r="D51" s="65">
        <f>+VLOOKUP($A51,Fondos!$B$8:$AS$81,4,FALSE)</f>
        <v>0</v>
      </c>
      <c r="E51" s="65">
        <f>+VLOOKUP($A51,Fondos!$B$8:$AS$81,11,FALSE)</f>
        <v>7173</v>
      </c>
      <c r="F51" s="65">
        <f>+VLOOKUP($A51,Fondos!$B$8:$AS$81,15,FALSE)</f>
        <v>501500</v>
      </c>
      <c r="G51" s="65">
        <f>+VLOOKUP($A51,Fondos!$B$8:$AS$81,20,FALSE)</f>
        <v>0</v>
      </c>
      <c r="H51" s="65">
        <f>+VLOOKUP($A51,Fondos!$B$8:$AS$81,23,FALSE)</f>
        <v>0</v>
      </c>
      <c r="I51" s="64">
        <f t="shared" si="1"/>
        <v>263033</v>
      </c>
      <c r="J51" s="65">
        <f>+VLOOKUP($A51,Fondos!$B$8:$BE$81,30,FALSE)</f>
        <v>8747</v>
      </c>
      <c r="K51" s="65">
        <f>+VLOOKUP($A51,Fondos!$B$8:$BE$82,35,FALSE)</f>
        <v>254286</v>
      </c>
      <c r="L51" s="65">
        <f>+VLOOKUP($A51,Fondos!$B$8:$BE$82,40,FALSE)</f>
        <v>0</v>
      </c>
      <c r="M51" s="65">
        <f>+VLOOKUP($A51,Fondos!$B$8:$BE$82,41,FALSE)</f>
        <v>0</v>
      </c>
      <c r="N51" s="64">
        <f t="shared" si="3"/>
        <v>774912</v>
      </c>
      <c r="O51" s="12" t="str">
        <f t="shared" si="2"/>
        <v>ISCOD</v>
      </c>
    </row>
    <row r="52" spans="1:15" ht="12.75" x14ac:dyDescent="0.2">
      <c r="A52" s="17" t="s">
        <v>96</v>
      </c>
      <c r="B52" s="64">
        <f t="shared" si="0"/>
        <v>1449051</v>
      </c>
      <c r="C52" s="65">
        <f>+VLOOKUP($A52,Fondos!$B$8:$AS$81,3,FALSE)</f>
        <v>2482</v>
      </c>
      <c r="D52" s="65">
        <f>+VLOOKUP($A52,Fondos!$B$8:$AS$81,4,FALSE)</f>
        <v>0</v>
      </c>
      <c r="E52" s="65">
        <f>+VLOOKUP($A52,Fondos!$B$8:$AS$81,11,FALSE)</f>
        <v>791636</v>
      </c>
      <c r="F52" s="65">
        <f>+VLOOKUP($A52,Fondos!$B$8:$AS$81,15,FALSE)</f>
        <v>654933</v>
      </c>
      <c r="G52" s="65">
        <f>+VLOOKUP($A52,Fondos!$B$8:$AS$81,20,FALSE)</f>
        <v>0</v>
      </c>
      <c r="H52" s="65">
        <f>+VLOOKUP($A52,Fondos!$B$8:$AS$81,23,FALSE)</f>
        <v>0</v>
      </c>
      <c r="I52" s="64">
        <f t="shared" si="1"/>
        <v>1231950</v>
      </c>
      <c r="J52" s="65">
        <f>+VLOOKUP($A52,Fondos!$B$8:$BE$81,30,FALSE)</f>
        <v>863250</v>
      </c>
      <c r="K52" s="65">
        <f>+VLOOKUP($A52,Fondos!$B$8:$BE$82,35,FALSE)</f>
        <v>368700</v>
      </c>
      <c r="L52" s="65">
        <f>+VLOOKUP($A52,Fondos!$B$8:$BE$82,40,FALSE)</f>
        <v>0</v>
      </c>
      <c r="M52" s="65">
        <f>+VLOOKUP($A52,Fondos!$B$8:$BE$82,41,FALSE)</f>
        <v>0</v>
      </c>
      <c r="N52" s="64">
        <f t="shared" si="3"/>
        <v>2681001</v>
      </c>
      <c r="O52" s="12" t="str">
        <f t="shared" si="2"/>
        <v>JOVENES Y DESARROLLO</v>
      </c>
    </row>
    <row r="53" spans="1:15" ht="12.75" x14ac:dyDescent="0.2">
      <c r="A53" s="17" t="s">
        <v>97</v>
      </c>
      <c r="B53" s="64">
        <f t="shared" si="0"/>
        <v>1689108</v>
      </c>
      <c r="C53" s="65">
        <f>+VLOOKUP($A53,Fondos!$B$8:$AS$81,3,FALSE)</f>
        <v>38962</v>
      </c>
      <c r="D53" s="65">
        <f>+VLOOKUP($A53,Fondos!$B$8:$AS$81,4,FALSE)</f>
        <v>0</v>
      </c>
      <c r="E53" s="65">
        <f>+VLOOKUP($A53,Fondos!$B$8:$AS$81,11,FALSE)</f>
        <v>890802</v>
      </c>
      <c r="F53" s="65">
        <f>+VLOOKUP($A53,Fondos!$B$8:$AS$81,15,FALSE)</f>
        <v>759344</v>
      </c>
      <c r="G53" s="65">
        <f>+VLOOKUP($A53,Fondos!$B$8:$AS$81,20,FALSE)</f>
        <v>0</v>
      </c>
      <c r="H53" s="65">
        <f>+VLOOKUP($A53,Fondos!$B$8:$AS$81,23,FALSE)</f>
        <v>0</v>
      </c>
      <c r="I53" s="64">
        <f t="shared" si="1"/>
        <v>24201</v>
      </c>
      <c r="J53" s="65">
        <f>+VLOOKUP($A53,Fondos!$B$8:$BE$81,30,FALSE)</f>
        <v>0</v>
      </c>
      <c r="K53" s="65">
        <f>+VLOOKUP($A53,Fondos!$B$8:$BE$82,35,FALSE)</f>
        <v>24201</v>
      </c>
      <c r="L53" s="65">
        <f>+VLOOKUP($A53,Fondos!$B$8:$BE$82,40,FALSE)</f>
        <v>0</v>
      </c>
      <c r="M53" s="65">
        <f>+VLOOKUP($A53,Fondos!$B$8:$BE$82,41,FALSE)</f>
        <v>0</v>
      </c>
      <c r="N53" s="64">
        <f t="shared" si="3"/>
        <v>1713309</v>
      </c>
      <c r="O53" s="12" t="str">
        <f t="shared" si="2"/>
        <v>Juan Ciudad ONGD</v>
      </c>
    </row>
    <row r="54" spans="1:15" ht="12.75" x14ac:dyDescent="0.2">
      <c r="A54" s="17" t="s">
        <v>98</v>
      </c>
      <c r="B54" s="64">
        <f t="shared" si="0"/>
        <v>41204002</v>
      </c>
      <c r="C54" s="65">
        <f>+VLOOKUP($A54,Fondos!$B$8:$AS$81,3,FALSE)</f>
        <v>9843470</v>
      </c>
      <c r="D54" s="65">
        <f>+VLOOKUP($A54,Fondos!$B$8:$AS$81,4,FALSE)</f>
        <v>0</v>
      </c>
      <c r="E54" s="65">
        <f>+VLOOKUP($A54,Fondos!$B$8:$AS$81,11,FALSE)</f>
        <v>22888063</v>
      </c>
      <c r="F54" s="65">
        <f>+VLOOKUP($A54,Fondos!$B$8:$AS$81,15,FALSE)</f>
        <v>652568</v>
      </c>
      <c r="G54" s="65">
        <f>+VLOOKUP($A54,Fondos!$B$8:$AS$81,20,FALSE)</f>
        <v>10822</v>
      </c>
      <c r="H54" s="65">
        <f>+VLOOKUP($A54,Fondos!$B$8:$AS$81,23,FALSE)</f>
        <v>7809079</v>
      </c>
      <c r="I54" s="64">
        <f t="shared" si="1"/>
        <v>4279042</v>
      </c>
      <c r="J54" s="65">
        <f>+VLOOKUP($A54,Fondos!$B$8:$BE$81,30,FALSE)</f>
        <v>263909</v>
      </c>
      <c r="K54" s="65">
        <f>+VLOOKUP($A54,Fondos!$B$8:$BE$82,35,FALSE)</f>
        <v>3425133</v>
      </c>
      <c r="L54" s="65">
        <f>+VLOOKUP($A54,Fondos!$B$8:$BE$82,40,FALSE)</f>
        <v>590000</v>
      </c>
      <c r="M54" s="65">
        <f>+VLOOKUP($A54,Fondos!$B$8:$BE$82,41,FALSE)</f>
        <v>0</v>
      </c>
      <c r="N54" s="64">
        <f t="shared" si="3"/>
        <v>45483044</v>
      </c>
      <c r="O54" s="12" t="str">
        <f t="shared" si="2"/>
        <v>Manos Unidas</v>
      </c>
    </row>
    <row r="55" spans="1:15" ht="12.75" x14ac:dyDescent="0.2">
      <c r="A55" s="17" t="s">
        <v>99</v>
      </c>
      <c r="B55" s="64">
        <f t="shared" si="0"/>
        <v>8238000</v>
      </c>
      <c r="C55" s="65">
        <f>+VLOOKUP($A55,Fondos!$B$8:$AS$81,3,FALSE)</f>
        <v>6006000</v>
      </c>
      <c r="D55" s="65">
        <f>+VLOOKUP($A55,Fondos!$B$8:$AS$81,4,FALSE)</f>
        <v>0</v>
      </c>
      <c r="E55" s="65">
        <f>+VLOOKUP($A55,Fondos!$B$8:$AS$81,11,FALSE)</f>
        <v>1649000</v>
      </c>
      <c r="F55" s="65">
        <f>+VLOOKUP($A55,Fondos!$B$8:$AS$81,15,FALSE)</f>
        <v>583000</v>
      </c>
      <c r="G55" s="65">
        <f>+VLOOKUP($A55,Fondos!$B$8:$AS$81,20,FALSE)</f>
        <v>0</v>
      </c>
      <c r="H55" s="65">
        <f>+VLOOKUP($A55,Fondos!$B$8:$AS$81,23,FALSE)</f>
        <v>0</v>
      </c>
      <c r="I55" s="64">
        <f t="shared" si="1"/>
        <v>5999717</v>
      </c>
      <c r="J55" s="65">
        <f>+VLOOKUP($A55,Fondos!$B$8:$BE$81,30,FALSE)</f>
        <v>606107</v>
      </c>
      <c r="K55" s="65">
        <f>+VLOOKUP($A55,Fondos!$B$8:$BE$82,35,FALSE)</f>
        <v>1843374</v>
      </c>
      <c r="L55" s="65">
        <f>+VLOOKUP($A55,Fondos!$B$8:$BE$82,40,FALSE)</f>
        <v>3550236</v>
      </c>
      <c r="M55" s="65">
        <f>+VLOOKUP($A55,Fondos!$B$8:$BE$82,41,FALSE)</f>
        <v>0</v>
      </c>
      <c r="N55" s="64">
        <f t="shared" si="3"/>
        <v>14237717</v>
      </c>
      <c r="O55" s="12" t="str">
        <f t="shared" si="2"/>
        <v>Medicos del Mundo</v>
      </c>
    </row>
    <row r="56" spans="1:15" ht="12.75" x14ac:dyDescent="0.2">
      <c r="A56" s="17" t="s">
        <v>100</v>
      </c>
      <c r="B56" s="64">
        <f t="shared" si="0"/>
        <v>2123898</v>
      </c>
      <c r="C56" s="65">
        <f>+VLOOKUP($A56,Fondos!$B$8:$AS$81,3,FALSE)</f>
        <v>595182</v>
      </c>
      <c r="D56" s="65">
        <f>+VLOOKUP($A56,Fondos!$B$8:$AS$81,4,FALSE)</f>
        <v>0</v>
      </c>
      <c r="E56" s="65">
        <f>+VLOOKUP($A56,Fondos!$B$8:$AS$81,11,FALSE)</f>
        <v>584195</v>
      </c>
      <c r="F56" s="65">
        <f>+VLOOKUP($A56,Fondos!$B$8:$AS$81,15,FALSE)</f>
        <v>380385</v>
      </c>
      <c r="G56" s="65">
        <f>+VLOOKUP($A56,Fondos!$B$8:$AS$81,20,FALSE)</f>
        <v>0</v>
      </c>
      <c r="H56" s="65">
        <f>+VLOOKUP($A56,Fondos!$B$8:$AS$81,23,FALSE)</f>
        <v>564136</v>
      </c>
      <c r="I56" s="64">
        <f t="shared" si="1"/>
        <v>9448852</v>
      </c>
      <c r="J56" s="65">
        <f>+VLOOKUP($A56,Fondos!$B$8:$BE$81,30,FALSE)</f>
        <v>553201</v>
      </c>
      <c r="K56" s="65">
        <f>+VLOOKUP($A56,Fondos!$B$8:$BE$82,35,FALSE)</f>
        <v>6954090</v>
      </c>
      <c r="L56" s="65">
        <f>+VLOOKUP($A56,Fondos!$B$8:$BE$82,40,FALSE)</f>
        <v>1941561</v>
      </c>
      <c r="M56" s="65">
        <f>+VLOOKUP($A56,Fondos!$B$8:$BE$82,41,FALSE)</f>
        <v>0</v>
      </c>
      <c r="N56" s="64">
        <f t="shared" si="3"/>
        <v>11572750</v>
      </c>
      <c r="O56" s="12" t="str">
        <f t="shared" si="2"/>
        <v>Medicus Mundi</v>
      </c>
    </row>
    <row r="57" spans="1:15" ht="12.75" x14ac:dyDescent="0.2">
      <c r="A57" s="17" t="s">
        <v>258</v>
      </c>
      <c r="B57" s="64">
        <f t="shared" si="0"/>
        <v>971348</v>
      </c>
      <c r="C57" s="65">
        <f>+VLOOKUP($A57,Fondos!$B$8:$AS$81,3,FALSE)</f>
        <v>0</v>
      </c>
      <c r="D57" s="65">
        <f>+VLOOKUP($A57,Fondos!$B$8:$AS$81,4,FALSE)</f>
        <v>0</v>
      </c>
      <c r="E57" s="65">
        <f>+VLOOKUP($A57,Fondos!$B$8:$AS$81,11,FALSE)</f>
        <v>830300</v>
      </c>
      <c r="F57" s="65">
        <f>+VLOOKUP($A57,Fondos!$B$8:$AS$81,15,FALSE)</f>
        <v>141048</v>
      </c>
      <c r="G57" s="65">
        <f>+VLOOKUP($A57,Fondos!$B$8:$AS$81,20,FALSE)</f>
        <v>0</v>
      </c>
      <c r="H57" s="65">
        <f>+VLOOKUP($A57,Fondos!$B$8:$AS$81,23,FALSE)</f>
        <v>0</v>
      </c>
      <c r="I57" s="64">
        <f t="shared" si="1"/>
        <v>0</v>
      </c>
      <c r="J57" s="65">
        <f>+VLOOKUP($A57,Fondos!$B$8:$BE$81,30,FALSE)</f>
        <v>0</v>
      </c>
      <c r="K57" s="65">
        <f>+VLOOKUP($A57,Fondos!$B$8:$BE$82,35,FALSE)</f>
        <v>0</v>
      </c>
      <c r="L57" s="65">
        <f>+VLOOKUP($A57,Fondos!$B$8:$BE$82,40,FALSE)</f>
        <v>0</v>
      </c>
      <c r="M57" s="65">
        <f>+VLOOKUP($A57,Fondos!$B$8:$BE$82,41,FALSE)</f>
        <v>0</v>
      </c>
      <c r="N57" s="64">
        <f t="shared" si="3"/>
        <v>971348</v>
      </c>
      <c r="O57" s="12" t="str">
        <f t="shared" si="2"/>
        <v>Fundacion Mensajeros de la Paz</v>
      </c>
    </row>
    <row r="58" spans="1:15" ht="12.75" x14ac:dyDescent="0.2">
      <c r="A58" s="17" t="s">
        <v>101</v>
      </c>
      <c r="B58" s="64">
        <f t="shared" si="0"/>
        <v>88733</v>
      </c>
      <c r="C58" s="65">
        <f>+VLOOKUP($A58,Fondos!$B$8:$AS$81,3,FALSE)</f>
        <v>13833</v>
      </c>
      <c r="D58" s="65">
        <f>+VLOOKUP($A58,Fondos!$B$8:$AS$81,4,FALSE)</f>
        <v>0</v>
      </c>
      <c r="E58" s="65">
        <f>+VLOOKUP($A58,Fondos!$B$8:$AS$81,11,FALSE)</f>
        <v>0</v>
      </c>
      <c r="F58" s="65">
        <f>+VLOOKUP($A58,Fondos!$B$8:$AS$81,15,FALSE)</f>
        <v>46400</v>
      </c>
      <c r="G58" s="65">
        <f>+VLOOKUP($A58,Fondos!$B$8:$AS$81,20,FALSE)</f>
        <v>0</v>
      </c>
      <c r="H58" s="65">
        <f>+VLOOKUP($A58,Fondos!$B$8:$AS$81,23,FALSE)</f>
        <v>28500</v>
      </c>
      <c r="I58" s="64">
        <f t="shared" si="1"/>
        <v>2865071</v>
      </c>
      <c r="J58" s="65">
        <f>+VLOOKUP($A58,Fondos!$B$8:$BE$81,30,FALSE)</f>
        <v>550000</v>
      </c>
      <c r="K58" s="65">
        <f>+VLOOKUP($A58,Fondos!$B$8:$BE$82,35,FALSE)</f>
        <v>1495014</v>
      </c>
      <c r="L58" s="65">
        <f>+VLOOKUP($A58,Fondos!$B$8:$BE$82,40,FALSE)</f>
        <v>820057</v>
      </c>
      <c r="M58" s="65">
        <f>+VLOOKUP($A58,Fondos!$B$8:$BE$82,41,FALSE)</f>
        <v>0</v>
      </c>
      <c r="N58" s="64">
        <f t="shared" si="3"/>
        <v>2953804</v>
      </c>
      <c r="O58" s="12" t="str">
        <f t="shared" si="2"/>
        <v>Movimiento por la Paz -MPDL-</v>
      </c>
    </row>
    <row r="59" spans="1:15" ht="12.75" x14ac:dyDescent="0.2">
      <c r="A59" s="17" t="s">
        <v>102</v>
      </c>
      <c r="B59" s="64">
        <f t="shared" si="0"/>
        <v>102698</v>
      </c>
      <c r="C59" s="65">
        <f>+VLOOKUP($A59,Fondos!$B$8:$AS$81,3,FALSE)</f>
        <v>63812</v>
      </c>
      <c r="D59" s="65">
        <f>+VLOOKUP($A59,Fondos!$B$8:$AS$81,4,FALSE)</f>
        <v>0</v>
      </c>
      <c r="E59" s="65">
        <f>+VLOOKUP($A59,Fondos!$B$8:$AS$81,11,FALSE)</f>
        <v>22995</v>
      </c>
      <c r="F59" s="65">
        <f>+VLOOKUP($A59,Fondos!$B$8:$AS$81,15,FALSE)</f>
        <v>0</v>
      </c>
      <c r="G59" s="65">
        <f>+VLOOKUP($A59,Fondos!$B$8:$AS$81,20,FALSE)</f>
        <v>0</v>
      </c>
      <c r="H59" s="65">
        <f>+VLOOKUP($A59,Fondos!$B$8:$AS$81,23,FALSE)</f>
        <v>15891</v>
      </c>
      <c r="I59" s="64">
        <f t="shared" si="1"/>
        <v>2184762</v>
      </c>
      <c r="J59" s="65">
        <f>+VLOOKUP($A59,Fondos!$B$8:$BE$81,30,FALSE)</f>
        <v>313606</v>
      </c>
      <c r="K59" s="65">
        <f>+VLOOKUP($A59,Fondos!$B$8:$BE$82,35,FALSE)</f>
        <v>1871156</v>
      </c>
      <c r="L59" s="65">
        <f>+VLOOKUP($A59,Fondos!$B$8:$BE$82,40,FALSE)</f>
        <v>0</v>
      </c>
      <c r="M59" s="65">
        <f>+VLOOKUP($A59,Fondos!$B$8:$BE$82,41,FALSE)</f>
        <v>0</v>
      </c>
      <c r="N59" s="64">
        <f t="shared" si="3"/>
        <v>2287460</v>
      </c>
      <c r="O59" s="12" t="str">
        <f t="shared" si="2"/>
        <v>Mujeres en Zona de Conflicto (MZC)</v>
      </c>
    </row>
    <row r="60" spans="1:15" ht="12.75" x14ac:dyDescent="0.2">
      <c r="A60" s="17" t="s">
        <v>103</v>
      </c>
      <c r="B60" s="64">
        <f t="shared" si="0"/>
        <v>104481</v>
      </c>
      <c r="C60" s="65">
        <f>+VLOOKUP($A60,Fondos!$B$8:$AS$81,3,FALSE)</f>
        <v>88968</v>
      </c>
      <c r="D60" s="65">
        <f>+VLOOKUP($A60,Fondos!$B$8:$AS$81,4,FALSE)</f>
        <v>0</v>
      </c>
      <c r="E60" s="65">
        <f>+VLOOKUP($A60,Fondos!$B$8:$AS$81,11,FALSE)</f>
        <v>0</v>
      </c>
      <c r="F60" s="65">
        <f>+VLOOKUP($A60,Fondos!$B$8:$AS$81,15,FALSE)</f>
        <v>4900</v>
      </c>
      <c r="G60" s="65">
        <f>+VLOOKUP($A60,Fondos!$B$8:$AS$81,20,FALSE)</f>
        <v>0</v>
      </c>
      <c r="H60" s="65">
        <f>+VLOOKUP($A60,Fondos!$B$8:$AS$81,23,FALSE)</f>
        <v>10613</v>
      </c>
      <c r="I60" s="64">
        <f t="shared" si="1"/>
        <v>3785891</v>
      </c>
      <c r="J60" s="65">
        <f>+VLOOKUP($A60,Fondos!$B$8:$BE$81,30,FALSE)</f>
        <v>0</v>
      </c>
      <c r="K60" s="65">
        <f>+VLOOKUP($A60,Fondos!$B$8:$BE$82,35,FALSE)</f>
        <v>2334363</v>
      </c>
      <c r="L60" s="65">
        <f>+VLOOKUP($A60,Fondos!$B$8:$BE$82,40,FALSE)</f>
        <v>1451528</v>
      </c>
      <c r="M60" s="65">
        <f>+VLOOKUP($A60,Fondos!$B$8:$BE$82,41,FALSE)</f>
        <v>0</v>
      </c>
      <c r="N60" s="64">
        <f t="shared" si="3"/>
        <v>3890372</v>
      </c>
      <c r="O60" s="12" t="str">
        <f t="shared" si="2"/>
        <v>MUNDUBAT</v>
      </c>
    </row>
    <row r="61" spans="1:15" ht="12.75" x14ac:dyDescent="0.2">
      <c r="A61" s="17" t="s">
        <v>104</v>
      </c>
      <c r="B61" s="64">
        <f t="shared" si="0"/>
        <v>194886</v>
      </c>
      <c r="C61" s="65">
        <f>+VLOOKUP($A61,Fondos!$B$8:$AS$81,3,FALSE)</f>
        <v>75551</v>
      </c>
      <c r="D61" s="65">
        <f>+VLOOKUP($A61,Fondos!$B$8:$AS$81,4,FALSE)</f>
        <v>0</v>
      </c>
      <c r="E61" s="65">
        <f>+VLOOKUP($A61,Fondos!$B$8:$AS$81,11,FALSE)</f>
        <v>117615</v>
      </c>
      <c r="F61" s="65">
        <f>+VLOOKUP($A61,Fondos!$B$8:$AS$81,15,FALSE)</f>
        <v>0</v>
      </c>
      <c r="G61" s="65">
        <f>+VLOOKUP($A61,Fondos!$B$8:$AS$81,20,FALSE)</f>
        <v>0</v>
      </c>
      <c r="H61" s="65">
        <f>+VLOOKUP($A61,Fondos!$B$8:$AS$81,23,FALSE)</f>
        <v>1720</v>
      </c>
      <c r="I61" s="64">
        <f t="shared" si="1"/>
        <v>0</v>
      </c>
      <c r="J61" s="65">
        <f>+VLOOKUP($A61,Fondos!$B$8:$BE$81,30,FALSE)</f>
        <v>0</v>
      </c>
      <c r="K61" s="65">
        <f>+VLOOKUP($A61,Fondos!$B$8:$BE$82,35,FALSE)</f>
        <v>0</v>
      </c>
      <c r="L61" s="65">
        <f>+VLOOKUP($A61,Fondos!$B$8:$BE$82,40,FALSE)</f>
        <v>0</v>
      </c>
      <c r="M61" s="65">
        <f>+VLOOKUP($A61,Fondos!$B$8:$BE$82,41,FALSE)</f>
        <v>0</v>
      </c>
      <c r="N61" s="64">
        <f t="shared" si="3"/>
        <v>194886</v>
      </c>
      <c r="O61" s="12" t="str">
        <f t="shared" si="2"/>
        <v>OCASHA-Cristianos con el Sur</v>
      </c>
    </row>
    <row r="62" spans="1:15" ht="12.75" x14ac:dyDescent="0.2">
      <c r="A62" s="17" t="s">
        <v>105</v>
      </c>
      <c r="B62" s="64">
        <f t="shared" si="0"/>
        <v>1007113</v>
      </c>
      <c r="C62" s="65">
        <f>+VLOOKUP($A62,Fondos!$B$8:$AS$81,3,FALSE)</f>
        <v>168786</v>
      </c>
      <c r="D62" s="65">
        <f>+VLOOKUP($A62,Fondos!$B$8:$AS$81,4,FALSE)</f>
        <v>0</v>
      </c>
      <c r="E62" s="65">
        <f>+VLOOKUP($A62,Fondos!$B$8:$AS$81,11,FALSE)</f>
        <v>20808</v>
      </c>
      <c r="F62" s="65">
        <f>+VLOOKUP($A62,Fondos!$B$8:$AS$81,15,FALSE)</f>
        <v>743145</v>
      </c>
      <c r="G62" s="65">
        <f>+VLOOKUP($A62,Fondos!$B$8:$AS$81,20,FALSE)</f>
        <v>518</v>
      </c>
      <c r="H62" s="65">
        <f>+VLOOKUP($A62,Fondos!$B$8:$AS$81,23,FALSE)</f>
        <v>73856</v>
      </c>
      <c r="I62" s="64">
        <f t="shared" si="1"/>
        <v>686606</v>
      </c>
      <c r="J62" s="65">
        <f>+VLOOKUP($A62,Fondos!$B$8:$BE$81,30,FALSE)</f>
        <v>8000</v>
      </c>
      <c r="K62" s="65">
        <f>+VLOOKUP($A62,Fondos!$B$8:$BE$82,35,FALSE)</f>
        <v>339847</v>
      </c>
      <c r="L62" s="65">
        <f>+VLOOKUP($A62,Fondos!$B$8:$BE$82,40,FALSE)</f>
        <v>338759</v>
      </c>
      <c r="M62" s="65">
        <f>+VLOOKUP($A62,Fondos!$B$8:$BE$82,41,FALSE)</f>
        <v>0</v>
      </c>
      <c r="N62" s="64">
        <f t="shared" si="3"/>
        <v>1693719</v>
      </c>
      <c r="O62" s="12" t="str">
        <f t="shared" si="2"/>
        <v>ONGAWA</v>
      </c>
    </row>
    <row r="63" spans="1:15" ht="12.75" x14ac:dyDescent="0.2">
      <c r="A63" s="17" t="s">
        <v>106</v>
      </c>
      <c r="B63" s="64">
        <f t="shared" si="0"/>
        <v>75141105</v>
      </c>
      <c r="C63" s="65">
        <f>+VLOOKUP($A63,Fondos!$B$8:$AS$81,3,FALSE)</f>
        <v>31390639</v>
      </c>
      <c r="D63" s="65">
        <f>+VLOOKUP($A63,Fondos!$B$8:$AS$81,4,FALSE)</f>
        <v>0</v>
      </c>
      <c r="E63" s="65">
        <f>+VLOOKUP($A63,Fondos!$B$8:$AS$81,11,FALSE)</f>
        <v>9637299</v>
      </c>
      <c r="F63" s="65">
        <f>+VLOOKUP($A63,Fondos!$B$8:$AS$81,15,FALSE)</f>
        <v>2820950</v>
      </c>
      <c r="G63" s="65">
        <f>+VLOOKUP($A63,Fondos!$B$8:$AS$81,20,FALSE)</f>
        <v>6284706</v>
      </c>
      <c r="H63" s="65">
        <f>+VLOOKUP($A63,Fondos!$B$8:$AS$81,23,FALSE)</f>
        <v>25007511</v>
      </c>
      <c r="I63" s="64">
        <f t="shared" si="1"/>
        <v>48214344</v>
      </c>
      <c r="J63" s="65">
        <f>+VLOOKUP($A63,Fondos!$B$8:$BE$81,30,FALSE)</f>
        <v>166547</v>
      </c>
      <c r="K63" s="65">
        <f>+VLOOKUP($A63,Fondos!$B$8:$BE$82,35,FALSE)</f>
        <v>1826502</v>
      </c>
      <c r="L63" s="65">
        <f>+VLOOKUP($A63,Fondos!$B$8:$BE$82,40,FALSE)</f>
        <v>46221295</v>
      </c>
      <c r="M63" s="65">
        <f>+VLOOKUP($A63,Fondos!$B$8:$BE$82,41,FALSE)</f>
        <v>0</v>
      </c>
      <c r="N63" s="64">
        <f t="shared" si="3"/>
        <v>123355449</v>
      </c>
      <c r="O63" s="12" t="str">
        <f t="shared" si="2"/>
        <v>Oxfam Intermon</v>
      </c>
    </row>
    <row r="64" spans="1:15" ht="12.75" x14ac:dyDescent="0.2">
      <c r="A64" s="17" t="s">
        <v>107</v>
      </c>
      <c r="B64" s="64">
        <f t="shared" si="0"/>
        <v>35378</v>
      </c>
      <c r="C64" s="65">
        <f>+VLOOKUP($A64,Fondos!$B$8:$AS$81,3,FALSE)</f>
        <v>6262</v>
      </c>
      <c r="D64" s="65">
        <f>+VLOOKUP($A64,Fondos!$B$8:$AS$81,4,FALSE)</f>
        <v>0</v>
      </c>
      <c r="E64" s="65">
        <f>+VLOOKUP($A64,Fondos!$B$8:$AS$81,11,FALSE)</f>
        <v>8030</v>
      </c>
      <c r="F64" s="65">
        <f>+VLOOKUP($A64,Fondos!$B$8:$AS$81,15,FALSE)</f>
        <v>0</v>
      </c>
      <c r="G64" s="65">
        <f>+VLOOKUP($A64,Fondos!$B$8:$AS$81,20,FALSE)</f>
        <v>4642</v>
      </c>
      <c r="H64" s="65">
        <f>+VLOOKUP($A64,Fondos!$B$8:$AS$81,23,FALSE)</f>
        <v>16444</v>
      </c>
      <c r="I64" s="64">
        <f t="shared" si="1"/>
        <v>3136287</v>
      </c>
      <c r="J64" s="65">
        <f>+VLOOKUP($A64,Fondos!$B$8:$BE$81,30,FALSE)</f>
        <v>0</v>
      </c>
      <c r="K64" s="65">
        <f>+VLOOKUP($A64,Fondos!$B$8:$BE$82,35,FALSE)</f>
        <v>3136287</v>
      </c>
      <c r="L64" s="65">
        <f>+VLOOKUP($A64,Fondos!$B$8:$BE$82,40,FALSE)</f>
        <v>0</v>
      </c>
      <c r="M64" s="65">
        <f>+VLOOKUP($A64,Fondos!$B$8:$BE$82,41,FALSE)</f>
        <v>0</v>
      </c>
      <c r="N64" s="64">
        <f t="shared" si="3"/>
        <v>3171665</v>
      </c>
      <c r="O64" s="12" t="str">
        <f t="shared" si="2"/>
        <v>Paz con Dignidad</v>
      </c>
    </row>
    <row r="65" spans="1:16" ht="12.75" x14ac:dyDescent="0.2">
      <c r="A65" s="17" t="s">
        <v>259</v>
      </c>
      <c r="B65" s="64">
        <f t="shared" si="0"/>
        <v>13290461</v>
      </c>
      <c r="C65" s="65">
        <f>+VLOOKUP($A65,Fondos!$B$8:$AS$81,3,FALSE)</f>
        <v>3772607</v>
      </c>
      <c r="D65" s="65">
        <f>+VLOOKUP($A65,Fondos!$B$8:$AS$81,4,FALSE)</f>
        <v>8472493</v>
      </c>
      <c r="E65" s="65">
        <f>+VLOOKUP($A65,Fondos!$B$8:$AS$81,11,FALSE)</f>
        <v>877977</v>
      </c>
      <c r="F65" s="65">
        <f>+VLOOKUP($A65,Fondos!$B$8:$AS$81,15,FALSE)</f>
        <v>167384</v>
      </c>
      <c r="G65" s="65">
        <f>+VLOOKUP($A65,Fondos!$B$8:$AS$81,20,FALSE)</f>
        <v>0</v>
      </c>
      <c r="H65" s="65">
        <f>+VLOOKUP($A65,Fondos!$B$8:$AS$81,23,FALSE)</f>
        <v>0</v>
      </c>
      <c r="I65" s="64">
        <f t="shared" si="1"/>
        <v>4641753</v>
      </c>
      <c r="J65" s="65">
        <f>+VLOOKUP($A65,Fondos!$B$8:$BE$81,30,FALSE)</f>
        <v>0</v>
      </c>
      <c r="K65" s="65">
        <f>+VLOOKUP($A65,Fondos!$B$8:$BE$82,35,FALSE)</f>
        <v>0</v>
      </c>
      <c r="L65" s="65">
        <f>+VLOOKUP($A65,Fondos!$B$8:$BE$82,40,FALSE)</f>
        <v>4641753</v>
      </c>
      <c r="M65" s="65">
        <f>+VLOOKUP($A65,Fondos!$B$8:$BE$82,41,FALSE)</f>
        <v>0</v>
      </c>
      <c r="N65" s="64">
        <f t="shared" si="3"/>
        <v>17932214</v>
      </c>
      <c r="O65" s="12" t="str">
        <f t="shared" si="2"/>
        <v>Plan Internacional España</v>
      </c>
    </row>
    <row r="66" spans="1:16" ht="12.75" x14ac:dyDescent="0.2">
      <c r="A66" s="17" t="s">
        <v>108</v>
      </c>
      <c r="B66" s="64">
        <f t="shared" ref="B66:B75" si="4">SUM(C66:H66)</f>
        <v>744613</v>
      </c>
      <c r="C66" s="65">
        <f>+VLOOKUP($A66,Fondos!$B$8:$AS$81,3,FALSE)</f>
        <v>50206</v>
      </c>
      <c r="D66" s="65">
        <f>+VLOOKUP($A66,Fondos!$B$8:$AS$81,4,FALSE)</f>
        <v>0</v>
      </c>
      <c r="E66" s="65">
        <f>+VLOOKUP($A66,Fondos!$B$8:$AS$81,11,FALSE)</f>
        <v>105003</v>
      </c>
      <c r="F66" s="65">
        <f>+VLOOKUP($A66,Fondos!$B$8:$AS$81,15,FALSE)</f>
        <v>490122</v>
      </c>
      <c r="G66" s="65">
        <f>+VLOOKUP($A66,Fondos!$B$8:$AS$81,20,FALSE)</f>
        <v>0</v>
      </c>
      <c r="H66" s="65">
        <f>+VLOOKUP($A66,Fondos!$B$8:$AS$81,23,FALSE)</f>
        <v>99282</v>
      </c>
      <c r="I66" s="64">
        <f t="shared" ref="I66:I75" si="5">SUM(J66:M66)</f>
        <v>826005</v>
      </c>
      <c r="J66" s="65">
        <f>+VLOOKUP($A66,Fondos!$B$8:$BE$81,30,FALSE)</f>
        <v>613929</v>
      </c>
      <c r="K66" s="65">
        <f>+VLOOKUP($A66,Fondos!$B$8:$BE$82,35,FALSE)</f>
        <v>212076</v>
      </c>
      <c r="L66" s="65">
        <f>+VLOOKUP($A66,Fondos!$B$8:$BE$82,40,FALSE)</f>
        <v>0</v>
      </c>
      <c r="M66" s="65">
        <f>+VLOOKUP($A66,Fondos!$B$8:$BE$82,41,FALSE)</f>
        <v>0</v>
      </c>
      <c r="N66" s="64">
        <f t="shared" si="3"/>
        <v>1570618</v>
      </c>
      <c r="O66" s="12" t="str">
        <f t="shared" ref="O66:O75" si="6">+A66</f>
        <v>Prosalus</v>
      </c>
    </row>
    <row r="67" spans="1:16" ht="12.75" x14ac:dyDescent="0.2">
      <c r="A67" s="17" t="s">
        <v>109</v>
      </c>
      <c r="B67" s="64">
        <f t="shared" si="4"/>
        <v>2449518</v>
      </c>
      <c r="C67" s="65">
        <f>+VLOOKUP($A67,Fondos!$B$8:$AS$81,3,FALSE)</f>
        <v>185387</v>
      </c>
      <c r="D67" s="65">
        <f>+VLOOKUP($A67,Fondos!$B$8:$AS$81,4,FALSE)</f>
        <v>0</v>
      </c>
      <c r="E67" s="65">
        <f>+VLOOKUP($A67,Fondos!$B$8:$AS$81,11,FALSE)</f>
        <v>2095618</v>
      </c>
      <c r="F67" s="65">
        <f>+VLOOKUP($A67,Fondos!$B$8:$AS$81,15,FALSE)</f>
        <v>0</v>
      </c>
      <c r="G67" s="65">
        <f>+VLOOKUP($A67,Fondos!$B$8:$AS$81,20,FALSE)</f>
        <v>101753</v>
      </c>
      <c r="H67" s="65">
        <f>+VLOOKUP($A67,Fondos!$B$8:$AS$81,23,FALSE)</f>
        <v>66760</v>
      </c>
      <c r="I67" s="64">
        <f t="shared" si="5"/>
        <v>357814</v>
      </c>
      <c r="J67" s="65">
        <f>+VLOOKUP($A67,Fondos!$B$8:$BE$81,30,FALSE)</f>
        <v>0</v>
      </c>
      <c r="K67" s="65">
        <f>+VLOOKUP($A67,Fondos!$B$8:$BE$82,35,FALSE)</f>
        <v>357814</v>
      </c>
      <c r="L67" s="65">
        <f>+VLOOKUP($A67,Fondos!$B$8:$BE$82,40,FALSE)</f>
        <v>0</v>
      </c>
      <c r="M67" s="65">
        <f>+VLOOKUP($A67,Fondos!$B$8:$BE$82,41,FALSE)</f>
        <v>0</v>
      </c>
      <c r="N67" s="64">
        <f t="shared" si="3"/>
        <v>2807332</v>
      </c>
      <c r="O67" s="12" t="str">
        <f t="shared" si="6"/>
        <v>PROYDE</v>
      </c>
    </row>
    <row r="68" spans="1:16" ht="12.75" x14ac:dyDescent="0.2">
      <c r="A68" s="17" t="s">
        <v>110</v>
      </c>
      <c r="B68" s="64">
        <f t="shared" si="4"/>
        <v>5735</v>
      </c>
      <c r="C68" s="65">
        <f>+VLOOKUP($A68,Fondos!$B$8:$AS$81,3,FALSE)</f>
        <v>5735</v>
      </c>
      <c r="D68" s="65">
        <f>+VLOOKUP($A68,Fondos!$B$8:$AS$81,4,FALSE)</f>
        <v>0</v>
      </c>
      <c r="E68" s="65">
        <f>+VLOOKUP($A68,Fondos!$B$8:$AS$81,11,FALSE)</f>
        <v>0</v>
      </c>
      <c r="F68" s="65">
        <f>+VLOOKUP($A68,Fondos!$B$8:$AS$81,15,FALSE)</f>
        <v>0</v>
      </c>
      <c r="G68" s="65">
        <f>+VLOOKUP($A68,Fondos!$B$8:$AS$81,20,FALSE)</f>
        <v>0</v>
      </c>
      <c r="H68" s="65">
        <f>+VLOOKUP($A68,Fondos!$B$8:$AS$81,23,FALSE)</f>
        <v>0</v>
      </c>
      <c r="I68" s="64">
        <f t="shared" si="5"/>
        <v>549741</v>
      </c>
      <c r="J68" s="65">
        <f>+VLOOKUP($A68,Fondos!$B$8:$BE$81,30,FALSE)</f>
        <v>0</v>
      </c>
      <c r="K68" s="65">
        <f>+VLOOKUP($A68,Fondos!$B$8:$BE$82,35,FALSE)</f>
        <v>549741</v>
      </c>
      <c r="L68" s="65">
        <f>+VLOOKUP($A68,Fondos!$B$8:$BE$82,40,FALSE)</f>
        <v>0</v>
      </c>
      <c r="M68" s="65">
        <f>+VLOOKUP($A68,Fondos!$B$8:$BE$82,41,FALSE)</f>
        <v>0</v>
      </c>
      <c r="N68" s="64">
        <f>+B68+I68</f>
        <v>555476</v>
      </c>
      <c r="O68" s="12" t="str">
        <f t="shared" si="6"/>
        <v>PROYECTO SOLIDARIO POR LA INFANCIA</v>
      </c>
    </row>
    <row r="69" spans="1:16" ht="12.75" x14ac:dyDescent="0.2">
      <c r="A69" s="17" t="s">
        <v>260</v>
      </c>
      <c r="B69" s="64">
        <f t="shared" si="4"/>
        <v>202726</v>
      </c>
      <c r="C69" s="65">
        <f>+VLOOKUP($A69,Fondos!$B$8:$AS$81,3,FALSE)</f>
        <v>81460</v>
      </c>
      <c r="D69" s="65">
        <f>+VLOOKUP($A69,Fondos!$B$8:$AS$81,4,FALSE)</f>
        <v>0</v>
      </c>
      <c r="E69" s="65">
        <f>+VLOOKUP($A69,Fondos!$B$8:$AS$81,11,FALSE)</f>
        <v>121266</v>
      </c>
      <c r="F69" s="65">
        <f>+VLOOKUP($A69,Fondos!$B$8:$AS$81,15,FALSE)</f>
        <v>0</v>
      </c>
      <c r="G69" s="65">
        <f>+VLOOKUP($A69,Fondos!$B$8:$AS$81,20,FALSE)</f>
        <v>0</v>
      </c>
      <c r="H69" s="65">
        <f>+VLOOKUP($A69,Fondos!$B$8:$AS$81,23,FALSE)</f>
        <v>0</v>
      </c>
      <c r="I69" s="64">
        <f t="shared" si="5"/>
        <v>0</v>
      </c>
      <c r="J69" s="65">
        <f>+VLOOKUP($A69,Fondos!$B$8:$BE$81,30,FALSE)</f>
        <v>0</v>
      </c>
      <c r="K69" s="65">
        <f>+VLOOKUP($A69,Fondos!$B$8:$BE$82,35,FALSE)</f>
        <v>0</v>
      </c>
      <c r="L69" s="65">
        <f>+VLOOKUP($A69,Fondos!$B$8:$BE$82,40,FALSE)</f>
        <v>0</v>
      </c>
      <c r="M69" s="65">
        <f>+VLOOKUP($A69,Fondos!$B$8:$BE$82,41,FALSE)</f>
        <v>0</v>
      </c>
      <c r="N69" s="64">
        <f t="shared" ref="N69:N75" si="7">+B69+I69</f>
        <v>202726</v>
      </c>
      <c r="O69" s="12" t="str">
        <f t="shared" si="6"/>
        <v>PUEBLOS HERMANOS</v>
      </c>
    </row>
    <row r="70" spans="1:16" ht="12.75" x14ac:dyDescent="0.2">
      <c r="A70" s="17" t="s">
        <v>261</v>
      </c>
      <c r="B70" s="64">
        <f t="shared" si="4"/>
        <v>27900</v>
      </c>
      <c r="C70" s="65">
        <f>+VLOOKUP($A70,Fondos!$B$8:$AS$81,3,FALSE)</f>
        <v>17900</v>
      </c>
      <c r="D70" s="65">
        <f>+VLOOKUP($A70,Fondos!$B$8:$AS$81,4,FALSE)</f>
        <v>0</v>
      </c>
      <c r="E70" s="65">
        <f>+VLOOKUP($A70,Fondos!$B$8:$AS$81,11,FALSE)</f>
        <v>10000</v>
      </c>
      <c r="F70" s="65">
        <f>+VLOOKUP($A70,Fondos!$B$8:$AS$81,15,FALSE)</f>
        <v>0</v>
      </c>
      <c r="G70" s="65">
        <f>+VLOOKUP($A70,Fondos!$B$8:$AS$81,20,FALSE)</f>
        <v>0</v>
      </c>
      <c r="H70" s="65">
        <f>+VLOOKUP($A70,Fondos!$B$8:$AS$81,23,FALSE)</f>
        <v>0</v>
      </c>
      <c r="I70" s="64">
        <f t="shared" si="5"/>
        <v>1222628</v>
      </c>
      <c r="J70" s="65">
        <f>+VLOOKUP($A70,Fondos!$B$8:$BE$81,30,FALSE)</f>
        <v>0</v>
      </c>
      <c r="K70" s="65">
        <f>+VLOOKUP($A70,Fondos!$B$8:$BE$82,35,FALSE)</f>
        <v>0</v>
      </c>
      <c r="L70" s="65">
        <f>+VLOOKUP($A70,Fondos!$B$8:$BE$82,40,FALSE)</f>
        <v>1222628</v>
      </c>
      <c r="M70" s="65">
        <f>+VLOOKUP($A70,Fondos!$B$8:$BE$82,41,FALSE)</f>
        <v>0</v>
      </c>
      <c r="N70" s="64">
        <f t="shared" si="7"/>
        <v>1250528</v>
      </c>
      <c r="O70" s="12" t="str">
        <f t="shared" si="6"/>
        <v>RESCATE</v>
      </c>
    </row>
    <row r="71" spans="1:16" ht="13.5" customHeight="1" x14ac:dyDescent="0.2">
      <c r="A71" s="17" t="s">
        <v>111</v>
      </c>
      <c r="B71" s="64">
        <f t="shared" si="4"/>
        <v>21161000</v>
      </c>
      <c r="C71" s="65">
        <f>+VLOOKUP($A71,Fondos!$B$8:$AS$81,3,FALSE)</f>
        <v>12389000</v>
      </c>
      <c r="D71" s="65">
        <f>+VLOOKUP($A71,Fondos!$B$8:$AS$81,4,FALSE)</f>
        <v>0</v>
      </c>
      <c r="E71" s="65">
        <f>+VLOOKUP($A71,Fondos!$B$8:$AS$81,11,FALSE)</f>
        <v>6497000</v>
      </c>
      <c r="F71" s="65">
        <f>+VLOOKUP($A71,Fondos!$B$8:$AS$81,15,FALSE)</f>
        <v>2275000</v>
      </c>
      <c r="G71" s="65">
        <f>+VLOOKUP($A71,Fondos!$B$8:$AS$81,20,FALSE)</f>
        <v>0</v>
      </c>
      <c r="H71" s="65">
        <f>+VLOOKUP($A71,Fondos!$B$8:$AS$81,23,FALSE)</f>
        <v>0</v>
      </c>
      <c r="I71" s="64">
        <f t="shared" si="5"/>
        <v>10359239</v>
      </c>
      <c r="J71" s="65">
        <f>+VLOOKUP($A71,Fondos!$B$8:$BE$81,30,FALSE)</f>
        <v>436000</v>
      </c>
      <c r="K71" s="65">
        <f>+VLOOKUP($A71,Fondos!$B$8:$BE$82,35,FALSE)</f>
        <v>504267</v>
      </c>
      <c r="L71" s="65">
        <f>+VLOOKUP($A71,Fondos!$B$8:$BE$82,40,FALSE)</f>
        <v>9418972</v>
      </c>
      <c r="M71" s="65">
        <f>+VLOOKUP($A71,Fondos!$B$8:$BE$82,41,FALSE)</f>
        <v>0</v>
      </c>
      <c r="N71" s="64">
        <f t="shared" si="7"/>
        <v>31520239</v>
      </c>
      <c r="O71" s="12" t="str">
        <f t="shared" si="6"/>
        <v>Save the Children</v>
      </c>
    </row>
    <row r="72" spans="1:16" ht="13.5" customHeight="1" x14ac:dyDescent="0.2">
      <c r="A72" s="17" t="s">
        <v>112</v>
      </c>
      <c r="B72" s="64">
        <f t="shared" si="4"/>
        <v>1304237</v>
      </c>
      <c r="C72" s="65">
        <f>+VLOOKUP($A72,Fondos!$B$8:$AS$81,3,FALSE)</f>
        <v>437129</v>
      </c>
      <c r="D72" s="65">
        <f>+VLOOKUP($A72,Fondos!$B$8:$AS$81,4,FALSE)</f>
        <v>0</v>
      </c>
      <c r="E72" s="65">
        <f>+VLOOKUP($A72,Fondos!$B$8:$AS$81,11,FALSE)</f>
        <v>703372</v>
      </c>
      <c r="F72" s="65">
        <f>+VLOOKUP($A72,Fondos!$B$8:$AS$81,15,FALSE)</f>
        <v>146257</v>
      </c>
      <c r="G72" s="65">
        <f>+VLOOKUP($A72,Fondos!$B$8:$AS$81,20,FALSE)</f>
        <v>0</v>
      </c>
      <c r="H72" s="65">
        <f>+VLOOKUP($A72,Fondos!$B$8:$AS$81,23,FALSE)</f>
        <v>17479</v>
      </c>
      <c r="I72" s="64">
        <f t="shared" si="5"/>
        <v>689212</v>
      </c>
      <c r="J72" s="65">
        <f>+VLOOKUP($A72,Fondos!$B$8:$BE$81,30,FALSE)</f>
        <v>0</v>
      </c>
      <c r="K72" s="65">
        <f>+VLOOKUP($A72,Fondos!$B$8:$BE$82,35,FALSE)</f>
        <v>689212</v>
      </c>
      <c r="L72" s="65">
        <f>+VLOOKUP($A72,Fondos!$B$8:$BE$82,40,FALSE)</f>
        <v>0</v>
      </c>
      <c r="M72" s="65">
        <f>+VLOOKUP($A72,Fondos!$B$8:$BE$82,41,FALSE)</f>
        <v>0</v>
      </c>
      <c r="N72" s="64">
        <f t="shared" si="7"/>
        <v>1993449</v>
      </c>
      <c r="O72" s="12" t="str">
        <f t="shared" si="6"/>
        <v>SED</v>
      </c>
    </row>
    <row r="73" spans="1:16" ht="13.5" customHeight="1" x14ac:dyDescent="0.2">
      <c r="A73" s="17" t="s">
        <v>113</v>
      </c>
      <c r="B73" s="64">
        <f t="shared" si="4"/>
        <v>620291</v>
      </c>
      <c r="C73" s="65">
        <f>+VLOOKUP($A73,Fondos!$B$8:$AS$81,3,FALSE)</f>
        <v>220214</v>
      </c>
      <c r="D73" s="65">
        <f>+VLOOKUP($A73,Fondos!$B$8:$AS$81,4,FALSE)</f>
        <v>0</v>
      </c>
      <c r="E73" s="65">
        <f>+VLOOKUP($A73,Fondos!$B$8:$AS$81,11,FALSE)</f>
        <v>27605</v>
      </c>
      <c r="F73" s="65">
        <f>+VLOOKUP($A73,Fondos!$B$8:$AS$81,15,FALSE)</f>
        <v>11303</v>
      </c>
      <c r="G73" s="65">
        <f>+VLOOKUP($A73,Fondos!$B$8:$AS$81,20,FALSE)</f>
        <v>252273</v>
      </c>
      <c r="H73" s="65">
        <f>+VLOOKUP($A73,Fondos!$B$8:$AS$81,23,FALSE)</f>
        <v>108896</v>
      </c>
      <c r="I73" s="64">
        <f t="shared" si="5"/>
        <v>1781667</v>
      </c>
      <c r="J73" s="65">
        <f>+VLOOKUP($A73,Fondos!$B$8:$BE$81,30,FALSE)</f>
        <v>0</v>
      </c>
      <c r="K73" s="65">
        <f>+VLOOKUP($A73,Fondos!$B$8:$BE$82,35,FALSE)</f>
        <v>1699336</v>
      </c>
      <c r="L73" s="65">
        <f>+VLOOKUP($A73,Fondos!$B$8:$BE$82,40,FALSE)</f>
        <v>82331</v>
      </c>
      <c r="M73" s="65">
        <f>+VLOOKUP($A73,Fondos!$B$8:$BE$82,41,FALSE)</f>
        <v>0</v>
      </c>
      <c r="N73" s="64">
        <f t="shared" si="7"/>
        <v>2401958</v>
      </c>
      <c r="O73" s="12" t="str">
        <f t="shared" si="6"/>
        <v>SETEM</v>
      </c>
    </row>
    <row r="74" spans="1:16" ht="13.5" customHeight="1" x14ac:dyDescent="0.2">
      <c r="A74" s="17" t="s">
        <v>114</v>
      </c>
      <c r="B74" s="64">
        <f t="shared" si="4"/>
        <v>162571</v>
      </c>
      <c r="C74" s="65">
        <f>+VLOOKUP($A74,Fondos!$B$8:$AS$81,3,FALSE)</f>
        <v>13069</v>
      </c>
      <c r="D74" s="65">
        <f>+VLOOKUP($A74,Fondos!$B$8:$AS$81,4,FALSE)</f>
        <v>0</v>
      </c>
      <c r="E74" s="65">
        <f>+VLOOKUP($A74,Fondos!$B$8:$AS$81,11,FALSE)</f>
        <v>149502</v>
      </c>
      <c r="F74" s="65">
        <f>+VLOOKUP($A74,Fondos!$B$8:$AS$81,15,FALSE)</f>
        <v>0</v>
      </c>
      <c r="G74" s="65">
        <f>+VLOOKUP($A74,Fondos!$B$8:$AS$81,20,FALSE)</f>
        <v>0</v>
      </c>
      <c r="H74" s="65">
        <f>+VLOOKUP($A74,Fondos!$B$8:$AS$81,23,FALSE)</f>
        <v>0</v>
      </c>
      <c r="I74" s="64">
        <f t="shared" si="5"/>
        <v>20000</v>
      </c>
      <c r="J74" s="65">
        <f>+VLOOKUP($A74,Fondos!$B$8:$BE$81,30,FALSE)</f>
        <v>0</v>
      </c>
      <c r="K74" s="65">
        <f>+VLOOKUP($A74,Fondos!$B$8:$BE$82,35,FALSE)</f>
        <v>20000</v>
      </c>
      <c r="L74" s="65">
        <f>+VLOOKUP($A74,Fondos!$B$8:$BE$82,40,FALSE)</f>
        <v>0</v>
      </c>
      <c r="M74" s="65">
        <f>+VLOOKUP($A74,Fondos!$B$8:$BE$82,41,FALSE)</f>
        <v>0</v>
      </c>
      <c r="N74" s="64">
        <f t="shared" si="7"/>
        <v>182571</v>
      </c>
      <c r="O74" s="12" t="str">
        <f t="shared" si="6"/>
        <v>SOTERMUN-USO</v>
      </c>
    </row>
    <row r="75" spans="1:16" ht="13.5" customHeight="1" x14ac:dyDescent="0.2">
      <c r="A75" s="17" t="s">
        <v>262</v>
      </c>
      <c r="B75" s="64">
        <f t="shared" si="4"/>
        <v>143700</v>
      </c>
      <c r="C75" s="65">
        <f>+VLOOKUP($A75,Fondos!$B$8:$AS$81,3,FALSE)</f>
        <v>122605</v>
      </c>
      <c r="D75" s="65">
        <f>+VLOOKUP($A75,Fondos!$B$8:$AS$81,4,FALSE)</f>
        <v>0</v>
      </c>
      <c r="E75" s="65">
        <f>+VLOOKUP($A75,Fondos!$B$8:$AS$81,11,FALSE)</f>
        <v>21095</v>
      </c>
      <c r="F75" s="65">
        <f>+VLOOKUP($A75,Fondos!$B$8:$AS$81,15,FALSE)</f>
        <v>0</v>
      </c>
      <c r="G75" s="65">
        <f>+VLOOKUP($A75,Fondos!$B$8:$AS$81,20,FALSE)</f>
        <v>0</v>
      </c>
      <c r="H75" s="65">
        <f>+VLOOKUP($A75,Fondos!$B$8:$AS$81,23,FALSE)</f>
        <v>0</v>
      </c>
      <c r="I75" s="64">
        <f t="shared" si="5"/>
        <v>208450</v>
      </c>
      <c r="J75" s="65">
        <f>+VLOOKUP($A75,Fondos!$B$8:$BE$81,30,FALSE)</f>
        <v>0</v>
      </c>
      <c r="K75" s="65">
        <f>+VLOOKUP($A75,Fondos!$B$8:$BE$82,35,FALSE)</f>
        <v>208450</v>
      </c>
      <c r="L75" s="65">
        <f>+VLOOKUP($A75,Fondos!$B$8:$BE$82,40,FALSE)</f>
        <v>0</v>
      </c>
      <c r="M75" s="65">
        <f>+VLOOKUP($A75,Fondos!$B$8:$BE$82,41,FALSE)</f>
        <v>0</v>
      </c>
      <c r="N75" s="64">
        <f t="shared" si="7"/>
        <v>352150</v>
      </c>
      <c r="O75" s="12" t="str">
        <f t="shared" si="6"/>
        <v>VSF Justicia Alimentaria Global</v>
      </c>
    </row>
    <row r="76" spans="1:16" ht="8.25" customHeight="1" x14ac:dyDescent="0.2">
      <c r="A76" s="66"/>
      <c r="B76" s="67"/>
      <c r="C76" s="68"/>
      <c r="D76" s="68"/>
      <c r="E76" s="69" t="s">
        <v>65</v>
      </c>
      <c r="F76" s="68"/>
      <c r="G76" s="68"/>
      <c r="H76" s="68"/>
      <c r="I76" s="64" t="s">
        <v>65</v>
      </c>
      <c r="J76" s="68"/>
      <c r="K76" s="68"/>
      <c r="L76" s="68"/>
      <c r="M76" s="68"/>
    </row>
    <row r="77" spans="1:16" s="71" customFormat="1" ht="12.75" x14ac:dyDescent="0.2">
      <c r="A77" s="75" t="s">
        <v>230</v>
      </c>
      <c r="B77" s="76">
        <f t="shared" ref="B77:N77" si="8">SUM(B2:B75)</f>
        <v>326252595</v>
      </c>
      <c r="C77" s="76">
        <f t="shared" si="8"/>
        <v>101521289</v>
      </c>
      <c r="D77" s="76">
        <f t="shared" si="8"/>
        <v>54994246</v>
      </c>
      <c r="E77" s="76">
        <f t="shared" si="8"/>
        <v>96297467</v>
      </c>
      <c r="F77" s="76">
        <f t="shared" si="8"/>
        <v>25272533</v>
      </c>
      <c r="G77" s="76">
        <f t="shared" si="8"/>
        <v>9850354</v>
      </c>
      <c r="H77" s="76">
        <f t="shared" si="8"/>
        <v>38316706</v>
      </c>
      <c r="I77" s="76">
        <f t="shared" si="8"/>
        <v>235735263</v>
      </c>
      <c r="J77" s="76">
        <f t="shared" si="8"/>
        <v>18561674</v>
      </c>
      <c r="K77" s="76">
        <f t="shared" si="8"/>
        <v>65278726</v>
      </c>
      <c r="L77" s="76">
        <f t="shared" si="8"/>
        <v>150886700</v>
      </c>
      <c r="M77" s="76">
        <f t="shared" si="8"/>
        <v>1008163</v>
      </c>
      <c r="N77" s="76">
        <f t="shared" si="8"/>
        <v>561987858</v>
      </c>
      <c r="O77" s="77"/>
      <c r="P77" s="78"/>
    </row>
    <row r="78" spans="1:16" ht="12.75" x14ac:dyDescent="0.2">
      <c r="B78" s="12">
        <f t="shared" ref="B78:N78" si="9">+COUNTA(B2:B75)-COUNTIF(B2:B75,0)</f>
        <v>70</v>
      </c>
      <c r="C78" s="12">
        <f t="shared" si="9"/>
        <v>61</v>
      </c>
      <c r="D78" s="12">
        <f t="shared" si="9"/>
        <v>9</v>
      </c>
      <c r="E78" s="12">
        <f t="shared" si="9"/>
        <v>61</v>
      </c>
      <c r="F78" s="12">
        <f t="shared" si="9"/>
        <v>45</v>
      </c>
      <c r="G78" s="12">
        <f t="shared" si="9"/>
        <v>16</v>
      </c>
      <c r="H78" s="12">
        <f t="shared" si="9"/>
        <v>29</v>
      </c>
      <c r="I78" s="12">
        <f t="shared" si="9"/>
        <v>62</v>
      </c>
      <c r="J78" s="12">
        <f t="shared" si="9"/>
        <v>35</v>
      </c>
      <c r="K78" s="12">
        <f t="shared" si="9"/>
        <v>55</v>
      </c>
      <c r="L78" s="12">
        <f t="shared" si="9"/>
        <v>25</v>
      </c>
      <c r="M78" s="12">
        <f t="shared" si="9"/>
        <v>2</v>
      </c>
      <c r="N78" s="12">
        <f t="shared" si="9"/>
        <v>71</v>
      </c>
    </row>
    <row r="79" spans="1:16" ht="12.75" x14ac:dyDescent="0.2">
      <c r="A79" s="3">
        <v>1</v>
      </c>
      <c r="B79" s="12">
        <f t="shared" ref="B79:N88" si="10">LARGE(B$2:B$75,$A79)</f>
        <v>75141105</v>
      </c>
      <c r="C79" s="12">
        <f t="shared" si="10"/>
        <v>31390639</v>
      </c>
      <c r="D79" s="12">
        <f t="shared" si="10"/>
        <v>24810801</v>
      </c>
      <c r="E79" s="12">
        <f t="shared" si="10"/>
        <v>22888063</v>
      </c>
      <c r="F79" s="12">
        <f t="shared" si="10"/>
        <v>4792698</v>
      </c>
      <c r="G79" s="12">
        <f t="shared" si="10"/>
        <v>6284706</v>
      </c>
      <c r="H79" s="12">
        <f t="shared" si="10"/>
        <v>25007511</v>
      </c>
      <c r="I79" s="12">
        <f t="shared" si="10"/>
        <v>69252185</v>
      </c>
      <c r="J79" s="12">
        <f t="shared" si="10"/>
        <v>3442463</v>
      </c>
      <c r="K79" s="12">
        <f t="shared" si="10"/>
        <v>6954090</v>
      </c>
      <c r="L79" s="12">
        <f t="shared" si="10"/>
        <v>66288883</v>
      </c>
      <c r="M79" s="12">
        <f t="shared" si="10"/>
        <v>638163</v>
      </c>
      <c r="N79" s="12">
        <f t="shared" si="10"/>
        <v>123355449</v>
      </c>
    </row>
    <row r="80" spans="1:16" ht="12.75" x14ac:dyDescent="0.2">
      <c r="A80" s="3">
        <v>2</v>
      </c>
      <c r="B80" s="12">
        <f t="shared" si="10"/>
        <v>41204002</v>
      </c>
      <c r="C80" s="12">
        <f t="shared" si="10"/>
        <v>12389000</v>
      </c>
      <c r="D80" s="12">
        <f t="shared" si="10"/>
        <v>21033388</v>
      </c>
      <c r="E80" s="12">
        <f t="shared" si="10"/>
        <v>16816729</v>
      </c>
      <c r="F80" s="12">
        <f t="shared" si="10"/>
        <v>2820950</v>
      </c>
      <c r="G80" s="12">
        <f t="shared" si="10"/>
        <v>1629296</v>
      </c>
      <c r="H80" s="12">
        <f t="shared" si="10"/>
        <v>7809079</v>
      </c>
      <c r="I80" s="12">
        <f t="shared" si="10"/>
        <v>48214344</v>
      </c>
      <c r="J80" s="12">
        <f t="shared" si="10"/>
        <v>2963302</v>
      </c>
      <c r="K80" s="12">
        <f t="shared" si="10"/>
        <v>4899975</v>
      </c>
      <c r="L80" s="12">
        <f t="shared" si="10"/>
        <v>46221295</v>
      </c>
      <c r="M80" s="12">
        <f t="shared" si="10"/>
        <v>370000</v>
      </c>
      <c r="N80" s="12">
        <f t="shared" si="10"/>
        <v>85709349</v>
      </c>
    </row>
    <row r="81" spans="1:14" ht="12.75" x14ac:dyDescent="0.2">
      <c r="A81" s="3">
        <v>3</v>
      </c>
      <c r="B81" s="12">
        <f t="shared" si="10"/>
        <v>28419134</v>
      </c>
      <c r="C81" s="12">
        <f t="shared" si="10"/>
        <v>9843470</v>
      </c>
      <c r="D81" s="12">
        <f t="shared" si="10"/>
        <v>8472493</v>
      </c>
      <c r="E81" s="12">
        <f t="shared" si="10"/>
        <v>9637299</v>
      </c>
      <c r="F81" s="12">
        <f t="shared" si="10"/>
        <v>2649414</v>
      </c>
      <c r="G81" s="12">
        <f t="shared" si="10"/>
        <v>1040158</v>
      </c>
      <c r="H81" s="12">
        <f t="shared" si="10"/>
        <v>2126764</v>
      </c>
      <c r="I81" s="12">
        <f t="shared" si="10"/>
        <v>15250278</v>
      </c>
      <c r="J81" s="12">
        <f t="shared" si="10"/>
        <v>863250</v>
      </c>
      <c r="K81" s="12">
        <f t="shared" si="10"/>
        <v>4824886</v>
      </c>
      <c r="L81" s="12">
        <f t="shared" si="10"/>
        <v>9418972</v>
      </c>
      <c r="M81" s="12">
        <f t="shared" si="10"/>
        <v>0</v>
      </c>
      <c r="N81" s="12">
        <f t="shared" si="10"/>
        <v>45483044</v>
      </c>
    </row>
    <row r="82" spans="1:14" ht="12.75" x14ac:dyDescent="0.2">
      <c r="A82" s="3">
        <v>4</v>
      </c>
      <c r="B82" s="12">
        <f t="shared" si="10"/>
        <v>26814057</v>
      </c>
      <c r="C82" s="12">
        <f t="shared" si="10"/>
        <v>9537702</v>
      </c>
      <c r="D82" s="12">
        <f t="shared" si="10"/>
        <v>377446</v>
      </c>
      <c r="E82" s="12">
        <f t="shared" si="10"/>
        <v>8398158</v>
      </c>
      <c r="F82" s="12">
        <f t="shared" si="10"/>
        <v>2275000</v>
      </c>
      <c r="G82" s="12">
        <f t="shared" si="10"/>
        <v>347409</v>
      </c>
      <c r="H82" s="12">
        <f t="shared" si="10"/>
        <v>842545</v>
      </c>
      <c r="I82" s="12">
        <f t="shared" si="10"/>
        <v>10359239</v>
      </c>
      <c r="J82" s="12">
        <f t="shared" si="10"/>
        <v>850615</v>
      </c>
      <c r="K82" s="12">
        <f t="shared" si="10"/>
        <v>3968479</v>
      </c>
      <c r="L82" s="12">
        <f t="shared" si="10"/>
        <v>7839336</v>
      </c>
      <c r="M82" s="12">
        <f t="shared" si="10"/>
        <v>0</v>
      </c>
      <c r="N82" s="12">
        <f t="shared" si="10"/>
        <v>31549453</v>
      </c>
    </row>
    <row r="83" spans="1:14" ht="12.75" x14ac:dyDescent="0.2">
      <c r="A83" s="3">
        <v>5</v>
      </c>
      <c r="B83" s="12">
        <f t="shared" si="10"/>
        <v>21161000</v>
      </c>
      <c r="C83" s="12">
        <f t="shared" si="10"/>
        <v>7508040</v>
      </c>
      <c r="D83" s="12">
        <f t="shared" si="10"/>
        <v>216513</v>
      </c>
      <c r="E83" s="12">
        <f t="shared" si="10"/>
        <v>8361696</v>
      </c>
      <c r="F83" s="12">
        <f t="shared" si="10"/>
        <v>1378224</v>
      </c>
      <c r="G83" s="12">
        <f t="shared" si="10"/>
        <v>252273</v>
      </c>
      <c r="H83" s="12">
        <f t="shared" si="10"/>
        <v>564136</v>
      </c>
      <c r="I83" s="12">
        <f t="shared" si="10"/>
        <v>9448852</v>
      </c>
      <c r="J83" s="12">
        <f t="shared" si="10"/>
        <v>828000</v>
      </c>
      <c r="K83" s="12">
        <f t="shared" si="10"/>
        <v>3702162</v>
      </c>
      <c r="L83" s="12">
        <f t="shared" si="10"/>
        <v>4641753</v>
      </c>
      <c r="M83" s="12">
        <f t="shared" si="10"/>
        <v>0</v>
      </c>
      <c r="N83" s="12">
        <f t="shared" si="10"/>
        <v>31520239</v>
      </c>
    </row>
    <row r="84" spans="1:14" ht="12.75" x14ac:dyDescent="0.2">
      <c r="A84" s="3">
        <v>6</v>
      </c>
      <c r="B84" s="12">
        <f t="shared" si="10"/>
        <v>19466143</v>
      </c>
      <c r="C84" s="12">
        <f t="shared" si="10"/>
        <v>7023113</v>
      </c>
      <c r="D84" s="12">
        <f t="shared" si="10"/>
        <v>61320</v>
      </c>
      <c r="E84" s="12">
        <f t="shared" si="10"/>
        <v>6497000</v>
      </c>
      <c r="F84" s="12">
        <f t="shared" si="10"/>
        <v>943423</v>
      </c>
      <c r="G84" s="12">
        <f t="shared" si="10"/>
        <v>101753</v>
      </c>
      <c r="H84" s="12">
        <f t="shared" si="10"/>
        <v>543077</v>
      </c>
      <c r="I84" s="12">
        <f t="shared" si="10"/>
        <v>5999717</v>
      </c>
      <c r="J84" s="12">
        <f t="shared" si="10"/>
        <v>672760</v>
      </c>
      <c r="K84" s="12">
        <f t="shared" si="10"/>
        <v>3425133</v>
      </c>
      <c r="L84" s="12">
        <f t="shared" si="10"/>
        <v>3550236</v>
      </c>
      <c r="M84" s="12">
        <f t="shared" si="10"/>
        <v>0</v>
      </c>
      <c r="N84" s="12">
        <f t="shared" si="10"/>
        <v>27801871</v>
      </c>
    </row>
    <row r="85" spans="1:14" ht="12.75" x14ac:dyDescent="0.2">
      <c r="A85" s="3">
        <v>7</v>
      </c>
      <c r="B85" s="12">
        <f t="shared" si="10"/>
        <v>16457164</v>
      </c>
      <c r="C85" s="12">
        <f t="shared" si="10"/>
        <v>6006000</v>
      </c>
      <c r="D85" s="12">
        <f t="shared" si="10"/>
        <v>19245</v>
      </c>
      <c r="E85" s="12">
        <f t="shared" si="10"/>
        <v>5043553</v>
      </c>
      <c r="F85" s="12">
        <f t="shared" si="10"/>
        <v>762973</v>
      </c>
      <c r="G85" s="12">
        <f t="shared" si="10"/>
        <v>91198</v>
      </c>
      <c r="H85" s="12">
        <f t="shared" si="10"/>
        <v>350775</v>
      </c>
      <c r="I85" s="12">
        <f t="shared" si="10"/>
        <v>5601611</v>
      </c>
      <c r="J85" s="12">
        <f t="shared" si="10"/>
        <v>625825</v>
      </c>
      <c r="K85" s="12">
        <f t="shared" si="10"/>
        <v>3136287</v>
      </c>
      <c r="L85" s="12">
        <f t="shared" si="10"/>
        <v>2304065</v>
      </c>
      <c r="M85" s="12">
        <f t="shared" si="10"/>
        <v>0</v>
      </c>
      <c r="N85" s="12">
        <f t="shared" si="10"/>
        <v>27251545</v>
      </c>
    </row>
    <row r="86" spans="1:14" ht="12.75" x14ac:dyDescent="0.2">
      <c r="A86" s="3">
        <v>8</v>
      </c>
      <c r="B86" s="12">
        <f t="shared" si="10"/>
        <v>13290461</v>
      </c>
      <c r="C86" s="12">
        <f t="shared" si="10"/>
        <v>3772607</v>
      </c>
      <c r="D86" s="12">
        <f t="shared" si="10"/>
        <v>3040</v>
      </c>
      <c r="E86" s="12">
        <f t="shared" si="10"/>
        <v>2095618</v>
      </c>
      <c r="F86" s="12">
        <f t="shared" si="10"/>
        <v>759344</v>
      </c>
      <c r="G86" s="12">
        <f t="shared" si="10"/>
        <v>35760</v>
      </c>
      <c r="H86" s="12">
        <f t="shared" si="10"/>
        <v>244857</v>
      </c>
      <c r="I86" s="12">
        <f t="shared" si="10"/>
        <v>5347102</v>
      </c>
      <c r="J86" s="12">
        <f t="shared" si="10"/>
        <v>613929</v>
      </c>
      <c r="K86" s="12">
        <f t="shared" si="10"/>
        <v>2624786</v>
      </c>
      <c r="L86" s="12">
        <f t="shared" si="10"/>
        <v>1941561</v>
      </c>
      <c r="M86" s="12">
        <f t="shared" si="10"/>
        <v>0</v>
      </c>
      <c r="N86" s="12">
        <f t="shared" si="10"/>
        <v>19889695</v>
      </c>
    </row>
    <row r="87" spans="1:14" ht="12.75" x14ac:dyDescent="0.2">
      <c r="A87" s="3">
        <v>9</v>
      </c>
      <c r="B87" s="12">
        <f t="shared" si="10"/>
        <v>12551593</v>
      </c>
      <c r="C87" s="12">
        <f t="shared" si="10"/>
        <v>3275419</v>
      </c>
      <c r="D87" s="12">
        <f t="shared" si="10"/>
        <v>0</v>
      </c>
      <c r="E87" s="12">
        <f t="shared" si="10"/>
        <v>1649000</v>
      </c>
      <c r="F87" s="12">
        <f t="shared" si="10"/>
        <v>743145</v>
      </c>
      <c r="G87" s="12">
        <f t="shared" si="10"/>
        <v>28141</v>
      </c>
      <c r="H87" s="12">
        <f t="shared" si="10"/>
        <v>108896</v>
      </c>
      <c r="I87" s="12">
        <f t="shared" si="10"/>
        <v>5044731</v>
      </c>
      <c r="J87" s="12">
        <f t="shared" si="10"/>
        <v>606107</v>
      </c>
      <c r="K87" s="12">
        <f t="shared" si="10"/>
        <v>2334363</v>
      </c>
      <c r="L87" s="12">
        <f t="shared" si="10"/>
        <v>1451528</v>
      </c>
      <c r="M87" s="12">
        <f t="shared" si="10"/>
        <v>0</v>
      </c>
      <c r="N87" s="12">
        <f t="shared" si="10"/>
        <v>17932214</v>
      </c>
    </row>
    <row r="88" spans="1:14" ht="12.75" x14ac:dyDescent="0.2">
      <c r="A88" s="3">
        <v>10</v>
      </c>
      <c r="B88" s="12">
        <f t="shared" si="10"/>
        <v>11747929</v>
      </c>
      <c r="C88" s="12">
        <f t="shared" si="10"/>
        <v>3258713</v>
      </c>
      <c r="D88" s="12">
        <f t="shared" si="10"/>
        <v>0</v>
      </c>
      <c r="E88" s="12">
        <f t="shared" si="10"/>
        <v>1215658</v>
      </c>
      <c r="F88" s="12">
        <f t="shared" si="10"/>
        <v>654933</v>
      </c>
      <c r="G88" s="12">
        <f t="shared" si="10"/>
        <v>12100</v>
      </c>
      <c r="H88" s="12">
        <f t="shared" si="10"/>
        <v>99282</v>
      </c>
      <c r="I88" s="12">
        <f t="shared" si="10"/>
        <v>4641753</v>
      </c>
      <c r="J88" s="12">
        <f t="shared" si="10"/>
        <v>553201</v>
      </c>
      <c r="K88" s="12">
        <f t="shared" si="10"/>
        <v>1871156</v>
      </c>
      <c r="L88" s="12">
        <f t="shared" si="10"/>
        <v>1425000</v>
      </c>
      <c r="M88" s="12">
        <f t="shared" si="10"/>
        <v>0</v>
      </c>
      <c r="N88" s="12">
        <f t="shared" si="10"/>
        <v>14237717</v>
      </c>
    </row>
    <row r="89" spans="1:14" ht="12.75" x14ac:dyDescent="0.2">
      <c r="A89" s="3">
        <v>11</v>
      </c>
      <c r="B89" s="12">
        <f t="shared" ref="B89:N98" si="11">LARGE(B$2:B$75,$A89)</f>
        <v>9341434</v>
      </c>
      <c r="C89" s="12">
        <f t="shared" si="11"/>
        <v>1482207</v>
      </c>
      <c r="D89" s="12">
        <f t="shared" si="11"/>
        <v>0</v>
      </c>
      <c r="E89" s="12">
        <f t="shared" si="11"/>
        <v>1157713</v>
      </c>
      <c r="F89" s="12">
        <f t="shared" si="11"/>
        <v>652568</v>
      </c>
      <c r="G89" s="12">
        <f t="shared" si="11"/>
        <v>10822</v>
      </c>
      <c r="H89" s="12">
        <f t="shared" si="11"/>
        <v>96056</v>
      </c>
      <c r="I89" s="12">
        <f t="shared" si="11"/>
        <v>4279042</v>
      </c>
      <c r="J89" s="12">
        <f t="shared" si="11"/>
        <v>550000</v>
      </c>
      <c r="K89" s="12">
        <f t="shared" si="11"/>
        <v>1846138</v>
      </c>
      <c r="L89" s="12">
        <f t="shared" si="11"/>
        <v>1236893</v>
      </c>
      <c r="M89" s="12">
        <f t="shared" si="11"/>
        <v>0</v>
      </c>
      <c r="N89" s="12">
        <f t="shared" si="11"/>
        <v>13492649</v>
      </c>
    </row>
    <row r="90" spans="1:14" ht="12.75" x14ac:dyDescent="0.2">
      <c r="A90" s="3">
        <v>12</v>
      </c>
      <c r="B90" s="12">
        <f t="shared" si="11"/>
        <v>8238000</v>
      </c>
      <c r="C90" s="12">
        <f t="shared" si="11"/>
        <v>711673</v>
      </c>
      <c r="D90" s="12">
        <f t="shared" si="11"/>
        <v>0</v>
      </c>
      <c r="E90" s="12">
        <f t="shared" si="11"/>
        <v>1145203</v>
      </c>
      <c r="F90" s="12">
        <f t="shared" si="11"/>
        <v>583000</v>
      </c>
      <c r="G90" s="12">
        <f t="shared" si="11"/>
        <v>10810</v>
      </c>
      <c r="H90" s="12">
        <f t="shared" si="11"/>
        <v>74352</v>
      </c>
      <c r="I90" s="12">
        <f t="shared" si="11"/>
        <v>4151215</v>
      </c>
      <c r="J90" s="12">
        <f t="shared" si="11"/>
        <v>449670</v>
      </c>
      <c r="K90" s="12">
        <f t="shared" si="11"/>
        <v>1843374</v>
      </c>
      <c r="L90" s="12">
        <f t="shared" si="11"/>
        <v>1222628</v>
      </c>
      <c r="M90" s="12">
        <f t="shared" si="11"/>
        <v>0</v>
      </c>
      <c r="N90" s="12">
        <f t="shared" si="11"/>
        <v>13362232</v>
      </c>
    </row>
    <row r="91" spans="1:14" ht="12.75" x14ac:dyDescent="0.2">
      <c r="A91" s="3">
        <v>13</v>
      </c>
      <c r="B91" s="12">
        <f t="shared" si="11"/>
        <v>7989637</v>
      </c>
      <c r="C91" s="12">
        <f t="shared" si="11"/>
        <v>595182</v>
      </c>
      <c r="D91" s="12">
        <f t="shared" si="11"/>
        <v>0</v>
      </c>
      <c r="E91" s="12">
        <f t="shared" si="11"/>
        <v>890802</v>
      </c>
      <c r="F91" s="12">
        <f t="shared" si="11"/>
        <v>520666</v>
      </c>
      <c r="G91" s="12">
        <f t="shared" si="11"/>
        <v>4642</v>
      </c>
      <c r="H91" s="12">
        <f t="shared" si="11"/>
        <v>73856</v>
      </c>
      <c r="I91" s="12">
        <f t="shared" si="11"/>
        <v>3785891</v>
      </c>
      <c r="J91" s="12">
        <f t="shared" si="11"/>
        <v>449053</v>
      </c>
      <c r="K91" s="12">
        <f t="shared" si="11"/>
        <v>1826502</v>
      </c>
      <c r="L91" s="12">
        <f t="shared" si="11"/>
        <v>820057</v>
      </c>
      <c r="M91" s="12">
        <f t="shared" si="11"/>
        <v>0</v>
      </c>
      <c r="N91" s="12">
        <f t="shared" si="11"/>
        <v>11572750</v>
      </c>
    </row>
    <row r="92" spans="1:14" ht="12.75" x14ac:dyDescent="0.2">
      <c r="A92" s="3">
        <v>14</v>
      </c>
      <c r="B92" s="12">
        <f t="shared" si="11"/>
        <v>3276841</v>
      </c>
      <c r="C92" s="12">
        <f t="shared" si="11"/>
        <v>445962</v>
      </c>
      <c r="D92" s="12">
        <f t="shared" si="11"/>
        <v>0</v>
      </c>
      <c r="E92" s="12">
        <f t="shared" si="11"/>
        <v>878524</v>
      </c>
      <c r="F92" s="12">
        <f t="shared" si="11"/>
        <v>502155</v>
      </c>
      <c r="G92" s="12">
        <f t="shared" si="11"/>
        <v>720</v>
      </c>
      <c r="H92" s="12">
        <f t="shared" si="11"/>
        <v>68435</v>
      </c>
      <c r="I92" s="12">
        <f t="shared" si="11"/>
        <v>3136287</v>
      </c>
      <c r="J92" s="12">
        <f t="shared" si="11"/>
        <v>447127</v>
      </c>
      <c r="K92" s="12">
        <f t="shared" si="11"/>
        <v>1730310</v>
      </c>
      <c r="L92" s="12">
        <f t="shared" si="11"/>
        <v>590000</v>
      </c>
      <c r="M92" s="12">
        <f t="shared" si="11"/>
        <v>0</v>
      </c>
      <c r="N92" s="12">
        <f t="shared" si="11"/>
        <v>8623943</v>
      </c>
    </row>
    <row r="93" spans="1:14" ht="12.75" x14ac:dyDescent="0.2">
      <c r="A93" s="3">
        <v>15</v>
      </c>
      <c r="B93" s="12">
        <f t="shared" si="11"/>
        <v>2449518</v>
      </c>
      <c r="C93" s="12">
        <f t="shared" si="11"/>
        <v>437129</v>
      </c>
      <c r="D93" s="12">
        <f t="shared" si="11"/>
        <v>0</v>
      </c>
      <c r="E93" s="12">
        <f t="shared" si="11"/>
        <v>877977</v>
      </c>
      <c r="F93" s="12">
        <f t="shared" si="11"/>
        <v>501500</v>
      </c>
      <c r="G93" s="12">
        <f t="shared" si="11"/>
        <v>518</v>
      </c>
      <c r="H93" s="12">
        <f t="shared" si="11"/>
        <v>66760</v>
      </c>
      <c r="I93" s="12">
        <f t="shared" si="11"/>
        <v>3130319</v>
      </c>
      <c r="J93" s="12">
        <f t="shared" si="11"/>
        <v>436000</v>
      </c>
      <c r="K93" s="12">
        <f t="shared" si="11"/>
        <v>1699336</v>
      </c>
      <c r="L93" s="12">
        <f t="shared" si="11"/>
        <v>423431</v>
      </c>
      <c r="M93" s="12">
        <f t="shared" si="11"/>
        <v>0</v>
      </c>
      <c r="N93" s="12">
        <f t="shared" si="11"/>
        <v>8247637</v>
      </c>
    </row>
    <row r="94" spans="1:14" ht="12.75" x14ac:dyDescent="0.2">
      <c r="A94" s="3">
        <v>16</v>
      </c>
      <c r="B94" s="12">
        <f t="shared" si="11"/>
        <v>2123898</v>
      </c>
      <c r="C94" s="12">
        <f t="shared" si="11"/>
        <v>340852</v>
      </c>
      <c r="D94" s="12">
        <f t="shared" si="11"/>
        <v>0</v>
      </c>
      <c r="E94" s="12">
        <f t="shared" si="11"/>
        <v>830300</v>
      </c>
      <c r="F94" s="12">
        <f t="shared" si="11"/>
        <v>490122</v>
      </c>
      <c r="G94" s="12">
        <f t="shared" si="11"/>
        <v>48</v>
      </c>
      <c r="H94" s="12">
        <f t="shared" si="11"/>
        <v>43288</v>
      </c>
      <c r="I94" s="12">
        <f t="shared" si="11"/>
        <v>2865071</v>
      </c>
      <c r="J94" s="12">
        <f t="shared" si="11"/>
        <v>356300</v>
      </c>
      <c r="K94" s="12">
        <f t="shared" si="11"/>
        <v>1589150</v>
      </c>
      <c r="L94" s="12">
        <f t="shared" si="11"/>
        <v>338759</v>
      </c>
      <c r="M94" s="12">
        <f t="shared" si="11"/>
        <v>0</v>
      </c>
      <c r="N94" s="12">
        <f t="shared" si="11"/>
        <v>6825333</v>
      </c>
    </row>
    <row r="95" spans="1:14" ht="12.75" x14ac:dyDescent="0.2">
      <c r="A95" s="3">
        <v>17</v>
      </c>
      <c r="B95" s="12">
        <f t="shared" si="11"/>
        <v>1739495</v>
      </c>
      <c r="C95" s="12">
        <f t="shared" si="11"/>
        <v>328591</v>
      </c>
      <c r="D95" s="12">
        <f t="shared" si="11"/>
        <v>0</v>
      </c>
      <c r="E95" s="12">
        <f t="shared" si="11"/>
        <v>791636</v>
      </c>
      <c r="F95" s="12">
        <f t="shared" si="11"/>
        <v>449349</v>
      </c>
      <c r="G95" s="12">
        <f t="shared" si="11"/>
        <v>0</v>
      </c>
      <c r="H95" s="12">
        <f t="shared" si="11"/>
        <v>41654</v>
      </c>
      <c r="I95" s="12">
        <f t="shared" si="11"/>
        <v>2691601</v>
      </c>
      <c r="J95" s="12">
        <f t="shared" si="11"/>
        <v>320510</v>
      </c>
      <c r="K95" s="12">
        <f t="shared" si="11"/>
        <v>1580539</v>
      </c>
      <c r="L95" s="12">
        <f t="shared" si="11"/>
        <v>330000</v>
      </c>
      <c r="M95" s="12">
        <f t="shared" si="11"/>
        <v>0</v>
      </c>
      <c r="N95" s="12">
        <f t="shared" si="11"/>
        <v>5296002</v>
      </c>
    </row>
    <row r="96" spans="1:14" ht="12.75" x14ac:dyDescent="0.2">
      <c r="A96" s="3">
        <v>18</v>
      </c>
      <c r="B96" s="12">
        <f t="shared" si="11"/>
        <v>1716350</v>
      </c>
      <c r="C96" s="12">
        <f t="shared" si="11"/>
        <v>315596</v>
      </c>
      <c r="D96" s="12">
        <f t="shared" si="11"/>
        <v>0</v>
      </c>
      <c r="E96" s="12">
        <f t="shared" si="11"/>
        <v>703372</v>
      </c>
      <c r="F96" s="12">
        <f t="shared" si="11"/>
        <v>389576</v>
      </c>
      <c r="G96" s="12">
        <f t="shared" si="11"/>
        <v>0</v>
      </c>
      <c r="H96" s="12">
        <f t="shared" si="11"/>
        <v>33326</v>
      </c>
      <c r="I96" s="12">
        <f t="shared" si="11"/>
        <v>2419058</v>
      </c>
      <c r="J96" s="12">
        <f t="shared" si="11"/>
        <v>314994</v>
      </c>
      <c r="K96" s="12">
        <f t="shared" si="11"/>
        <v>1578963</v>
      </c>
      <c r="L96" s="12">
        <f t="shared" si="11"/>
        <v>272920</v>
      </c>
      <c r="M96" s="12">
        <f t="shared" si="11"/>
        <v>0</v>
      </c>
      <c r="N96" s="12">
        <f t="shared" si="11"/>
        <v>4158553</v>
      </c>
    </row>
    <row r="97" spans="1:14" ht="12.75" x14ac:dyDescent="0.2">
      <c r="A97" s="3">
        <v>19</v>
      </c>
      <c r="B97" s="12">
        <f t="shared" si="11"/>
        <v>1689108</v>
      </c>
      <c r="C97" s="12">
        <f t="shared" si="11"/>
        <v>220214</v>
      </c>
      <c r="D97" s="12">
        <f t="shared" si="11"/>
        <v>0</v>
      </c>
      <c r="E97" s="12">
        <f t="shared" si="11"/>
        <v>697346</v>
      </c>
      <c r="F97" s="12">
        <f t="shared" si="11"/>
        <v>380385</v>
      </c>
      <c r="G97" s="12">
        <f t="shared" si="11"/>
        <v>0</v>
      </c>
      <c r="H97" s="12">
        <f t="shared" si="11"/>
        <v>28500</v>
      </c>
      <c r="I97" s="12">
        <f t="shared" si="11"/>
        <v>2374478</v>
      </c>
      <c r="J97" s="12">
        <f t="shared" si="11"/>
        <v>313606</v>
      </c>
      <c r="K97" s="12">
        <f t="shared" si="11"/>
        <v>1495014</v>
      </c>
      <c r="L97" s="12">
        <f t="shared" si="11"/>
        <v>228942</v>
      </c>
      <c r="M97" s="12">
        <f t="shared" si="11"/>
        <v>0</v>
      </c>
      <c r="N97" s="12">
        <f t="shared" si="11"/>
        <v>3890372</v>
      </c>
    </row>
    <row r="98" spans="1:14" ht="12.75" x14ac:dyDescent="0.2">
      <c r="A98" s="3">
        <v>20</v>
      </c>
      <c r="B98" s="12">
        <f t="shared" si="11"/>
        <v>1449051</v>
      </c>
      <c r="C98" s="12">
        <f t="shared" si="11"/>
        <v>190122</v>
      </c>
      <c r="D98" s="12">
        <f t="shared" si="11"/>
        <v>0</v>
      </c>
      <c r="E98" s="12">
        <f t="shared" si="11"/>
        <v>584195</v>
      </c>
      <c r="F98" s="12">
        <f t="shared" si="11"/>
        <v>369605</v>
      </c>
      <c r="G98" s="12">
        <f t="shared" si="11"/>
        <v>0</v>
      </c>
      <c r="H98" s="12">
        <f t="shared" si="11"/>
        <v>17479</v>
      </c>
      <c r="I98" s="12">
        <f t="shared" si="11"/>
        <v>2184762</v>
      </c>
      <c r="J98" s="12">
        <f t="shared" si="11"/>
        <v>312887</v>
      </c>
      <c r="K98" s="12">
        <f t="shared" si="11"/>
        <v>1370607</v>
      </c>
      <c r="L98" s="12">
        <f t="shared" si="11"/>
        <v>151279</v>
      </c>
      <c r="M98" s="12">
        <f t="shared" si="11"/>
        <v>0</v>
      </c>
      <c r="N98" s="12">
        <f t="shared" si="11"/>
        <v>3740032</v>
      </c>
    </row>
    <row r="99" spans="1:14" ht="12.75" x14ac:dyDescent="0.2">
      <c r="A99" s="3">
        <v>21</v>
      </c>
      <c r="B99" s="12">
        <f t="shared" ref="B99:N108" si="12">LARGE(B$2:B$75,$A99)</f>
        <v>1304237</v>
      </c>
      <c r="C99" s="12">
        <f t="shared" si="12"/>
        <v>188853</v>
      </c>
      <c r="D99" s="12">
        <f t="shared" si="12"/>
        <v>0</v>
      </c>
      <c r="E99" s="12">
        <f t="shared" si="12"/>
        <v>537295</v>
      </c>
      <c r="F99" s="12">
        <f t="shared" si="12"/>
        <v>279444</v>
      </c>
      <c r="G99" s="12">
        <f t="shared" si="12"/>
        <v>0</v>
      </c>
      <c r="H99" s="12">
        <f t="shared" si="12"/>
        <v>16444</v>
      </c>
      <c r="I99" s="12">
        <f t="shared" si="12"/>
        <v>2000822</v>
      </c>
      <c r="J99" s="12">
        <f t="shared" si="12"/>
        <v>308031</v>
      </c>
      <c r="K99" s="12">
        <f t="shared" si="12"/>
        <v>1315013</v>
      </c>
      <c r="L99" s="12">
        <f t="shared" si="12"/>
        <v>82331</v>
      </c>
      <c r="M99" s="12">
        <f t="shared" si="12"/>
        <v>0</v>
      </c>
      <c r="N99" s="12">
        <f t="shared" si="12"/>
        <v>3295313</v>
      </c>
    </row>
    <row r="100" spans="1:14" ht="12.75" x14ac:dyDescent="0.2">
      <c r="A100" s="3">
        <v>22</v>
      </c>
      <c r="B100" s="12">
        <f t="shared" si="12"/>
        <v>1223722</v>
      </c>
      <c r="C100" s="12">
        <f t="shared" si="12"/>
        <v>185387</v>
      </c>
      <c r="D100" s="12">
        <f t="shared" si="12"/>
        <v>0</v>
      </c>
      <c r="E100" s="12">
        <f t="shared" si="12"/>
        <v>452813</v>
      </c>
      <c r="F100" s="12">
        <f t="shared" si="12"/>
        <v>265790</v>
      </c>
      <c r="G100" s="12">
        <f t="shared" si="12"/>
        <v>0</v>
      </c>
      <c r="H100" s="12">
        <f t="shared" si="12"/>
        <v>15891</v>
      </c>
      <c r="I100" s="12">
        <f t="shared" si="12"/>
        <v>1781667</v>
      </c>
      <c r="J100" s="12">
        <f t="shared" si="12"/>
        <v>301297</v>
      </c>
      <c r="K100" s="12">
        <f t="shared" si="12"/>
        <v>721462</v>
      </c>
      <c r="L100" s="12">
        <f t="shared" si="12"/>
        <v>49269</v>
      </c>
      <c r="M100" s="12">
        <f t="shared" si="12"/>
        <v>0</v>
      </c>
      <c r="N100" s="12">
        <f t="shared" si="12"/>
        <v>3171665</v>
      </c>
    </row>
    <row r="101" spans="1:14" ht="12.75" x14ac:dyDescent="0.2">
      <c r="A101" s="3">
        <v>23</v>
      </c>
      <c r="B101" s="12">
        <f t="shared" si="12"/>
        <v>1048431</v>
      </c>
      <c r="C101" s="12">
        <f t="shared" si="12"/>
        <v>168786</v>
      </c>
      <c r="D101" s="12">
        <f t="shared" si="12"/>
        <v>0</v>
      </c>
      <c r="E101" s="12">
        <f t="shared" si="12"/>
        <v>448501</v>
      </c>
      <c r="F101" s="12">
        <f t="shared" si="12"/>
        <v>247192</v>
      </c>
      <c r="G101" s="12">
        <f t="shared" si="12"/>
        <v>0</v>
      </c>
      <c r="H101" s="12">
        <f t="shared" si="12"/>
        <v>10613</v>
      </c>
      <c r="I101" s="12">
        <f t="shared" si="12"/>
        <v>1614303</v>
      </c>
      <c r="J101" s="12">
        <f t="shared" si="12"/>
        <v>300000</v>
      </c>
      <c r="K101" s="12">
        <f t="shared" si="12"/>
        <v>689212</v>
      </c>
      <c r="L101" s="12">
        <f t="shared" si="12"/>
        <v>25153</v>
      </c>
      <c r="M101" s="12">
        <f t="shared" si="12"/>
        <v>0</v>
      </c>
      <c r="N101" s="12">
        <f t="shared" si="12"/>
        <v>2959900</v>
      </c>
    </row>
    <row r="102" spans="1:14" ht="12.75" x14ac:dyDescent="0.2">
      <c r="A102" s="3">
        <v>24</v>
      </c>
      <c r="B102" s="12">
        <f t="shared" si="12"/>
        <v>1007113</v>
      </c>
      <c r="C102" s="12">
        <f t="shared" si="12"/>
        <v>157146</v>
      </c>
      <c r="D102" s="12">
        <f t="shared" si="12"/>
        <v>0</v>
      </c>
      <c r="E102" s="12">
        <f t="shared" si="12"/>
        <v>430229</v>
      </c>
      <c r="F102" s="12">
        <f t="shared" si="12"/>
        <v>186746</v>
      </c>
      <c r="G102" s="12">
        <f t="shared" si="12"/>
        <v>0</v>
      </c>
      <c r="H102" s="12">
        <f t="shared" si="12"/>
        <v>10368</v>
      </c>
      <c r="I102" s="12">
        <f t="shared" si="12"/>
        <v>1590401</v>
      </c>
      <c r="J102" s="12">
        <f t="shared" si="12"/>
        <v>291470</v>
      </c>
      <c r="K102" s="12">
        <f t="shared" si="12"/>
        <v>549741</v>
      </c>
      <c r="L102" s="12">
        <f t="shared" si="12"/>
        <v>21389</v>
      </c>
      <c r="M102" s="12">
        <f t="shared" si="12"/>
        <v>0</v>
      </c>
      <c r="N102" s="12">
        <f t="shared" si="12"/>
        <v>2953804</v>
      </c>
    </row>
    <row r="103" spans="1:14" ht="12.75" x14ac:dyDescent="0.2">
      <c r="A103" s="3">
        <v>25</v>
      </c>
      <c r="B103" s="12">
        <f t="shared" si="12"/>
        <v>972729</v>
      </c>
      <c r="C103" s="12">
        <f t="shared" si="12"/>
        <v>139716</v>
      </c>
      <c r="D103" s="12">
        <f t="shared" si="12"/>
        <v>0</v>
      </c>
      <c r="E103" s="12">
        <f t="shared" si="12"/>
        <v>411732</v>
      </c>
      <c r="F103" s="12">
        <f t="shared" si="12"/>
        <v>185633</v>
      </c>
      <c r="G103" s="12">
        <f t="shared" si="12"/>
        <v>0</v>
      </c>
      <c r="H103" s="12">
        <f t="shared" si="12"/>
        <v>10176</v>
      </c>
      <c r="I103" s="12">
        <f t="shared" si="12"/>
        <v>1578963</v>
      </c>
      <c r="J103" s="12">
        <f t="shared" si="12"/>
        <v>270512</v>
      </c>
      <c r="K103" s="12">
        <f t="shared" si="12"/>
        <v>542502</v>
      </c>
      <c r="L103" s="12">
        <f t="shared" si="12"/>
        <v>11020</v>
      </c>
      <c r="M103" s="12">
        <f t="shared" si="12"/>
        <v>0</v>
      </c>
      <c r="N103" s="12">
        <f t="shared" si="12"/>
        <v>2807332</v>
      </c>
    </row>
    <row r="104" spans="1:14" ht="12.75" x14ac:dyDescent="0.2">
      <c r="A104" s="3">
        <v>26</v>
      </c>
      <c r="B104" s="12">
        <f t="shared" si="12"/>
        <v>971348</v>
      </c>
      <c r="C104" s="12">
        <f t="shared" si="12"/>
        <v>130414</v>
      </c>
      <c r="D104" s="12">
        <f t="shared" si="12"/>
        <v>0</v>
      </c>
      <c r="E104" s="12">
        <f t="shared" si="12"/>
        <v>368831</v>
      </c>
      <c r="F104" s="12">
        <f t="shared" si="12"/>
        <v>167384</v>
      </c>
      <c r="G104" s="12">
        <f t="shared" si="12"/>
        <v>0</v>
      </c>
      <c r="H104" s="12">
        <f t="shared" si="12"/>
        <v>7567</v>
      </c>
      <c r="I104" s="12">
        <f t="shared" si="12"/>
        <v>1548249</v>
      </c>
      <c r="J104" s="12">
        <f t="shared" si="12"/>
        <v>263909</v>
      </c>
      <c r="K104" s="12">
        <f t="shared" si="12"/>
        <v>514521</v>
      </c>
      <c r="L104" s="12">
        <f t="shared" si="12"/>
        <v>0</v>
      </c>
      <c r="M104" s="12">
        <f t="shared" si="12"/>
        <v>0</v>
      </c>
      <c r="N104" s="12">
        <f t="shared" si="12"/>
        <v>2681001</v>
      </c>
    </row>
    <row r="105" spans="1:14" ht="12.75" x14ac:dyDescent="0.2">
      <c r="A105" s="3">
        <v>27</v>
      </c>
      <c r="B105" s="12">
        <f t="shared" si="12"/>
        <v>959078</v>
      </c>
      <c r="C105" s="12">
        <f t="shared" si="12"/>
        <v>122605</v>
      </c>
      <c r="D105" s="12">
        <f t="shared" si="12"/>
        <v>0</v>
      </c>
      <c r="E105" s="12">
        <f t="shared" si="12"/>
        <v>292060</v>
      </c>
      <c r="F105" s="12">
        <f t="shared" si="12"/>
        <v>146257</v>
      </c>
      <c r="G105" s="12">
        <f t="shared" si="12"/>
        <v>0</v>
      </c>
      <c r="H105" s="12">
        <f t="shared" si="12"/>
        <v>2930</v>
      </c>
      <c r="I105" s="12">
        <f t="shared" si="12"/>
        <v>1370607</v>
      </c>
      <c r="J105" s="12">
        <f t="shared" si="12"/>
        <v>219845</v>
      </c>
      <c r="K105" s="12">
        <f t="shared" si="12"/>
        <v>504267</v>
      </c>
      <c r="L105" s="12">
        <f t="shared" si="12"/>
        <v>0</v>
      </c>
      <c r="M105" s="12">
        <f t="shared" si="12"/>
        <v>0</v>
      </c>
      <c r="N105" s="12">
        <f t="shared" si="12"/>
        <v>2520978</v>
      </c>
    </row>
    <row r="106" spans="1:14" ht="12.75" x14ac:dyDescent="0.2">
      <c r="A106" s="3">
        <v>28</v>
      </c>
      <c r="B106" s="12">
        <f t="shared" si="12"/>
        <v>857912</v>
      </c>
      <c r="C106" s="12">
        <f t="shared" si="12"/>
        <v>92739</v>
      </c>
      <c r="D106" s="12">
        <f t="shared" si="12"/>
        <v>0</v>
      </c>
      <c r="E106" s="12">
        <f t="shared" si="12"/>
        <v>207280</v>
      </c>
      <c r="F106" s="12">
        <f t="shared" si="12"/>
        <v>141048</v>
      </c>
      <c r="G106" s="12">
        <f t="shared" si="12"/>
        <v>0</v>
      </c>
      <c r="H106" s="12">
        <f t="shared" si="12"/>
        <v>1720</v>
      </c>
      <c r="I106" s="12">
        <f t="shared" si="12"/>
        <v>1231950</v>
      </c>
      <c r="J106" s="12">
        <f t="shared" si="12"/>
        <v>174032</v>
      </c>
      <c r="K106" s="12">
        <f t="shared" si="12"/>
        <v>443598</v>
      </c>
      <c r="L106" s="12">
        <f t="shared" si="12"/>
        <v>0</v>
      </c>
      <c r="M106" s="12">
        <f t="shared" si="12"/>
        <v>0</v>
      </c>
      <c r="N106" s="12">
        <f t="shared" si="12"/>
        <v>2401958</v>
      </c>
    </row>
    <row r="107" spans="1:14" ht="12.75" x14ac:dyDescent="0.2">
      <c r="A107" s="3">
        <v>29</v>
      </c>
      <c r="B107" s="12">
        <f t="shared" si="12"/>
        <v>812347</v>
      </c>
      <c r="C107" s="12">
        <f t="shared" si="12"/>
        <v>88968</v>
      </c>
      <c r="D107" s="12">
        <f t="shared" si="12"/>
        <v>0</v>
      </c>
      <c r="E107" s="12">
        <f t="shared" si="12"/>
        <v>204312</v>
      </c>
      <c r="F107" s="12">
        <f t="shared" si="12"/>
        <v>138210</v>
      </c>
      <c r="G107" s="12">
        <f t="shared" si="12"/>
        <v>0</v>
      </c>
      <c r="H107" s="12">
        <f t="shared" si="12"/>
        <v>369</v>
      </c>
      <c r="I107" s="12">
        <f t="shared" si="12"/>
        <v>1222628</v>
      </c>
      <c r="J107" s="12">
        <f t="shared" si="12"/>
        <v>166547</v>
      </c>
      <c r="K107" s="12">
        <f t="shared" si="12"/>
        <v>437488</v>
      </c>
      <c r="L107" s="12">
        <f t="shared" si="12"/>
        <v>0</v>
      </c>
      <c r="M107" s="12">
        <f t="shared" si="12"/>
        <v>0</v>
      </c>
      <c r="N107" s="12">
        <f t="shared" si="12"/>
        <v>2378418</v>
      </c>
    </row>
    <row r="108" spans="1:14" ht="12.75" x14ac:dyDescent="0.2">
      <c r="A108" s="3">
        <v>30</v>
      </c>
      <c r="B108" s="12">
        <f t="shared" si="12"/>
        <v>744613</v>
      </c>
      <c r="C108" s="12">
        <f t="shared" si="12"/>
        <v>85632</v>
      </c>
      <c r="D108" s="12">
        <f t="shared" si="12"/>
        <v>0</v>
      </c>
      <c r="E108" s="12">
        <f t="shared" si="12"/>
        <v>177303</v>
      </c>
      <c r="F108" s="12">
        <f t="shared" si="12"/>
        <v>127500</v>
      </c>
      <c r="G108" s="12">
        <f t="shared" si="12"/>
        <v>0</v>
      </c>
      <c r="H108" s="12">
        <f t="shared" si="12"/>
        <v>0</v>
      </c>
      <c r="I108" s="12">
        <f t="shared" si="12"/>
        <v>828000</v>
      </c>
      <c r="J108" s="12">
        <f t="shared" si="12"/>
        <v>133201</v>
      </c>
      <c r="K108" s="12">
        <f t="shared" si="12"/>
        <v>388300</v>
      </c>
      <c r="L108" s="12">
        <f t="shared" si="12"/>
        <v>0</v>
      </c>
      <c r="M108" s="12">
        <f t="shared" si="12"/>
        <v>0</v>
      </c>
      <c r="N108" s="12">
        <f t="shared" si="12"/>
        <v>2287460</v>
      </c>
    </row>
    <row r="109" spans="1:14" ht="12.75" x14ac:dyDescent="0.2">
      <c r="A109" s="3">
        <v>31</v>
      </c>
      <c r="B109" s="12">
        <f t="shared" ref="B109:N118" si="13">LARGE(B$2:B$75,$A109)</f>
        <v>736956</v>
      </c>
      <c r="C109" s="12">
        <f t="shared" si="13"/>
        <v>84415</v>
      </c>
      <c r="D109" s="12">
        <f t="shared" si="13"/>
        <v>0</v>
      </c>
      <c r="E109" s="12">
        <f t="shared" si="13"/>
        <v>172418</v>
      </c>
      <c r="F109" s="12">
        <f t="shared" si="13"/>
        <v>120857</v>
      </c>
      <c r="G109" s="12">
        <f t="shared" si="13"/>
        <v>0</v>
      </c>
      <c r="H109" s="12">
        <f t="shared" si="13"/>
        <v>0</v>
      </c>
      <c r="I109" s="12">
        <f t="shared" si="13"/>
        <v>826005</v>
      </c>
      <c r="J109" s="12">
        <f t="shared" si="13"/>
        <v>99737</v>
      </c>
      <c r="K109" s="12">
        <f t="shared" si="13"/>
        <v>368700</v>
      </c>
      <c r="L109" s="12">
        <f t="shared" si="13"/>
        <v>0</v>
      </c>
      <c r="M109" s="12">
        <f t="shared" si="13"/>
        <v>0</v>
      </c>
      <c r="N109" s="12">
        <f t="shared" si="13"/>
        <v>1993449</v>
      </c>
    </row>
    <row r="110" spans="1:14" ht="12.75" x14ac:dyDescent="0.2">
      <c r="A110" s="3">
        <v>32</v>
      </c>
      <c r="B110" s="12">
        <f t="shared" si="13"/>
        <v>647746</v>
      </c>
      <c r="C110" s="12">
        <f t="shared" si="13"/>
        <v>84098</v>
      </c>
      <c r="D110" s="12">
        <f t="shared" si="13"/>
        <v>0</v>
      </c>
      <c r="E110" s="12">
        <f t="shared" si="13"/>
        <v>149502</v>
      </c>
      <c r="F110" s="12">
        <f t="shared" si="13"/>
        <v>88000</v>
      </c>
      <c r="G110" s="12">
        <f t="shared" si="13"/>
        <v>0</v>
      </c>
      <c r="H110" s="12">
        <f t="shared" si="13"/>
        <v>0</v>
      </c>
      <c r="I110" s="12">
        <f t="shared" si="13"/>
        <v>799898</v>
      </c>
      <c r="J110" s="12">
        <f t="shared" si="13"/>
        <v>31000</v>
      </c>
      <c r="K110" s="12">
        <f t="shared" si="13"/>
        <v>367634</v>
      </c>
      <c r="L110" s="12">
        <f t="shared" si="13"/>
        <v>0</v>
      </c>
      <c r="M110" s="12">
        <f t="shared" si="13"/>
        <v>0</v>
      </c>
      <c r="N110" s="12">
        <f t="shared" si="13"/>
        <v>1713309</v>
      </c>
    </row>
    <row r="111" spans="1:14" ht="12.75" x14ac:dyDescent="0.2">
      <c r="A111" s="3">
        <v>33</v>
      </c>
      <c r="B111" s="12">
        <f t="shared" si="13"/>
        <v>621090</v>
      </c>
      <c r="C111" s="12">
        <f t="shared" si="13"/>
        <v>81460</v>
      </c>
      <c r="D111" s="12">
        <f t="shared" si="13"/>
        <v>0</v>
      </c>
      <c r="E111" s="12">
        <f t="shared" si="13"/>
        <v>121266</v>
      </c>
      <c r="F111" s="12">
        <f t="shared" si="13"/>
        <v>73588</v>
      </c>
      <c r="G111" s="12">
        <f t="shared" si="13"/>
        <v>0</v>
      </c>
      <c r="H111" s="12">
        <f t="shared" si="13"/>
        <v>0</v>
      </c>
      <c r="I111" s="12">
        <f t="shared" si="13"/>
        <v>791274</v>
      </c>
      <c r="J111" s="12">
        <f t="shared" si="13"/>
        <v>15747</v>
      </c>
      <c r="K111" s="12">
        <f t="shared" si="13"/>
        <v>357814</v>
      </c>
      <c r="L111" s="12">
        <f t="shared" si="13"/>
        <v>0</v>
      </c>
      <c r="M111" s="12">
        <f t="shared" si="13"/>
        <v>0</v>
      </c>
      <c r="N111" s="12">
        <f t="shared" si="13"/>
        <v>1693719</v>
      </c>
    </row>
    <row r="112" spans="1:14" ht="12.75" x14ac:dyDescent="0.2">
      <c r="A112" s="3">
        <v>34</v>
      </c>
      <c r="B112" s="12">
        <f t="shared" si="13"/>
        <v>620291</v>
      </c>
      <c r="C112" s="12">
        <f t="shared" si="13"/>
        <v>77458</v>
      </c>
      <c r="D112" s="12">
        <f t="shared" si="13"/>
        <v>0</v>
      </c>
      <c r="E112" s="12">
        <f t="shared" si="13"/>
        <v>117615</v>
      </c>
      <c r="F112" s="12">
        <f t="shared" si="13"/>
        <v>70000</v>
      </c>
      <c r="G112" s="12">
        <f t="shared" si="13"/>
        <v>0</v>
      </c>
      <c r="H112" s="12">
        <f t="shared" si="13"/>
        <v>0</v>
      </c>
      <c r="I112" s="12">
        <f t="shared" si="13"/>
        <v>729401</v>
      </c>
      <c r="J112" s="12">
        <f t="shared" si="13"/>
        <v>8747</v>
      </c>
      <c r="K112" s="12">
        <f t="shared" si="13"/>
        <v>339847</v>
      </c>
      <c r="L112" s="12">
        <f t="shared" si="13"/>
        <v>0</v>
      </c>
      <c r="M112" s="12">
        <f t="shared" si="13"/>
        <v>0</v>
      </c>
      <c r="N112" s="12">
        <f t="shared" si="13"/>
        <v>1649186</v>
      </c>
    </row>
    <row r="113" spans="1:14" ht="12.75" x14ac:dyDescent="0.2">
      <c r="A113" s="3">
        <v>35</v>
      </c>
      <c r="B113" s="12">
        <f t="shared" si="13"/>
        <v>549810</v>
      </c>
      <c r="C113" s="12">
        <f t="shared" si="13"/>
        <v>76651</v>
      </c>
      <c r="D113" s="12">
        <f t="shared" si="13"/>
        <v>0</v>
      </c>
      <c r="E113" s="12">
        <f t="shared" si="13"/>
        <v>109410</v>
      </c>
      <c r="F113" s="12">
        <f t="shared" si="13"/>
        <v>61000</v>
      </c>
      <c r="G113" s="12">
        <f t="shared" si="13"/>
        <v>0</v>
      </c>
      <c r="H113" s="12">
        <f t="shared" si="13"/>
        <v>0</v>
      </c>
      <c r="I113" s="12">
        <f t="shared" si="13"/>
        <v>689212</v>
      </c>
      <c r="J113" s="12">
        <f t="shared" si="13"/>
        <v>8000</v>
      </c>
      <c r="K113" s="12">
        <f t="shared" si="13"/>
        <v>326794</v>
      </c>
      <c r="L113" s="12">
        <f t="shared" si="13"/>
        <v>0</v>
      </c>
      <c r="M113" s="12">
        <f t="shared" si="13"/>
        <v>0</v>
      </c>
      <c r="N113" s="12">
        <f t="shared" si="13"/>
        <v>1590401</v>
      </c>
    </row>
    <row r="114" spans="1:14" ht="12.75" x14ac:dyDescent="0.2">
      <c r="A114" s="3">
        <v>36</v>
      </c>
      <c r="B114" s="12">
        <f t="shared" si="13"/>
        <v>535106</v>
      </c>
      <c r="C114" s="12">
        <f t="shared" si="13"/>
        <v>75551</v>
      </c>
      <c r="D114" s="12">
        <f t="shared" si="13"/>
        <v>0</v>
      </c>
      <c r="E114" s="12">
        <f t="shared" si="13"/>
        <v>105003</v>
      </c>
      <c r="F114" s="12">
        <f t="shared" si="13"/>
        <v>56645</v>
      </c>
      <c r="G114" s="12">
        <f t="shared" si="13"/>
        <v>0</v>
      </c>
      <c r="H114" s="12">
        <f t="shared" si="13"/>
        <v>0</v>
      </c>
      <c r="I114" s="12">
        <f t="shared" si="13"/>
        <v>686606</v>
      </c>
      <c r="J114" s="12">
        <f t="shared" si="13"/>
        <v>0</v>
      </c>
      <c r="K114" s="12">
        <f t="shared" si="13"/>
        <v>323653</v>
      </c>
      <c r="L114" s="12">
        <f t="shared" si="13"/>
        <v>0</v>
      </c>
      <c r="M114" s="12">
        <f t="shared" si="13"/>
        <v>0</v>
      </c>
      <c r="N114" s="12">
        <f t="shared" si="13"/>
        <v>1570618</v>
      </c>
    </row>
    <row r="115" spans="1:14" ht="12.75" x14ac:dyDescent="0.2">
      <c r="A115" s="3">
        <v>37</v>
      </c>
      <c r="B115" s="12">
        <f t="shared" si="13"/>
        <v>511879</v>
      </c>
      <c r="C115" s="12">
        <f t="shared" si="13"/>
        <v>74385</v>
      </c>
      <c r="D115" s="12">
        <f t="shared" si="13"/>
        <v>0</v>
      </c>
      <c r="E115" s="12">
        <f t="shared" si="13"/>
        <v>87260</v>
      </c>
      <c r="F115" s="12">
        <f t="shared" si="13"/>
        <v>54391</v>
      </c>
      <c r="G115" s="12">
        <f t="shared" si="13"/>
        <v>0</v>
      </c>
      <c r="H115" s="12">
        <f t="shared" si="13"/>
        <v>0</v>
      </c>
      <c r="I115" s="12">
        <f t="shared" si="13"/>
        <v>549741</v>
      </c>
      <c r="J115" s="12">
        <f t="shared" si="13"/>
        <v>0</v>
      </c>
      <c r="K115" s="12">
        <f t="shared" si="13"/>
        <v>270091</v>
      </c>
      <c r="L115" s="12">
        <f t="shared" si="13"/>
        <v>0</v>
      </c>
      <c r="M115" s="12">
        <f t="shared" si="13"/>
        <v>0</v>
      </c>
      <c r="N115" s="12">
        <f t="shared" si="13"/>
        <v>1473471</v>
      </c>
    </row>
    <row r="116" spans="1:14" ht="12.75" x14ac:dyDescent="0.2">
      <c r="A116" s="3">
        <v>38</v>
      </c>
      <c r="B116" s="12">
        <f t="shared" si="13"/>
        <v>464706</v>
      </c>
      <c r="C116" s="12">
        <f t="shared" si="13"/>
        <v>63812</v>
      </c>
      <c r="D116" s="12">
        <f t="shared" si="13"/>
        <v>0</v>
      </c>
      <c r="E116" s="12">
        <f t="shared" si="13"/>
        <v>83058</v>
      </c>
      <c r="F116" s="12">
        <f t="shared" si="13"/>
        <v>52212</v>
      </c>
      <c r="G116" s="12">
        <f t="shared" si="13"/>
        <v>0</v>
      </c>
      <c r="H116" s="12">
        <f t="shared" si="13"/>
        <v>0</v>
      </c>
      <c r="I116" s="12">
        <f t="shared" si="13"/>
        <v>542502</v>
      </c>
      <c r="J116" s="12">
        <f t="shared" si="13"/>
        <v>0</v>
      </c>
      <c r="K116" s="12">
        <f t="shared" si="13"/>
        <v>260586</v>
      </c>
      <c r="L116" s="12">
        <f t="shared" si="13"/>
        <v>0</v>
      </c>
      <c r="M116" s="12">
        <f t="shared" si="13"/>
        <v>0</v>
      </c>
      <c r="N116" s="12">
        <f t="shared" si="13"/>
        <v>1251477</v>
      </c>
    </row>
    <row r="117" spans="1:14" ht="12.75" x14ac:dyDescent="0.2">
      <c r="A117" s="3">
        <v>39</v>
      </c>
      <c r="B117" s="12">
        <f t="shared" si="13"/>
        <v>458279</v>
      </c>
      <c r="C117" s="12">
        <f t="shared" si="13"/>
        <v>53806</v>
      </c>
      <c r="D117" s="12">
        <f t="shared" si="13"/>
        <v>0</v>
      </c>
      <c r="E117" s="12">
        <f t="shared" si="13"/>
        <v>82862</v>
      </c>
      <c r="F117" s="12">
        <f t="shared" si="13"/>
        <v>46400</v>
      </c>
      <c r="G117" s="12">
        <f t="shared" si="13"/>
        <v>0</v>
      </c>
      <c r="H117" s="12">
        <f t="shared" si="13"/>
        <v>0</v>
      </c>
      <c r="I117" s="12">
        <f t="shared" si="13"/>
        <v>514521</v>
      </c>
      <c r="J117" s="12">
        <f t="shared" si="13"/>
        <v>0</v>
      </c>
      <c r="K117" s="12">
        <f t="shared" si="13"/>
        <v>254286</v>
      </c>
      <c r="L117" s="12">
        <f t="shared" si="13"/>
        <v>0</v>
      </c>
      <c r="M117" s="12">
        <f t="shared" si="13"/>
        <v>0</v>
      </c>
      <c r="N117" s="12">
        <f t="shared" si="13"/>
        <v>1250528</v>
      </c>
    </row>
    <row r="118" spans="1:14" ht="12.75" x14ac:dyDescent="0.2">
      <c r="A118" s="3">
        <v>40</v>
      </c>
      <c r="B118" s="12">
        <f t="shared" si="13"/>
        <v>413082</v>
      </c>
      <c r="C118" s="12">
        <f t="shared" si="13"/>
        <v>50206</v>
      </c>
      <c r="D118" s="12">
        <f t="shared" si="13"/>
        <v>0</v>
      </c>
      <c r="E118" s="12">
        <f t="shared" si="13"/>
        <v>78875</v>
      </c>
      <c r="F118" s="12">
        <f t="shared" si="13"/>
        <v>43490</v>
      </c>
      <c r="G118" s="12">
        <f t="shared" si="13"/>
        <v>0</v>
      </c>
      <c r="H118" s="12">
        <f t="shared" si="13"/>
        <v>0</v>
      </c>
      <c r="I118" s="12">
        <f t="shared" si="13"/>
        <v>461169</v>
      </c>
      <c r="J118" s="12">
        <f t="shared" si="13"/>
        <v>0</v>
      </c>
      <c r="K118" s="12">
        <f t="shared" si="13"/>
        <v>250715</v>
      </c>
      <c r="L118" s="12">
        <f t="shared" si="13"/>
        <v>0</v>
      </c>
      <c r="M118" s="12">
        <f t="shared" si="13"/>
        <v>0</v>
      </c>
      <c r="N118" s="12">
        <f t="shared" si="13"/>
        <v>1138592</v>
      </c>
    </row>
    <row r="119" spans="1:14" ht="12.75" x14ac:dyDescent="0.2">
      <c r="A119" s="3">
        <v>41</v>
      </c>
      <c r="B119" s="12">
        <f t="shared" ref="B119:N128" si="14">LARGE(B$2:B$75,$A119)</f>
        <v>409191</v>
      </c>
      <c r="C119" s="12">
        <f t="shared" si="14"/>
        <v>45139</v>
      </c>
      <c r="D119" s="12">
        <f t="shared" si="14"/>
        <v>0</v>
      </c>
      <c r="E119" s="12">
        <f t="shared" si="14"/>
        <v>70662</v>
      </c>
      <c r="F119" s="12">
        <f t="shared" si="14"/>
        <v>42000</v>
      </c>
      <c r="G119" s="12">
        <f t="shared" si="14"/>
        <v>0</v>
      </c>
      <c r="H119" s="12">
        <f t="shared" si="14"/>
        <v>0</v>
      </c>
      <c r="I119" s="12">
        <f t="shared" si="14"/>
        <v>437488</v>
      </c>
      <c r="J119" s="12">
        <f t="shared" si="14"/>
        <v>0</v>
      </c>
      <c r="K119" s="12">
        <f t="shared" si="14"/>
        <v>227000</v>
      </c>
      <c r="L119" s="12">
        <f t="shared" si="14"/>
        <v>0</v>
      </c>
      <c r="M119" s="12">
        <f t="shared" si="14"/>
        <v>0</v>
      </c>
      <c r="N119" s="12">
        <f t="shared" si="14"/>
        <v>971348</v>
      </c>
    </row>
    <row r="120" spans="1:14" ht="12.75" x14ac:dyDescent="0.2">
      <c r="A120" s="3">
        <v>42</v>
      </c>
      <c r="B120" s="12">
        <f t="shared" si="14"/>
        <v>387782</v>
      </c>
      <c r="C120" s="12">
        <f t="shared" si="14"/>
        <v>40303</v>
      </c>
      <c r="D120" s="12">
        <f t="shared" si="14"/>
        <v>0</v>
      </c>
      <c r="E120" s="12">
        <f t="shared" si="14"/>
        <v>58390</v>
      </c>
      <c r="F120" s="12">
        <f t="shared" si="14"/>
        <v>41263</v>
      </c>
      <c r="G120" s="12">
        <f t="shared" si="14"/>
        <v>0</v>
      </c>
      <c r="H120" s="12">
        <f t="shared" si="14"/>
        <v>0</v>
      </c>
      <c r="I120" s="12">
        <f t="shared" si="14"/>
        <v>423552</v>
      </c>
      <c r="J120" s="12">
        <f t="shared" si="14"/>
        <v>0</v>
      </c>
      <c r="K120" s="12">
        <f t="shared" si="14"/>
        <v>212076</v>
      </c>
      <c r="L120" s="12">
        <f t="shared" si="14"/>
        <v>0</v>
      </c>
      <c r="M120" s="12">
        <f t="shared" si="14"/>
        <v>0</v>
      </c>
      <c r="N120" s="12">
        <f t="shared" si="14"/>
        <v>949374</v>
      </c>
    </row>
    <row r="121" spans="1:14" ht="12.75" x14ac:dyDescent="0.2">
      <c r="A121" s="3">
        <v>43</v>
      </c>
      <c r="B121" s="12">
        <f t="shared" si="14"/>
        <v>366930</v>
      </c>
      <c r="C121" s="12">
        <f t="shared" si="14"/>
        <v>39489</v>
      </c>
      <c r="D121" s="12">
        <f t="shared" si="14"/>
        <v>0</v>
      </c>
      <c r="E121" s="12">
        <f t="shared" si="14"/>
        <v>53031</v>
      </c>
      <c r="F121" s="12">
        <f t="shared" si="14"/>
        <v>11303</v>
      </c>
      <c r="G121" s="12">
        <f t="shared" si="14"/>
        <v>0</v>
      </c>
      <c r="H121" s="12">
        <f t="shared" si="14"/>
        <v>0</v>
      </c>
      <c r="I121" s="12">
        <f t="shared" si="14"/>
        <v>361472</v>
      </c>
      <c r="J121" s="12">
        <f t="shared" si="14"/>
        <v>0</v>
      </c>
      <c r="K121" s="12">
        <f t="shared" si="14"/>
        <v>208450</v>
      </c>
      <c r="L121" s="12">
        <f t="shared" si="14"/>
        <v>0</v>
      </c>
      <c r="M121" s="12">
        <f t="shared" si="14"/>
        <v>0</v>
      </c>
      <c r="N121" s="12">
        <f t="shared" si="14"/>
        <v>947884</v>
      </c>
    </row>
    <row r="122" spans="1:14" ht="12.75" x14ac:dyDescent="0.2">
      <c r="A122" s="3">
        <v>44</v>
      </c>
      <c r="B122" s="12">
        <f t="shared" si="14"/>
        <v>362993</v>
      </c>
      <c r="C122" s="12">
        <f t="shared" si="14"/>
        <v>38962</v>
      </c>
      <c r="D122" s="12">
        <f t="shared" si="14"/>
        <v>0</v>
      </c>
      <c r="E122" s="12">
        <f t="shared" si="14"/>
        <v>36959</v>
      </c>
      <c r="F122" s="12">
        <f t="shared" si="14"/>
        <v>4900</v>
      </c>
      <c r="G122" s="12">
        <f t="shared" si="14"/>
        <v>0</v>
      </c>
      <c r="H122" s="12">
        <f t="shared" si="14"/>
        <v>0</v>
      </c>
      <c r="I122" s="12">
        <f t="shared" si="14"/>
        <v>357814</v>
      </c>
      <c r="J122" s="12">
        <f t="shared" si="14"/>
        <v>0</v>
      </c>
      <c r="K122" s="12">
        <f t="shared" si="14"/>
        <v>207035</v>
      </c>
      <c r="L122" s="12">
        <f t="shared" si="14"/>
        <v>0</v>
      </c>
      <c r="M122" s="12">
        <f t="shared" si="14"/>
        <v>0</v>
      </c>
      <c r="N122" s="12">
        <f t="shared" si="14"/>
        <v>908332</v>
      </c>
    </row>
    <row r="123" spans="1:14" ht="12.75" x14ac:dyDescent="0.2">
      <c r="A123" s="3">
        <v>45</v>
      </c>
      <c r="B123" s="12">
        <f t="shared" si="14"/>
        <v>321274</v>
      </c>
      <c r="C123" s="12">
        <f t="shared" si="14"/>
        <v>29848</v>
      </c>
      <c r="D123" s="12">
        <f t="shared" si="14"/>
        <v>0</v>
      </c>
      <c r="E123" s="12">
        <f t="shared" si="14"/>
        <v>30800</v>
      </c>
      <c r="F123" s="12">
        <f t="shared" si="14"/>
        <v>2250</v>
      </c>
      <c r="G123" s="12">
        <f t="shared" si="14"/>
        <v>0</v>
      </c>
      <c r="H123" s="12">
        <f t="shared" si="14"/>
        <v>0</v>
      </c>
      <c r="I123" s="12">
        <f t="shared" si="14"/>
        <v>326794</v>
      </c>
      <c r="J123" s="12">
        <f t="shared" si="14"/>
        <v>0</v>
      </c>
      <c r="K123" s="12">
        <f t="shared" si="14"/>
        <v>169699</v>
      </c>
      <c r="L123" s="12">
        <f t="shared" si="14"/>
        <v>0</v>
      </c>
      <c r="M123" s="12">
        <f t="shared" si="14"/>
        <v>0</v>
      </c>
      <c r="N123" s="12">
        <f t="shared" si="14"/>
        <v>885662</v>
      </c>
    </row>
    <row r="124" spans="1:14" ht="12.75" x14ac:dyDescent="0.2">
      <c r="A124" s="3">
        <v>46</v>
      </c>
      <c r="B124" s="12">
        <f t="shared" si="14"/>
        <v>270470</v>
      </c>
      <c r="C124" s="12">
        <f t="shared" si="14"/>
        <v>29214</v>
      </c>
      <c r="D124" s="12">
        <f t="shared" si="14"/>
        <v>0</v>
      </c>
      <c r="E124" s="12">
        <f t="shared" si="14"/>
        <v>28667</v>
      </c>
      <c r="F124" s="12">
        <f t="shared" si="14"/>
        <v>0</v>
      </c>
      <c r="G124" s="12">
        <f t="shared" si="14"/>
        <v>0</v>
      </c>
      <c r="H124" s="12">
        <f t="shared" si="14"/>
        <v>0</v>
      </c>
      <c r="I124" s="12">
        <f t="shared" si="14"/>
        <v>320510</v>
      </c>
      <c r="J124" s="12">
        <f t="shared" si="14"/>
        <v>0</v>
      </c>
      <c r="K124" s="12">
        <f t="shared" si="14"/>
        <v>128728</v>
      </c>
      <c r="L124" s="12">
        <f t="shared" si="14"/>
        <v>0</v>
      </c>
      <c r="M124" s="12">
        <f t="shared" si="14"/>
        <v>0</v>
      </c>
      <c r="N124" s="12">
        <f t="shared" si="14"/>
        <v>864105</v>
      </c>
    </row>
    <row r="125" spans="1:14" ht="12.75" x14ac:dyDescent="0.2">
      <c r="A125" s="3">
        <v>47</v>
      </c>
      <c r="B125" s="12">
        <f t="shared" si="14"/>
        <v>251271</v>
      </c>
      <c r="C125" s="12">
        <f t="shared" si="14"/>
        <v>21006</v>
      </c>
      <c r="D125" s="12">
        <f t="shared" si="14"/>
        <v>0</v>
      </c>
      <c r="E125" s="12">
        <f t="shared" si="14"/>
        <v>27605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263033</v>
      </c>
      <c r="J125" s="12">
        <f t="shared" si="14"/>
        <v>0</v>
      </c>
      <c r="K125" s="12">
        <f t="shared" si="14"/>
        <v>122255</v>
      </c>
      <c r="L125" s="12">
        <f t="shared" si="14"/>
        <v>0</v>
      </c>
      <c r="M125" s="12">
        <f t="shared" si="14"/>
        <v>0</v>
      </c>
      <c r="N125" s="12">
        <f t="shared" si="14"/>
        <v>824162</v>
      </c>
    </row>
    <row r="126" spans="1:14" ht="12.75" x14ac:dyDescent="0.2">
      <c r="A126" s="3">
        <v>48</v>
      </c>
      <c r="B126" s="12">
        <f t="shared" si="14"/>
        <v>244857</v>
      </c>
      <c r="C126" s="12">
        <f t="shared" si="14"/>
        <v>18678</v>
      </c>
      <c r="D126" s="12">
        <f t="shared" si="14"/>
        <v>0</v>
      </c>
      <c r="E126" s="12">
        <f t="shared" si="14"/>
        <v>22995</v>
      </c>
      <c r="F126" s="12">
        <f t="shared" si="14"/>
        <v>0</v>
      </c>
      <c r="G126" s="12">
        <f t="shared" si="14"/>
        <v>0</v>
      </c>
      <c r="H126" s="12">
        <f t="shared" si="14"/>
        <v>0</v>
      </c>
      <c r="I126" s="12">
        <f t="shared" si="14"/>
        <v>260586</v>
      </c>
      <c r="J126" s="12">
        <f t="shared" si="14"/>
        <v>0</v>
      </c>
      <c r="K126" s="12">
        <f t="shared" si="14"/>
        <v>120599</v>
      </c>
      <c r="L126" s="12">
        <f t="shared" si="14"/>
        <v>0</v>
      </c>
      <c r="M126" s="12">
        <f t="shared" si="14"/>
        <v>0</v>
      </c>
      <c r="N126" s="12">
        <f t="shared" si="14"/>
        <v>787359</v>
      </c>
    </row>
    <row r="127" spans="1:14" ht="12.75" x14ac:dyDescent="0.2">
      <c r="A127" s="3">
        <v>49</v>
      </c>
      <c r="B127" s="12">
        <f t="shared" si="14"/>
        <v>202726</v>
      </c>
      <c r="C127" s="12">
        <f t="shared" si="14"/>
        <v>17900</v>
      </c>
      <c r="D127" s="12">
        <f t="shared" si="14"/>
        <v>0</v>
      </c>
      <c r="E127" s="12">
        <f t="shared" si="14"/>
        <v>22102</v>
      </c>
      <c r="F127" s="12">
        <f t="shared" si="14"/>
        <v>0</v>
      </c>
      <c r="G127" s="12">
        <f t="shared" si="14"/>
        <v>0</v>
      </c>
      <c r="H127" s="12">
        <f t="shared" si="14"/>
        <v>0</v>
      </c>
      <c r="I127" s="12">
        <f t="shared" si="14"/>
        <v>258000</v>
      </c>
      <c r="J127" s="12">
        <f t="shared" si="14"/>
        <v>0</v>
      </c>
      <c r="K127" s="12">
        <f t="shared" si="14"/>
        <v>100812</v>
      </c>
      <c r="L127" s="12">
        <f t="shared" si="14"/>
        <v>0</v>
      </c>
      <c r="M127" s="12">
        <f t="shared" si="14"/>
        <v>0</v>
      </c>
      <c r="N127" s="12">
        <f t="shared" si="14"/>
        <v>774912</v>
      </c>
    </row>
    <row r="128" spans="1:14" ht="12.75" x14ac:dyDescent="0.2">
      <c r="A128" s="3">
        <v>50</v>
      </c>
      <c r="B128" s="12">
        <f t="shared" si="14"/>
        <v>194886</v>
      </c>
      <c r="C128" s="12">
        <f t="shared" si="14"/>
        <v>15367</v>
      </c>
      <c r="D128" s="12">
        <f t="shared" si="14"/>
        <v>0</v>
      </c>
      <c r="E128" s="12">
        <f t="shared" si="14"/>
        <v>21658</v>
      </c>
      <c r="F128" s="12">
        <f t="shared" si="14"/>
        <v>0</v>
      </c>
      <c r="G128" s="12">
        <f t="shared" si="14"/>
        <v>0</v>
      </c>
      <c r="H128" s="12">
        <f t="shared" si="14"/>
        <v>0</v>
      </c>
      <c r="I128" s="12">
        <f t="shared" si="14"/>
        <v>222782</v>
      </c>
      <c r="J128" s="12">
        <f t="shared" si="14"/>
        <v>0</v>
      </c>
      <c r="K128" s="12">
        <f t="shared" si="14"/>
        <v>73315</v>
      </c>
      <c r="L128" s="12">
        <f t="shared" si="14"/>
        <v>0</v>
      </c>
      <c r="M128" s="12">
        <f t="shared" si="14"/>
        <v>0</v>
      </c>
      <c r="N128" s="12">
        <f t="shared" si="14"/>
        <v>774554</v>
      </c>
    </row>
    <row r="129" spans="1:20" x14ac:dyDescent="0.2">
      <c r="R129" s="3" t="s">
        <v>231</v>
      </c>
      <c r="S129" s="3" t="s">
        <v>232</v>
      </c>
      <c r="T129" s="3" t="s">
        <v>204</v>
      </c>
    </row>
    <row r="130" spans="1:20" ht="12.75" x14ac:dyDescent="0.2">
      <c r="A130" s="3">
        <v>1</v>
      </c>
      <c r="B130" s="72">
        <f>+SUM(B$79:B79)/B$77</f>
        <v>0.23031573128176958</v>
      </c>
      <c r="C130" s="72">
        <f>+SUM(C$79:C79)/C$77</f>
        <v>0.30920252598447601</v>
      </c>
      <c r="D130" s="73">
        <f>+SUM(D$79:D79)/D$77</f>
        <v>0.4511526714994874</v>
      </c>
      <c r="E130" s="72">
        <f>+SUM(E$79:E79)/E$77</f>
        <v>0.23768084159472233</v>
      </c>
      <c r="F130" s="72">
        <f>+SUM(F$79:F79)/F$77</f>
        <v>0.1896405872731475</v>
      </c>
      <c r="G130" s="72">
        <f>+SUM(G$79:G79)/G$77</f>
        <v>0.63801828847978459</v>
      </c>
      <c r="H130" s="72">
        <f>+SUM(H$79:H79)/H$77</f>
        <v>0.65265294464508505</v>
      </c>
      <c r="I130" s="72">
        <f>+SUM(I$79:I79)/I$77</f>
        <v>0.29377100446783816</v>
      </c>
      <c r="J130" s="72">
        <f>+SUM(J$79:J79)/J$77</f>
        <v>0.18546080488214586</v>
      </c>
      <c r="K130" s="72">
        <f>+SUM(K$79:K79)/K$77</f>
        <v>0.10652919298700775</v>
      </c>
      <c r="L130" s="72">
        <f>+SUM(L$79:L79)/L$77</f>
        <v>0.43932886728916465</v>
      </c>
      <c r="M130" s="72">
        <f>+SUM(M$79:M79)/M$77</f>
        <v>0.63299585483696585</v>
      </c>
      <c r="N130" s="72">
        <f>+SUM(N$79:N79)/N$77</f>
        <v>0.21949842375420148</v>
      </c>
      <c r="O130" s="3">
        <f t="shared" ref="O130:O179" si="15">A130</f>
        <v>1</v>
      </c>
      <c r="Q130" s="72">
        <v>0.25</v>
      </c>
      <c r="R130" s="74">
        <v>2</v>
      </c>
    </row>
    <row r="131" spans="1:20" ht="12.75" x14ac:dyDescent="0.2">
      <c r="A131" s="3">
        <v>2</v>
      </c>
      <c r="B131" s="72">
        <f>+SUM(B$79:B80)/B$77</f>
        <v>0.35661051830101154</v>
      </c>
      <c r="C131" s="72">
        <f>+SUM(C$79:C80)/C$77</f>
        <v>0.43123604350610639</v>
      </c>
      <c r="D131" s="73">
        <f>+SUM(D$79:D80)/D$77</f>
        <v>0.83361792068210194</v>
      </c>
      <c r="E131" s="72">
        <f>+SUM(E$79:E80)/E$77</f>
        <v>0.41231398121821833</v>
      </c>
      <c r="F131" s="72">
        <f>+SUM(F$79:F80)/F$77</f>
        <v>0.30126176905180024</v>
      </c>
      <c r="G131" s="72">
        <f>+SUM(G$79:G80)/G$77</f>
        <v>0.80342310540311546</v>
      </c>
      <c r="H131" s="72">
        <f>+SUM(H$79:H80)/H$77</f>
        <v>0.85645645009255233</v>
      </c>
      <c r="I131" s="72">
        <f>+SUM(I$79:I80)/I$77</f>
        <v>0.49829850445412571</v>
      </c>
      <c r="J131" s="72">
        <f>+SUM(J$79:J80)/J$77</f>
        <v>0.34510707385551542</v>
      </c>
      <c r="K131" s="72">
        <f>+SUM(K$79:K80)/K$77</f>
        <v>0.18159154944292263</v>
      </c>
      <c r="L131" s="72">
        <f>+SUM(L$79:L80)/L$77</f>
        <v>0.74566000846993141</v>
      </c>
      <c r="M131" s="72">
        <f>+SUM(M$79:M80)/M$77</f>
        <v>1</v>
      </c>
      <c r="N131" s="72">
        <f>+SUM(N$79:N80)/N$77</f>
        <v>0.37200945718652872</v>
      </c>
      <c r="O131" s="3">
        <f t="shared" si="15"/>
        <v>2</v>
      </c>
      <c r="Q131" s="72">
        <v>0.5</v>
      </c>
      <c r="R131" s="74">
        <v>4</v>
      </c>
    </row>
    <row r="132" spans="1:20" ht="12.75" x14ac:dyDescent="0.2">
      <c r="A132" s="3">
        <v>3</v>
      </c>
      <c r="B132" s="72">
        <f>+SUM(B$79:B81)/B$77</f>
        <v>0.44371828214883624</v>
      </c>
      <c r="C132" s="72">
        <f>+SUM(C$79:C81)/C$77</f>
        <v>0.52819570681376982</v>
      </c>
      <c r="D132" s="73">
        <f>+SUM(D$79:D81)/D$77</f>
        <v>0.987679365583083</v>
      </c>
      <c r="E132" s="72">
        <f>+SUM(E$79:E81)/E$77</f>
        <v>0.5123924079955291</v>
      </c>
      <c r="F132" s="72">
        <f>+SUM(F$79:F81)/F$77</f>
        <v>0.40609550297154623</v>
      </c>
      <c r="G132" s="72">
        <f>+SUM(G$79:G81)/G$77</f>
        <v>0.90901910733360447</v>
      </c>
      <c r="H132" s="72">
        <f>+SUM(H$79:H81)/H$77</f>
        <v>0.91196132569433286</v>
      </c>
      <c r="I132" s="72">
        <f>+SUM(I$79:I81)/I$77</f>
        <v>0.56299089627503041</v>
      </c>
      <c r="J132" s="72">
        <f>+SUM(J$79:J81)/J$77</f>
        <v>0.39161419384911078</v>
      </c>
      <c r="K132" s="72">
        <f>+SUM(K$79:K81)/K$77</f>
        <v>0.25550362303332941</v>
      </c>
      <c r="L132" s="72">
        <f>+SUM(L$79:L81)/L$77</f>
        <v>0.80808414525601002</v>
      </c>
      <c r="M132" s="72">
        <f>+SUM(M$79:M81)/M$77</f>
        <v>1</v>
      </c>
      <c r="N132" s="72">
        <f>+SUM(N$79:N81)/N$77</f>
        <v>0.45294188900429944</v>
      </c>
      <c r="O132" s="3">
        <f t="shared" si="15"/>
        <v>3</v>
      </c>
      <c r="Q132" s="72">
        <v>0.75</v>
      </c>
      <c r="R132" s="74">
        <v>6</v>
      </c>
    </row>
    <row r="133" spans="1:20" ht="12.75" x14ac:dyDescent="0.2">
      <c r="A133" s="3">
        <v>4</v>
      </c>
      <c r="B133" s="72">
        <f>+SUM(B$79:B82)/B$77</f>
        <v>0.52590630888315237</v>
      </c>
      <c r="C133" s="72">
        <f>+SUM(C$79:C82)/C$77</f>
        <v>0.62214350922987194</v>
      </c>
      <c r="D133" s="73">
        <f>+SUM(D$79:D82)/D$77</f>
        <v>0.99454273816209793</v>
      </c>
      <c r="E133" s="72">
        <f>+SUM(E$79:E82)/E$77</f>
        <v>0.59960298851889837</v>
      </c>
      <c r="F133" s="72">
        <f>+SUM(F$79:F82)/F$77</f>
        <v>0.49611418056116496</v>
      </c>
      <c r="G133" s="72">
        <f>+SUM(G$79:G82)/G$77</f>
        <v>0.94428778904798749</v>
      </c>
      <c r="H133" s="72">
        <f>+SUM(H$79:H82)/H$77</f>
        <v>0.93395029833723175</v>
      </c>
      <c r="I133" s="72">
        <f>+SUM(I$79:I82)/I$77</f>
        <v>0.60693527213194232</v>
      </c>
      <c r="J133" s="72">
        <f>+SUM(J$79:J82)/J$77</f>
        <v>0.43744061015186453</v>
      </c>
      <c r="K133" s="72">
        <f>+SUM(K$79:K82)/K$77</f>
        <v>0.31629646081021862</v>
      </c>
      <c r="L133" s="72">
        <f>+SUM(L$79:L82)/L$77</f>
        <v>0.86003926124701513</v>
      </c>
      <c r="M133" s="72">
        <f>+SUM(M$79:M82)/M$77</f>
        <v>1</v>
      </c>
      <c r="N133" s="72">
        <f>+SUM(N$79:N82)/N$77</f>
        <v>0.50908091861301386</v>
      </c>
      <c r="O133" s="3">
        <f t="shared" si="15"/>
        <v>4</v>
      </c>
      <c r="Q133" s="72"/>
    </row>
    <row r="134" spans="1:20" ht="12.75" x14ac:dyDescent="0.2">
      <c r="A134" s="3">
        <v>5</v>
      </c>
      <c r="B134" s="72">
        <f>+SUM(B$79:B83)/B$77</f>
        <v>0.59076709566095553</v>
      </c>
      <c r="C134" s="72">
        <f>+SUM(C$79:C83)/C$77</f>
        <v>0.69609883499410652</v>
      </c>
      <c r="D134" s="73">
        <f>+SUM(D$79:D83)/D$77</f>
        <v>0.9984797500451229</v>
      </c>
      <c r="E134" s="72">
        <f>+SUM(E$79:E83)/E$77</f>
        <v>0.68643492979934773</v>
      </c>
      <c r="F134" s="72">
        <f>+SUM(F$79:F83)/F$77</f>
        <v>0.55064864293579119</v>
      </c>
      <c r="G134" s="72">
        <f>+SUM(G$79:G83)/G$77</f>
        <v>0.96989834070937964</v>
      </c>
      <c r="H134" s="72">
        <f>+SUM(H$79:H83)/H$77</f>
        <v>0.94867327582908612</v>
      </c>
      <c r="I134" s="72">
        <f>+SUM(I$79:I83)/I$77</f>
        <v>0.64701774379847443</v>
      </c>
      <c r="J134" s="72">
        <f>+SUM(J$79:J83)/J$77</f>
        <v>0.48204865574085615</v>
      </c>
      <c r="K134" s="72">
        <f>+SUM(K$79:K83)/K$77</f>
        <v>0.37300960806128475</v>
      </c>
      <c r="L134" s="72">
        <f>+SUM(L$79:L83)/L$77</f>
        <v>0.89080242990270186</v>
      </c>
      <c r="M134" s="72">
        <f>+SUM(M$79:M83)/M$77</f>
        <v>1</v>
      </c>
      <c r="N134" s="72">
        <f>+SUM(N$79:N83)/N$77</f>
        <v>0.56516796489222365</v>
      </c>
      <c r="O134" s="3">
        <f t="shared" si="15"/>
        <v>5</v>
      </c>
    </row>
    <row r="135" spans="1:20" ht="12.75" x14ac:dyDescent="0.2">
      <c r="A135" s="3">
        <v>6</v>
      </c>
      <c r="B135" s="72">
        <f>+SUM(B$79:B84)/B$77</f>
        <v>0.65043295977461879</v>
      </c>
      <c r="C135" s="72">
        <f>+SUM(C$79:C84)/C$77</f>
        <v>0.76527755671029751</v>
      </c>
      <c r="D135" s="73">
        <f>+SUM(D$79:D84)/D$77</f>
        <v>0.99959477578799794</v>
      </c>
      <c r="E135" s="72">
        <f>+SUM(E$79:E84)/E$77</f>
        <v>0.7539029557236433</v>
      </c>
      <c r="F135" s="72">
        <f>+SUM(F$79:F84)/F$77</f>
        <v>0.58797861694354103</v>
      </c>
      <c r="G135" s="72">
        <f>+SUM(G$79:G84)/G$77</f>
        <v>0.98022822326994541</v>
      </c>
      <c r="H135" s="72">
        <f>+SUM(H$79:H84)/H$77</f>
        <v>0.96284664970939826</v>
      </c>
      <c r="I135" s="72">
        <f>+SUM(I$79:I84)/I$77</f>
        <v>0.67246882363967753</v>
      </c>
      <c r="J135" s="72">
        <f>+SUM(J$79:J84)/J$77</f>
        <v>0.5182932315264237</v>
      </c>
      <c r="K135" s="72">
        <f>+SUM(K$79:K84)/K$77</f>
        <v>0.42547896844678007</v>
      </c>
      <c r="L135" s="72">
        <f>+SUM(L$79:L84)/L$77</f>
        <v>0.91433158124606073</v>
      </c>
      <c r="M135" s="72">
        <f>+SUM(M$79:M84)/M$77</f>
        <v>1</v>
      </c>
      <c r="N135" s="72">
        <f>+SUM(N$79:N84)/N$77</f>
        <v>0.61463855505575704</v>
      </c>
      <c r="O135" s="3">
        <f t="shared" si="15"/>
        <v>6</v>
      </c>
    </row>
    <row r="136" spans="1:20" ht="12.75" x14ac:dyDescent="0.2">
      <c r="A136" s="3">
        <v>7</v>
      </c>
      <c r="B136" s="72">
        <f>+SUM(B$79:B85)/B$77</f>
        <v>0.70087597310911809</v>
      </c>
      <c r="C136" s="72">
        <f>+SUM(C$79:C85)/C$77</f>
        <v>0.82443756205656527</v>
      </c>
      <c r="D136" s="73">
        <f>+SUM(D$79:D85)/D$77</f>
        <v>0.99994472148959002</v>
      </c>
      <c r="E136" s="72">
        <f>+SUM(E$79:E85)/E$77</f>
        <v>0.80627767706496367</v>
      </c>
      <c r="F136" s="72">
        <f>+SUM(F$79:F85)/F$77</f>
        <v>0.61816842815083084</v>
      </c>
      <c r="G136" s="72">
        <f>+SUM(G$79:G85)/G$77</f>
        <v>0.98948657073644253</v>
      </c>
      <c r="H136" s="72">
        <f>+SUM(H$79:H85)/H$77</f>
        <v>0.97200127276076398</v>
      </c>
      <c r="I136" s="72">
        <f>+SUM(I$79:I85)/I$77</f>
        <v>0.69623111922801295</v>
      </c>
      <c r="J136" s="72">
        <f>+SUM(J$79:J85)/J$77</f>
        <v>0.55200920994518055</v>
      </c>
      <c r="K136" s="72">
        <f>+SUM(K$79:K85)/K$77</f>
        <v>0.47352351821326905</v>
      </c>
      <c r="L136" s="72">
        <f>+SUM(L$79:L85)/L$77</f>
        <v>0.92960174753639646</v>
      </c>
      <c r="M136" s="72">
        <f>+SUM(M$79:M85)/M$77</f>
        <v>1</v>
      </c>
      <c r="N136" s="72">
        <f>+SUM(N$79:N85)/N$77</f>
        <v>0.66312989630462804</v>
      </c>
      <c r="O136" s="3">
        <f t="shared" si="15"/>
        <v>7</v>
      </c>
    </row>
    <row r="137" spans="1:20" ht="12.75" x14ac:dyDescent="0.2">
      <c r="A137" s="3">
        <v>8</v>
      </c>
      <c r="B137" s="72">
        <f>+SUM(B$79:B86)/B$77</f>
        <v>0.74161269429902921</v>
      </c>
      <c r="C137" s="72">
        <f>+SUM(C$79:C86)/C$77</f>
        <v>0.86159830969049256</v>
      </c>
      <c r="D137" s="73">
        <f>+SUM(D$79:D86)/D$77</f>
        <v>1</v>
      </c>
      <c r="E137" s="72">
        <f>+SUM(E$79:E86)/E$77</f>
        <v>0.82803959942165462</v>
      </c>
      <c r="F137" s="72">
        <f>+SUM(F$79:F86)/F$77</f>
        <v>0.64821464472912149</v>
      </c>
      <c r="G137" s="72">
        <f>+SUM(G$79:G86)/G$77</f>
        <v>0.99311689711862128</v>
      </c>
      <c r="H137" s="72">
        <f>+SUM(H$79:H86)/H$77</f>
        <v>0.97839161852796008</v>
      </c>
      <c r="I137" s="72">
        <f>+SUM(I$79:I86)/I$77</f>
        <v>0.71891377574682158</v>
      </c>
      <c r="J137" s="72">
        <f>+SUM(J$79:J86)/J$77</f>
        <v>0.58508429789252847</v>
      </c>
      <c r="K137" s="72">
        <f>+SUM(K$79:K86)/K$77</f>
        <v>0.51373242180002099</v>
      </c>
      <c r="L137" s="72">
        <f>+SUM(L$79:L86)/L$77</f>
        <v>0.94246942242092913</v>
      </c>
      <c r="M137" s="72">
        <f>+SUM(M$79:M86)/M$77</f>
        <v>1</v>
      </c>
      <c r="N137" s="72">
        <f>+SUM(N$79:N86)/N$77</f>
        <v>0.69852157731137321</v>
      </c>
      <c r="O137" s="3">
        <f t="shared" si="15"/>
        <v>8</v>
      </c>
    </row>
    <row r="138" spans="1:20" ht="12.75" x14ac:dyDescent="0.2">
      <c r="A138" s="3">
        <v>9</v>
      </c>
      <c r="B138" s="72">
        <f>+SUM(B$79:B87)/B$77</f>
        <v>0.78008470400059193</v>
      </c>
      <c r="C138" s="72">
        <f>+SUM(C$79:C87)/C$77</f>
        <v>0.89386168057814952</v>
      </c>
      <c r="D138" s="73">
        <f>+SUM(D$79:D87)/D$77</f>
        <v>1</v>
      </c>
      <c r="E138" s="72">
        <f>+SUM(E$79:E87)/E$77</f>
        <v>0.84516362200887385</v>
      </c>
      <c r="F138" s="72">
        <f>+SUM(F$79:F87)/F$77</f>
        <v>0.67761988875432466</v>
      </c>
      <c r="G138" s="72">
        <f>+SUM(G$79:G87)/G$77</f>
        <v>0.99597374876070444</v>
      </c>
      <c r="H138" s="72">
        <f>+SUM(H$79:H87)/H$77</f>
        <v>0.98123361648049812</v>
      </c>
      <c r="I138" s="72">
        <f>+SUM(I$79:I87)/I$77</f>
        <v>0.74031376035582763</v>
      </c>
      <c r="J138" s="72">
        <f>+SUM(J$79:J87)/J$77</f>
        <v>0.61773797988263346</v>
      </c>
      <c r="K138" s="72">
        <f>+SUM(K$79:K87)/K$77</f>
        <v>0.54949235682081177</v>
      </c>
      <c r="L138" s="72">
        <f>+SUM(L$79:L87)/L$77</f>
        <v>0.95208940880806592</v>
      </c>
      <c r="M138" s="72">
        <f>+SUM(M$79:M87)/M$77</f>
        <v>1</v>
      </c>
      <c r="N138" s="72">
        <f>+SUM(N$79:N87)/N$77</f>
        <v>0.73043012078741387</v>
      </c>
      <c r="O138" s="3">
        <f t="shared" si="15"/>
        <v>9</v>
      </c>
    </row>
    <row r="139" spans="1:20" ht="12.75" x14ac:dyDescent="0.2">
      <c r="A139" s="3">
        <v>10</v>
      </c>
      <c r="B139" s="72">
        <f>+SUM(B$79:B88)/B$77</f>
        <v>0.81609339536441083</v>
      </c>
      <c r="C139" s="72">
        <f>+SUM(C$79:C88)/C$77</f>
        <v>0.92596049484753884</v>
      </c>
      <c r="D139" s="73">
        <f>+SUM(D$79:D88)/D$77</f>
        <v>1</v>
      </c>
      <c r="E139" s="72">
        <f>+SUM(E$79:E88)/E$77</f>
        <v>0.85778760930440678</v>
      </c>
      <c r="F139" s="72">
        <f>+SUM(F$79:F88)/F$77</f>
        <v>0.70353470307072108</v>
      </c>
      <c r="G139" s="72">
        <f>+SUM(G$79:G88)/G$77</f>
        <v>0.99720213100970789</v>
      </c>
      <c r="H139" s="72">
        <f>+SUM(H$79:H88)/H$77</f>
        <v>0.98382470559969326</v>
      </c>
      <c r="I139" s="72">
        <f>+SUM(I$79:I88)/I$77</f>
        <v>0.76000429346032972</v>
      </c>
      <c r="J139" s="72">
        <f>+SUM(J$79:J88)/J$77</f>
        <v>0.64754138015784568</v>
      </c>
      <c r="K139" s="72">
        <f>+SUM(K$79:K88)/K$77</f>
        <v>0.57815645789410774</v>
      </c>
      <c r="L139" s="72">
        <f>+SUM(L$79:L88)/L$77</f>
        <v>0.9615335811572524</v>
      </c>
      <c r="M139" s="72">
        <f>+SUM(M$79:M88)/M$77</f>
        <v>1</v>
      </c>
      <c r="N139" s="72">
        <f>+SUM(N$79:N88)/N$77</f>
        <v>0.75576468415443954</v>
      </c>
      <c r="O139" s="3">
        <f t="shared" si="15"/>
        <v>10</v>
      </c>
    </row>
    <row r="140" spans="1:20" ht="12.75" x14ac:dyDescent="0.2">
      <c r="A140" s="3">
        <v>11</v>
      </c>
      <c r="B140" s="72">
        <f>+SUM(B$79:B89)/B$77</f>
        <v>0.84472591551340759</v>
      </c>
      <c r="C140" s="72">
        <f>+SUM(C$79:C89)/C$77</f>
        <v>0.94056045722587311</v>
      </c>
      <c r="D140" s="73">
        <f>+SUM(D$79:D89)/D$77</f>
        <v>1</v>
      </c>
      <c r="E140" s="72">
        <f>+SUM(E$79:E89)/E$77</f>
        <v>0.86980986737688537</v>
      </c>
      <c r="F140" s="72">
        <f>+SUM(F$79:F89)/F$77</f>
        <v>0.72935593753107375</v>
      </c>
      <c r="G140" s="72">
        <f>+SUM(G$79:G89)/G$77</f>
        <v>0.99830077172860998</v>
      </c>
      <c r="H140" s="72">
        <f>+SUM(H$79:H89)/H$77</f>
        <v>0.98633160167786871</v>
      </c>
      <c r="I140" s="72">
        <f>+SUM(I$79:I89)/I$77</f>
        <v>0.77815618955573906</v>
      </c>
      <c r="J140" s="72">
        <f>+SUM(J$79:J89)/J$77</f>
        <v>0.67717232831478458</v>
      </c>
      <c r="K140" s="72">
        <f>+SUM(K$79:K89)/K$77</f>
        <v>0.60643731006637602</v>
      </c>
      <c r="L140" s="72">
        <f>+SUM(L$79:L89)/L$77</f>
        <v>0.96973107636392075</v>
      </c>
      <c r="M140" s="72">
        <f>+SUM(M$79:M89)/M$77</f>
        <v>1</v>
      </c>
      <c r="N140" s="72">
        <f>+SUM(N$79:N89)/N$77</f>
        <v>0.77977347510593364</v>
      </c>
      <c r="O140" s="3">
        <f t="shared" si="15"/>
        <v>11</v>
      </c>
    </row>
    <row r="141" spans="1:20" ht="12.75" x14ac:dyDescent="0.2">
      <c r="A141" s="3">
        <v>12</v>
      </c>
      <c r="B141" s="72">
        <f>+SUM(B$79:B90)/B$77</f>
        <v>0.86997628938399707</v>
      </c>
      <c r="C141" s="72">
        <f>+SUM(C$79:C90)/C$77</f>
        <v>0.94757054355367765</v>
      </c>
      <c r="D141" s="73">
        <f>+SUM(D$79:D90)/D$77</f>
        <v>1</v>
      </c>
      <c r="E141" s="72">
        <f>+SUM(E$79:E90)/E$77</f>
        <v>0.88170221549025796</v>
      </c>
      <c r="F141" s="72">
        <f>+SUM(F$79:F90)/F$77</f>
        <v>0.75242446018371012</v>
      </c>
      <c r="G141" s="72">
        <f>+SUM(G$79:G90)/G$77</f>
        <v>0.99939819421718246</v>
      </c>
      <c r="H141" s="72">
        <f>+SUM(H$79:H90)/H$77</f>
        <v>0.98827206075595331</v>
      </c>
      <c r="I141" s="72">
        <f>+SUM(I$79:I90)/I$77</f>
        <v>0.79576583754463581</v>
      </c>
      <c r="J141" s="72">
        <f>+SUM(J$79:J90)/J$77</f>
        <v>0.70139805278338585</v>
      </c>
      <c r="K141" s="72">
        <f>+SUM(K$79:K90)/K$77</f>
        <v>0.63467582072603557</v>
      </c>
      <c r="L141" s="72">
        <f>+SUM(L$79:L90)/L$77</f>
        <v>0.9778340304347567</v>
      </c>
      <c r="M141" s="72">
        <f>+SUM(M$79:M90)/M$77</f>
        <v>1</v>
      </c>
      <c r="N141" s="72">
        <f>+SUM(N$79:N90)/N$77</f>
        <v>0.80355020232483387</v>
      </c>
      <c r="O141" s="3">
        <f t="shared" si="15"/>
        <v>12</v>
      </c>
    </row>
    <row r="142" spans="1:20" ht="12.75" x14ac:dyDescent="0.2">
      <c r="A142" s="3">
        <v>13</v>
      </c>
      <c r="B142" s="72">
        <f>+SUM(B$79:B91)/B$77</f>
        <v>0.89446540340928171</v>
      </c>
      <c r="C142" s="72">
        <f>+SUM(C$79:C91)/C$77</f>
        <v>0.95343317597159349</v>
      </c>
      <c r="D142" s="73">
        <f>+SUM(D$79:D91)/D$77</f>
        <v>1</v>
      </c>
      <c r="E142" s="72">
        <f>+SUM(E$79:E91)/E$77</f>
        <v>0.89095273918264117</v>
      </c>
      <c r="F142" s="72">
        <f>+SUM(F$79:F91)/F$77</f>
        <v>0.77302651063904038</v>
      </c>
      <c r="G142" s="72">
        <f>+SUM(G$79:G91)/G$77</f>
        <v>0.99986944631634556</v>
      </c>
      <c r="H142" s="72">
        <f>+SUM(H$79:H91)/H$77</f>
        <v>0.99019957508873546</v>
      </c>
      <c r="I142" s="72">
        <f>+SUM(I$79:I91)/I$77</f>
        <v>0.81182576405635165</v>
      </c>
      <c r="J142" s="72">
        <f>+SUM(J$79:J91)/J$77</f>
        <v>0.72559053671560014</v>
      </c>
      <c r="K142" s="72">
        <f>+SUM(K$79:K91)/K$77</f>
        <v>0.66265587045923657</v>
      </c>
      <c r="L142" s="72">
        <f>+SUM(L$79:L91)/L$77</f>
        <v>0.9832689494832878</v>
      </c>
      <c r="M142" s="72">
        <f>+SUM(M$79:M91)/M$77</f>
        <v>1</v>
      </c>
      <c r="N142" s="72">
        <f>+SUM(N$79:N91)/N$77</f>
        <v>0.82414272907654174</v>
      </c>
      <c r="O142" s="3">
        <f t="shared" si="15"/>
        <v>13</v>
      </c>
    </row>
    <row r="143" spans="1:20" ht="12.75" x14ac:dyDescent="0.2">
      <c r="A143" s="3">
        <v>14</v>
      </c>
      <c r="B143" s="72">
        <f>+SUM(B$79:B92)/B$77</f>
        <v>0.90450928060817415</v>
      </c>
      <c r="C143" s="72">
        <f>+SUM(C$79:C92)/C$77</f>
        <v>0.9578259688960411</v>
      </c>
      <c r="D143" s="72">
        <f>+SUM(D$79:D92)/D$77</f>
        <v>1</v>
      </c>
      <c r="E143" s="72">
        <f>+SUM(E$79:E92)/E$77</f>
        <v>0.90007576211739815</v>
      </c>
      <c r="F143" s="72">
        <f>+SUM(F$79:F92)/F$77</f>
        <v>0.79289610582366243</v>
      </c>
      <c r="G143" s="72">
        <f>+SUM(G$79:G92)/G$77</f>
        <v>0.99994254013612105</v>
      </c>
      <c r="H143" s="72">
        <f>+SUM(H$79:H92)/H$77</f>
        <v>0.99198561066287905</v>
      </c>
      <c r="I143" s="72">
        <f>+SUM(I$79:I92)/I$77</f>
        <v>0.82513004004835711</v>
      </c>
      <c r="J143" s="72">
        <f>+SUM(J$79:J92)/J$77</f>
        <v>0.74967925845481398</v>
      </c>
      <c r="K143" s="72">
        <f>+SUM(K$79:K92)/K$77</f>
        <v>0.68916236202281278</v>
      </c>
      <c r="L143" s="72">
        <f>+SUM(L$79:L92)/L$77</f>
        <v>0.98717916821031937</v>
      </c>
      <c r="M143" s="72">
        <f>+SUM(M$79:M92)/M$77</f>
        <v>1</v>
      </c>
      <c r="N143" s="72">
        <f>+SUM(N$79:N92)/N$77</f>
        <v>0.83948815492024387</v>
      </c>
      <c r="O143" s="3">
        <f t="shared" si="15"/>
        <v>14</v>
      </c>
    </row>
    <row r="144" spans="1:20" ht="12.75" x14ac:dyDescent="0.2">
      <c r="A144" s="3">
        <v>15</v>
      </c>
      <c r="B144" s="72">
        <f>+SUM(B$79:B93)/B$77</f>
        <v>0.91201732203846531</v>
      </c>
      <c r="C144" s="72">
        <f>+SUM(C$79:C93)/C$77</f>
        <v>0.96213175543899965</v>
      </c>
      <c r="D144" s="72">
        <f>+SUM(D$79:D93)/D$77</f>
        <v>1</v>
      </c>
      <c r="E144" s="72">
        <f>+SUM(E$79:E93)/E$77</f>
        <v>0.90919310473659709</v>
      </c>
      <c r="F144" s="72">
        <f>+SUM(F$79:F93)/F$77</f>
        <v>0.81273978354286847</v>
      </c>
      <c r="G144" s="72">
        <f>+SUM(G$79:G93)/G$77</f>
        <v>0.99999512707868166</v>
      </c>
      <c r="H144" s="72">
        <f>+SUM(H$79:H93)/H$77</f>
        <v>0.99372793162334982</v>
      </c>
      <c r="I144" s="72">
        <f>+SUM(I$79:I93)/I$77</f>
        <v>0.83840899950551739</v>
      </c>
      <c r="J144" s="72">
        <f>+SUM(J$79:J93)/J$77</f>
        <v>0.77316851917558727</v>
      </c>
      <c r="K144" s="72">
        <f>+SUM(K$79:K93)/K$77</f>
        <v>0.71519436515963863</v>
      </c>
      <c r="L144" s="72">
        <f>+SUM(L$79:L93)/L$77</f>
        <v>0.98998545266083759</v>
      </c>
      <c r="M144" s="72">
        <f>+SUM(M$79:M93)/M$77</f>
        <v>1</v>
      </c>
      <c r="N144" s="72">
        <f>+SUM(N$79:N93)/N$77</f>
        <v>0.85416398266739779</v>
      </c>
      <c r="O144" s="3">
        <f t="shared" si="15"/>
        <v>15</v>
      </c>
    </row>
    <row r="145" spans="1:15" ht="12.75" x14ac:dyDescent="0.2">
      <c r="A145" s="3">
        <v>16</v>
      </c>
      <c r="B145" s="72">
        <f>+SUM(B$79:B94)/B$77</f>
        <v>0.91852730244183955</v>
      </c>
      <c r="C145" s="72">
        <f>+SUM(C$79:C94)/C$77</f>
        <v>0.96548919901913377</v>
      </c>
      <c r="D145" s="72">
        <f>+SUM(D$79:D94)/D$77</f>
        <v>1</v>
      </c>
      <c r="E145" s="72">
        <f>+SUM(E$79:E94)/E$77</f>
        <v>0.91781534606720239</v>
      </c>
      <c r="F145" s="72">
        <f>+SUM(F$79:F94)/F$77</f>
        <v>0.83213324916817799</v>
      </c>
      <c r="G145" s="72">
        <f>+SUM(G$79:G94)/G$77</f>
        <v>1</v>
      </c>
      <c r="H145" s="72">
        <f>+SUM(H$79:H94)/H$77</f>
        <v>0.99485767383031309</v>
      </c>
      <c r="I145" s="72">
        <f>+SUM(I$79:I94)/I$77</f>
        <v>0.85056276455338797</v>
      </c>
      <c r="J145" s="72">
        <f>+SUM(J$79:J94)/J$77</f>
        <v>0.79236398613616421</v>
      </c>
      <c r="K145" s="72">
        <f>+SUM(K$79:K94)/K$77</f>
        <v>0.73953843707060096</v>
      </c>
      <c r="L145" s="72">
        <f>+SUM(L$79:L94)/L$77</f>
        <v>0.99223057433160111</v>
      </c>
      <c r="M145" s="72">
        <f>+SUM(M$79:M94)/M$77</f>
        <v>1</v>
      </c>
      <c r="N145" s="72">
        <f>+SUM(N$79:N94)/N$77</f>
        <v>0.86630896570010951</v>
      </c>
      <c r="O145" s="3">
        <f t="shared" si="15"/>
        <v>16</v>
      </c>
    </row>
    <row r="146" spans="1:15" ht="12.75" x14ac:dyDescent="0.2">
      <c r="A146" s="3">
        <v>17</v>
      </c>
      <c r="B146" s="72">
        <f>+SUM(B$79:B95)/B$77</f>
        <v>0.92385904547364595</v>
      </c>
      <c r="C146" s="72">
        <f>+SUM(C$79:C95)/C$77</f>
        <v>0.96872586990104115</v>
      </c>
      <c r="D146" s="72">
        <f>+SUM(D$79:D95)/D$77</f>
        <v>1</v>
      </c>
      <c r="E146" s="72">
        <f>+SUM(E$79:E95)/E$77</f>
        <v>0.92603608150980754</v>
      </c>
      <c r="F146" s="72">
        <f>+SUM(F$79:F95)/F$77</f>
        <v>0.84991338224783408</v>
      </c>
      <c r="G146" s="72">
        <f>+SUM(G$79:G95)/G$77</f>
        <v>1</v>
      </c>
      <c r="H146" s="72">
        <f>+SUM(H$79:H95)/H$77</f>
        <v>0.99594477145295324</v>
      </c>
      <c r="I146" s="72">
        <f>+SUM(I$79:I95)/I$77</f>
        <v>0.86198066175614974</v>
      </c>
      <c r="J146" s="72">
        <f>+SUM(J$79:J95)/J$77</f>
        <v>0.80963128648849236</v>
      </c>
      <c r="K146" s="72">
        <f>+SUM(K$79:K95)/K$77</f>
        <v>0.76375059770621134</v>
      </c>
      <c r="L146" s="72">
        <f>+SUM(L$79:L95)/L$77</f>
        <v>0.99441764582299164</v>
      </c>
      <c r="M146" s="72">
        <f>+SUM(M$79:M95)/M$77</f>
        <v>1</v>
      </c>
      <c r="N146" s="72">
        <f>+SUM(N$79:N95)/N$77</f>
        <v>0.87573266040206865</v>
      </c>
      <c r="O146" s="3">
        <f t="shared" si="15"/>
        <v>17</v>
      </c>
    </row>
    <row r="147" spans="1:15" ht="12.75" x14ac:dyDescent="0.2">
      <c r="A147" s="3">
        <v>18</v>
      </c>
      <c r="B147" s="72">
        <f>+SUM(B$79:B96)/B$77</f>
        <v>0.92911984654099078</v>
      </c>
      <c r="C147" s="72">
        <f>+SUM(C$79:C96)/C$77</f>
        <v>0.97183453807407827</v>
      </c>
      <c r="D147" s="72">
        <f>+SUM(D$79:D96)/D$77</f>
        <v>1</v>
      </c>
      <c r="E147" s="72">
        <f>+SUM(E$79:E96)/E$77</f>
        <v>0.93334024040320807</v>
      </c>
      <c r="F147" s="72">
        <f>+SUM(F$79:F96)/F$77</f>
        <v>0.86532837844152777</v>
      </c>
      <c r="G147" s="72">
        <f>+SUM(G$79:G96)/G$77</f>
        <v>1</v>
      </c>
      <c r="H147" s="72">
        <f>+SUM(H$79:H96)/H$77</f>
        <v>0.99681452262624037</v>
      </c>
      <c r="I147" s="72">
        <f>+SUM(I$79:I96)/I$77</f>
        <v>0.87224241881877473</v>
      </c>
      <c r="J147" s="72">
        <f>+SUM(J$79:J96)/J$77</f>
        <v>0.826601415368032</v>
      </c>
      <c r="K147" s="72">
        <f>+SUM(K$79:K96)/K$77</f>
        <v>0.7879386157137932</v>
      </c>
      <c r="L147" s="72">
        <f>+SUM(L$79:L96)/L$77</f>
        <v>0.9962264202212654</v>
      </c>
      <c r="M147" s="72">
        <f>+SUM(M$79:M96)/M$77</f>
        <v>1</v>
      </c>
      <c r="N147" s="72">
        <f>+SUM(N$79:N96)/N$77</f>
        <v>0.88313238077111622</v>
      </c>
      <c r="O147" s="3">
        <f t="shared" si="15"/>
        <v>18</v>
      </c>
    </row>
    <row r="148" spans="1:15" ht="12.75" x14ac:dyDescent="0.2">
      <c r="A148" s="3">
        <v>19</v>
      </c>
      <c r="B148" s="72">
        <f>+SUM(B$79:B97)/B$77</f>
        <v>0.93429714788935248</v>
      </c>
      <c r="C148" s="72">
        <f>+SUM(C$79:C97)/C$77</f>
        <v>0.97400367916920361</v>
      </c>
      <c r="D148" s="72">
        <f>+SUM(D$79:D97)/D$77</f>
        <v>1</v>
      </c>
      <c r="E148" s="72">
        <f>+SUM(E$79:E97)/E$77</f>
        <v>0.94058182236506804</v>
      </c>
      <c r="F148" s="72">
        <f>+SUM(F$79:F97)/F$77</f>
        <v>0.88037969917775949</v>
      </c>
      <c r="G148" s="72">
        <f>+SUM(G$79:G97)/G$77</f>
        <v>1</v>
      </c>
      <c r="H148" s="72">
        <f>+SUM(H$79:H97)/H$77</f>
        <v>0.99755832351559659</v>
      </c>
      <c r="I148" s="72">
        <f>+SUM(I$79:I97)/I$77</f>
        <v>0.88231506543847027</v>
      </c>
      <c r="J148" s="72">
        <f>+SUM(J$79:J97)/J$77</f>
        <v>0.84349676650931371</v>
      </c>
      <c r="K148" s="72">
        <f>+SUM(K$79:K97)/K$77</f>
        <v>0.81084062516783795</v>
      </c>
      <c r="L148" s="72">
        <f>+SUM(L$79:L97)/L$77</f>
        <v>0.99774373089211976</v>
      </c>
      <c r="M148" s="72">
        <f>+SUM(M$79:M97)/M$77</f>
        <v>1</v>
      </c>
      <c r="N148" s="72">
        <f>+SUM(N$79:N97)/N$77</f>
        <v>0.8900549004387921</v>
      </c>
      <c r="O148" s="3">
        <f t="shared" si="15"/>
        <v>19</v>
      </c>
    </row>
    <row r="149" spans="1:15" ht="12.75" x14ac:dyDescent="0.2">
      <c r="A149" s="3">
        <v>20</v>
      </c>
      <c r="B149" s="72">
        <f>+SUM(B$79:B98)/B$77</f>
        <v>0.93873864819374075</v>
      </c>
      <c r="C149" s="72">
        <f>+SUM(C$79:C98)/C$77</f>
        <v>0.97587640952825172</v>
      </c>
      <c r="D149" s="72">
        <f>+SUM(D$79:D98)/D$77</f>
        <v>1</v>
      </c>
      <c r="E149" s="72">
        <f>+SUM(E$79:E98)/E$77</f>
        <v>0.94664838899656623</v>
      </c>
      <c r="F149" s="72">
        <f>+SUM(F$79:F98)/F$77</f>
        <v>0.89500446987248961</v>
      </c>
      <c r="G149" s="72">
        <f>+SUM(G$79:G98)/G$77</f>
        <v>1</v>
      </c>
      <c r="H149" s="72">
        <f>+SUM(H$79:H98)/H$77</f>
        <v>0.99801449529612485</v>
      </c>
      <c r="I149" s="72">
        <f>+SUM(I$79:I98)/I$77</f>
        <v>0.89158292792198846</v>
      </c>
      <c r="J149" s="72">
        <f>+SUM(J$79:J98)/J$77</f>
        <v>0.86035338192018673</v>
      </c>
      <c r="K149" s="72">
        <f>+SUM(K$79:K98)/K$77</f>
        <v>0.8318368529434842</v>
      </c>
      <c r="L149" s="72">
        <f>+SUM(L$79:L98)/L$77</f>
        <v>0.99874633085619868</v>
      </c>
      <c r="M149" s="72">
        <f>+SUM(M$79:M98)/M$77</f>
        <v>1</v>
      </c>
      <c r="N149" s="72">
        <f>+SUM(N$79:N98)/N$77</f>
        <v>0.89670990543002083</v>
      </c>
      <c r="O149" s="3">
        <f t="shared" si="15"/>
        <v>20</v>
      </c>
    </row>
    <row r="150" spans="1:15" ht="12.75" x14ac:dyDescent="0.2">
      <c r="A150" s="3">
        <v>21</v>
      </c>
      <c r="B150" s="72">
        <f>+SUM(B$79:B99)/B$77</f>
        <v>0.94273627769918578</v>
      </c>
      <c r="C150" s="72">
        <f>+SUM(C$79:C99)/C$77</f>
        <v>0.97773664004601046</v>
      </c>
      <c r="D150" s="72">
        <f>+SUM(D$79:D99)/D$77</f>
        <v>1</v>
      </c>
      <c r="E150" s="72">
        <f>+SUM(E$79:E99)/E$77</f>
        <v>0.95222792308753046</v>
      </c>
      <c r="F150" s="72">
        <f>+SUM(F$79:F99)/F$77</f>
        <v>0.90606169156055705</v>
      </c>
      <c r="G150" s="72">
        <f>+SUM(G$79:G99)/G$77</f>
        <v>1</v>
      </c>
      <c r="H150" s="72">
        <f>+SUM(H$79:H99)/H$77</f>
        <v>0.99844365536014501</v>
      </c>
      <c r="I150" s="72">
        <f>+SUM(I$79:I99)/I$77</f>
        <v>0.90007050833120372</v>
      </c>
      <c r="J150" s="72">
        <f>+SUM(J$79:J99)/J$77</f>
        <v>0.87694838299605948</v>
      </c>
      <c r="K150" s="72">
        <f>+SUM(K$79:K99)/K$77</f>
        <v>0.8519814403240652</v>
      </c>
      <c r="L150" s="72">
        <f>+SUM(L$79:L99)/L$77</f>
        <v>0.99929197868334318</v>
      </c>
      <c r="M150" s="72">
        <f>+SUM(M$79:M99)/M$77</f>
        <v>1</v>
      </c>
      <c r="N150" s="72">
        <f>+SUM(N$79:N99)/N$77</f>
        <v>0.90257357837791574</v>
      </c>
      <c r="O150" s="3">
        <f t="shared" si="15"/>
        <v>21</v>
      </c>
    </row>
    <row r="151" spans="1:15" ht="12.75" x14ac:dyDescent="0.2">
      <c r="A151" s="3">
        <v>22</v>
      </c>
      <c r="B151" s="72">
        <f>+SUM(B$79:B100)/B$77</f>
        <v>0.94648711989555212</v>
      </c>
      <c r="C151" s="72">
        <f>+SUM(C$79:C100)/C$77</f>
        <v>0.97956272994130322</v>
      </c>
      <c r="D151" s="72">
        <f>+SUM(D$79:D100)/D$77</f>
        <v>1</v>
      </c>
      <c r="E151" s="72">
        <f>+SUM(E$79:E100)/E$77</f>
        <v>0.95693015476720689</v>
      </c>
      <c r="F151" s="72">
        <f>+SUM(F$79:F100)/F$77</f>
        <v>0.91657864290848878</v>
      </c>
      <c r="G151" s="72">
        <f>+SUM(G$79:G100)/G$77</f>
        <v>1</v>
      </c>
      <c r="H151" s="72">
        <f>+SUM(H$79:H100)/H$77</f>
        <v>0.99885838307708397</v>
      </c>
      <c r="I151" s="72">
        <f>+SUM(I$79:I100)/I$77</f>
        <v>0.9076284229907513</v>
      </c>
      <c r="J151" s="72">
        <f>+SUM(J$79:J100)/J$77</f>
        <v>0.89318059351758894</v>
      </c>
      <c r="K151" s="72">
        <f>+SUM(K$79:K100)/K$77</f>
        <v>0.86303346361263245</v>
      </c>
      <c r="L151" s="72">
        <f>+SUM(L$79:L100)/L$77</f>
        <v>0.99961850845700784</v>
      </c>
      <c r="M151" s="72">
        <f>+SUM(M$79:M100)/M$77</f>
        <v>1</v>
      </c>
      <c r="N151" s="72">
        <f>+SUM(N$79:N100)/N$77</f>
        <v>0.9082172323374289</v>
      </c>
      <c r="O151" s="3">
        <f t="shared" si="15"/>
        <v>22</v>
      </c>
    </row>
    <row r="152" spans="1:15" ht="12.75" x14ac:dyDescent="0.2">
      <c r="A152" s="3">
        <v>23</v>
      </c>
      <c r="B152" s="72">
        <f>+SUM(B$79:B101)/B$77</f>
        <v>0.94970067594404883</v>
      </c>
      <c r="C152" s="72">
        <f>+SUM(C$79:C101)/C$77</f>
        <v>0.98122529748415621</v>
      </c>
      <c r="D152" s="72">
        <f>+SUM(D$79:D101)/D$77</f>
        <v>1</v>
      </c>
      <c r="E152" s="72">
        <f>+SUM(E$79:E101)/E$77</f>
        <v>0.9615876085297238</v>
      </c>
      <c r="F152" s="72">
        <f>+SUM(F$79:F101)/F$77</f>
        <v>0.9263596965132066</v>
      </c>
      <c r="G152" s="72">
        <f>+SUM(G$79:G101)/G$77</f>
        <v>1</v>
      </c>
      <c r="H152" s="72">
        <f>+SUM(H$79:H101)/H$77</f>
        <v>0.99913536408896941</v>
      </c>
      <c r="I152" s="72">
        <f>+SUM(I$79:I101)/I$77</f>
        <v>0.91447637174248297</v>
      </c>
      <c r="J152" s="72">
        <f>+SUM(J$79:J101)/J$77</f>
        <v>0.90934292887591928</v>
      </c>
      <c r="K152" s="72">
        <f>+SUM(K$79:K101)/K$77</f>
        <v>0.87359145152434503</v>
      </c>
      <c r="L152" s="72">
        <f>+SUM(L$79:L101)/L$77</f>
        <v>0.99978520969707729</v>
      </c>
      <c r="M152" s="72">
        <f>+SUM(M$79:M101)/M$77</f>
        <v>1</v>
      </c>
      <c r="N152" s="72">
        <f>+SUM(N$79:N101)/N$77</f>
        <v>0.91348407210605609</v>
      </c>
      <c r="O152" s="3">
        <f t="shared" si="15"/>
        <v>23</v>
      </c>
    </row>
    <row r="153" spans="1:15" ht="12.75" x14ac:dyDescent="0.2">
      <c r="A153" s="3">
        <v>24</v>
      </c>
      <c r="B153" s="72">
        <f>+SUM(B$79:B102)/B$77</f>
        <v>0.95278758778914852</v>
      </c>
      <c r="C153" s="72">
        <f>+SUM(C$79:C102)/C$77</f>
        <v>0.98277320927239209</v>
      </c>
      <c r="D153" s="72">
        <f>+SUM(D$79:D102)/D$77</f>
        <v>1</v>
      </c>
      <c r="E153" s="72">
        <f>+SUM(E$79:E102)/E$77</f>
        <v>0.96605531690672608</v>
      </c>
      <c r="F153" s="72">
        <f>+SUM(F$79:F102)/F$77</f>
        <v>0.93374898353085545</v>
      </c>
      <c r="G153" s="72">
        <f>+SUM(G$79:G102)/G$77</f>
        <v>1</v>
      </c>
      <c r="H153" s="72">
        <f>+SUM(H$79:H102)/H$77</f>
        <v>0.9994059510230342</v>
      </c>
      <c r="I153" s="72">
        <f>+SUM(I$79:I102)/I$77</f>
        <v>0.9212229270934319</v>
      </c>
      <c r="J153" s="72">
        <f>+SUM(J$79:J102)/J$77</f>
        <v>0.925045715165561</v>
      </c>
      <c r="K153" s="72">
        <f>+SUM(K$79:K102)/K$77</f>
        <v>0.8820128934501571</v>
      </c>
      <c r="L153" s="72">
        <f>+SUM(L$79:L102)/L$77</f>
        <v>0.99992696506716627</v>
      </c>
      <c r="M153" s="72">
        <f>+SUM(M$79:M102)/M$77</f>
        <v>1</v>
      </c>
      <c r="N153" s="72">
        <f>+SUM(N$79:N102)/N$77</f>
        <v>0.9187400646652405</v>
      </c>
      <c r="O153" s="3">
        <f t="shared" si="15"/>
        <v>24</v>
      </c>
    </row>
    <row r="154" spans="1:15" ht="12.75" x14ac:dyDescent="0.2">
      <c r="A154" s="3">
        <v>25</v>
      </c>
      <c r="B154" s="72">
        <f>+SUM(B$79:B103)/B$77</f>
        <v>0.95576910890164724</v>
      </c>
      <c r="C154" s="72">
        <f>+SUM(C$79:C103)/C$77</f>
        <v>0.98414943293322443</v>
      </c>
      <c r="D154" s="72">
        <f>+SUM(D$79:D103)/D$77</f>
        <v>1</v>
      </c>
      <c r="E154" s="72">
        <f>+SUM(E$79:E103)/E$77</f>
        <v>0.97033094338815784</v>
      </c>
      <c r="F154" s="72">
        <f>+SUM(F$79:F103)/F$77</f>
        <v>0.9410942306416219</v>
      </c>
      <c r="G154" s="72">
        <f>+SUM(G$79:G103)/G$77</f>
        <v>1</v>
      </c>
      <c r="H154" s="72">
        <f>+SUM(H$79:H103)/H$77</f>
        <v>0.9996715270879496</v>
      </c>
      <c r="I154" s="72">
        <f>+SUM(I$79:I103)/I$77</f>
        <v>0.92792096191395856</v>
      </c>
      <c r="J154" s="72">
        <f>+SUM(J$79:J103)/J$77</f>
        <v>0.93961940070706984</v>
      </c>
      <c r="K154" s="72">
        <f>+SUM(K$79:K103)/K$77</f>
        <v>0.89032344166765753</v>
      </c>
      <c r="L154" s="72">
        <f>+SUM(L$79:L103)/L$77</f>
        <v>1</v>
      </c>
      <c r="M154" s="72">
        <f>+SUM(M$79:M103)/M$77</f>
        <v>1</v>
      </c>
      <c r="N154" s="72">
        <f>+SUM(N$79:N103)/N$77</f>
        <v>0.92373542525895636</v>
      </c>
      <c r="O154" s="3">
        <f t="shared" si="15"/>
        <v>25</v>
      </c>
    </row>
    <row r="155" spans="1:15" ht="12.75" x14ac:dyDescent="0.2">
      <c r="A155" s="3">
        <v>26</v>
      </c>
      <c r="B155" s="72">
        <f>+SUM(B$79:B104)/B$77</f>
        <v>0.9587463970976231</v>
      </c>
      <c r="C155" s="72">
        <f>+SUM(C$79:C104)/C$77</f>
        <v>0.98543403049187051</v>
      </c>
      <c r="D155" s="72">
        <f>+SUM(D$79:D104)/D$77</f>
        <v>1</v>
      </c>
      <c r="E155" s="72">
        <f>+SUM(E$79:E104)/E$77</f>
        <v>0.9741610649011152</v>
      </c>
      <c r="F155" s="72">
        <f>+SUM(F$79:F104)/F$77</f>
        <v>0.94771738946784634</v>
      </c>
      <c r="G155" s="72">
        <f>+SUM(G$79:G104)/G$77</f>
        <v>1</v>
      </c>
      <c r="H155" s="72">
        <f>+SUM(H$79:H104)/H$77</f>
        <v>0.99986901274864282</v>
      </c>
      <c r="I155" s="72">
        <f>+SUM(I$79:I104)/I$77</f>
        <v>0.93448870651142257</v>
      </c>
      <c r="J155" s="72">
        <f>+SUM(J$79:J104)/J$77</f>
        <v>0.95383735324734176</v>
      </c>
      <c r="K155" s="72">
        <f>+SUM(K$79:K104)/K$77</f>
        <v>0.89820535100516519</v>
      </c>
      <c r="L155" s="72">
        <f>+SUM(L$79:L104)/L$77</f>
        <v>1</v>
      </c>
      <c r="M155" s="72">
        <f>+SUM(M$79:M104)/M$77</f>
        <v>1</v>
      </c>
      <c r="N155" s="72">
        <f>+SUM(N$79:N104)/N$77</f>
        <v>0.92850599273979328</v>
      </c>
      <c r="O155" s="3">
        <f t="shared" si="15"/>
        <v>26</v>
      </c>
    </row>
    <row r="156" spans="1:15" ht="12.75" x14ac:dyDescent="0.2">
      <c r="A156" s="3">
        <v>27</v>
      </c>
      <c r="B156" s="72">
        <f>+SUM(B$79:B105)/B$77</f>
        <v>0.96168607639733872</v>
      </c>
      <c r="C156" s="72">
        <f>+SUM(C$79:C105)/C$77</f>
        <v>0.98664170822338559</v>
      </c>
      <c r="D156" s="72">
        <f>+SUM(D$79:D105)/D$77</f>
        <v>1</v>
      </c>
      <c r="E156" s="72">
        <f>+SUM(E$79:E105)/E$77</f>
        <v>0.97719395879852167</v>
      </c>
      <c r="F156" s="72">
        <f>+SUM(F$79:F105)/F$77</f>
        <v>0.95350458143629691</v>
      </c>
      <c r="G156" s="72">
        <f>+SUM(G$79:G105)/G$77</f>
        <v>1</v>
      </c>
      <c r="H156" s="72">
        <f>+SUM(H$79:H105)/H$77</f>
        <v>0.999945480699724</v>
      </c>
      <c r="I156" s="72">
        <f>+SUM(I$79:I105)/I$77</f>
        <v>0.94030288544484752</v>
      </c>
      <c r="J156" s="72">
        <f>+SUM(J$79:J105)/J$77</f>
        <v>0.96568138197018216</v>
      </c>
      <c r="K156" s="72">
        <f>+SUM(K$79:K105)/K$77</f>
        <v>0.90593018007122261</v>
      </c>
      <c r="L156" s="72">
        <f>+SUM(L$79:L105)/L$77</f>
        <v>1</v>
      </c>
      <c r="M156" s="72">
        <f>+SUM(M$79:M105)/M$77</f>
        <v>1</v>
      </c>
      <c r="N156" s="72">
        <f>+SUM(N$79:N105)/N$77</f>
        <v>0.93299181563456479</v>
      </c>
      <c r="O156" s="3">
        <f t="shared" si="15"/>
        <v>27</v>
      </c>
    </row>
    <row r="157" spans="1:15" ht="12.75" x14ac:dyDescent="0.2">
      <c r="A157" s="3">
        <v>28</v>
      </c>
      <c r="B157" s="72">
        <f>+SUM(B$79:B106)/B$77</f>
        <v>0.96431567080715486</v>
      </c>
      <c r="C157" s="72">
        <f>+SUM(C$79:C106)/C$77</f>
        <v>0.98755520135289065</v>
      </c>
      <c r="D157" s="72">
        <f>+SUM(D$79:D106)/D$77</f>
        <v>1</v>
      </c>
      <c r="E157" s="72">
        <f>+SUM(E$79:E106)/E$77</f>
        <v>0.97934645570687751</v>
      </c>
      <c r="F157" s="72">
        <f>+SUM(F$79:F106)/F$77</f>
        <v>0.95908566030955422</v>
      </c>
      <c r="G157" s="72">
        <f>+SUM(G$79:G106)/G$77</f>
        <v>1</v>
      </c>
      <c r="H157" s="72">
        <f>+SUM(H$79:H106)/H$77</f>
        <v>0.99999036973585365</v>
      </c>
      <c r="I157" s="72">
        <f>+SUM(I$79:I106)/I$77</f>
        <v>0.94552887490574544</v>
      </c>
      <c r="J157" s="72">
        <f>+SUM(J$79:J106)/J$77</f>
        <v>0.97505726046045205</v>
      </c>
      <c r="K157" s="72">
        <f>+SUM(K$79:K106)/K$77</f>
        <v>0.91272562519066314</v>
      </c>
      <c r="L157" s="72">
        <f>+SUM(L$79:L106)/L$77</f>
        <v>1</v>
      </c>
      <c r="M157" s="72">
        <f>+SUM(M$79:M106)/M$77</f>
        <v>1</v>
      </c>
      <c r="N157" s="72">
        <f>+SUM(N$79:N106)/N$77</f>
        <v>0.93726585459431755</v>
      </c>
      <c r="O157" s="3">
        <f t="shared" si="15"/>
        <v>28</v>
      </c>
    </row>
    <row r="158" spans="1:15" ht="12.75" x14ac:dyDescent="0.2">
      <c r="A158" s="3">
        <v>29</v>
      </c>
      <c r="B158" s="72">
        <f>+SUM(B$79:B107)/B$77</f>
        <v>0.96680560349259448</v>
      </c>
      <c r="C158" s="72">
        <f>+SUM(C$79:C107)/C$77</f>
        <v>0.98843154956395407</v>
      </c>
      <c r="D158" s="72">
        <f>+SUM(D$79:D107)/D$77</f>
        <v>1</v>
      </c>
      <c r="E158" s="72">
        <f>+SUM(E$79:E107)/E$77</f>
        <v>0.98146813145147416</v>
      </c>
      <c r="F158" s="72">
        <f>+SUM(F$79:F107)/F$77</f>
        <v>0.96455444335555918</v>
      </c>
      <c r="G158" s="72">
        <f>+SUM(G$79:G107)/G$77</f>
        <v>1</v>
      </c>
      <c r="H158" s="72">
        <f>+SUM(H$79:H107)/H$77</f>
        <v>1</v>
      </c>
      <c r="I158" s="72">
        <f>+SUM(I$79:I107)/I$77</f>
        <v>0.95071532000708781</v>
      </c>
      <c r="J158" s="72">
        <f>+SUM(J$79:J107)/J$77</f>
        <v>0.98402988868353147</v>
      </c>
      <c r="K158" s="72">
        <f>+SUM(K$79:K107)/K$77</f>
        <v>0.91942747166971361</v>
      </c>
      <c r="L158" s="72">
        <f>+SUM(L$79:L107)/L$77</f>
        <v>1</v>
      </c>
      <c r="M158" s="72">
        <f>+SUM(M$79:M107)/M$77</f>
        <v>1</v>
      </c>
      <c r="N158" s="72">
        <f>+SUM(N$79:N107)/N$77</f>
        <v>0.94149800652810545</v>
      </c>
      <c r="O158" s="3">
        <f t="shared" si="15"/>
        <v>29</v>
      </c>
    </row>
    <row r="159" spans="1:15" ht="12.75" x14ac:dyDescent="0.2">
      <c r="A159" s="3">
        <v>30</v>
      </c>
      <c r="B159" s="72">
        <f>+SUM(B$79:B108)/B$77</f>
        <v>0.96908792403628241</v>
      </c>
      <c r="C159" s="72">
        <f>+SUM(C$79:C108)/C$77</f>
        <v>0.98927503767214775</v>
      </c>
      <c r="D159" s="72">
        <f>+SUM(D$79:D108)/D$77</f>
        <v>1</v>
      </c>
      <c r="E159" s="72">
        <f>+SUM(E$79:E108)/E$77</f>
        <v>0.98330933252896469</v>
      </c>
      <c r="F159" s="72">
        <f>+SUM(F$79:F108)/F$77</f>
        <v>0.96959944616552685</v>
      </c>
      <c r="G159" s="72">
        <f>+SUM(G$79:G108)/G$77</f>
        <v>1</v>
      </c>
      <c r="H159" s="72">
        <f>+SUM(H$79:H108)/H$77</f>
        <v>1</v>
      </c>
      <c r="I159" s="72">
        <f>+SUM(I$79:I108)/I$77</f>
        <v>0.95422773469406652</v>
      </c>
      <c r="J159" s="72">
        <f>+SUM(J$79:J108)/J$77</f>
        <v>0.99120601945708131</v>
      </c>
      <c r="K159" s="72">
        <f>+SUM(K$79:K108)/K$77</f>
        <v>0.92537581079630749</v>
      </c>
      <c r="L159" s="72">
        <f>+SUM(L$79:L108)/L$77</f>
        <v>1</v>
      </c>
      <c r="M159" s="72">
        <f>+SUM(M$79:M108)/M$77</f>
        <v>1</v>
      </c>
      <c r="N159" s="72">
        <f>+SUM(N$79:N108)/N$77</f>
        <v>0.94556830799002778</v>
      </c>
      <c r="O159" s="3">
        <f t="shared" si="15"/>
        <v>30</v>
      </c>
    </row>
    <row r="160" spans="1:15" ht="12.75" x14ac:dyDescent="0.2">
      <c r="A160" s="3">
        <v>31</v>
      </c>
      <c r="B160" s="72">
        <f>+SUM(B$79:B109)/B$77</f>
        <v>0.9713467750348469</v>
      </c>
      <c r="C160" s="72">
        <f>+SUM(C$79:C109)/C$77</f>
        <v>0.99010653814689054</v>
      </c>
      <c r="D160" s="72">
        <f>+SUM(D$79:D109)/D$77</f>
        <v>1</v>
      </c>
      <c r="E160" s="72">
        <f>+SUM(E$79:E109)/E$77</f>
        <v>0.98509980537701991</v>
      </c>
      <c r="F160" s="72">
        <f>+SUM(F$79:F109)/F$77</f>
        <v>0.97438159443693273</v>
      </c>
      <c r="G160" s="72">
        <f>+SUM(G$79:G109)/G$77</f>
        <v>1</v>
      </c>
      <c r="H160" s="72">
        <f>+SUM(H$79:H109)/H$77</f>
        <v>1</v>
      </c>
      <c r="I160" s="72">
        <f>+SUM(I$79:I109)/I$77</f>
        <v>0.95773168649783214</v>
      </c>
      <c r="J160" s="72">
        <f>+SUM(J$79:J109)/J$77</f>
        <v>0.99657929559586056</v>
      </c>
      <c r="K160" s="72">
        <f>+SUM(K$79:K109)/K$77</f>
        <v>0.93102389896518511</v>
      </c>
      <c r="L160" s="72">
        <f>+SUM(L$79:L109)/L$77</f>
        <v>1</v>
      </c>
      <c r="M160" s="72">
        <f>+SUM(M$79:M109)/M$77</f>
        <v>1</v>
      </c>
      <c r="N160" s="72">
        <f>+SUM(N$79:N109)/N$77</f>
        <v>0.94911544690348093</v>
      </c>
      <c r="O160" s="3">
        <f t="shared" si="15"/>
        <v>31</v>
      </c>
    </row>
    <row r="161" spans="1:15" ht="12.75" x14ac:dyDescent="0.2">
      <c r="A161" s="3">
        <v>32</v>
      </c>
      <c r="B161" s="72">
        <f>+SUM(B$79:B110)/B$77</f>
        <v>0.97333218759532014</v>
      </c>
      <c r="C161" s="72">
        <f>+SUM(C$79:C110)/C$77</f>
        <v>0.99093491612384865</v>
      </c>
      <c r="D161" s="72">
        <f>+SUM(D$79:D110)/D$77</f>
        <v>1</v>
      </c>
      <c r="E161" s="72">
        <f>+SUM(E$79:E110)/E$77</f>
        <v>0.98665230727200748</v>
      </c>
      <c r="F161" s="72">
        <f>+SUM(F$79:F110)/F$77</f>
        <v>0.9778636355920477</v>
      </c>
      <c r="G161" s="72">
        <f>+SUM(G$79:G110)/G$77</f>
        <v>1</v>
      </c>
      <c r="H161" s="72">
        <f>+SUM(H$79:H110)/H$77</f>
        <v>1</v>
      </c>
      <c r="I161" s="72">
        <f>+SUM(I$79:I110)/I$77</f>
        <v>0.96112489118778976</v>
      </c>
      <c r="J161" s="72">
        <f>+SUM(J$79:J110)/J$77</f>
        <v>0.99824940358288805</v>
      </c>
      <c r="K161" s="72">
        <f>+SUM(K$79:K110)/K$77</f>
        <v>0.93665565715850518</v>
      </c>
      <c r="L161" s="72">
        <f>+SUM(L$79:L110)/L$77</f>
        <v>1</v>
      </c>
      <c r="M161" s="72">
        <f>+SUM(M$79:M110)/M$77</f>
        <v>1</v>
      </c>
      <c r="N161" s="72">
        <f>+SUM(N$79:N110)/N$77</f>
        <v>0.95216410529638174</v>
      </c>
      <c r="O161" s="3">
        <f t="shared" si="15"/>
        <v>32</v>
      </c>
    </row>
    <row r="162" spans="1:15" ht="12.75" x14ac:dyDescent="0.2">
      <c r="A162" s="3">
        <v>33</v>
      </c>
      <c r="B162" s="72">
        <f>+SUM(B$79:B111)/B$77</f>
        <v>0.97523589659110599</v>
      </c>
      <c r="C162" s="72">
        <f>+SUM(C$79:C111)/C$77</f>
        <v>0.99173730940315385</v>
      </c>
      <c r="D162" s="72">
        <f>+SUM(D$79:D111)/D$77</f>
        <v>1</v>
      </c>
      <c r="E162" s="72">
        <f>+SUM(E$79:E111)/E$77</f>
        <v>0.98791159273171747</v>
      </c>
      <c r="F162" s="72">
        <f>+SUM(F$79:F111)/F$77</f>
        <v>0.98077541337071361</v>
      </c>
      <c r="G162" s="72">
        <f>+SUM(G$79:G111)/G$77</f>
        <v>1</v>
      </c>
      <c r="H162" s="72">
        <f>+SUM(H$79:H111)/H$77</f>
        <v>1</v>
      </c>
      <c r="I162" s="72">
        <f>+SUM(I$79:I111)/I$77</f>
        <v>0.9644815124668048</v>
      </c>
      <c r="J162" s="72">
        <f>+SUM(J$79:J111)/J$77</f>
        <v>0.99909776456584676</v>
      </c>
      <c r="K162" s="72">
        <f>+SUM(K$79:K111)/K$77</f>
        <v>0.94213698349443886</v>
      </c>
      <c r="L162" s="72">
        <f>+SUM(L$79:L111)/L$77</f>
        <v>1</v>
      </c>
      <c r="M162" s="72">
        <f>+SUM(M$79:M111)/M$77</f>
        <v>1</v>
      </c>
      <c r="N162" s="72">
        <f>+SUM(N$79:N111)/N$77</f>
        <v>0.95517790528492164</v>
      </c>
      <c r="O162" s="3">
        <f t="shared" si="15"/>
        <v>33</v>
      </c>
    </row>
    <row r="163" spans="1:15" ht="12.75" x14ac:dyDescent="0.2">
      <c r="A163" s="3">
        <v>34</v>
      </c>
      <c r="B163" s="72">
        <f>+SUM(B$79:B112)/B$77</f>
        <v>0.97713715656422595</v>
      </c>
      <c r="C163" s="72">
        <f>+SUM(C$79:C112)/C$77</f>
        <v>0.9925002823791963</v>
      </c>
      <c r="D163" s="72">
        <f>+SUM(D$79:D112)/D$77</f>
        <v>1</v>
      </c>
      <c r="E163" s="72">
        <f>+SUM(E$79:E112)/E$77</f>
        <v>0.98913296442158749</v>
      </c>
      <c r="F163" s="72">
        <f>+SUM(F$79:F112)/F$77</f>
        <v>0.98354521883500956</v>
      </c>
      <c r="G163" s="72">
        <f>+SUM(G$79:G112)/G$77</f>
        <v>1</v>
      </c>
      <c r="H163" s="72">
        <f>+SUM(H$79:H112)/H$77</f>
        <v>1</v>
      </c>
      <c r="I163" s="72">
        <f>+SUM(I$79:I112)/I$77</f>
        <v>0.96757566558890262</v>
      </c>
      <c r="J163" s="72">
        <f>+SUM(J$79:J112)/J$77</f>
        <v>0.99956900439044449</v>
      </c>
      <c r="K163" s="72">
        <f>+SUM(K$79:K112)/K$77</f>
        <v>0.94734307467949053</v>
      </c>
      <c r="L163" s="72">
        <f>+SUM(L$79:L112)/L$77</f>
        <v>1</v>
      </c>
      <c r="M163" s="72">
        <f>+SUM(M$79:M112)/M$77</f>
        <v>1</v>
      </c>
      <c r="N163" s="72">
        <f>+SUM(N$79:N112)/N$77</f>
        <v>0.95811246334791811</v>
      </c>
      <c r="O163" s="3">
        <f t="shared" si="15"/>
        <v>34</v>
      </c>
    </row>
    <row r="164" spans="1:15" ht="12.75" x14ac:dyDescent="0.2">
      <c r="A164" s="3">
        <v>35</v>
      </c>
      <c r="B164" s="72">
        <f>+SUM(B$79:B113)/B$77</f>
        <v>0.97882238453919423</v>
      </c>
      <c r="C164" s="72">
        <f>+SUM(C$79:C113)/C$77</f>
        <v>0.99325530628359138</v>
      </c>
      <c r="D164" s="72">
        <f>+SUM(D$79:D113)/D$77</f>
        <v>1</v>
      </c>
      <c r="E164" s="72">
        <f>+SUM(E$79:E113)/E$77</f>
        <v>0.99026913137808703</v>
      </c>
      <c r="F164" s="72">
        <f>+SUM(F$79:F113)/F$77</f>
        <v>0.98595890645389606</v>
      </c>
      <c r="G164" s="72">
        <f>+SUM(G$79:G113)/G$77</f>
        <v>1</v>
      </c>
      <c r="H164" s="72">
        <f>+SUM(H$79:H113)/H$77</f>
        <v>1</v>
      </c>
      <c r="I164" s="72">
        <f>+SUM(I$79:I113)/I$77</f>
        <v>0.97049933509523345</v>
      </c>
      <c r="J164" s="72">
        <f>+SUM(J$79:J113)/J$77</f>
        <v>1</v>
      </c>
      <c r="K164" s="72">
        <f>+SUM(K$79:K113)/K$77</f>
        <v>0.95234920791805899</v>
      </c>
      <c r="L164" s="72">
        <f>+SUM(L$79:L113)/L$77</f>
        <v>1</v>
      </c>
      <c r="M164" s="72">
        <f>+SUM(M$79:M113)/M$77</f>
        <v>1</v>
      </c>
      <c r="N164" s="72">
        <f>+SUM(N$79:N113)/N$77</f>
        <v>0.9609424195068641</v>
      </c>
      <c r="O164" s="3">
        <f t="shared" si="15"/>
        <v>35</v>
      </c>
    </row>
    <row r="165" spans="1:15" ht="12.75" x14ac:dyDescent="0.2">
      <c r="A165" s="3">
        <v>36</v>
      </c>
      <c r="B165" s="72">
        <f>+SUM(B$79:B114)/B$77</f>
        <v>0.98046254314084458</v>
      </c>
      <c r="C165" s="72">
        <f>+SUM(C$79:C114)/C$77</f>
        <v>0.99399949502217211</v>
      </c>
      <c r="D165" s="72">
        <f>+SUM(D$79:D114)/D$77</f>
        <v>1</v>
      </c>
      <c r="E165" s="72">
        <f>+SUM(E$79:E114)/E$77</f>
        <v>0.99135953389095899</v>
      </c>
      <c r="F165" s="72">
        <f>+SUM(F$79:F114)/F$77</f>
        <v>0.9882002726042538</v>
      </c>
      <c r="G165" s="72">
        <f>+SUM(G$79:G114)/G$77</f>
        <v>1</v>
      </c>
      <c r="H165" s="72">
        <f>+SUM(H$79:H114)/H$77</f>
        <v>1</v>
      </c>
      <c r="I165" s="72">
        <f>+SUM(I$79:I114)/I$77</f>
        <v>0.97341194982780321</v>
      </c>
      <c r="J165" s="72">
        <f>+SUM(J$79:J114)/J$77</f>
        <v>1</v>
      </c>
      <c r="K165" s="72">
        <f>+SUM(K$79:K114)/K$77</f>
        <v>0.9573072244087607</v>
      </c>
      <c r="L165" s="72">
        <f>+SUM(L$79:L114)/L$77</f>
        <v>1</v>
      </c>
      <c r="M165" s="72">
        <f>+SUM(M$79:M114)/M$77</f>
        <v>1</v>
      </c>
      <c r="N165" s="72">
        <f>+SUM(N$79:N114)/N$77</f>
        <v>0.96373717383765967</v>
      </c>
      <c r="O165" s="3">
        <f t="shared" si="15"/>
        <v>36</v>
      </c>
    </row>
    <row r="166" spans="1:15" ht="12.75" x14ac:dyDescent="0.2">
      <c r="A166" s="3">
        <v>37</v>
      </c>
      <c r="B166" s="72">
        <f>+SUM(B$79:B115)/B$77</f>
        <v>0.9820315084390363</v>
      </c>
      <c r="C166" s="72">
        <f>+SUM(C$79:C115)/C$77</f>
        <v>0.99473219848498973</v>
      </c>
      <c r="D166" s="72">
        <f>+SUM(D$79:D115)/D$77</f>
        <v>1</v>
      </c>
      <c r="E166" s="72">
        <f>+SUM(E$79:E115)/E$77</f>
        <v>0.99226568441306973</v>
      </c>
      <c r="F166" s="72">
        <f>+SUM(F$79:F115)/F$77</f>
        <v>0.99035245101866121</v>
      </c>
      <c r="G166" s="72">
        <f>+SUM(G$79:G115)/G$77</f>
        <v>1</v>
      </c>
      <c r="H166" s="72">
        <f>+SUM(H$79:H115)/H$77</f>
        <v>1</v>
      </c>
      <c r="I166" s="72">
        <f>+SUM(I$79:I115)/I$77</f>
        <v>0.97574397683557423</v>
      </c>
      <c r="J166" s="72">
        <f>+SUM(J$79:J115)/J$77</f>
        <v>1</v>
      </c>
      <c r="K166" s="72">
        <f>+SUM(K$79:K115)/K$77</f>
        <v>0.96144472856287055</v>
      </c>
      <c r="L166" s="72">
        <f>+SUM(L$79:L115)/L$77</f>
        <v>1</v>
      </c>
      <c r="M166" s="72">
        <f>+SUM(M$79:M115)/M$77</f>
        <v>1</v>
      </c>
      <c r="N166" s="72">
        <f>+SUM(N$79:N115)/N$77</f>
        <v>0.96635906500314461</v>
      </c>
      <c r="O166" s="3">
        <f t="shared" si="15"/>
        <v>37</v>
      </c>
    </row>
    <row r="167" spans="1:15" ht="12.75" x14ac:dyDescent="0.2">
      <c r="A167" s="3">
        <v>38</v>
      </c>
      <c r="B167" s="72">
        <f>+SUM(B$79:B116)/B$77</f>
        <v>0.98345588331642231</v>
      </c>
      <c r="C167" s="72">
        <f>+SUM(C$79:C116)/C$77</f>
        <v>0.99536075630402998</v>
      </c>
      <c r="D167" s="72">
        <f>+SUM(D$79:D116)/D$77</f>
        <v>1</v>
      </c>
      <c r="E167" s="72">
        <f>+SUM(E$79:E116)/E$77</f>
        <v>0.99312819931182617</v>
      </c>
      <c r="F167" s="72">
        <f>+SUM(F$79:F116)/F$77</f>
        <v>0.99241840934583014</v>
      </c>
      <c r="G167" s="72">
        <f>+SUM(G$79:G116)/G$77</f>
        <v>1</v>
      </c>
      <c r="H167" s="72">
        <f>+SUM(H$79:H116)/H$77</f>
        <v>1</v>
      </c>
      <c r="I167" s="72">
        <f>+SUM(I$79:I116)/I$77</f>
        <v>0.97804529566711451</v>
      </c>
      <c r="J167" s="72">
        <f>+SUM(J$79:J116)/J$77</f>
        <v>1</v>
      </c>
      <c r="K167" s="72">
        <f>+SUM(K$79:K116)/K$77</f>
        <v>0.96543662632141447</v>
      </c>
      <c r="L167" s="72">
        <f>+SUM(L$79:L116)/L$77</f>
        <v>1</v>
      </c>
      <c r="M167" s="72">
        <f>+SUM(M$79:M116)/M$77</f>
        <v>1</v>
      </c>
      <c r="N167" s="72">
        <f>+SUM(N$79:N116)/N$77</f>
        <v>0.96858594051688574</v>
      </c>
      <c r="O167" s="3">
        <f t="shared" si="15"/>
        <v>38</v>
      </c>
    </row>
    <row r="168" spans="1:15" ht="12.75" x14ac:dyDescent="0.2">
      <c r="A168" s="3">
        <v>39</v>
      </c>
      <c r="B168" s="72">
        <f>+SUM(B$79:B117)/B$77</f>
        <v>0.98486055873364009</v>
      </c>
      <c r="C168" s="72">
        <f>+SUM(C$79:C117)/C$77</f>
        <v>0.99589075351476275</v>
      </c>
      <c r="D168" s="72">
        <f>+SUM(D$79:D117)/D$77</f>
        <v>1</v>
      </c>
      <c r="E168" s="72">
        <f>+SUM(E$79:E117)/E$77</f>
        <v>0.99398867885071163</v>
      </c>
      <c r="F168" s="72">
        <f>+SUM(F$79:F117)/F$77</f>
        <v>0.99425439468216348</v>
      </c>
      <c r="G168" s="72">
        <f>+SUM(G$79:G117)/G$77</f>
        <v>1</v>
      </c>
      <c r="H168" s="72">
        <f>+SUM(H$79:H117)/H$77</f>
        <v>1</v>
      </c>
      <c r="I168" s="72">
        <f>+SUM(I$79:I117)/I$77</f>
        <v>0.9802279177892872</v>
      </c>
      <c r="J168" s="72">
        <f>+SUM(J$79:J117)/J$77</f>
        <v>1</v>
      </c>
      <c r="K168" s="72">
        <f>+SUM(K$79:K117)/K$77</f>
        <v>0.96933201484354947</v>
      </c>
      <c r="L168" s="72">
        <f>+SUM(L$79:L117)/L$77</f>
        <v>1</v>
      </c>
      <c r="M168" s="72">
        <f>+SUM(M$79:M117)/M$77</f>
        <v>1</v>
      </c>
      <c r="N168" s="72">
        <f>+SUM(N$79:N117)/N$77</f>
        <v>0.97081112738204389</v>
      </c>
      <c r="O168" s="3">
        <f t="shared" si="15"/>
        <v>39</v>
      </c>
    </row>
    <row r="169" spans="1:15" ht="12.75" x14ac:dyDescent="0.2">
      <c r="A169" s="3">
        <v>40</v>
      </c>
      <c r="B169" s="72">
        <f>+SUM(B$79:B118)/B$77</f>
        <v>0.98612670038685823</v>
      </c>
      <c r="C169" s="72">
        <f>+SUM(C$79:C118)/C$77</f>
        <v>0.99638529018283051</v>
      </c>
      <c r="D169" s="72">
        <f>+SUM(D$79:D118)/D$77</f>
        <v>1</v>
      </c>
      <c r="E169" s="72">
        <f>+SUM(E$79:E118)/E$77</f>
        <v>0.99480775543140709</v>
      </c>
      <c r="F169" s="72">
        <f>+SUM(F$79:F118)/F$77</f>
        <v>0.99597523524848108</v>
      </c>
      <c r="G169" s="72">
        <f>+SUM(G$79:G118)/G$77</f>
        <v>1</v>
      </c>
      <c r="H169" s="72">
        <f>+SUM(H$79:H118)/H$77</f>
        <v>1</v>
      </c>
      <c r="I169" s="72">
        <f>+SUM(I$79:I118)/I$77</f>
        <v>0.98218421823467283</v>
      </c>
      <c r="J169" s="72">
        <f>+SUM(J$79:J118)/J$77</f>
        <v>1</v>
      </c>
      <c r="K169" s="72">
        <f>+SUM(K$79:K118)/K$77</f>
        <v>0.97317269947945984</v>
      </c>
      <c r="L169" s="72">
        <f>+SUM(L$79:L118)/L$77</f>
        <v>1</v>
      </c>
      <c r="M169" s="72">
        <f>+SUM(M$79:M118)/M$77</f>
        <v>1</v>
      </c>
      <c r="N169" s="72">
        <f>+SUM(N$79:N118)/N$77</f>
        <v>0.97283713556672602</v>
      </c>
      <c r="O169" s="3">
        <f t="shared" si="15"/>
        <v>40</v>
      </c>
    </row>
    <row r="170" spans="1:15" ht="12.75" x14ac:dyDescent="0.2">
      <c r="A170" s="3">
        <v>41</v>
      </c>
      <c r="B170" s="72">
        <f>+SUM(B$79:B119)/B$77</f>
        <v>0.98738091569815711</v>
      </c>
      <c r="C170" s="72">
        <f>+SUM(C$79:C119)/C$77</f>
        <v>0.99682991613709715</v>
      </c>
      <c r="D170" s="72">
        <f>+SUM(D$79:D119)/D$77</f>
        <v>1</v>
      </c>
      <c r="E170" s="72">
        <f>+SUM(E$79:E119)/E$77</f>
        <v>0.99554154420281893</v>
      </c>
      <c r="F170" s="72">
        <f>+SUM(F$79:F119)/F$77</f>
        <v>0.99763711852705861</v>
      </c>
      <c r="G170" s="72">
        <f>+SUM(G$79:G119)/G$77</f>
        <v>1</v>
      </c>
      <c r="H170" s="72">
        <f>+SUM(H$79:H119)/H$77</f>
        <v>1</v>
      </c>
      <c r="I170" s="72">
        <f>+SUM(I$79:I119)/I$77</f>
        <v>0.9840400627716015</v>
      </c>
      <c r="J170" s="72">
        <f>+SUM(J$79:J119)/J$77</f>
        <v>1</v>
      </c>
      <c r="K170" s="72">
        <f>+SUM(K$79:K119)/K$77</f>
        <v>0.9766500957754598</v>
      </c>
      <c r="L170" s="72">
        <f>+SUM(L$79:L119)/L$77</f>
        <v>1</v>
      </c>
      <c r="M170" s="72">
        <f>+SUM(M$79:M119)/M$77</f>
        <v>1</v>
      </c>
      <c r="N170" s="72">
        <f>+SUM(N$79:N119)/N$77</f>
        <v>0.97456555013329127</v>
      </c>
      <c r="O170" s="3">
        <f t="shared" si="15"/>
        <v>41</v>
      </c>
    </row>
    <row r="171" spans="1:15" ht="12.75" x14ac:dyDescent="0.2">
      <c r="A171" s="3">
        <v>42</v>
      </c>
      <c r="B171" s="72">
        <f>+SUM(B$79:B120)/B$77</f>
        <v>0.98856951007546778</v>
      </c>
      <c r="C171" s="72">
        <f>+SUM(C$79:C120)/C$77</f>
        <v>0.99722690676238357</v>
      </c>
      <c r="D171" s="72">
        <f>+SUM(D$79:D120)/D$77</f>
        <v>1</v>
      </c>
      <c r="E171" s="72">
        <f>+SUM(E$79:E120)/E$77</f>
        <v>0.99614789452353925</v>
      </c>
      <c r="F171" s="72">
        <f>+SUM(F$79:F120)/F$77</f>
        <v>0.99926983971096206</v>
      </c>
      <c r="G171" s="72">
        <f>+SUM(G$79:G120)/G$77</f>
        <v>1</v>
      </c>
      <c r="H171" s="72">
        <f>+SUM(H$79:H120)/H$77</f>
        <v>1</v>
      </c>
      <c r="I171" s="72">
        <f>+SUM(I$79:I120)/I$77</f>
        <v>0.98583679014539294</v>
      </c>
      <c r="J171" s="72">
        <f>+SUM(J$79:J120)/J$77</f>
        <v>1</v>
      </c>
      <c r="K171" s="72">
        <f>+SUM(K$79:K120)/K$77</f>
        <v>0.97989887241365592</v>
      </c>
      <c r="L171" s="72">
        <f>+SUM(L$79:L120)/L$77</f>
        <v>1</v>
      </c>
      <c r="M171" s="72">
        <f>+SUM(M$79:M120)/M$77</f>
        <v>1</v>
      </c>
      <c r="N171" s="72">
        <f>+SUM(N$79:N120)/N$77</f>
        <v>0.97625486421096308</v>
      </c>
      <c r="O171" s="3">
        <f t="shared" si="15"/>
        <v>42</v>
      </c>
    </row>
    <row r="172" spans="1:15" ht="12.75" x14ac:dyDescent="0.2">
      <c r="A172" s="3">
        <v>43</v>
      </c>
      <c r="B172" s="72">
        <f>+SUM(B$79:B121)/B$77</f>
        <v>0.98969419078490395</v>
      </c>
      <c r="C172" s="72">
        <f>+SUM(C$79:C121)/C$77</f>
        <v>0.99761587936496743</v>
      </c>
      <c r="D172" s="72">
        <f>+SUM(D$79:D121)/D$77</f>
        <v>1</v>
      </c>
      <c r="E172" s="72">
        <f>+SUM(E$79:E121)/E$77</f>
        <v>0.99669859436697328</v>
      </c>
      <c r="F172" s="72">
        <f>+SUM(F$79:F121)/F$77</f>
        <v>0.99971708415614691</v>
      </c>
      <c r="G172" s="72">
        <f>+SUM(G$79:G121)/G$77</f>
        <v>1</v>
      </c>
      <c r="H172" s="72">
        <f>+SUM(H$79:H121)/H$77</f>
        <v>1</v>
      </c>
      <c r="I172" s="72">
        <f>+SUM(I$79:I121)/I$77</f>
        <v>0.98737017125859527</v>
      </c>
      <c r="J172" s="72">
        <f>+SUM(J$79:J121)/J$77</f>
        <v>1</v>
      </c>
      <c r="K172" s="72">
        <f>+SUM(K$79:K121)/K$77</f>
        <v>0.98309210262467439</v>
      </c>
      <c r="L172" s="72">
        <f>+SUM(L$79:L121)/L$77</f>
        <v>1</v>
      </c>
      <c r="M172" s="72">
        <f>+SUM(M$79:M121)/M$77</f>
        <v>1</v>
      </c>
      <c r="N172" s="72">
        <f>+SUM(N$79:N121)/N$77</f>
        <v>0.97794152698580183</v>
      </c>
      <c r="O172" s="3">
        <f t="shared" si="15"/>
        <v>43</v>
      </c>
    </row>
    <row r="173" spans="1:15" ht="12.75" x14ac:dyDescent="0.2">
      <c r="A173" s="3">
        <v>44</v>
      </c>
      <c r="B173" s="72">
        <f>+SUM(B$79:B122)/B$77</f>
        <v>0.99080680415737388</v>
      </c>
      <c r="C173" s="72">
        <f>+SUM(C$79:C122)/C$77</f>
        <v>0.99799966093811121</v>
      </c>
      <c r="D173" s="72">
        <f>+SUM(D$79:D122)/D$77</f>
        <v>1</v>
      </c>
      <c r="E173" s="72">
        <f>+SUM(E$79:E122)/E$77</f>
        <v>0.99708239470099458</v>
      </c>
      <c r="F173" s="72">
        <f>+SUM(F$79:F122)/F$77</f>
        <v>0.99991097053864764</v>
      </c>
      <c r="G173" s="72">
        <f>+SUM(G$79:G122)/G$77</f>
        <v>1</v>
      </c>
      <c r="H173" s="72">
        <f>+SUM(H$79:H122)/H$77</f>
        <v>1</v>
      </c>
      <c r="I173" s="72">
        <f>+SUM(I$79:I122)/I$77</f>
        <v>0.98888803496488342</v>
      </c>
      <c r="J173" s="72">
        <f>+SUM(J$79:J122)/J$77</f>
        <v>1</v>
      </c>
      <c r="K173" s="72">
        <f>+SUM(K$79:K122)/K$77</f>
        <v>0.98626365655481696</v>
      </c>
      <c r="L173" s="72">
        <f>+SUM(L$79:L122)/L$77</f>
        <v>1</v>
      </c>
      <c r="M173" s="72">
        <f>+SUM(M$79:M122)/M$77</f>
        <v>1</v>
      </c>
      <c r="N173" s="72">
        <f>+SUM(N$79:N122)/N$77</f>
        <v>0.97955781101590989</v>
      </c>
      <c r="O173" s="3">
        <f t="shared" si="15"/>
        <v>44</v>
      </c>
    </row>
    <row r="174" spans="1:15" ht="12.75" x14ac:dyDescent="0.2">
      <c r="A174" s="3">
        <v>45</v>
      </c>
      <c r="B174" s="72">
        <f>+SUM(B$79:B123)/B$77</f>
        <v>0.99179154421744908</v>
      </c>
      <c r="C174" s="72">
        <f>+SUM(C$79:C123)/C$77</f>
        <v>0.99829366823740784</v>
      </c>
      <c r="D174" s="72">
        <f>+SUM(D$79:D123)/D$77</f>
        <v>1</v>
      </c>
      <c r="E174" s="72">
        <f>+SUM(E$79:E123)/E$77</f>
        <v>0.99740223696641994</v>
      </c>
      <c r="F174" s="72">
        <f>+SUM(F$79:F123)/F$77</f>
        <v>1</v>
      </c>
      <c r="G174" s="72">
        <f>+SUM(G$79:G123)/G$77</f>
        <v>1</v>
      </c>
      <c r="H174" s="72">
        <f>+SUM(H$79:H123)/H$77</f>
        <v>1</v>
      </c>
      <c r="I174" s="72">
        <f>+SUM(I$79:I123)/I$77</f>
        <v>0.99027431038181168</v>
      </c>
      <c r="J174" s="72">
        <f>+SUM(J$79:J123)/J$77</f>
        <v>1</v>
      </c>
      <c r="K174" s="72">
        <f>+SUM(K$79:K123)/K$77</f>
        <v>0.98886326304836281</v>
      </c>
      <c r="L174" s="72">
        <f>+SUM(L$79:L123)/L$77</f>
        <v>1</v>
      </c>
      <c r="M174" s="72">
        <f>+SUM(M$79:M123)/M$77</f>
        <v>1</v>
      </c>
      <c r="N174" s="72">
        <f>+SUM(N$79:N123)/N$77</f>
        <v>0.98113375609620379</v>
      </c>
      <c r="O174" s="3">
        <f t="shared" si="15"/>
        <v>45</v>
      </c>
    </row>
    <row r="175" spans="1:15" ht="12.75" x14ac:dyDescent="0.2">
      <c r="A175" s="3">
        <v>46</v>
      </c>
      <c r="B175" s="72">
        <f>+SUM(B$79:B124)/B$77</f>
        <v>0.99262056444332647</v>
      </c>
      <c r="C175" s="72">
        <f>+SUM(C$79:C124)/C$77</f>
        <v>0.99858143054113502</v>
      </c>
      <c r="D175" s="72">
        <f>+SUM(D$79:D124)/D$77</f>
        <v>1</v>
      </c>
      <c r="E175" s="72">
        <f>+SUM(E$79:E124)/E$77</f>
        <v>0.99769992911651562</v>
      </c>
      <c r="F175" s="72">
        <f>+SUM(F$79:F124)/F$77</f>
        <v>1</v>
      </c>
      <c r="G175" s="72">
        <f>+SUM(G$79:G124)/G$77</f>
        <v>1</v>
      </c>
      <c r="H175" s="72">
        <f>+SUM(H$79:H124)/H$77</f>
        <v>1</v>
      </c>
      <c r="I175" s="72">
        <f>+SUM(I$79:I124)/I$77</f>
        <v>0.99163392877712997</v>
      </c>
      <c r="J175" s="72">
        <f>+SUM(J$79:J124)/J$77</f>
        <v>1</v>
      </c>
      <c r="K175" s="72">
        <f>+SUM(K$79:K124)/K$77</f>
        <v>0.9908352378077967</v>
      </c>
      <c r="L175" s="72">
        <f>+SUM(L$79:L124)/L$77</f>
        <v>1</v>
      </c>
      <c r="M175" s="72">
        <f>+SUM(M$79:M124)/M$77</f>
        <v>1</v>
      </c>
      <c r="N175" s="72">
        <f>+SUM(N$79:N124)/N$77</f>
        <v>0.98267134269651779</v>
      </c>
      <c r="O175" s="3">
        <f t="shared" si="15"/>
        <v>46</v>
      </c>
    </row>
    <row r="176" spans="1:15" ht="12.75" x14ac:dyDescent="0.2">
      <c r="A176" s="3">
        <v>47</v>
      </c>
      <c r="B176" s="72">
        <f>+SUM(B$79:B125)/B$77</f>
        <v>0.99339073762769614</v>
      </c>
      <c r="C176" s="72">
        <f>+SUM(C$79:C125)/C$77</f>
        <v>0.99878834280758588</v>
      </c>
      <c r="D176" s="72">
        <f>+SUM(D$79:D125)/D$77</f>
        <v>1</v>
      </c>
      <c r="E176" s="72">
        <f>+SUM(E$79:E125)/E$77</f>
        <v>0.9979865929391476</v>
      </c>
      <c r="F176" s="72">
        <f>+SUM(F$79:F125)/F$77</f>
        <v>1</v>
      </c>
      <c r="G176" s="72">
        <f>+SUM(G$79:G125)/G$77</f>
        <v>1</v>
      </c>
      <c r="H176" s="72">
        <f>+SUM(H$79:H125)/H$77</f>
        <v>1</v>
      </c>
      <c r="I176" s="72">
        <f>+SUM(I$79:I125)/I$77</f>
        <v>0.99274972705292719</v>
      </c>
      <c r="J176" s="72">
        <f>+SUM(J$79:J125)/J$77</f>
        <v>1</v>
      </c>
      <c r="K176" s="72">
        <f>+SUM(K$79:K125)/K$77</f>
        <v>0.99270805315655208</v>
      </c>
      <c r="L176" s="72">
        <f>+SUM(L$79:L125)/L$77</f>
        <v>1</v>
      </c>
      <c r="M176" s="72">
        <f>+SUM(M$79:M125)/M$77</f>
        <v>1</v>
      </c>
      <c r="N176" s="72">
        <f>+SUM(N$79:N125)/N$77</f>
        <v>0.98413785480753213</v>
      </c>
      <c r="O176" s="3">
        <f t="shared" si="15"/>
        <v>47</v>
      </c>
    </row>
    <row r="177" spans="1:15" ht="12.75" x14ac:dyDescent="0.2">
      <c r="A177" s="3">
        <v>48</v>
      </c>
      <c r="B177" s="72">
        <f>+SUM(B$79:B126)/B$77</f>
        <v>0.99414125119832375</v>
      </c>
      <c r="C177" s="72">
        <f>+SUM(C$79:C126)/C$77</f>
        <v>0.9989723239231133</v>
      </c>
      <c r="D177" s="72">
        <f>+SUM(D$79:D126)/D$77</f>
        <v>1</v>
      </c>
      <c r="E177" s="72">
        <f>+SUM(E$79:E126)/E$77</f>
        <v>0.99822538426685714</v>
      </c>
      <c r="F177" s="72">
        <f>+SUM(F$79:F126)/F$77</f>
        <v>1</v>
      </c>
      <c r="G177" s="72">
        <f>+SUM(G$79:G126)/G$77</f>
        <v>1</v>
      </c>
      <c r="H177" s="72">
        <f>+SUM(H$79:H126)/H$77</f>
        <v>1</v>
      </c>
      <c r="I177" s="72">
        <f>+SUM(I$79:I126)/I$77</f>
        <v>0.99385514504039218</v>
      </c>
      <c r="J177" s="72">
        <f>+SUM(J$79:J126)/J$77</f>
        <v>1</v>
      </c>
      <c r="K177" s="72">
        <f>+SUM(K$79:K126)/K$77</f>
        <v>0.99455550036316576</v>
      </c>
      <c r="L177" s="72">
        <f>+SUM(L$79:L126)/L$77</f>
        <v>1</v>
      </c>
      <c r="M177" s="72">
        <f>+SUM(M$79:M126)/M$77</f>
        <v>1</v>
      </c>
      <c r="N177" s="72">
        <f>+SUM(N$79:N126)/N$77</f>
        <v>0.98553887973857257</v>
      </c>
      <c r="O177" s="3">
        <f t="shared" si="15"/>
        <v>48</v>
      </c>
    </row>
    <row r="178" spans="1:15" ht="12.75" x14ac:dyDescent="0.2">
      <c r="A178" s="3">
        <v>49</v>
      </c>
      <c r="B178" s="72">
        <f>+SUM(B$79:B127)/B$77</f>
        <v>0.99476262863135234</v>
      </c>
      <c r="C178" s="72">
        <f>+SUM(C$79:C127)/C$77</f>
        <v>0.99914864162136474</v>
      </c>
      <c r="D178" s="72">
        <f>+SUM(D$79:D127)/D$77</f>
        <v>1</v>
      </c>
      <c r="E178" s="72">
        <f>+SUM(E$79:E127)/E$77</f>
        <v>0.99845490224576727</v>
      </c>
      <c r="F178" s="72">
        <f>+SUM(F$79:F127)/F$77</f>
        <v>1</v>
      </c>
      <c r="G178" s="72">
        <f>+SUM(G$79:G127)/G$77</f>
        <v>1</v>
      </c>
      <c r="H178" s="72">
        <f>+SUM(H$79:H127)/H$77</f>
        <v>1</v>
      </c>
      <c r="I178" s="72">
        <f>+SUM(I$79:I127)/I$77</f>
        <v>0.9949495930950305</v>
      </c>
      <c r="J178" s="72">
        <f>+SUM(J$79:J127)/J$77</f>
        <v>1</v>
      </c>
      <c r="K178" s="72">
        <f>+SUM(K$79:K127)/K$77</f>
        <v>0.9960998319728237</v>
      </c>
      <c r="L178" s="72">
        <f>+SUM(L$79:L127)/L$77</f>
        <v>1</v>
      </c>
      <c r="M178" s="72">
        <f>+SUM(M$79:M127)/M$77</f>
        <v>1</v>
      </c>
      <c r="N178" s="72">
        <f>+SUM(N$79:N127)/N$77</f>
        <v>0.98691775650426949</v>
      </c>
      <c r="O178" s="3">
        <f t="shared" si="15"/>
        <v>49</v>
      </c>
    </row>
    <row r="179" spans="1:15" ht="12.75" x14ac:dyDescent="0.2">
      <c r="A179" s="3">
        <v>50</v>
      </c>
      <c r="B179" s="72">
        <f>+SUM(B$79:B128)/B$77</f>
        <v>0.99535997560417877</v>
      </c>
      <c r="C179" s="72">
        <f>+SUM(C$79:C128)/C$77</f>
        <v>0.99930000888779102</v>
      </c>
      <c r="D179" s="72">
        <f>+SUM(D$79:D128)/D$77</f>
        <v>1</v>
      </c>
      <c r="E179" s="72">
        <f>+SUM(E$79:E128)/E$77</f>
        <v>0.99867980951150048</v>
      </c>
      <c r="F179" s="72">
        <f>+SUM(F$79:F128)/F$77</f>
        <v>1</v>
      </c>
      <c r="G179" s="72">
        <f>+SUM(G$79:G128)/G$77</f>
        <v>1</v>
      </c>
      <c r="H179" s="72">
        <f>+SUM(H$79:H128)/H$77</f>
        <v>1</v>
      </c>
      <c r="I179" s="72">
        <f>+SUM(I$79:I128)/I$77</f>
        <v>0.99589464474816392</v>
      </c>
      <c r="J179" s="72">
        <f>+SUM(J$79:J128)/J$77</f>
        <v>1</v>
      </c>
      <c r="K179" s="72">
        <f>+SUM(K$79:K128)/K$77</f>
        <v>0.99722293906287329</v>
      </c>
      <c r="L179" s="72">
        <f>+SUM(L$79:L128)/L$77</f>
        <v>1</v>
      </c>
      <c r="M179" s="72">
        <f>+SUM(M$79:M128)/M$77</f>
        <v>1</v>
      </c>
      <c r="N179" s="72">
        <f>+SUM(N$79:N128)/N$77</f>
        <v>0.98829599624552744</v>
      </c>
      <c r="O179" s="3">
        <f t="shared" si="15"/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G20" sqref="G20"/>
    </sheetView>
  </sheetViews>
  <sheetFormatPr baseColWidth="10" defaultColWidth="11.42578125" defaultRowHeight="18.75" customHeight="1" x14ac:dyDescent="0.2"/>
  <cols>
    <col min="1" max="1" width="1.42578125" style="32" customWidth="1"/>
    <col min="2" max="2" width="25.7109375" style="43" customWidth="1"/>
    <col min="3" max="3" width="5.28515625" style="143" customWidth="1"/>
    <col min="4" max="4" width="6.140625" style="143" customWidth="1"/>
    <col min="5" max="6" width="6.140625" style="131" bestFit="1" customWidth="1"/>
    <col min="7" max="7" width="36.28515625" style="32" customWidth="1"/>
    <col min="8" max="8" width="3.85546875" style="32" customWidth="1"/>
    <col min="9" max="16384" width="11.42578125" style="32"/>
  </cols>
  <sheetData>
    <row r="1" spans="1:8" ht="7.5" customHeight="1" x14ac:dyDescent="0.2">
      <c r="A1" s="272"/>
      <c r="B1" s="185"/>
      <c r="C1" s="186"/>
      <c r="D1" s="186"/>
      <c r="E1" s="187"/>
      <c r="F1" s="187"/>
      <c r="G1" s="272"/>
    </row>
    <row r="2" spans="1:8" ht="19.5" customHeight="1" x14ac:dyDescent="0.2">
      <c r="A2" s="272"/>
      <c r="B2" s="371" t="s">
        <v>267</v>
      </c>
      <c r="C2" s="372"/>
      <c r="D2" s="372"/>
      <c r="E2" s="372"/>
      <c r="F2" s="372"/>
      <c r="G2" s="373"/>
      <c r="H2" s="178"/>
    </row>
    <row r="3" spans="1:8" ht="31.5" customHeight="1" x14ac:dyDescent="0.2">
      <c r="A3" s="272"/>
      <c r="B3" s="188"/>
      <c r="C3" s="375" t="s">
        <v>233</v>
      </c>
      <c r="D3" s="375"/>
      <c r="E3" s="377" t="s">
        <v>234</v>
      </c>
      <c r="F3" s="377"/>
      <c r="G3" s="374" t="s">
        <v>235</v>
      </c>
      <c r="H3" s="178"/>
    </row>
    <row r="4" spans="1:8" ht="15.75" customHeight="1" x14ac:dyDescent="0.2">
      <c r="A4" s="272"/>
      <c r="B4" s="189"/>
      <c r="C4" s="375"/>
      <c r="D4" s="375"/>
      <c r="E4" s="376" t="s">
        <v>268</v>
      </c>
      <c r="F4" s="376"/>
      <c r="G4" s="374"/>
      <c r="H4" s="178"/>
    </row>
    <row r="5" spans="1:8" ht="24.75" customHeight="1" x14ac:dyDescent="0.2">
      <c r="A5" s="272"/>
      <c r="B5" s="189"/>
      <c r="C5" s="274"/>
      <c r="D5" s="274"/>
      <c r="E5" s="217" t="s">
        <v>236</v>
      </c>
      <c r="F5" s="218" t="s">
        <v>237</v>
      </c>
      <c r="G5" s="273"/>
      <c r="H5" s="178"/>
    </row>
    <row r="6" spans="1:8" ht="12.75" x14ac:dyDescent="0.2">
      <c r="A6" s="272"/>
      <c r="B6" s="190" t="s">
        <v>133</v>
      </c>
      <c r="C6" s="191">
        <f>Concentracion!B78</f>
        <v>70</v>
      </c>
      <c r="D6" s="192">
        <f>+C6/$C$20</f>
        <v>0.9859154929577465</v>
      </c>
      <c r="E6" s="193">
        <f>MATCH(0.5,'[1]Concentracion 2015'!B$132:B$181,1)+1</f>
        <v>4</v>
      </c>
      <c r="F6" s="275">
        <f>MATCH(0.9,'[1]Concentracion 2015'!B$132:B$181,1)+1</f>
        <v>14</v>
      </c>
      <c r="G6" s="194" t="s">
        <v>238</v>
      </c>
    </row>
    <row r="7" spans="1:8" ht="24" customHeight="1" x14ac:dyDescent="0.2">
      <c r="A7" s="272"/>
      <c r="B7" s="195" t="s">
        <v>239</v>
      </c>
      <c r="C7" s="196">
        <f>Concentracion!C78</f>
        <v>61</v>
      </c>
      <c r="D7" s="197">
        <f t="shared" ref="D7:D20" si="0">+C7/$C$20</f>
        <v>0.85915492957746475</v>
      </c>
      <c r="E7" s="198">
        <f>MATCH(0.5,'[1]Concentracion 2015'!C$132:C$181,1)+1</f>
        <v>3</v>
      </c>
      <c r="F7" s="199">
        <f>MATCH(0.9,'[1]Concentracion 2015'!C$132:C$181,1)+1</f>
        <v>9</v>
      </c>
      <c r="G7" s="200" t="s">
        <v>270</v>
      </c>
    </row>
    <row r="8" spans="1:8" ht="17.25" customHeight="1" x14ac:dyDescent="0.2">
      <c r="A8" s="272"/>
      <c r="B8" s="195" t="s">
        <v>222</v>
      </c>
      <c r="C8" s="196">
        <f>Concentracion!D78</f>
        <v>9</v>
      </c>
      <c r="D8" s="197">
        <f t="shared" si="0"/>
        <v>0.12676056338028169</v>
      </c>
      <c r="E8" s="198">
        <f>MATCH(0.5,'[1]Concentracion 2015'!D$132:D$181,1)+1</f>
        <v>2</v>
      </c>
      <c r="F8" s="198">
        <f>MATCH(0.9,'[1]Concentracion 2015'!D$132:D$181,1)+1</f>
        <v>3</v>
      </c>
      <c r="G8" s="200" t="s">
        <v>240</v>
      </c>
    </row>
    <row r="9" spans="1:8" ht="24.75" customHeight="1" x14ac:dyDescent="0.2">
      <c r="A9" s="272"/>
      <c r="B9" s="195" t="s">
        <v>241</v>
      </c>
      <c r="C9" s="196">
        <f>Concentracion!E78</f>
        <v>61</v>
      </c>
      <c r="D9" s="197">
        <f t="shared" si="0"/>
        <v>0.85915492957746475</v>
      </c>
      <c r="E9" s="198">
        <f>MATCH(0.5,'[1]Concentracion 2015'!E$132:E$181,1)+1</f>
        <v>2</v>
      </c>
      <c r="F9" s="199">
        <f>MATCH(0.9,'[1]Concentracion 2015'!E$132:E$181,1)+1</f>
        <v>14</v>
      </c>
      <c r="G9" s="200" t="s">
        <v>271</v>
      </c>
      <c r="H9" s="178"/>
    </row>
    <row r="10" spans="1:8" ht="22.5" x14ac:dyDescent="0.2">
      <c r="A10" s="272"/>
      <c r="B10" s="195" t="s">
        <v>187</v>
      </c>
      <c r="C10" s="196">
        <f>Concentracion!F78</f>
        <v>45</v>
      </c>
      <c r="D10" s="197">
        <f t="shared" si="0"/>
        <v>0.63380281690140849</v>
      </c>
      <c r="E10" s="198">
        <f>MATCH(0.5,'[1]Concentracion 2015'!F$132:F$181,1)+1</f>
        <v>4</v>
      </c>
      <c r="F10" s="199">
        <f>MATCH(0.9,'[1]Concentracion 2015'!F$132:F$181,1)+1</f>
        <v>17</v>
      </c>
      <c r="G10" s="200" t="s">
        <v>272</v>
      </c>
      <c r="H10" s="178"/>
    </row>
    <row r="11" spans="1:8" ht="17.25" customHeight="1" x14ac:dyDescent="0.2">
      <c r="A11" s="272"/>
      <c r="B11" s="195" t="s">
        <v>189</v>
      </c>
      <c r="C11" s="196">
        <f>Concentracion!G78</f>
        <v>16</v>
      </c>
      <c r="D11" s="197">
        <f t="shared" si="0"/>
        <v>0.22535211267605634</v>
      </c>
      <c r="E11" s="198" t="s">
        <v>65</v>
      </c>
      <c r="F11" s="199">
        <f>MATCH(0.9,'[1]Concentracion 2015'!G$132:G$181,1)+1</f>
        <v>3</v>
      </c>
      <c r="G11" s="200" t="s">
        <v>106</v>
      </c>
      <c r="H11" s="178"/>
    </row>
    <row r="12" spans="1:8" s="203" customFormat="1" ht="14.25" x14ac:dyDescent="0.2">
      <c r="A12" s="202"/>
      <c r="B12" s="195" t="s">
        <v>191</v>
      </c>
      <c r="C12" s="196">
        <f>Concentracion!H78</f>
        <v>29</v>
      </c>
      <c r="D12" s="197">
        <f t="shared" si="0"/>
        <v>0.40845070422535212</v>
      </c>
      <c r="E12" s="198">
        <f>MATCH(0.5,'[1]Concentracion 2015'!H$132:H$181,1)+1</f>
        <v>2</v>
      </c>
      <c r="F12" s="199">
        <f>MATCH(0.9,'[1]Concentracion 2015'!H$132:H$181,1)+1</f>
        <v>3</v>
      </c>
      <c r="G12" s="200" t="s">
        <v>238</v>
      </c>
    </row>
    <row r="13" spans="1:8" ht="12.75" x14ac:dyDescent="0.2">
      <c r="B13" s="204"/>
      <c r="C13" s="205"/>
      <c r="D13" s="192"/>
      <c r="E13" s="206"/>
      <c r="F13" s="206"/>
      <c r="G13" s="200" t="s">
        <v>65</v>
      </c>
    </row>
    <row r="14" spans="1:8" ht="22.5" x14ac:dyDescent="0.2">
      <c r="A14" s="272"/>
      <c r="B14" s="190" t="s">
        <v>132</v>
      </c>
      <c r="C14" s="207">
        <f>Concentracion!I$78</f>
        <v>62</v>
      </c>
      <c r="D14" s="192">
        <f t="shared" si="0"/>
        <v>0.87323943661971826</v>
      </c>
      <c r="E14" s="193">
        <f>MATCH(0.5,'[1]Concentracion 2015'!I$132:I$181,1)+1</f>
        <v>3</v>
      </c>
      <c r="F14" s="275">
        <f>MATCH(0.9,'[1]Concentracion 2015'!I$132:I$181,1)+1</f>
        <v>20</v>
      </c>
      <c r="G14" s="194" t="s">
        <v>242</v>
      </c>
    </row>
    <row r="15" spans="1:8" ht="12.75" x14ac:dyDescent="0.2">
      <c r="A15" s="272"/>
      <c r="B15" s="195" t="s">
        <v>243</v>
      </c>
      <c r="C15" s="201">
        <f>Concentracion!J$78</f>
        <v>35</v>
      </c>
      <c r="D15" s="197">
        <f t="shared" si="0"/>
        <v>0.49295774647887325</v>
      </c>
      <c r="E15" s="198">
        <f>MATCH(0.5,'[1]Concentracion 2015'!J$132:J$181,1)+1</f>
        <v>3</v>
      </c>
      <c r="F15" s="199">
        <f>MATCH(0.9,'[1]Concentracion 2015'!J$132:J$181,1)+1</f>
        <v>17</v>
      </c>
      <c r="G15" s="200" t="s">
        <v>273</v>
      </c>
    </row>
    <row r="16" spans="1:8" s="209" customFormat="1" ht="22.5" x14ac:dyDescent="0.2">
      <c r="A16" s="208"/>
      <c r="B16" s="195" t="s">
        <v>145</v>
      </c>
      <c r="C16" s="201">
        <f>Concentracion!K$78</f>
        <v>55</v>
      </c>
      <c r="D16" s="197">
        <f t="shared" si="0"/>
        <v>0.77464788732394363</v>
      </c>
      <c r="E16" s="198">
        <f>MATCH(0.5,'[1]Concentracion 2015'!K$132:K$181,1)+1</f>
        <v>9</v>
      </c>
      <c r="F16" s="199">
        <f>MATCH(0.9,'[1]Concentracion 2015'!K$132:K$181,1)+1</f>
        <v>29</v>
      </c>
      <c r="G16" s="200" t="s">
        <v>274</v>
      </c>
    </row>
    <row r="17" spans="1:8" s="209" customFormat="1" ht="17.25" customHeight="1" x14ac:dyDescent="0.2">
      <c r="A17" s="208"/>
      <c r="B17" s="195" t="s">
        <v>146</v>
      </c>
      <c r="C17" s="201">
        <f>Concentracion!L$78</f>
        <v>25</v>
      </c>
      <c r="D17" s="197">
        <f t="shared" si="0"/>
        <v>0.352112676056338</v>
      </c>
      <c r="E17" s="198" t="s">
        <v>65</v>
      </c>
      <c r="F17" s="199">
        <f>MATCH(0.9,'[1]Concentracion 2015'!L$132:L$181,1)+1</f>
        <v>5</v>
      </c>
      <c r="G17" s="200" t="s">
        <v>242</v>
      </c>
    </row>
    <row r="18" spans="1:8" s="209" customFormat="1" ht="19.5" customHeight="1" x14ac:dyDescent="0.2">
      <c r="A18" s="208"/>
      <c r="B18" s="195" t="s">
        <v>229</v>
      </c>
      <c r="C18" s="201">
        <f>Concentracion!M$78</f>
        <v>2</v>
      </c>
      <c r="D18" s="197">
        <f t="shared" si="0"/>
        <v>2.8169014084507043E-2</v>
      </c>
      <c r="E18" s="198" t="s">
        <v>65</v>
      </c>
      <c r="F18" s="198">
        <f>MATCH(0.9,'[1]Concentracion 2015'!M$132:M$181,1)+1</f>
        <v>2</v>
      </c>
      <c r="G18" s="200" t="s">
        <v>70</v>
      </c>
    </row>
    <row r="19" spans="1:8" ht="6.75" customHeight="1" x14ac:dyDescent="0.2">
      <c r="B19" s="204"/>
      <c r="C19" s="205"/>
      <c r="D19" s="192"/>
      <c r="E19" s="206"/>
      <c r="F19" s="206"/>
      <c r="G19" s="200"/>
    </row>
    <row r="20" spans="1:8" ht="27.75" customHeight="1" x14ac:dyDescent="0.2">
      <c r="A20" s="272"/>
      <c r="B20" s="210" t="s">
        <v>244</v>
      </c>
      <c r="C20" s="211">
        <f>Concentracion!N78</f>
        <v>71</v>
      </c>
      <c r="D20" s="212">
        <f t="shared" si="0"/>
        <v>1</v>
      </c>
      <c r="E20" s="213">
        <f>MATCH(0.5,'[1]Concentracion 2015'!N$132:N$181,1)+1</f>
        <v>4</v>
      </c>
      <c r="F20" s="214">
        <f>MATCH(0.9,'[1]Concentracion 2015'!N$132:N$181,1)+1</f>
        <v>20</v>
      </c>
      <c r="G20" s="215" t="s">
        <v>275</v>
      </c>
      <c r="H20" s="216"/>
    </row>
    <row r="21" spans="1:8" ht="18.75" customHeight="1" x14ac:dyDescent="0.2">
      <c r="B21" s="370"/>
      <c r="C21" s="370"/>
      <c r="D21" s="370"/>
      <c r="E21" s="370"/>
      <c r="F21" s="370"/>
      <c r="G21" s="370"/>
    </row>
    <row r="22" spans="1:8" ht="18.75" customHeight="1" x14ac:dyDescent="0.2">
      <c r="B22" s="32"/>
      <c r="C22" s="131"/>
      <c r="D22" s="131"/>
    </row>
  </sheetData>
  <mergeCells count="6">
    <mergeCell ref="B21:G21"/>
    <mergeCell ref="B2:G2"/>
    <mergeCell ref="G3:G4"/>
    <mergeCell ref="C3:D4"/>
    <mergeCell ref="E4:F4"/>
    <mergeCell ref="E3:F3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datos9</vt:lpstr>
      <vt:lpstr>Ingresos</vt:lpstr>
      <vt:lpstr>Totales ingresos</vt:lpstr>
      <vt:lpstr>Fondos</vt:lpstr>
      <vt:lpstr>comparativa</vt:lpstr>
      <vt:lpstr>Totales fondos</vt:lpstr>
      <vt:lpstr>Comparación</vt:lpstr>
      <vt:lpstr>Concentracion</vt:lpstr>
      <vt:lpstr>totales concent</vt:lpstr>
      <vt:lpstr>Internacional</vt:lpstr>
      <vt:lpstr>Comparación!Área_de_impresión</vt:lpstr>
      <vt:lpstr>Ingresos!Área_de_impresión</vt:lpstr>
    </vt:vector>
  </TitlesOfParts>
  <Company>prueba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Sanchez Gago</dc:creator>
  <cp:lastModifiedBy>Orue Guerrero, Carmen Noemi</cp:lastModifiedBy>
  <cp:revision/>
  <dcterms:created xsi:type="dcterms:W3CDTF">2005-01-05T10:56:45Z</dcterms:created>
  <dcterms:modified xsi:type="dcterms:W3CDTF">2019-07-15T08:15:44Z</dcterms:modified>
</cp:coreProperties>
</file>